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Projects\blood_safety_portfolio\data\"/>
    </mc:Choice>
  </mc:AlternateContent>
  <xr:revisionPtr revIDLastSave="0" documentId="13_ncr:1_{626CFC8D-0839-43B0-80A8-CFD6964E3AB4}" xr6:coauthVersionLast="45" xr6:coauthVersionMax="45" xr10:uidLastSave="{00000000-0000-0000-0000-000000000000}"/>
  <bookViews>
    <workbookView xWindow="28680" yWindow="-7080" windowWidth="38640" windowHeight="21390" activeTab="1" xr2:uid="{00000000-000D-0000-FFFF-FFFF00000000}"/>
  </bookViews>
  <sheets>
    <sheet name="wnv_nmc" sheetId="1" r:id="rId1"/>
    <sheet name="zikv_nmc" sheetId="2" r:id="rId2"/>
    <sheet name="params" sheetId="3" r:id="rId3"/>
    <sheet name="donor_groups" sheetId="4" r:id="rId4"/>
    <sheet name="looku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2" l="1"/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2" i="3"/>
  <c r="G32" i="3" l="1"/>
  <c r="F32" i="3"/>
  <c r="G31" i="3"/>
  <c r="F31" i="3"/>
  <c r="F30" i="3"/>
  <c r="G29" i="3"/>
  <c r="F29" i="3"/>
  <c r="G28" i="3"/>
  <c r="F28" i="3"/>
  <c r="G27" i="3"/>
  <c r="F27" i="3"/>
  <c r="F26" i="3"/>
  <c r="F25" i="3"/>
  <c r="F20" i="3"/>
  <c r="F19" i="3"/>
  <c r="F18" i="3"/>
  <c r="F17" i="3"/>
  <c r="F12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M93" i="2" a="1"/>
  <c r="M93" i="2"/>
  <c r="B93" i="2"/>
  <c r="M92" i="2" a="1"/>
  <c r="M92" i="2" s="1"/>
  <c r="B92" i="2" s="1"/>
  <c r="M91" i="2" a="1"/>
  <c r="M91" i="2" s="1"/>
  <c r="B91" i="2" s="1"/>
  <c r="M90" i="2" a="1"/>
  <c r="M90" i="2"/>
  <c r="B90" i="2"/>
  <c r="M89" i="2" a="1"/>
  <c r="M89" i="2"/>
  <c r="B89" i="2"/>
  <c r="M88" i="2" a="1"/>
  <c r="M88" i="2" s="1"/>
  <c r="B88" i="2" s="1"/>
  <c r="M87" i="2" a="1"/>
  <c r="M87" i="2"/>
  <c r="B87" i="2" s="1"/>
  <c r="M86" i="2" a="1"/>
  <c r="M86" i="2"/>
  <c r="B86" i="2" s="1"/>
  <c r="M85" i="2" a="1"/>
  <c r="M85" i="2"/>
  <c r="B85" i="2"/>
  <c r="M84" i="2" a="1"/>
  <c r="M84" i="2" s="1"/>
  <c r="E84" i="2"/>
  <c r="B84" i="2"/>
  <c r="M83" i="2" a="1"/>
  <c r="M83" i="2" s="1"/>
  <c r="B83" i="2" s="1"/>
  <c r="G83" i="2"/>
  <c r="F83" i="2"/>
  <c r="E83" i="2"/>
  <c r="M82" i="2" a="1"/>
  <c r="M82" i="2"/>
  <c r="B82" i="2"/>
  <c r="M81" i="2" a="1"/>
  <c r="M81" i="2"/>
  <c r="B81" i="2"/>
  <c r="M80" i="2" a="1"/>
  <c r="M80" i="2" s="1"/>
  <c r="B80" i="2" s="1"/>
  <c r="M79" i="2" a="1"/>
  <c r="M79" i="2"/>
  <c r="B79" i="2" s="1"/>
  <c r="M78" i="2" a="1"/>
  <c r="M78" i="2"/>
  <c r="B78" i="2" s="1"/>
  <c r="M77" i="2" a="1"/>
  <c r="M77" i="2"/>
  <c r="B77" i="2"/>
  <c r="M76" i="2" a="1"/>
  <c r="M76" i="2" s="1"/>
  <c r="B76" i="2" s="1"/>
  <c r="M75" i="2" a="1"/>
  <c r="M75" i="2" s="1"/>
  <c r="B75" i="2" s="1"/>
  <c r="M74" i="2" a="1"/>
  <c r="M74" i="2"/>
  <c r="B74" i="2"/>
  <c r="M73" i="2" a="1"/>
  <c r="M73" i="2"/>
  <c r="B73" i="2"/>
  <c r="M72" i="2" a="1"/>
  <c r="M72" i="2" s="1"/>
  <c r="B72" i="2" s="1"/>
  <c r="M71" i="2" a="1"/>
  <c r="M71" i="2"/>
  <c r="B71" i="2" s="1"/>
  <c r="M70" i="2" a="1"/>
  <c r="M70" i="2"/>
  <c r="B70" i="2" s="1"/>
  <c r="M69" i="2" a="1"/>
  <c r="M69" i="2"/>
  <c r="B69" i="2"/>
  <c r="M68" i="2" a="1"/>
  <c r="M68" i="2" s="1"/>
  <c r="B68" i="2" s="1"/>
  <c r="M67" i="2" a="1"/>
  <c r="M67" i="2" s="1"/>
  <c r="B67" i="2" s="1"/>
  <c r="M66" i="2" a="1"/>
  <c r="M66" i="2"/>
  <c r="B66" i="2"/>
  <c r="M65" i="2" a="1"/>
  <c r="M65" i="2"/>
  <c r="B65" i="2"/>
  <c r="M64" i="2" a="1"/>
  <c r="M64" i="2" s="1"/>
  <c r="B64" i="2" s="1"/>
  <c r="M63" i="2" a="1"/>
  <c r="M63" i="2"/>
  <c r="B63" i="2" s="1"/>
  <c r="M62" i="2" a="1"/>
  <c r="M62" i="2"/>
  <c r="B62" i="2" s="1"/>
  <c r="M61" i="2" a="1"/>
  <c r="M61" i="2"/>
  <c r="B61" i="2"/>
  <c r="M60" i="2" a="1"/>
  <c r="M60" i="2" s="1"/>
  <c r="B60" i="2" s="1"/>
  <c r="M59" i="2" a="1"/>
  <c r="M59" i="2" s="1"/>
  <c r="B59" i="2" s="1"/>
  <c r="M58" i="2" a="1"/>
  <c r="M58" i="2"/>
  <c r="B58" i="2"/>
  <c r="M57" i="2" a="1"/>
  <c r="M57" i="2"/>
  <c r="B57" i="2"/>
  <c r="M56" i="2" a="1"/>
  <c r="M56" i="2" s="1"/>
  <c r="B56" i="2" s="1"/>
  <c r="M55" i="2" a="1"/>
  <c r="M55" i="2"/>
  <c r="B55" i="2" s="1"/>
  <c r="M54" i="2" a="1"/>
  <c r="M54" i="2"/>
  <c r="B54" i="2" s="1"/>
  <c r="M53" i="2" a="1"/>
  <c r="M53" i="2"/>
  <c r="B53" i="2"/>
  <c r="M52" i="2" a="1"/>
  <c r="M52" i="2" s="1"/>
  <c r="B52" i="2" s="1"/>
  <c r="M51" i="2" a="1"/>
  <c r="M51" i="2" s="1"/>
  <c r="B51" i="2" s="1"/>
  <c r="M50" i="2" a="1"/>
  <c r="M50" i="2"/>
  <c r="B50" i="2"/>
  <c r="M49" i="2" a="1"/>
  <c r="M49" i="2"/>
  <c r="G49" i="2"/>
  <c r="F49" i="2"/>
  <c r="E49" i="2"/>
  <c r="B49" i="2"/>
  <c r="M48" i="2" a="1"/>
  <c r="M48" i="2"/>
  <c r="G48" i="2"/>
  <c r="F48" i="2"/>
  <c r="E48" i="2"/>
  <c r="M47" i="2" a="1"/>
  <c r="M47" i="2"/>
  <c r="G47" i="2"/>
  <c r="F47" i="2"/>
  <c r="E47" i="2"/>
  <c r="B47" i="2"/>
  <c r="M46" i="2" a="1"/>
  <c r="M46" i="2"/>
  <c r="G46" i="2"/>
  <c r="F46" i="2"/>
  <c r="E46" i="2"/>
  <c r="B46" i="2"/>
  <c r="M45" i="2" a="1"/>
  <c r="M45" i="2"/>
  <c r="G45" i="2"/>
  <c r="F45" i="2"/>
  <c r="E45" i="2"/>
  <c r="B45" i="2"/>
  <c r="M44" i="2" a="1"/>
  <c r="M44" i="2"/>
  <c r="B44" i="2" s="1"/>
  <c r="E44" i="2"/>
  <c r="M43" i="2" a="1"/>
  <c r="M43" i="2"/>
  <c r="B43" i="2" s="1"/>
  <c r="E43" i="2"/>
  <c r="G43" i="2" s="1"/>
  <c r="M42" i="2" a="1"/>
  <c r="M42" i="2"/>
  <c r="G42" i="2"/>
  <c r="F42" i="2"/>
  <c r="E42" i="2"/>
  <c r="B42" i="2"/>
  <c r="M41" i="2" a="1"/>
  <c r="M41" i="2" s="1"/>
  <c r="B41" i="2" s="1"/>
  <c r="G41" i="2"/>
  <c r="F41" i="2"/>
  <c r="E41" i="2"/>
  <c r="M40" i="2" a="1"/>
  <c r="M40" i="2"/>
  <c r="G40" i="2"/>
  <c r="F40" i="2"/>
  <c r="E40" i="2"/>
  <c r="B40" i="2"/>
  <c r="M39" i="2" a="1"/>
  <c r="M39" i="2" s="1"/>
  <c r="B39" i="2" s="1"/>
  <c r="G39" i="2"/>
  <c r="F39" i="2"/>
  <c r="E39" i="2"/>
  <c r="M38" i="2" a="1"/>
  <c r="M38" i="2"/>
  <c r="G38" i="2"/>
  <c r="F38" i="2"/>
  <c r="E38" i="2"/>
  <c r="B38" i="2"/>
  <c r="M37" i="2" a="1"/>
  <c r="M37" i="2" s="1"/>
  <c r="B37" i="2" s="1"/>
  <c r="G37" i="2"/>
  <c r="F37" i="2"/>
  <c r="E37" i="2"/>
  <c r="M36" i="2" a="1"/>
  <c r="M36" i="2"/>
  <c r="B36" i="2"/>
  <c r="M35" i="2" a="1"/>
  <c r="M35" i="2" s="1"/>
  <c r="B35" i="2"/>
  <c r="M34" i="2" a="1"/>
  <c r="M34" i="2"/>
  <c r="B34" i="2" s="1"/>
  <c r="M33" i="2" a="1"/>
  <c r="M33" i="2"/>
  <c r="B33" i="2" s="1"/>
  <c r="M32" i="2" a="1"/>
  <c r="M32" i="2"/>
  <c r="B32" i="2"/>
  <c r="M31" i="2" a="1"/>
  <c r="M31" i="2" s="1"/>
  <c r="B31" i="2"/>
  <c r="M30" i="2" a="1"/>
  <c r="M30" i="2"/>
  <c r="B30" i="2" s="1"/>
  <c r="M29" i="2" a="1"/>
  <c r="M29" i="2"/>
  <c r="B29" i="2" s="1"/>
  <c r="M28" i="2" a="1"/>
  <c r="M28" i="2"/>
  <c r="B28" i="2"/>
  <c r="M27" i="2" a="1"/>
  <c r="M27" i="2" s="1"/>
  <c r="B27" i="2"/>
  <c r="M26" i="2" a="1"/>
  <c r="M26" i="2"/>
  <c r="B26" i="2" s="1"/>
  <c r="M25" i="2" a="1"/>
  <c r="M25" i="2"/>
  <c r="B25" i="2" s="1"/>
  <c r="M24" i="2" a="1"/>
  <c r="M24" i="2"/>
  <c r="B24" i="2"/>
  <c r="M23" i="2" a="1"/>
  <c r="M23" i="2" s="1"/>
  <c r="B23" i="2"/>
  <c r="M22" i="2" a="1"/>
  <c r="M22" i="2"/>
  <c r="B22" i="2" s="1"/>
  <c r="M21" i="2" a="1"/>
  <c r="M21" i="2"/>
  <c r="B21" i="2" s="1"/>
  <c r="M20" i="2" a="1"/>
  <c r="M20" i="2"/>
  <c r="G20" i="2"/>
  <c r="F20" i="2"/>
  <c r="E20" i="2"/>
  <c r="B20" i="2"/>
  <c r="M19" i="2" a="1"/>
  <c r="M19" i="2" s="1"/>
  <c r="B19" i="2" s="1"/>
  <c r="M18" i="2" a="1"/>
  <c r="M18" i="2" s="1"/>
  <c r="B18" i="2" s="1"/>
  <c r="M17" i="2" a="1"/>
  <c r="M17" i="2"/>
  <c r="B17" i="2" s="1"/>
  <c r="M16" i="2" a="1"/>
  <c r="M16" i="2" s="1"/>
  <c r="B16" i="2" s="1"/>
  <c r="M15" i="2" a="1"/>
  <c r="M15" i="2" s="1"/>
  <c r="B15" i="2" s="1"/>
  <c r="M14" i="2" a="1"/>
  <c r="M14" i="2" s="1"/>
  <c r="B14" i="2" s="1"/>
  <c r="M13" i="2" a="1"/>
  <c r="M13" i="2"/>
  <c r="B13" i="2" s="1"/>
  <c r="M12" i="2" a="1"/>
  <c r="M12" i="2" s="1"/>
  <c r="B12" i="2" s="1"/>
  <c r="M11" i="2" a="1"/>
  <c r="M11" i="2" s="1"/>
  <c r="B11" i="2" s="1"/>
  <c r="M10" i="2" a="1"/>
  <c r="M10" i="2" s="1"/>
  <c r="B10" i="2" s="1"/>
  <c r="M9" i="2" a="1"/>
  <c r="M9" i="2"/>
  <c r="B9" i="2" s="1"/>
  <c r="M8" i="2" a="1"/>
  <c r="M8" i="2" s="1"/>
  <c r="B8" i="2" s="1"/>
  <c r="M7" i="2" a="1"/>
  <c r="M7" i="2" s="1"/>
  <c r="B7" i="2" s="1"/>
  <c r="M6" i="2" a="1"/>
  <c r="M6" i="2" s="1"/>
  <c r="B6" i="2" s="1"/>
  <c r="M5" i="2" a="1"/>
  <c r="M5" i="2"/>
  <c r="B5" i="2" s="1"/>
  <c r="M4" i="2" a="1"/>
  <c r="M4" i="2" s="1"/>
  <c r="B4" i="2" s="1"/>
  <c r="M3" i="2" a="1"/>
  <c r="M3" i="2" s="1"/>
  <c r="B3" i="2" s="1"/>
  <c r="M2" i="2" a="1"/>
  <c r="M2" i="2" s="1"/>
  <c r="B2" i="2" s="1"/>
  <c r="M111" i="1" a="1"/>
  <c r="M111" i="1"/>
  <c r="B111" i="1" s="1"/>
  <c r="M110" i="1" a="1"/>
  <c r="M110" i="1" s="1"/>
  <c r="B110" i="1" s="1"/>
  <c r="M109" i="1" a="1"/>
  <c r="M109" i="1" s="1"/>
  <c r="B109" i="1" s="1"/>
  <c r="M108" i="1" a="1"/>
  <c r="M108" i="1" s="1"/>
  <c r="B108" i="1" s="1"/>
  <c r="M107" i="1" a="1"/>
  <c r="M107" i="1"/>
  <c r="B107" i="1" s="1"/>
  <c r="M106" i="1" a="1"/>
  <c r="M106" i="1" s="1"/>
  <c r="B106" i="1" s="1"/>
  <c r="M105" i="1" a="1"/>
  <c r="M105" i="1" s="1"/>
  <c r="B105" i="1" s="1"/>
  <c r="M104" i="1" a="1"/>
  <c r="M104" i="1" s="1"/>
  <c r="B104" i="1" s="1"/>
  <c r="M103" i="1" a="1"/>
  <c r="M103" i="1"/>
  <c r="B103" i="1" s="1"/>
  <c r="G103" i="1"/>
  <c r="F103" i="1"/>
  <c r="M102" i="1" a="1"/>
  <c r="M102" i="1"/>
  <c r="B102" i="1" s="1"/>
  <c r="E102" i="1"/>
  <c r="M101" i="1" a="1"/>
  <c r="M101" i="1" s="1"/>
  <c r="B101" i="1" s="1"/>
  <c r="E101" i="1"/>
  <c r="M100" i="1" a="1"/>
  <c r="M100" i="1"/>
  <c r="B100" i="1" s="1"/>
  <c r="E100" i="1"/>
  <c r="M99" i="1" a="1"/>
  <c r="M99" i="1" s="1"/>
  <c r="B99" i="1" s="1"/>
  <c r="E99" i="1"/>
  <c r="M98" i="1" a="1"/>
  <c r="M98" i="1"/>
  <c r="B98" i="1" s="1"/>
  <c r="G98" i="1"/>
  <c r="F98" i="1"/>
  <c r="M97" i="1" a="1"/>
  <c r="M97" i="1" s="1"/>
  <c r="B97" i="1" s="1"/>
  <c r="G97" i="1"/>
  <c r="F97" i="1"/>
  <c r="M96" i="1" a="1"/>
  <c r="M96" i="1" s="1"/>
  <c r="G96" i="1"/>
  <c r="F96" i="1"/>
  <c r="B96" i="1"/>
  <c r="M95" i="1" a="1"/>
  <c r="M95" i="1"/>
  <c r="B95" i="1" s="1"/>
  <c r="G95" i="1"/>
  <c r="F95" i="1"/>
  <c r="M94" i="1" a="1"/>
  <c r="M94" i="1"/>
  <c r="B94" i="1" s="1"/>
  <c r="G94" i="1"/>
  <c r="F94" i="1"/>
  <c r="M93" i="1" a="1"/>
  <c r="M93" i="1" s="1"/>
  <c r="B93" i="1" s="1"/>
  <c r="G93" i="1"/>
  <c r="F93" i="1"/>
  <c r="M92" i="1" a="1"/>
  <c r="M92" i="1" s="1"/>
  <c r="G92" i="1"/>
  <c r="F92" i="1"/>
  <c r="B92" i="1"/>
  <c r="M91" i="1" a="1"/>
  <c r="M91" i="1"/>
  <c r="B91" i="1" s="1"/>
  <c r="G91" i="1"/>
  <c r="F91" i="1"/>
  <c r="M90" i="1" a="1"/>
  <c r="M90" i="1"/>
  <c r="B90" i="1" s="1"/>
  <c r="M89" i="1" a="1"/>
  <c r="M89" i="1"/>
  <c r="B89" i="1"/>
  <c r="M88" i="1" a="1"/>
  <c r="M88" i="1" s="1"/>
  <c r="B88" i="1"/>
  <c r="M87" i="1" a="1"/>
  <c r="M87" i="1"/>
  <c r="B87" i="1" s="1"/>
  <c r="M86" i="1" a="1"/>
  <c r="M86" i="1"/>
  <c r="B86" i="1" s="1"/>
  <c r="M85" i="1" a="1"/>
  <c r="M85" i="1"/>
  <c r="B85" i="1"/>
  <c r="M84" i="1" a="1"/>
  <c r="M84" i="1" s="1"/>
  <c r="B84" i="1"/>
  <c r="M83" i="1" a="1"/>
  <c r="M83" i="1"/>
  <c r="B83" i="1" s="1"/>
  <c r="M82" i="1" a="1"/>
  <c r="M82" i="1"/>
  <c r="B82" i="1" s="1"/>
  <c r="M81" i="1" a="1"/>
  <c r="M81" i="1"/>
  <c r="B81" i="1"/>
  <c r="M80" i="1" a="1"/>
  <c r="M80" i="1" s="1"/>
  <c r="B80" i="1"/>
  <c r="M79" i="1" a="1"/>
  <c r="M79" i="1"/>
  <c r="B79" i="1" s="1"/>
  <c r="M78" i="1" a="1"/>
  <c r="M78" i="1"/>
  <c r="B78" i="1" s="1"/>
  <c r="M77" i="1" a="1"/>
  <c r="M77" i="1"/>
  <c r="B77" i="1"/>
  <c r="M76" i="1" a="1"/>
  <c r="M76" i="1" s="1"/>
  <c r="B76" i="1"/>
  <c r="M75" i="1" a="1"/>
  <c r="M75" i="1"/>
  <c r="E75" i="1"/>
  <c r="B75" i="1"/>
  <c r="M74" i="1" a="1"/>
  <c r="M74" i="1"/>
  <c r="B74" i="1" s="1"/>
  <c r="I74" i="1"/>
  <c r="E74" i="1"/>
  <c r="M73" i="1" a="1"/>
  <c r="M73" i="1" s="1"/>
  <c r="B73" i="1" s="1"/>
  <c r="I73" i="1"/>
  <c r="E73" i="1"/>
  <c r="M72" i="1" a="1"/>
  <c r="M72" i="1"/>
  <c r="B72" i="1" s="1"/>
  <c r="I72" i="1"/>
  <c r="E72" i="1"/>
  <c r="M71" i="1" a="1"/>
  <c r="M71" i="1" s="1"/>
  <c r="B71" i="1" s="1"/>
  <c r="E71" i="1"/>
  <c r="M70" i="1" a="1"/>
  <c r="M70" i="1" s="1"/>
  <c r="B70" i="1" s="1"/>
  <c r="E70" i="1"/>
  <c r="M69" i="1" a="1"/>
  <c r="M69" i="1" s="1"/>
  <c r="B69" i="1" s="1"/>
  <c r="E69" i="1"/>
  <c r="M68" i="1" a="1"/>
  <c r="M68" i="1" s="1"/>
  <c r="B68" i="1" s="1"/>
  <c r="E68" i="1"/>
  <c r="M67" i="1" a="1"/>
  <c r="M67" i="1" s="1"/>
  <c r="B67" i="1" s="1"/>
  <c r="G67" i="1"/>
  <c r="F67" i="1"/>
  <c r="M66" i="1" a="1"/>
  <c r="M66" i="1"/>
  <c r="B66" i="1" s="1"/>
  <c r="G66" i="1"/>
  <c r="F66" i="1"/>
  <c r="M65" i="1" a="1"/>
  <c r="M65" i="1" s="1"/>
  <c r="B65" i="1" s="1"/>
  <c r="G65" i="1"/>
  <c r="F65" i="1"/>
  <c r="M64" i="1" a="1"/>
  <c r="M64" i="1"/>
  <c r="B64" i="1" s="1"/>
  <c r="G64" i="1"/>
  <c r="F64" i="1"/>
  <c r="M63" i="1" a="1"/>
  <c r="M63" i="1" s="1"/>
  <c r="B63" i="1" s="1"/>
  <c r="G63" i="1"/>
  <c r="F63" i="1"/>
  <c r="M62" i="1" a="1"/>
  <c r="M62" i="1"/>
  <c r="B62" i="1" s="1"/>
  <c r="G62" i="1"/>
  <c r="F62" i="1"/>
  <c r="M61" i="1" a="1"/>
  <c r="M61" i="1" s="1"/>
  <c r="B61" i="1" s="1"/>
  <c r="M60" i="1" a="1"/>
  <c r="M60" i="1"/>
  <c r="B60" i="1" s="1"/>
  <c r="G60" i="1"/>
  <c r="F60" i="1"/>
  <c r="M59" i="1" a="1"/>
  <c r="M59" i="1" s="1"/>
  <c r="B59" i="1" s="1"/>
  <c r="G59" i="1"/>
  <c r="F59" i="1"/>
  <c r="M58" i="1" a="1"/>
  <c r="M58" i="1"/>
  <c r="B58" i="1" s="1"/>
  <c r="G58" i="1"/>
  <c r="F58" i="1"/>
  <c r="M57" i="1" a="1"/>
  <c r="M57" i="1" s="1"/>
  <c r="B57" i="1" s="1"/>
  <c r="G57" i="1"/>
  <c r="F57" i="1"/>
  <c r="M56" i="1" a="1"/>
  <c r="M56" i="1"/>
  <c r="B56" i="1" s="1"/>
  <c r="G56" i="1"/>
  <c r="F56" i="1"/>
  <c r="M55" i="1" a="1"/>
  <c r="M55" i="1" s="1"/>
  <c r="B55" i="1" s="1"/>
  <c r="G55" i="1"/>
  <c r="F55" i="1"/>
  <c r="M54" i="1" a="1"/>
  <c r="M54" i="1"/>
  <c r="B54" i="1" s="1"/>
  <c r="G54" i="1"/>
  <c r="F54" i="1"/>
  <c r="M53" i="1" a="1"/>
  <c r="M53" i="1" s="1"/>
  <c r="B53" i="1" s="1"/>
  <c r="G53" i="1"/>
  <c r="F53" i="1"/>
  <c r="M52" i="1" a="1"/>
  <c r="M52" i="1"/>
  <c r="B52" i="1" s="1"/>
  <c r="G52" i="1"/>
  <c r="F52" i="1"/>
  <c r="M51" i="1" a="1"/>
  <c r="M51" i="1" s="1"/>
  <c r="B51" i="1" s="1"/>
  <c r="G51" i="1"/>
  <c r="F51" i="1"/>
  <c r="M50" i="1" a="1"/>
  <c r="M50" i="1"/>
  <c r="B50" i="1" s="1"/>
  <c r="G50" i="1"/>
  <c r="F50" i="1"/>
  <c r="M49" i="1" a="1"/>
  <c r="M49" i="1" s="1"/>
  <c r="B49" i="1" s="1"/>
  <c r="G49" i="1"/>
  <c r="F49" i="1"/>
  <c r="M48" i="1" a="1"/>
  <c r="M48" i="1"/>
  <c r="B48" i="1" s="1"/>
  <c r="G48" i="1"/>
  <c r="F48" i="1"/>
  <c r="M47" i="1" a="1"/>
  <c r="M47" i="1" s="1"/>
  <c r="B47" i="1" s="1"/>
  <c r="G47" i="1"/>
  <c r="F47" i="1"/>
  <c r="M46" i="1" a="1"/>
  <c r="M46" i="1"/>
  <c r="B46" i="1" s="1"/>
  <c r="G46" i="1"/>
  <c r="F46" i="1"/>
  <c r="M45" i="1" a="1"/>
  <c r="M45" i="1" s="1"/>
  <c r="B45" i="1" s="1"/>
  <c r="G45" i="1"/>
  <c r="F45" i="1"/>
  <c r="M44" i="1" a="1"/>
  <c r="M44" i="1"/>
  <c r="B44" i="1" s="1"/>
  <c r="G44" i="1"/>
  <c r="F44" i="1"/>
  <c r="M43" i="1" a="1"/>
  <c r="M43" i="1" s="1"/>
  <c r="B43" i="1" s="1"/>
  <c r="G43" i="1"/>
  <c r="F43" i="1"/>
  <c r="M42" i="1" a="1"/>
  <c r="M42" i="1"/>
  <c r="B42" i="1" s="1"/>
  <c r="G42" i="1"/>
  <c r="F42" i="1"/>
  <c r="M41" i="1" a="1"/>
  <c r="M41" i="1" s="1"/>
  <c r="B41" i="1" s="1"/>
  <c r="G41" i="1"/>
  <c r="F41" i="1"/>
  <c r="M40" i="1" a="1"/>
  <c r="M40" i="1"/>
  <c r="B40" i="1" s="1"/>
  <c r="G40" i="1"/>
  <c r="F40" i="1"/>
  <c r="M39" i="1" a="1"/>
  <c r="M39" i="1" s="1"/>
  <c r="B39" i="1" s="1"/>
  <c r="G39" i="1"/>
  <c r="F39" i="1"/>
  <c r="M38" i="1" a="1"/>
  <c r="M38" i="1"/>
  <c r="B38" i="1" s="1"/>
  <c r="M37" i="1" a="1"/>
  <c r="M37" i="1" s="1"/>
  <c r="B37" i="1" s="1"/>
  <c r="G37" i="1"/>
  <c r="F37" i="1"/>
  <c r="M36" i="1" a="1"/>
  <c r="M36" i="1"/>
  <c r="B36" i="1" s="1"/>
  <c r="G36" i="1"/>
  <c r="F36" i="1"/>
  <c r="M35" i="1" a="1"/>
  <c r="M35" i="1" s="1"/>
  <c r="B35" i="1" s="1"/>
  <c r="G35" i="1"/>
  <c r="F35" i="1"/>
  <c r="M34" i="1" a="1"/>
  <c r="M34" i="1"/>
  <c r="B34" i="1" s="1"/>
  <c r="G34" i="1"/>
  <c r="F34" i="1"/>
  <c r="M33" i="1" a="1"/>
  <c r="M33" i="1" s="1"/>
  <c r="B33" i="1" s="1"/>
  <c r="G33" i="1"/>
  <c r="F33" i="1"/>
  <c r="M32" i="1" a="1"/>
  <c r="M32" i="1"/>
  <c r="B32" i="1" s="1"/>
  <c r="G32" i="1"/>
  <c r="F32" i="1"/>
  <c r="M31" i="1" a="1"/>
  <c r="M31" i="1" s="1"/>
  <c r="B31" i="1" s="1"/>
  <c r="G31" i="1"/>
  <c r="F31" i="1"/>
  <c r="M30" i="1" a="1"/>
  <c r="M30" i="1"/>
  <c r="B30" i="1" s="1"/>
  <c r="G30" i="1"/>
  <c r="F30" i="1"/>
  <c r="M29" i="1" a="1"/>
  <c r="M29" i="1" s="1"/>
  <c r="B29" i="1" s="1"/>
  <c r="G29" i="1"/>
  <c r="F29" i="1"/>
  <c r="M28" i="1" a="1"/>
  <c r="M28" i="1"/>
  <c r="B28" i="1" s="1"/>
  <c r="G28" i="1"/>
  <c r="F28" i="1"/>
  <c r="M27" i="1" a="1"/>
  <c r="M27" i="1" s="1"/>
  <c r="B27" i="1" s="1"/>
  <c r="G27" i="1"/>
  <c r="F27" i="1"/>
  <c r="M26" i="1" a="1"/>
  <c r="M26" i="1"/>
  <c r="B26" i="1" s="1"/>
  <c r="G26" i="1"/>
  <c r="F26" i="1"/>
  <c r="M25" i="1" a="1"/>
  <c r="M25" i="1" s="1"/>
  <c r="B25" i="1" s="1"/>
  <c r="G25" i="1"/>
  <c r="F25" i="1"/>
  <c r="M24" i="1" a="1"/>
  <c r="M24" i="1"/>
  <c r="B24" i="1" s="1"/>
  <c r="G24" i="1"/>
  <c r="F24" i="1"/>
  <c r="M23" i="1" a="1"/>
  <c r="M23" i="1" s="1"/>
  <c r="B23" i="1" s="1"/>
  <c r="G23" i="1"/>
  <c r="F23" i="1"/>
  <c r="M22" i="1" a="1"/>
  <c r="M22" i="1"/>
  <c r="B22" i="1" s="1"/>
  <c r="G22" i="1"/>
  <c r="F22" i="1"/>
  <c r="M21" i="1" a="1"/>
  <c r="M21" i="1" s="1"/>
  <c r="B21" i="1" s="1"/>
  <c r="G21" i="1"/>
  <c r="F21" i="1"/>
  <c r="M20" i="1" a="1"/>
  <c r="M20" i="1"/>
  <c r="B20" i="1" s="1"/>
  <c r="G20" i="1"/>
  <c r="F20" i="1"/>
  <c r="M19" i="1" a="1"/>
  <c r="M19" i="1" s="1"/>
  <c r="B19" i="1" s="1"/>
  <c r="G19" i="1"/>
  <c r="F19" i="1"/>
  <c r="M18" i="1" a="1"/>
  <c r="M18" i="1"/>
  <c r="B18" i="1" s="1"/>
  <c r="G18" i="1"/>
  <c r="F18" i="1"/>
  <c r="M17" i="1" a="1"/>
  <c r="M17" i="1" s="1"/>
  <c r="B17" i="1" s="1"/>
  <c r="G17" i="1"/>
  <c r="F17" i="1"/>
  <c r="M16" i="1" a="1"/>
  <c r="M16" i="1"/>
  <c r="B16" i="1" s="1"/>
  <c r="G16" i="1"/>
  <c r="F16" i="1"/>
  <c r="M15" i="1" a="1"/>
  <c r="M15" i="1" s="1"/>
  <c r="B15" i="1" s="1"/>
  <c r="G15" i="1"/>
  <c r="F15" i="1"/>
  <c r="M14" i="1" a="1"/>
  <c r="M14" i="1"/>
  <c r="B14" i="1" s="1"/>
  <c r="G14" i="1"/>
  <c r="F14" i="1"/>
  <c r="M13" i="1" a="1"/>
  <c r="M13" i="1" s="1"/>
  <c r="B13" i="1" s="1"/>
  <c r="G13" i="1"/>
  <c r="F13" i="1"/>
  <c r="M12" i="1" a="1"/>
  <c r="M12" i="1"/>
  <c r="B12" i="1" s="1"/>
  <c r="G12" i="1"/>
  <c r="F12" i="1"/>
  <c r="M11" i="1" a="1"/>
  <c r="M11" i="1" s="1"/>
  <c r="B11" i="1" s="1"/>
  <c r="G11" i="1"/>
  <c r="F11" i="1"/>
  <c r="M10" i="1" a="1"/>
  <c r="M10" i="1"/>
  <c r="B10" i="1" s="1"/>
  <c r="G10" i="1"/>
  <c r="F10" i="1"/>
  <c r="M9" i="1" a="1"/>
  <c r="M9" i="1" s="1"/>
  <c r="B9" i="1" s="1"/>
  <c r="G9" i="1"/>
  <c r="F9" i="1"/>
  <c r="M8" i="1" a="1"/>
  <c r="M8" i="1"/>
  <c r="B8" i="1" s="1"/>
  <c r="G8" i="1"/>
  <c r="F8" i="1"/>
  <c r="M7" i="1" a="1"/>
  <c r="M7" i="1" s="1"/>
  <c r="B7" i="1" s="1"/>
  <c r="G7" i="1"/>
  <c r="F7" i="1"/>
  <c r="M6" i="1" a="1"/>
  <c r="M6" i="1"/>
  <c r="B6" i="1" s="1"/>
  <c r="G6" i="1"/>
  <c r="F6" i="1"/>
  <c r="M5" i="1" a="1"/>
  <c r="M5" i="1" s="1"/>
  <c r="B5" i="1" s="1"/>
  <c r="G5" i="1"/>
  <c r="F5" i="1"/>
  <c r="M4" i="1" a="1"/>
  <c r="M4" i="1"/>
  <c r="B4" i="1" s="1"/>
  <c r="G4" i="1"/>
  <c r="F4" i="1"/>
  <c r="M3" i="1" a="1"/>
  <c r="M3" i="1" s="1"/>
  <c r="B3" i="1" s="1"/>
  <c r="G3" i="1"/>
  <c r="F3" i="1"/>
  <c r="M2" i="1" a="1"/>
  <c r="M2" i="1"/>
  <c r="B2" i="1" s="1"/>
  <c r="G2" i="1"/>
  <c r="F2" i="1"/>
  <c r="F43" i="2" l="1"/>
</calcChain>
</file>

<file path=xl/sharedStrings.xml><?xml version="1.0" encoding="utf-8"?>
<sst xmlns="http://schemas.openxmlformats.org/spreadsheetml/2006/main" count="2470" uniqueCount="698">
  <si>
    <t>Category</t>
  </si>
  <si>
    <t>Parameter</t>
  </si>
  <si>
    <t>key</t>
  </si>
  <si>
    <t>Index</t>
  </si>
  <si>
    <t>Basecase</t>
  </si>
  <si>
    <t>Low</t>
  </si>
  <si>
    <t>High</t>
  </si>
  <si>
    <t>Distribution</t>
  </si>
  <si>
    <t>Param1</t>
  </si>
  <si>
    <t>Param2</t>
  </si>
  <si>
    <t>mult</t>
  </si>
  <si>
    <t>Source</t>
  </si>
  <si>
    <t>Bracketed</t>
  </si>
  <si>
    <t>param_name</t>
  </si>
  <si>
    <t>Probability</t>
  </si>
  <si>
    <t>p_immunocomp_PLT</t>
  </si>
  <si>
    <t>Tri</t>
  </si>
  <si>
    <t>[@Custer2005b]</t>
  </si>
  <si>
    <t>Immunocompromise in platelet recipient</t>
  </si>
  <si>
    <t>p_immunocomp_noPLT</t>
  </si>
  <si>
    <t>Assumption</t>
  </si>
  <si>
    <t>Immunocompromise in other recipient</t>
  </si>
  <si>
    <t>RR_immunocomp</t>
  </si>
  <si>
    <t>Relative risk of disease, immunocompromised</t>
  </si>
  <si>
    <t>p_symptoms</t>
  </si>
  <si>
    <t>[@Shankar2017]</t>
  </si>
  <si>
    <t>Clinical disease given WNV transmission</t>
  </si>
  <si>
    <t>p_disability_fever_50up</t>
  </si>
  <si>
    <t>Disability from WNV fever, age 50+</t>
  </si>
  <si>
    <t>p_disability_fever_u50</t>
  </si>
  <si>
    <t>Disability from WNV fever, age under 50</t>
  </si>
  <si>
    <t>p_disability_meningitis</t>
  </si>
  <si>
    <t>Disability from meningitis</t>
  </si>
  <si>
    <t>p_disability_encephalitis</t>
  </si>
  <si>
    <t>Disability from encephalitis</t>
  </si>
  <si>
    <t>p_disability_AFP</t>
  </si>
  <si>
    <t>Disability from AFP</t>
  </si>
  <si>
    <t>p_fever</t>
  </si>
  <si>
    <t>Symptomatic patient has WNV fever</t>
  </si>
  <si>
    <t>p_encephalitis</t>
  </si>
  <si>
    <t>Symptomatic patient has encephalitis</t>
  </si>
  <si>
    <t>p_meningitis</t>
  </si>
  <si>
    <t>Symptomatic patient has meningitis</t>
  </si>
  <si>
    <t>p_AFP</t>
  </si>
  <si>
    <t>Symptomatic patient has AFP</t>
  </si>
  <si>
    <t>p_death_fever</t>
  </si>
  <si>
    <t>Death from WNV fever</t>
  </si>
  <si>
    <t>p_death_encephalitis</t>
  </si>
  <si>
    <t>Death from encephalitis</t>
  </si>
  <si>
    <t>p_death_meningitis</t>
  </si>
  <si>
    <t>Death from meningitis</t>
  </si>
  <si>
    <t>p_death_AFP</t>
  </si>
  <si>
    <t>Death from AFP</t>
  </si>
  <si>
    <t>Cost</t>
  </si>
  <si>
    <t>cost_fever_init</t>
  </si>
  <si>
    <t>Gamma</t>
  </si>
  <si>
    <t>[@Staples2014]</t>
  </si>
  <si>
    <t>Initial cost, WNV fever</t>
  </si>
  <si>
    <t>cost_mening_init</t>
  </si>
  <si>
    <t>Weibull</t>
  </si>
  <si>
    <t>Initial cost, meningitis</t>
  </si>
  <si>
    <t>cost_enceph_init</t>
  </si>
  <si>
    <t>Pearson5</t>
  </si>
  <si>
    <t>Initial cost, encephalitis</t>
  </si>
  <si>
    <t>cost_AFP_init</t>
  </si>
  <si>
    <t>Invgauss</t>
  </si>
  <si>
    <t>Initial cost, AFP</t>
  </si>
  <si>
    <t>cost_fever_5yr</t>
  </si>
  <si>
    <t>Expo</t>
  </si>
  <si>
    <t>Five-year cost, WNV fever</t>
  </si>
  <si>
    <t>cost_menin_5yr</t>
  </si>
  <si>
    <t>Five-year cost, meningitis</t>
  </si>
  <si>
    <t>cost_enceph_5yr</t>
  </si>
  <si>
    <t>Five-year cost, encephalitis</t>
  </si>
  <si>
    <t>cost_AFP_5yr</t>
  </si>
  <si>
    <t>Five-year cost, AFP</t>
  </si>
  <si>
    <t>prodByAge</t>
  </si>
  <si>
    <t>[@USBLS2020]</t>
  </si>
  <si>
    <t>Annual productivity</t>
  </si>
  <si>
    <t>consumpByAge</t>
  </si>
  <si>
    <t>Annual consumption</t>
  </si>
  <si>
    <t>Utility</t>
  </si>
  <si>
    <t>uBaseline</t>
  </si>
  <si>
    <t>Baseline in transfusion survivors</t>
  </si>
  <si>
    <t>uFever</t>
  </si>
  <si>
    <t>Multiplier for WNV fever</t>
  </si>
  <si>
    <t>uMeningitis</t>
  </si>
  <si>
    <t>Multiplier for meningitis</t>
  </si>
  <si>
    <t>uEncephalitis</t>
  </si>
  <si>
    <t>Multiplier for encephalitis</t>
  </si>
  <si>
    <t>uAFP</t>
  </si>
  <si>
    <t>Multiplier for AFP</t>
  </si>
  <si>
    <t>uFeverDisability</t>
  </si>
  <si>
    <t>Multiplier for disability caused by WNV fever</t>
  </si>
  <si>
    <t>uMeningitisDisability</t>
  </si>
  <si>
    <t>Multiplier for disability caused by meningitis</t>
  </si>
  <si>
    <t>uEncephalitisDisability</t>
  </si>
  <si>
    <t>Multiplier for disability caused by encephalitis</t>
  </si>
  <si>
    <t>uAFPDisability</t>
  </si>
  <si>
    <t>Multiplier for disability caused by AFP</t>
  </si>
  <si>
    <t>Duration</t>
  </si>
  <si>
    <t>dFever</t>
  </si>
  <si>
    <t>Duration of WNV fever</t>
  </si>
  <si>
    <t>dMeningitis</t>
  </si>
  <si>
    <t>Duration of meningitis</t>
  </si>
  <si>
    <t>dEncephalitis</t>
  </si>
  <si>
    <t>Duration of encephalitis</t>
  </si>
  <si>
    <t>dAFP</t>
  </si>
  <si>
    <t>Duration of AFP</t>
  </si>
  <si>
    <t>dDisability</t>
  </si>
  <si>
    <t>Duration of disability</t>
  </si>
  <si>
    <t>Other</t>
  </si>
  <si>
    <t>rdisc</t>
  </si>
  <si>
    <t>Annual discount rate</t>
  </si>
  <si>
    <t>transmissability_RBC</t>
  </si>
  <si>
    <t>Transmissibility in RBC components</t>
  </si>
  <si>
    <t>transmissability_PLT</t>
  </si>
  <si>
    <t>Transmissibility in PLT components</t>
  </si>
  <si>
    <t>transmissability_FFP</t>
  </si>
  <si>
    <t>Transmissibility in FFP components</t>
  </si>
  <si>
    <t>WTP</t>
  </si>
  <si>
    <t>[@Custer2009]</t>
  </si>
  <si>
    <t>Willingness to pay per QALY threshold</t>
  </si>
  <si>
    <t>RBC_per_don</t>
  </si>
  <si>
    <t>NA</t>
  </si>
  <si>
    <t>Red blood cell units transfused per donation</t>
  </si>
  <si>
    <t>PLT_per_don</t>
  </si>
  <si>
    <t>Platelet units transfused per donation</t>
  </si>
  <si>
    <t>FFP_per_don</t>
  </si>
  <si>
    <t>Plasma units transfused per donation</t>
  </si>
  <si>
    <t>p_flu_like_symptoms</t>
  </si>
  <si>
    <t>Beta</t>
  </si>
  <si>
    <t>[@Russell2019]</t>
  </si>
  <si>
    <t>Zika fever</t>
  </si>
  <si>
    <t>p_GBS</t>
  </si>
  <si>
    <t>Guillain-Barré</t>
  </si>
  <si>
    <t>p_GBS_death</t>
  </si>
  <si>
    <t>Death from Guillain-Barré</t>
  </si>
  <si>
    <t>p_GBS_perm</t>
  </si>
  <si>
    <t>Permanent disability from Guillain-Barré</t>
  </si>
  <si>
    <t>p_penetrative_sex</t>
  </si>
  <si>
    <t>Penetrative sex</t>
  </si>
  <si>
    <t>p_sexual_transmission</t>
  </si>
  <si>
    <t>Transmission from penetrative sex</t>
  </si>
  <si>
    <t>p_CZS</t>
  </si>
  <si>
    <t>Congenital Zika syndrome</t>
  </si>
  <si>
    <t>p_stillborn_CZS</t>
  </si>
  <si>
    <t>Stillbirth after congenital transmission</t>
  </si>
  <si>
    <t>costTP</t>
  </si>
  <si>
    <t>True positive test result</t>
  </si>
  <si>
    <t>costFP</t>
  </si>
  <si>
    <t>False positive test result</t>
  </si>
  <si>
    <t>costFluR</t>
  </si>
  <si>
    <t>Zika fever in recipient (hospitalized)</t>
  </si>
  <si>
    <t>costFluP</t>
  </si>
  <si>
    <t>Zika fever in partner (non-hospitalized)</t>
  </si>
  <si>
    <t>costGBS</t>
  </si>
  <si>
    <t>costGBS_perm</t>
  </si>
  <si>
    <t>costGBS_death</t>
  </si>
  <si>
    <t>costBirth</t>
  </si>
  <si>
    <t>Normal delivery</t>
  </si>
  <si>
    <t>costInfantZikaTest</t>
  </si>
  <si>
    <t>Infant testing</t>
  </si>
  <si>
    <t>costMotherZikaTest</t>
  </si>
  <si>
    <t>Mother testing</t>
  </si>
  <si>
    <t>costStillBirth</t>
  </si>
  <si>
    <t>Stillbirth</t>
  </si>
  <si>
    <t>costZAM_birth</t>
  </si>
  <si>
    <t>costZAM_lifetime</t>
  </si>
  <si>
    <t>Lifetime medical costs with congenital Zika syndrome</t>
  </si>
  <si>
    <t>Baseline</t>
  </si>
  <si>
    <t>uFluFemale</t>
  </si>
  <si>
    <t>Zika fever, female recipient</t>
  </si>
  <si>
    <t>uFluMale</t>
  </si>
  <si>
    <t>Zika fever, male recipient</t>
  </si>
  <si>
    <t>p_recip_pregnant_by_age</t>
  </si>
  <si>
    <t>Recipient pregnant</t>
  </si>
  <si>
    <t>mult_preg</t>
  </si>
  <si>
    <t>Pregnancy multiplier for PSA</t>
  </si>
  <si>
    <t>p_partner_pregnant_by_age</t>
  </si>
  <si>
    <t>Partner pregnant</t>
  </si>
  <si>
    <t>uGBS_yr1</t>
  </si>
  <si>
    <t>Guillain-Barré, year 1</t>
  </si>
  <si>
    <t>uGBS_yr2</t>
  </si>
  <si>
    <t>Guillain-Barré, year 2</t>
  </si>
  <si>
    <t>uGBS_yr3to6</t>
  </si>
  <si>
    <t>Guillain-Barré, years 3-6</t>
  </si>
  <si>
    <t>uFlu_partner</t>
  </si>
  <si>
    <t>Zika fever, partner</t>
  </si>
  <si>
    <t>durationFlu</t>
  </si>
  <si>
    <t>Zika fever, recipient</t>
  </si>
  <si>
    <t>durationFlu_partner</t>
  </si>
  <si>
    <t>CZS_QALYloss</t>
  </si>
  <si>
    <t>Discount rate</t>
  </si>
  <si>
    <t>row_idx</t>
  </si>
  <si>
    <t>col_idx</t>
  </si>
  <si>
    <t>c_k</t>
  </si>
  <si>
    <t>Sampled</t>
  </si>
  <si>
    <t>d</t>
  </si>
  <si>
    <t>assumption based in part on [@deKort2014]</t>
  </si>
  <si>
    <t>w</t>
  </si>
  <si>
    <t>g</t>
  </si>
  <si>
    <t>c_test_j</t>
  </si>
  <si>
    <t>[@Ellingson2017]</t>
  </si>
  <si>
    <t>assumed costs same as Zika</t>
  </si>
  <si>
    <t>R_jk</t>
  </si>
  <si>
    <t>personal communication with Dr. Michael Busch</t>
  </si>
  <si>
    <t>Sensitivity of Zika ID-NAT for Zika</t>
  </si>
  <si>
    <t>Sensitivity of Zika MP-NAT for Zika</t>
  </si>
  <si>
    <t>Sensitivity of WNV ID-NAT for Zika</t>
  </si>
  <si>
    <t>Sensitivity of WNV MP-NAT for Zika</t>
  </si>
  <si>
    <t>Sensitivity of Zika ID-NAT for WNV</t>
  </si>
  <si>
    <t>Sensitivity of Zika MP-NAT for WNV</t>
  </si>
  <si>
    <t>Sensitivity of WNV ID-NAT for WNV</t>
  </si>
  <si>
    <t>Sensitivity of WNV MP-NAT for WNV</t>
  </si>
  <si>
    <t>Q_jk</t>
  </si>
  <si>
    <t>Specificity of Zika ID-NAT for Zika</t>
  </si>
  <si>
    <t>Specificity of Zika MP-NAT for Zika</t>
  </si>
  <si>
    <t>Specificity of WNV ID-NAT for Zika</t>
  </si>
  <si>
    <t>Specificity of WNV MP-NAT for Zika</t>
  </si>
  <si>
    <t>Specificity of Zika ID-NAT for WNV</t>
  </si>
  <si>
    <t>Specificity of Zika MP-NAT for WNV</t>
  </si>
  <si>
    <t>Specificity of WNV ID-NAT for WNV</t>
  </si>
  <si>
    <t>Specificity of WNV MP-NAT for WNV</t>
  </si>
  <si>
    <t>c_mod_l</t>
  </si>
  <si>
    <t>[@Ellingson2017a]</t>
  </si>
  <si>
    <t>Cost of FFP PI</t>
  </si>
  <si>
    <t>H_lk</t>
  </si>
  <si>
    <t>Calculated from [@Ellingson2017] and [@Custer2010]</t>
  </si>
  <si>
    <t>Risk reducing multiplier of FFP PI for Zika</t>
  </si>
  <si>
    <t>calculated from [@Ellingson2017] and [@Custer2010]</t>
  </si>
  <si>
    <t>Risk reducing multiplier of FFP PI for WNV</t>
  </si>
  <si>
    <t>transmissability_WNV_RBC</t>
  </si>
  <si>
    <t>transmissability_WNV_PLT</t>
  </si>
  <si>
    <t>transmissability_WNV_FFP</t>
  </si>
  <si>
    <t>transmissability_ZIKV_RBC</t>
  </si>
  <si>
    <t>transmissability_ZIKV_PLT</t>
  </si>
  <si>
    <t>transmissability_ZIKV_FFP</t>
  </si>
  <si>
    <t>year</t>
  </si>
  <si>
    <t>state</t>
  </si>
  <si>
    <t>Abbreviation</t>
  </si>
  <si>
    <t>season</t>
  </si>
  <si>
    <t>donorGroup</t>
  </si>
  <si>
    <t>numDonor</t>
  </si>
  <si>
    <t>pZIKV</t>
  </si>
  <si>
    <t>pWNV</t>
  </si>
  <si>
    <t>Alabama</t>
  </si>
  <si>
    <t>AL</t>
  </si>
  <si>
    <t>AL-H-2019</t>
  </si>
  <si>
    <t>Alaska</t>
  </si>
  <si>
    <t>AK</t>
  </si>
  <si>
    <t>AK-H-2019</t>
  </si>
  <si>
    <t>Arizona</t>
  </si>
  <si>
    <t>AZ</t>
  </si>
  <si>
    <t>AZ-H-2019</t>
  </si>
  <si>
    <t>Arkansas</t>
  </si>
  <si>
    <t>AR</t>
  </si>
  <si>
    <t>AR-H-2019</t>
  </si>
  <si>
    <t>California</t>
  </si>
  <si>
    <t>CA</t>
  </si>
  <si>
    <t>CA-H-2019</t>
  </si>
  <si>
    <t>Colorado</t>
  </si>
  <si>
    <t>CO</t>
  </si>
  <si>
    <t>CO-H-2019</t>
  </si>
  <si>
    <t>Connecticut</t>
  </si>
  <si>
    <t>CT</t>
  </si>
  <si>
    <t>CT-H-2019</t>
  </si>
  <si>
    <t>Delaware</t>
  </si>
  <si>
    <t>DE</t>
  </si>
  <si>
    <t>DE-H-2019</t>
  </si>
  <si>
    <t>District of Columbia</t>
  </si>
  <si>
    <t>DC</t>
  </si>
  <si>
    <t>DC-H-2019</t>
  </si>
  <si>
    <t>Florida</t>
  </si>
  <si>
    <t>FL</t>
  </si>
  <si>
    <t>FL-H-2019</t>
  </si>
  <si>
    <t>Georgia</t>
  </si>
  <si>
    <t>GA</t>
  </si>
  <si>
    <t>GA-H-2019</t>
  </si>
  <si>
    <t>Hawaii</t>
  </si>
  <si>
    <t>HI</t>
  </si>
  <si>
    <t>HI-H-2019</t>
  </si>
  <si>
    <t>Idaho</t>
  </si>
  <si>
    <t>ID</t>
  </si>
  <si>
    <t>ID-H-2019</t>
  </si>
  <si>
    <t>Illinois</t>
  </si>
  <si>
    <t>IL</t>
  </si>
  <si>
    <t>IL-H-2019</t>
  </si>
  <si>
    <t>Indiana</t>
  </si>
  <si>
    <t>IN</t>
  </si>
  <si>
    <t>IN-H-2019</t>
  </si>
  <si>
    <t>Iowa</t>
  </si>
  <si>
    <t>IA</t>
  </si>
  <si>
    <t>IA-H-2019</t>
  </si>
  <si>
    <t>Kansas</t>
  </si>
  <si>
    <t>KS</t>
  </si>
  <si>
    <t>KS-H-2019</t>
  </si>
  <si>
    <t>Kentucky</t>
  </si>
  <si>
    <t>KY</t>
  </si>
  <si>
    <t>KY-H-2019</t>
  </si>
  <si>
    <t>Louisiana</t>
  </si>
  <si>
    <t>LA</t>
  </si>
  <si>
    <t>LA-H-2019</t>
  </si>
  <si>
    <t>Maine</t>
  </si>
  <si>
    <t>ME</t>
  </si>
  <si>
    <t>ME-H-2019</t>
  </si>
  <si>
    <t>Maryland</t>
  </si>
  <si>
    <t>MD</t>
  </si>
  <si>
    <t>MD-H-2019</t>
  </si>
  <si>
    <t>Massachusetts</t>
  </si>
  <si>
    <t>MA</t>
  </si>
  <si>
    <t>MA-H-2019</t>
  </si>
  <si>
    <t>Michigan</t>
  </si>
  <si>
    <t>MI</t>
  </si>
  <si>
    <t>MI-H-2019</t>
  </si>
  <si>
    <t>Minnesota</t>
  </si>
  <si>
    <t>MN</t>
  </si>
  <si>
    <t>MN-H-2019</t>
  </si>
  <si>
    <t>Mississippi</t>
  </si>
  <si>
    <t>MS</t>
  </si>
  <si>
    <t>MS-H-2019</t>
  </si>
  <si>
    <t>Missouri</t>
  </si>
  <si>
    <t>MO</t>
  </si>
  <si>
    <t>MO-H-2019</t>
  </si>
  <si>
    <t>Montana</t>
  </si>
  <si>
    <t>MT</t>
  </si>
  <si>
    <t>MT-H-2019</t>
  </si>
  <si>
    <t>Nebraska</t>
  </si>
  <si>
    <t>NE</t>
  </si>
  <si>
    <t>NE-H-2019</t>
  </si>
  <si>
    <t>Nevada</t>
  </si>
  <si>
    <t>NV</t>
  </si>
  <si>
    <t>NV-H-2019</t>
  </si>
  <si>
    <t>New Hampshire</t>
  </si>
  <si>
    <t>NH</t>
  </si>
  <si>
    <t>NH-H-2019</t>
  </si>
  <si>
    <t>New Jersey</t>
  </si>
  <si>
    <t>NJ</t>
  </si>
  <si>
    <t>NJ-H-2019</t>
  </si>
  <si>
    <t>New Mexico</t>
  </si>
  <si>
    <t>NM</t>
  </si>
  <si>
    <t>NM-H-2019</t>
  </si>
  <si>
    <t>New York</t>
  </si>
  <si>
    <t>NY</t>
  </si>
  <si>
    <t>NY-H-2019</t>
  </si>
  <si>
    <t>North Carolina</t>
  </si>
  <si>
    <t>NC</t>
  </si>
  <si>
    <t>NC-H-2019</t>
  </si>
  <si>
    <t>North Dakota</t>
  </si>
  <si>
    <t>ND</t>
  </si>
  <si>
    <t>ND-H-2019</t>
  </si>
  <si>
    <t>Ohio</t>
  </si>
  <si>
    <t>OH</t>
  </si>
  <si>
    <t>OH-H-2019</t>
  </si>
  <si>
    <t>Oklahoma</t>
  </si>
  <si>
    <t>OK</t>
  </si>
  <si>
    <t>OK-H-2019</t>
  </si>
  <si>
    <t>Oregon</t>
  </si>
  <si>
    <t>OR</t>
  </si>
  <si>
    <t>OR-H-2019</t>
  </si>
  <si>
    <t>Pennsylvania</t>
  </si>
  <si>
    <t>PA</t>
  </si>
  <si>
    <t>PA-H-2019</t>
  </si>
  <si>
    <t>Rhode Island</t>
  </si>
  <si>
    <t>RI</t>
  </si>
  <si>
    <t>RI-H-2019</t>
  </si>
  <si>
    <t>South Carolina</t>
  </si>
  <si>
    <t>SC</t>
  </si>
  <si>
    <t>SC-H-2019</t>
  </si>
  <si>
    <t>South Dakota</t>
  </si>
  <si>
    <t>SD</t>
  </si>
  <si>
    <t>SD-H-2019</t>
  </si>
  <si>
    <t>Tennessee</t>
  </si>
  <si>
    <t>TN</t>
  </si>
  <si>
    <t>TN-H-2019</t>
  </si>
  <si>
    <t>Texas</t>
  </si>
  <si>
    <t>TX</t>
  </si>
  <si>
    <t>TX-H-2019</t>
  </si>
  <si>
    <t>Utah</t>
  </si>
  <si>
    <t>UT</t>
  </si>
  <si>
    <t>UT-H-2019</t>
  </si>
  <si>
    <t>Vermont</t>
  </si>
  <si>
    <t>VT</t>
  </si>
  <si>
    <t>VT-H-2019</t>
  </si>
  <si>
    <t>Virginia</t>
  </si>
  <si>
    <t>VA</t>
  </si>
  <si>
    <t>VA-H-2019</t>
  </si>
  <si>
    <t>Washington</t>
  </si>
  <si>
    <t>WA</t>
  </si>
  <si>
    <t>WA-H-2019</t>
  </si>
  <si>
    <t>West Virginia</t>
  </si>
  <si>
    <t>WV</t>
  </si>
  <si>
    <t>WV-H-2019</t>
  </si>
  <si>
    <t>Wisconsin</t>
  </si>
  <si>
    <t>WI</t>
  </si>
  <si>
    <t>WI-H-2019</t>
  </si>
  <si>
    <t>Wyoming</t>
  </si>
  <si>
    <t>WY</t>
  </si>
  <si>
    <t>WY-H-2019</t>
  </si>
  <si>
    <t>Puerto Rico</t>
  </si>
  <si>
    <t>PR</t>
  </si>
  <si>
    <t>PR-H-2019</t>
  </si>
  <si>
    <t>AL-L-2019</t>
  </si>
  <si>
    <t>AK-L-2019</t>
  </si>
  <si>
    <t>AZ-L-2019</t>
  </si>
  <si>
    <t>AR-L-2019</t>
  </si>
  <si>
    <t>CA-L-2019</t>
  </si>
  <si>
    <t>CO-L-2019</t>
  </si>
  <si>
    <t>CT-L-2019</t>
  </si>
  <si>
    <t>DE-L-2019</t>
  </si>
  <si>
    <t>DC-L-2019</t>
  </si>
  <si>
    <t>FL-L-2019</t>
  </si>
  <si>
    <t>GA-L-2019</t>
  </si>
  <si>
    <t>HI-L-2019</t>
  </si>
  <si>
    <t>ID-L-2019</t>
  </si>
  <si>
    <t>IL-L-2019</t>
  </si>
  <si>
    <t>IN-L-2019</t>
  </si>
  <si>
    <t>IA-L-2019</t>
  </si>
  <si>
    <t>KS-L-2019</t>
  </si>
  <si>
    <t>KY-L-2019</t>
  </si>
  <si>
    <t>LA-L-2019</t>
  </si>
  <si>
    <t>ME-L-2019</t>
  </si>
  <si>
    <t>MD-L-2019</t>
  </si>
  <si>
    <t>MA-L-2019</t>
  </si>
  <si>
    <t>MI-L-2019</t>
  </si>
  <si>
    <t>MN-L-2019</t>
  </si>
  <si>
    <t>MS-L-2019</t>
  </si>
  <si>
    <t>MO-L-2019</t>
  </si>
  <si>
    <t>MT-L-2019</t>
  </si>
  <si>
    <t>NE-L-2019</t>
  </si>
  <si>
    <t>NV-L-2019</t>
  </si>
  <si>
    <t>NH-L-2019</t>
  </si>
  <si>
    <t>NJ-L-2019</t>
  </si>
  <si>
    <t>NM-L-2019</t>
  </si>
  <si>
    <t>NY-L-2019</t>
  </si>
  <si>
    <t>NC-L-2019</t>
  </si>
  <si>
    <t>ND-L-2019</t>
  </si>
  <si>
    <t>OH-L-2019</t>
  </si>
  <si>
    <t>OK-L-2019</t>
  </si>
  <si>
    <t>OR-L-2019</t>
  </si>
  <si>
    <t>PA-L-2019</t>
  </si>
  <si>
    <t>RI-L-2019</t>
  </si>
  <si>
    <t>SC-L-2019</t>
  </si>
  <si>
    <t>SD-L-2019</t>
  </si>
  <si>
    <t>TN-L-2019</t>
  </si>
  <si>
    <t>TX-L-2019</t>
  </si>
  <si>
    <t>UT-L-2019</t>
  </si>
  <si>
    <t>VT-L-2019</t>
  </si>
  <si>
    <t>VA-L-2019</t>
  </si>
  <si>
    <t>WA-L-2019</t>
  </si>
  <si>
    <t>WV-L-2019</t>
  </si>
  <si>
    <t>WI-L-2019</t>
  </si>
  <si>
    <t>WY-L-2019</t>
  </si>
  <si>
    <t>PR-L-2019</t>
  </si>
  <si>
    <t>AL-H-2018</t>
  </si>
  <si>
    <t>AK-H-2018</t>
  </si>
  <si>
    <t>AZ-H-2018</t>
  </si>
  <si>
    <t>AR-H-2018</t>
  </si>
  <si>
    <t>CA-H-2018</t>
  </si>
  <si>
    <t>CO-H-2018</t>
  </si>
  <si>
    <t>CT-H-2018</t>
  </si>
  <si>
    <t>DE-H-2018</t>
  </si>
  <si>
    <t>DC-H-2018</t>
  </si>
  <si>
    <t>FL-H-2018</t>
  </si>
  <si>
    <t>GA-H-2018</t>
  </si>
  <si>
    <t>HI-H-2018</t>
  </si>
  <si>
    <t>ID-H-2018</t>
  </si>
  <si>
    <t>IL-H-2018</t>
  </si>
  <si>
    <t>IN-H-2018</t>
  </si>
  <si>
    <t>IA-H-2018</t>
  </si>
  <si>
    <t>KS-H-2018</t>
  </si>
  <si>
    <t>KY-H-2018</t>
  </si>
  <si>
    <t>LA-H-2018</t>
  </si>
  <si>
    <t>ME-H-2018</t>
  </si>
  <si>
    <t>MD-H-2018</t>
  </si>
  <si>
    <t>MA-H-2018</t>
  </si>
  <si>
    <t>MI-H-2018</t>
  </si>
  <si>
    <t>MN-H-2018</t>
  </si>
  <si>
    <t>MS-H-2018</t>
  </si>
  <si>
    <t>MO-H-2018</t>
  </si>
  <si>
    <t>MT-H-2018</t>
  </si>
  <si>
    <t>NE-H-2018</t>
  </si>
  <si>
    <t>NV-H-2018</t>
  </si>
  <si>
    <t>NH-H-2018</t>
  </si>
  <si>
    <t>NJ-H-2018</t>
  </si>
  <si>
    <t>NM-H-2018</t>
  </si>
  <si>
    <t>NY-H-2018</t>
  </si>
  <si>
    <t>NC-H-2018</t>
  </si>
  <si>
    <t>ND-H-2018</t>
  </si>
  <si>
    <t>OH-H-2018</t>
  </si>
  <si>
    <t>OK-H-2018</t>
  </si>
  <si>
    <t>OR-H-2018</t>
  </si>
  <si>
    <t>PA-H-2018</t>
  </si>
  <si>
    <t>RI-H-2018</t>
  </si>
  <si>
    <t>SC-H-2018</t>
  </si>
  <si>
    <t>SD-H-2018</t>
  </si>
  <si>
    <t>TN-H-2018</t>
  </si>
  <si>
    <t>TX-H-2018</t>
  </si>
  <si>
    <t>UT-H-2018</t>
  </si>
  <si>
    <t>VT-H-2018</t>
  </si>
  <si>
    <t>VA-H-2018</t>
  </si>
  <si>
    <t>WA-H-2018</t>
  </si>
  <si>
    <t>WV-H-2018</t>
  </si>
  <si>
    <t>WI-H-2018</t>
  </si>
  <si>
    <t>WY-H-2018</t>
  </si>
  <si>
    <t>PR-H-2018</t>
  </si>
  <si>
    <t>AL-L-2018</t>
  </si>
  <si>
    <t>AK-L-2018</t>
  </si>
  <si>
    <t>AZ-L-2018</t>
  </si>
  <si>
    <t>AR-L-2018</t>
  </si>
  <si>
    <t>CA-L-2018</t>
  </si>
  <si>
    <t>CO-L-2018</t>
  </si>
  <si>
    <t>CT-L-2018</t>
  </si>
  <si>
    <t>DE-L-2018</t>
  </si>
  <si>
    <t>DC-L-2018</t>
  </si>
  <si>
    <t>FL-L-2018</t>
  </si>
  <si>
    <t>GA-L-2018</t>
  </si>
  <si>
    <t>HI-L-2018</t>
  </si>
  <si>
    <t>ID-L-2018</t>
  </si>
  <si>
    <t>IL-L-2018</t>
  </si>
  <si>
    <t>IN-L-2018</t>
  </si>
  <si>
    <t>IA-L-2018</t>
  </si>
  <si>
    <t>KS-L-2018</t>
  </si>
  <si>
    <t>KY-L-2018</t>
  </si>
  <si>
    <t>LA-L-2018</t>
  </si>
  <si>
    <t>ME-L-2018</t>
  </si>
  <si>
    <t>MD-L-2018</t>
  </si>
  <si>
    <t>MA-L-2018</t>
  </si>
  <si>
    <t>MI-L-2018</t>
  </si>
  <si>
    <t>MN-L-2018</t>
  </si>
  <si>
    <t>MS-L-2018</t>
  </si>
  <si>
    <t>MO-L-2018</t>
  </si>
  <si>
    <t>MT-L-2018</t>
  </si>
  <si>
    <t>NE-L-2018</t>
  </si>
  <si>
    <t>NV-L-2018</t>
  </si>
  <si>
    <t>NH-L-2018</t>
  </si>
  <si>
    <t>NJ-L-2018</t>
  </si>
  <si>
    <t>NM-L-2018</t>
  </si>
  <si>
    <t>NY-L-2018</t>
  </si>
  <si>
    <t>NC-L-2018</t>
  </si>
  <si>
    <t>ND-L-2018</t>
  </si>
  <si>
    <t>OH-L-2018</t>
  </si>
  <si>
    <t>OK-L-2018</t>
  </si>
  <si>
    <t>OR-L-2018</t>
  </si>
  <si>
    <t>PA-L-2018</t>
  </si>
  <si>
    <t>RI-L-2018</t>
  </si>
  <si>
    <t>SC-L-2018</t>
  </si>
  <si>
    <t>SD-L-2018</t>
  </si>
  <si>
    <t>TN-L-2018</t>
  </si>
  <si>
    <t>TX-L-2018</t>
  </si>
  <si>
    <t>UT-L-2018</t>
  </si>
  <si>
    <t>VT-L-2018</t>
  </si>
  <si>
    <t>VA-L-2018</t>
  </si>
  <si>
    <t>WA-L-2018</t>
  </si>
  <si>
    <t>WV-L-2018</t>
  </si>
  <si>
    <t>WI-L-2018</t>
  </si>
  <si>
    <t>WY-L-2018</t>
  </si>
  <si>
    <t>PR-L-2018</t>
  </si>
  <si>
    <t>AL-H-2017</t>
  </si>
  <si>
    <t>AK-H-2017</t>
  </si>
  <si>
    <t>AZ-H-2017</t>
  </si>
  <si>
    <t>AR-H-2017</t>
  </si>
  <si>
    <t>CA-H-2017</t>
  </si>
  <si>
    <t>CO-H-2017</t>
  </si>
  <si>
    <t>CT-H-2017</t>
  </si>
  <si>
    <t>DE-H-2017</t>
  </si>
  <si>
    <t>DC-H-2017</t>
  </si>
  <si>
    <t>FL-H-2017</t>
  </si>
  <si>
    <t>GA-H-2017</t>
  </si>
  <si>
    <t>HI-H-2017</t>
  </si>
  <si>
    <t>ID-H-2017</t>
  </si>
  <si>
    <t>IL-H-2017</t>
  </si>
  <si>
    <t>IN-H-2017</t>
  </si>
  <si>
    <t>IA-H-2017</t>
  </si>
  <si>
    <t>KS-H-2017</t>
  </si>
  <si>
    <t>KY-H-2017</t>
  </si>
  <si>
    <t>LA-H-2017</t>
  </si>
  <si>
    <t>ME-H-2017</t>
  </si>
  <si>
    <t>MD-H-2017</t>
  </si>
  <si>
    <t>MA-H-2017</t>
  </si>
  <si>
    <t>MI-H-2017</t>
  </si>
  <si>
    <t>MN-H-2017</t>
  </si>
  <si>
    <t>MS-H-2017</t>
  </si>
  <si>
    <t>MO-H-2017</t>
  </si>
  <si>
    <t>MT-H-2017</t>
  </si>
  <si>
    <t>NE-H-2017</t>
  </si>
  <si>
    <t>NV-H-2017</t>
  </si>
  <si>
    <t>NH-H-2017</t>
  </si>
  <si>
    <t>NJ-H-2017</t>
  </si>
  <si>
    <t>NM-H-2017</t>
  </si>
  <si>
    <t>NY-H-2017</t>
  </si>
  <si>
    <t>NC-H-2017</t>
  </si>
  <si>
    <t>ND-H-2017</t>
  </si>
  <si>
    <t>OH-H-2017</t>
  </si>
  <si>
    <t>OK-H-2017</t>
  </si>
  <si>
    <t>OR-H-2017</t>
  </si>
  <si>
    <t>PA-H-2017</t>
  </si>
  <si>
    <t>RI-H-2017</t>
  </si>
  <si>
    <t>SC-H-2017</t>
  </si>
  <si>
    <t>SD-H-2017</t>
  </si>
  <si>
    <t>TN-H-2017</t>
  </si>
  <si>
    <t>TX-H-2017</t>
  </si>
  <si>
    <t>UT-H-2017</t>
  </si>
  <si>
    <t>VT-H-2017</t>
  </si>
  <si>
    <t>VA-H-2017</t>
  </si>
  <si>
    <t>WA-H-2017</t>
  </si>
  <si>
    <t>WV-H-2017</t>
  </si>
  <si>
    <t>WI-H-2017</t>
  </si>
  <si>
    <t>WY-H-2017</t>
  </si>
  <si>
    <t>PR-H-2017</t>
  </si>
  <si>
    <t>AL-L-2017</t>
  </si>
  <si>
    <t>AK-L-2017</t>
  </si>
  <si>
    <t>AZ-L-2017</t>
  </si>
  <si>
    <t>AR-L-2017</t>
  </si>
  <si>
    <t>CA-L-2017</t>
  </si>
  <si>
    <t>CO-L-2017</t>
  </si>
  <si>
    <t>CT-L-2017</t>
  </si>
  <si>
    <t>DE-L-2017</t>
  </si>
  <si>
    <t>DC-L-2017</t>
  </si>
  <si>
    <t>FL-L-2017</t>
  </si>
  <si>
    <t>GA-L-2017</t>
  </si>
  <si>
    <t>HI-L-2017</t>
  </si>
  <si>
    <t>ID-L-2017</t>
  </si>
  <si>
    <t>IL-L-2017</t>
  </si>
  <si>
    <t>IN-L-2017</t>
  </si>
  <si>
    <t>IA-L-2017</t>
  </si>
  <si>
    <t>KS-L-2017</t>
  </si>
  <si>
    <t>KY-L-2017</t>
  </si>
  <si>
    <t>LA-L-2017</t>
  </si>
  <si>
    <t>ME-L-2017</t>
  </si>
  <si>
    <t>MD-L-2017</t>
  </si>
  <si>
    <t>MA-L-2017</t>
  </si>
  <si>
    <t>MI-L-2017</t>
  </si>
  <si>
    <t>MN-L-2017</t>
  </si>
  <si>
    <t>MS-L-2017</t>
  </si>
  <si>
    <t>MO-L-2017</t>
  </si>
  <si>
    <t>MT-L-2017</t>
  </si>
  <si>
    <t>NE-L-2017</t>
  </si>
  <si>
    <t>NV-L-2017</t>
  </si>
  <si>
    <t>NH-L-2017</t>
  </si>
  <si>
    <t>NJ-L-2017</t>
  </si>
  <si>
    <t>NM-L-2017</t>
  </si>
  <si>
    <t>NY-L-2017</t>
  </si>
  <si>
    <t>NC-L-2017</t>
  </si>
  <si>
    <t>ND-L-2017</t>
  </si>
  <si>
    <t>OH-L-2017</t>
  </si>
  <si>
    <t>OK-L-2017</t>
  </si>
  <si>
    <t>OR-L-2017</t>
  </si>
  <si>
    <t>PA-L-2017</t>
  </si>
  <si>
    <t>RI-L-2017</t>
  </si>
  <si>
    <t>SC-L-2017</t>
  </si>
  <si>
    <t>SD-L-2017</t>
  </si>
  <si>
    <t>TN-L-2017</t>
  </si>
  <si>
    <t>TX-L-2017</t>
  </si>
  <si>
    <t>UT-L-2017</t>
  </si>
  <si>
    <t>VT-L-2017</t>
  </si>
  <si>
    <t>VA-L-2017</t>
  </si>
  <si>
    <t>WA-L-2017</t>
  </si>
  <si>
    <t>WV-L-2017</t>
  </si>
  <si>
    <t>WI-L-2017</t>
  </si>
  <si>
    <t>WY-L-2017</t>
  </si>
  <si>
    <t>PR-L-2017</t>
  </si>
  <si>
    <t>A</t>
  </si>
  <si>
    <t>B</t>
  </si>
  <si>
    <t>C</t>
  </si>
  <si>
    <t>D</t>
  </si>
  <si>
    <t>Calculated from [@Ellingson2017]</t>
  </si>
  <si>
    <t>Param_var</t>
  </si>
  <si>
    <t>Param_sub</t>
  </si>
  <si>
    <t>c</t>
  </si>
  <si>
    <t>R</t>
  </si>
  <si>
    <t>Q</t>
  </si>
  <si>
    <t>H</t>
  </si>
  <si>
    <t>φ</t>
  </si>
  <si>
    <t>1,2</t>
  </si>
  <si>
    <t>ψ</t>
  </si>
  <si>
    <t>1,1</t>
  </si>
  <si>
    <t>Net monetary cost of releasing Zika-infectious donation</t>
  </si>
  <si>
    <t>Net monetary cost of releasing WNV-infectious donation</t>
  </si>
  <si>
    <t>Donation replacement cost</t>
  </si>
  <si>
    <t>Donation processing cost</t>
  </si>
  <si>
    <t>Donation disposal cost (excluding replacement)</t>
  </si>
  <si>
    <t>Zika ID-NAT cost per donation</t>
  </si>
  <si>
    <t>Zika MP-NAT cost per donation</t>
  </si>
  <si>
    <t>WNV ID-NAT cost per donation</t>
  </si>
  <si>
    <t>WNV MP-NAT cost per donation</t>
  </si>
  <si>
    <t>g - d</t>
  </si>
  <si>
    <t>Source*</t>
  </si>
  <si>
    <t>Red blood cell units transfused per donation †</t>
  </si>
  <si>
    <t>Platelet units transfused per donation †</t>
  </si>
  <si>
    <t>Plasma units transfused per donation †</t>
  </si>
  <si>
    <t>Transmissibility of WNV in RBC components †</t>
  </si>
  <si>
    <t>Transmissibility of WNV in PLT components †</t>
  </si>
  <si>
    <t>Transmissibility of WNV in FFP components †</t>
  </si>
  <si>
    <t>Transmissibility of Zika in RBC components †</t>
  </si>
  <si>
    <t>Transmissibility of Zika in PLT components †</t>
  </si>
  <si>
    <t>Transmissibility of Zika in FFP components †</t>
  </si>
  <si>
    <t>Delivery with congenital Zika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</si>
</sst>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11" fontId="5" fillId="0" borderId="0" xfId="0" applyNumberFormat="1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1"/>
  <sheetViews>
    <sheetView workbookViewId="0">
      <pane ySplit="1" topLeftCell="A2" activePane="bottomLeft" state="frozen"/>
      <selection pane="bottomLeft" activeCell="N2" sqref="N2"/>
    </sheetView>
  </sheetViews>
  <sheetFormatPr defaultColWidth="14.42578125" defaultRowHeight="15.75" customHeight="1"/>
  <cols>
    <col min="1" max="1" width="9.140625" customWidth="1"/>
    <col min="2" max="2" width="43.140625" customWidth="1"/>
    <col min="3" max="3" width="24.28515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</v>
      </c>
      <c r="B2" s="3" t="str">
        <f t="shared" ref="B2:B111" si="0">N2&amp;" ["&amp;M2&amp;"]"</f>
        <v>Immunocompromise in platelet recipient [3]</v>
      </c>
      <c r="C2" s="3" t="s">
        <v>15</v>
      </c>
      <c r="D2" s="3"/>
      <c r="E2" s="3">
        <v>0.5</v>
      </c>
      <c r="F2" s="4">
        <f t="shared" ref="F2:F37" si="1">E2*0.8</f>
        <v>0.4</v>
      </c>
      <c r="G2" s="4">
        <f t="shared" ref="G2:G37" si="2">E2*1.2</f>
        <v>0.6</v>
      </c>
      <c r="H2" s="3" t="s">
        <v>16</v>
      </c>
      <c r="K2" s="3"/>
      <c r="L2" s="3" t="s">
        <v>17</v>
      </c>
      <c r="M2" s="4">
        <f t="array" ref="M2">INDEX(lookup!B:B,MATCH(L2,lookup!A:A,0))</f>
        <v>3</v>
      </c>
      <c r="N2" s="3" t="s">
        <v>18</v>
      </c>
    </row>
    <row r="3" spans="1:31">
      <c r="A3" s="3" t="s">
        <v>14</v>
      </c>
      <c r="B3" s="3" t="str">
        <f t="shared" si="0"/>
        <v>Immunocompromise in other recipient [A]</v>
      </c>
      <c r="C3" s="3" t="s">
        <v>19</v>
      </c>
      <c r="D3" s="3"/>
      <c r="E3" s="3">
        <v>0.25</v>
      </c>
      <c r="F3" s="4">
        <f t="shared" si="1"/>
        <v>0.2</v>
      </c>
      <c r="G3" s="4">
        <f t="shared" si="2"/>
        <v>0.3</v>
      </c>
      <c r="H3" s="3" t="s">
        <v>16</v>
      </c>
      <c r="K3" s="3"/>
      <c r="L3" s="3" t="s">
        <v>20</v>
      </c>
      <c r="M3" s="4" t="str">
        <f t="array" ref="M3">INDEX(lookup!B:B,MATCH(L3,lookup!A:A,0))</f>
        <v>A</v>
      </c>
      <c r="N3" s="3" t="s">
        <v>21</v>
      </c>
    </row>
    <row r="4" spans="1:31">
      <c r="A4" s="3" t="s">
        <v>14</v>
      </c>
      <c r="B4" s="3" t="str">
        <f t="shared" si="0"/>
        <v>Relative risk of disease, immunocompromised [3]</v>
      </c>
      <c r="C4" s="3" t="s">
        <v>22</v>
      </c>
      <c r="D4" s="3"/>
      <c r="E4" s="3">
        <v>2</v>
      </c>
      <c r="F4" s="4">
        <f t="shared" si="1"/>
        <v>1.6</v>
      </c>
      <c r="G4" s="4">
        <f t="shared" si="2"/>
        <v>2.4</v>
      </c>
      <c r="H4" s="3" t="s">
        <v>16</v>
      </c>
      <c r="K4" s="3"/>
      <c r="L4" s="3" t="s">
        <v>17</v>
      </c>
      <c r="M4" s="4">
        <f t="array" ref="M4">INDEX(lookup!B:B,MATCH(L4,lookup!A:A,0))</f>
        <v>3</v>
      </c>
      <c r="N4" s="3" t="s">
        <v>23</v>
      </c>
    </row>
    <row r="5" spans="1:31">
      <c r="A5" s="3" t="s">
        <v>14</v>
      </c>
      <c r="B5" s="3" t="str">
        <f t="shared" si="0"/>
        <v>Clinical disease given WNV transmission [32]</v>
      </c>
      <c r="C5" s="3" t="s">
        <v>24</v>
      </c>
      <c r="D5" s="3"/>
      <c r="E5" s="3">
        <v>0.25</v>
      </c>
      <c r="F5" s="4">
        <f t="shared" si="1"/>
        <v>0.2</v>
      </c>
      <c r="G5" s="4">
        <f t="shared" si="2"/>
        <v>0.3</v>
      </c>
      <c r="H5" s="3" t="s">
        <v>16</v>
      </c>
      <c r="K5" s="3"/>
      <c r="L5" s="3" t="s">
        <v>25</v>
      </c>
      <c r="M5" s="4">
        <f t="array" ref="M5">INDEX(lookup!B:B,MATCH(L5,lookup!A:A,0))</f>
        <v>32</v>
      </c>
      <c r="N5" s="3" t="s">
        <v>26</v>
      </c>
    </row>
    <row r="6" spans="1:31">
      <c r="A6" s="3" t="s">
        <v>14</v>
      </c>
      <c r="B6" s="3" t="str">
        <f t="shared" si="0"/>
        <v>Disability from WNV fever, age 50+ [32]</v>
      </c>
      <c r="C6" s="3" t="s">
        <v>27</v>
      </c>
      <c r="D6" s="3"/>
      <c r="E6" s="3">
        <v>0.11</v>
      </c>
      <c r="F6" s="4">
        <f t="shared" si="1"/>
        <v>8.8000000000000009E-2</v>
      </c>
      <c r="G6" s="4">
        <f t="shared" si="2"/>
        <v>0.13200000000000001</v>
      </c>
      <c r="H6" s="3" t="s">
        <v>16</v>
      </c>
      <c r="K6" s="3"/>
      <c r="L6" s="3" t="s">
        <v>25</v>
      </c>
      <c r="M6" s="4">
        <f t="array" ref="M6">INDEX(lookup!B:B,MATCH(L6,lookup!A:A,0))</f>
        <v>32</v>
      </c>
      <c r="N6" s="3" t="s">
        <v>28</v>
      </c>
    </row>
    <row r="7" spans="1:31">
      <c r="A7" s="3" t="s">
        <v>14</v>
      </c>
      <c r="B7" s="3" t="str">
        <f t="shared" si="0"/>
        <v>Disability from WNV fever, age under 50 [32]</v>
      </c>
      <c r="C7" s="3" t="s">
        <v>29</v>
      </c>
      <c r="D7" s="3"/>
      <c r="E7" s="3">
        <v>1.4999999999999999E-4</v>
      </c>
      <c r="F7" s="4">
        <f t="shared" si="1"/>
        <v>1.1999999999999999E-4</v>
      </c>
      <c r="G7" s="4">
        <f t="shared" si="2"/>
        <v>1.7999999999999998E-4</v>
      </c>
      <c r="H7" s="3" t="s">
        <v>16</v>
      </c>
      <c r="K7" s="3"/>
      <c r="L7" s="3" t="s">
        <v>25</v>
      </c>
      <c r="M7" s="4">
        <f t="array" ref="M7">INDEX(lookup!B:B,MATCH(L7,lookup!A:A,0))</f>
        <v>32</v>
      </c>
      <c r="N7" s="3" t="s">
        <v>30</v>
      </c>
    </row>
    <row r="8" spans="1:31">
      <c r="A8" s="3" t="s">
        <v>14</v>
      </c>
      <c r="B8" s="3" t="str">
        <f t="shared" si="0"/>
        <v>Disability from meningitis [32]</v>
      </c>
      <c r="C8" s="3" t="s">
        <v>31</v>
      </c>
      <c r="D8" s="3"/>
      <c r="E8" s="3">
        <v>0.22</v>
      </c>
      <c r="F8" s="4">
        <f t="shared" si="1"/>
        <v>0.17600000000000002</v>
      </c>
      <c r="G8" s="4">
        <f t="shared" si="2"/>
        <v>0.26400000000000001</v>
      </c>
      <c r="H8" s="3" t="s">
        <v>16</v>
      </c>
      <c r="K8" s="3"/>
      <c r="L8" s="3" t="s">
        <v>25</v>
      </c>
      <c r="M8" s="4">
        <f t="array" ref="M8">INDEX(lookup!B:B,MATCH(L8,lookup!A:A,0))</f>
        <v>32</v>
      </c>
      <c r="N8" s="3" t="s">
        <v>32</v>
      </c>
    </row>
    <row r="9" spans="1:31">
      <c r="A9" s="3" t="s">
        <v>14</v>
      </c>
      <c r="B9" s="3" t="str">
        <f t="shared" si="0"/>
        <v>Disability from encephalitis [32]</v>
      </c>
      <c r="C9" s="3" t="s">
        <v>33</v>
      </c>
      <c r="D9" s="3"/>
      <c r="E9" s="3">
        <v>0.45</v>
      </c>
      <c r="F9" s="4">
        <f t="shared" si="1"/>
        <v>0.36000000000000004</v>
      </c>
      <c r="G9" s="4">
        <f t="shared" si="2"/>
        <v>0.54</v>
      </c>
      <c r="H9" s="3" t="s">
        <v>16</v>
      </c>
      <c r="K9" s="3"/>
      <c r="L9" s="3" t="s">
        <v>25</v>
      </c>
      <c r="M9" s="4">
        <f t="array" ref="M9">INDEX(lookup!B:B,MATCH(L9,lookup!A:A,0))</f>
        <v>32</v>
      </c>
      <c r="N9" s="5" t="s">
        <v>34</v>
      </c>
    </row>
    <row r="10" spans="1:31">
      <c r="A10" s="3" t="s">
        <v>14</v>
      </c>
      <c r="B10" s="3" t="str">
        <f t="shared" si="0"/>
        <v>Disability from AFP [32]</v>
      </c>
      <c r="C10" s="3" t="s">
        <v>35</v>
      </c>
      <c r="D10" s="3"/>
      <c r="E10" s="3">
        <v>0.22</v>
      </c>
      <c r="F10" s="4">
        <f t="shared" si="1"/>
        <v>0.17600000000000002</v>
      </c>
      <c r="G10" s="4">
        <f t="shared" si="2"/>
        <v>0.26400000000000001</v>
      </c>
      <c r="H10" s="3" t="s">
        <v>16</v>
      </c>
      <c r="K10" s="3"/>
      <c r="L10" s="3" t="s">
        <v>25</v>
      </c>
      <c r="M10" s="4">
        <f t="array" ref="M10">INDEX(lookup!B:B,MATCH(L10,lookup!A:A,0))</f>
        <v>32</v>
      </c>
      <c r="N10" s="5" t="s">
        <v>36</v>
      </c>
    </row>
    <row r="11" spans="1:31">
      <c r="A11" s="3" t="s">
        <v>14</v>
      </c>
      <c r="B11" s="3" t="str">
        <f t="shared" si="0"/>
        <v>Symptomatic patient has WNV fever [32]</v>
      </c>
      <c r="C11" s="3" t="s">
        <v>37</v>
      </c>
      <c r="D11" s="3">
        <v>0</v>
      </c>
      <c r="E11" s="3">
        <v>0.98</v>
      </c>
      <c r="F11" s="4">
        <f t="shared" si="1"/>
        <v>0.78400000000000003</v>
      </c>
      <c r="G11" s="4">
        <f t="shared" si="2"/>
        <v>1.1759999999999999</v>
      </c>
      <c r="H11" s="3" t="s">
        <v>16</v>
      </c>
      <c r="K11" s="3"/>
      <c r="L11" s="3" t="s">
        <v>25</v>
      </c>
      <c r="M11" s="4">
        <f t="array" ref="M11">INDEX(lookup!B:B,MATCH(L11,lookup!A:A,0))</f>
        <v>32</v>
      </c>
      <c r="N11" s="3" t="s">
        <v>38</v>
      </c>
    </row>
    <row r="12" spans="1:31">
      <c r="A12" s="3" t="s">
        <v>14</v>
      </c>
      <c r="B12" s="3" t="str">
        <f t="shared" si="0"/>
        <v>Symptomatic patient has WNV fever [32]</v>
      </c>
      <c r="C12" s="3" t="s">
        <v>37</v>
      </c>
      <c r="D12" s="3">
        <v>60</v>
      </c>
      <c r="E12" s="3">
        <v>0.97</v>
      </c>
      <c r="F12" s="4">
        <f t="shared" si="1"/>
        <v>0.77600000000000002</v>
      </c>
      <c r="G12" s="4">
        <f t="shared" si="2"/>
        <v>1.1639999999999999</v>
      </c>
      <c r="H12" s="3" t="s">
        <v>16</v>
      </c>
      <c r="K12" s="3"/>
      <c r="L12" s="3" t="s">
        <v>25</v>
      </c>
      <c r="M12" s="4">
        <f t="array" ref="M12">INDEX(lookup!B:B,MATCH(L12,lookup!A:A,0))</f>
        <v>32</v>
      </c>
      <c r="N12" s="3" t="s">
        <v>38</v>
      </c>
    </row>
    <row r="13" spans="1:31">
      <c r="A13" s="3" t="s">
        <v>14</v>
      </c>
      <c r="B13" s="3" t="str">
        <f t="shared" si="0"/>
        <v>Symptomatic patient has WNV fever [32]</v>
      </c>
      <c r="C13" s="3" t="s">
        <v>37</v>
      </c>
      <c r="D13" s="3">
        <v>70</v>
      </c>
      <c r="E13" s="3">
        <v>0.86</v>
      </c>
      <c r="F13" s="4">
        <f t="shared" si="1"/>
        <v>0.68800000000000006</v>
      </c>
      <c r="G13" s="4">
        <f t="shared" si="2"/>
        <v>1.032</v>
      </c>
      <c r="H13" s="3" t="s">
        <v>16</v>
      </c>
      <c r="K13" s="3"/>
      <c r="L13" s="3" t="s">
        <v>25</v>
      </c>
      <c r="M13" s="4">
        <f t="array" ref="M13">INDEX(lookup!B:B,MATCH(L13,lookup!A:A,0))</f>
        <v>32</v>
      </c>
      <c r="N13" s="3" t="s">
        <v>38</v>
      </c>
    </row>
    <row r="14" spans="1:31">
      <c r="A14" s="3" t="s">
        <v>14</v>
      </c>
      <c r="B14" s="3" t="str">
        <f t="shared" si="0"/>
        <v>Symptomatic patient has encephalitis [32]</v>
      </c>
      <c r="C14" s="3" t="s">
        <v>39</v>
      </c>
      <c r="D14" s="3">
        <v>0</v>
      </c>
      <c r="E14" s="5">
        <v>8.0400000000000003E-3</v>
      </c>
      <c r="F14" s="4">
        <f t="shared" si="1"/>
        <v>6.4320000000000002E-3</v>
      </c>
      <c r="G14" s="4">
        <f t="shared" si="2"/>
        <v>9.6480000000000003E-3</v>
      </c>
      <c r="H14" s="3" t="s">
        <v>16</v>
      </c>
      <c r="K14" s="3"/>
      <c r="L14" s="3" t="s">
        <v>25</v>
      </c>
      <c r="M14" s="4">
        <f t="array" ref="M14">INDEX(lookup!B:B,MATCH(L14,lookup!A:A,0))</f>
        <v>32</v>
      </c>
      <c r="N14" s="3" t="s">
        <v>40</v>
      </c>
    </row>
    <row r="15" spans="1:31">
      <c r="A15" s="3" t="s">
        <v>14</v>
      </c>
      <c r="B15" s="3" t="str">
        <f t="shared" si="0"/>
        <v>Symptomatic patient has encephalitis [32]</v>
      </c>
      <c r="C15" s="3" t="s">
        <v>39</v>
      </c>
      <c r="D15" s="3">
        <v>20</v>
      </c>
      <c r="E15" s="5">
        <v>6.8199999999999997E-3</v>
      </c>
      <c r="F15" s="4">
        <f t="shared" si="1"/>
        <v>5.4559999999999999E-3</v>
      </c>
      <c r="G15" s="4">
        <f t="shared" si="2"/>
        <v>8.1839999999999986E-3</v>
      </c>
      <c r="H15" s="3" t="s">
        <v>16</v>
      </c>
      <c r="K15" s="3"/>
      <c r="L15" s="3" t="s">
        <v>25</v>
      </c>
      <c r="M15" s="4">
        <f t="array" ref="M15">INDEX(lookup!B:B,MATCH(L15,lookup!A:A,0))</f>
        <v>32</v>
      </c>
      <c r="N15" s="3" t="s">
        <v>40</v>
      </c>
    </row>
    <row r="16" spans="1:31">
      <c r="A16" s="3" t="s">
        <v>14</v>
      </c>
      <c r="B16" s="3" t="str">
        <f t="shared" si="0"/>
        <v>Symptomatic patient has encephalitis [32]</v>
      </c>
      <c r="C16" s="3" t="s">
        <v>39</v>
      </c>
      <c r="D16" s="3">
        <v>30</v>
      </c>
      <c r="E16" s="5">
        <v>6.7999999999999996E-3</v>
      </c>
      <c r="F16" s="4">
        <f t="shared" si="1"/>
        <v>5.4400000000000004E-3</v>
      </c>
      <c r="G16" s="4">
        <f t="shared" si="2"/>
        <v>8.1599999999999989E-3</v>
      </c>
      <c r="H16" s="3" t="s">
        <v>16</v>
      </c>
      <c r="K16" s="3"/>
      <c r="L16" s="3" t="s">
        <v>25</v>
      </c>
      <c r="M16" s="4">
        <f t="array" ref="M16">INDEX(lookup!B:B,MATCH(L16,lookup!A:A,0))</f>
        <v>32</v>
      </c>
      <c r="N16" s="3" t="s">
        <v>40</v>
      </c>
    </row>
    <row r="17" spans="1:14">
      <c r="A17" s="3" t="s">
        <v>14</v>
      </c>
      <c r="B17" s="3" t="str">
        <f t="shared" si="0"/>
        <v>Symptomatic patient has encephalitis [32]</v>
      </c>
      <c r="C17" s="3" t="s">
        <v>39</v>
      </c>
      <c r="D17" s="3">
        <v>40</v>
      </c>
      <c r="E17" s="5">
        <v>8.5800000000000008E-3</v>
      </c>
      <c r="F17" s="4">
        <f t="shared" si="1"/>
        <v>6.8640000000000012E-3</v>
      </c>
      <c r="G17" s="4">
        <f t="shared" si="2"/>
        <v>1.0296000000000001E-2</v>
      </c>
      <c r="H17" s="3" t="s">
        <v>16</v>
      </c>
      <c r="K17" s="3"/>
      <c r="L17" s="3" t="s">
        <v>25</v>
      </c>
      <c r="M17" s="4">
        <f t="array" ref="M17">INDEX(lookup!B:B,MATCH(L17,lookup!A:A,0))</f>
        <v>32</v>
      </c>
      <c r="N17" s="3" t="s">
        <v>40</v>
      </c>
    </row>
    <row r="18" spans="1:14">
      <c r="A18" s="3" t="s">
        <v>14</v>
      </c>
      <c r="B18" s="3" t="str">
        <f t="shared" si="0"/>
        <v>Symptomatic patient has encephalitis [32]</v>
      </c>
      <c r="C18" s="3" t="s">
        <v>39</v>
      </c>
      <c r="D18" s="3">
        <v>50</v>
      </c>
      <c r="E18" s="5">
        <v>1.048E-2</v>
      </c>
      <c r="F18" s="4">
        <f t="shared" si="1"/>
        <v>8.3840000000000008E-3</v>
      </c>
      <c r="G18" s="4">
        <f t="shared" si="2"/>
        <v>1.2575999999999999E-2</v>
      </c>
      <c r="H18" s="3" t="s">
        <v>16</v>
      </c>
      <c r="K18" s="3"/>
      <c r="L18" s="3" t="s">
        <v>25</v>
      </c>
      <c r="M18" s="4">
        <f t="array" ref="M18">INDEX(lookup!B:B,MATCH(L18,lookup!A:A,0))</f>
        <v>32</v>
      </c>
      <c r="N18" s="3" t="s">
        <v>40</v>
      </c>
    </row>
    <row r="19" spans="1:14">
      <c r="A19" s="3" t="s">
        <v>14</v>
      </c>
      <c r="B19" s="3" t="str">
        <f t="shared" si="0"/>
        <v>Symptomatic patient has encephalitis [32]</v>
      </c>
      <c r="C19" s="3" t="s">
        <v>39</v>
      </c>
      <c r="D19" s="3">
        <v>60</v>
      </c>
      <c r="E19" s="5">
        <v>1.9529999999999999E-2</v>
      </c>
      <c r="F19" s="4">
        <f t="shared" si="1"/>
        <v>1.5623999999999999E-2</v>
      </c>
      <c r="G19" s="4">
        <f t="shared" si="2"/>
        <v>2.3435999999999998E-2</v>
      </c>
      <c r="H19" s="3" t="s">
        <v>16</v>
      </c>
      <c r="K19" s="3"/>
      <c r="L19" s="3" t="s">
        <v>25</v>
      </c>
      <c r="M19" s="4">
        <f t="array" ref="M19">INDEX(lookup!B:B,MATCH(L19,lookup!A:A,0))</f>
        <v>32</v>
      </c>
      <c r="N19" s="3" t="s">
        <v>40</v>
      </c>
    </row>
    <row r="20" spans="1:14">
      <c r="A20" s="3" t="s">
        <v>14</v>
      </c>
      <c r="B20" s="3" t="str">
        <f t="shared" si="0"/>
        <v>Symptomatic patient has encephalitis [32]</v>
      </c>
      <c r="C20" s="3" t="s">
        <v>39</v>
      </c>
      <c r="D20" s="3">
        <v>70</v>
      </c>
      <c r="E20" s="5">
        <v>0.10514</v>
      </c>
      <c r="F20" s="4">
        <f t="shared" si="1"/>
        <v>8.4112000000000006E-2</v>
      </c>
      <c r="G20" s="4">
        <f t="shared" si="2"/>
        <v>0.126168</v>
      </c>
      <c r="H20" s="3" t="s">
        <v>16</v>
      </c>
      <c r="K20" s="3"/>
      <c r="L20" s="3" t="s">
        <v>25</v>
      </c>
      <c r="M20" s="4">
        <f t="array" ref="M20">INDEX(lookup!B:B,MATCH(L20,lookup!A:A,0))</f>
        <v>32</v>
      </c>
      <c r="N20" s="3" t="s">
        <v>40</v>
      </c>
    </row>
    <row r="21" spans="1:14">
      <c r="A21" s="3" t="s">
        <v>14</v>
      </c>
      <c r="B21" s="3" t="str">
        <f t="shared" si="0"/>
        <v>Symptomatic patient has encephalitis [32]</v>
      </c>
      <c r="C21" s="3" t="s">
        <v>39</v>
      </c>
      <c r="D21" s="3">
        <v>80</v>
      </c>
      <c r="E21" s="3">
        <v>0.11088000000000001</v>
      </c>
      <c r="F21" s="4">
        <f t="shared" si="1"/>
        <v>8.8704000000000005E-2</v>
      </c>
      <c r="G21" s="4">
        <f t="shared" si="2"/>
        <v>0.13305600000000001</v>
      </c>
      <c r="H21" s="3" t="s">
        <v>16</v>
      </c>
      <c r="K21" s="3"/>
      <c r="L21" s="3" t="s">
        <v>25</v>
      </c>
      <c r="M21" s="4">
        <f t="array" ref="M21">INDEX(lookup!B:B,MATCH(L21,lookup!A:A,0))</f>
        <v>32</v>
      </c>
      <c r="N21" s="3" t="s">
        <v>40</v>
      </c>
    </row>
    <row r="22" spans="1:14">
      <c r="A22" s="3" t="s">
        <v>14</v>
      </c>
      <c r="B22" s="3" t="str">
        <f t="shared" si="0"/>
        <v>Symptomatic patient has meningitis [32]</v>
      </c>
      <c r="C22" s="3" t="s">
        <v>41</v>
      </c>
      <c r="D22" s="3">
        <v>0</v>
      </c>
      <c r="E22" s="5">
        <v>1.142E-2</v>
      </c>
      <c r="F22" s="4">
        <f t="shared" si="1"/>
        <v>9.136E-3</v>
      </c>
      <c r="G22" s="4">
        <f t="shared" si="2"/>
        <v>1.3703999999999999E-2</v>
      </c>
      <c r="H22" s="3" t="s">
        <v>16</v>
      </c>
      <c r="K22" s="3"/>
      <c r="L22" s="3" t="s">
        <v>25</v>
      </c>
      <c r="M22" s="4">
        <f t="array" ref="M22">INDEX(lookup!B:B,MATCH(L22,lookup!A:A,0))</f>
        <v>32</v>
      </c>
      <c r="N22" s="3" t="s">
        <v>42</v>
      </c>
    </row>
    <row r="23" spans="1:14">
      <c r="A23" s="3" t="s">
        <v>14</v>
      </c>
      <c r="B23" s="3" t="str">
        <f t="shared" si="0"/>
        <v>Symptomatic patient has meningitis [32]</v>
      </c>
      <c r="C23" s="3" t="s">
        <v>41</v>
      </c>
      <c r="D23" s="3">
        <v>20</v>
      </c>
      <c r="E23" s="5">
        <v>1.242E-2</v>
      </c>
      <c r="F23" s="4">
        <f t="shared" si="1"/>
        <v>9.9360000000000004E-3</v>
      </c>
      <c r="G23" s="4">
        <f t="shared" si="2"/>
        <v>1.4904000000000001E-2</v>
      </c>
      <c r="H23" s="3" t="s">
        <v>16</v>
      </c>
      <c r="K23" s="3"/>
      <c r="L23" s="3" t="s">
        <v>25</v>
      </c>
      <c r="M23" s="4">
        <f t="array" ref="M23">INDEX(lookup!B:B,MATCH(L23,lookup!A:A,0))</f>
        <v>32</v>
      </c>
      <c r="N23" s="3" t="s">
        <v>42</v>
      </c>
    </row>
    <row r="24" spans="1:14">
      <c r="A24" s="3" t="s">
        <v>14</v>
      </c>
      <c r="B24" s="3" t="str">
        <f t="shared" si="0"/>
        <v>Symptomatic patient has meningitis [32]</v>
      </c>
      <c r="C24" s="3" t="s">
        <v>41</v>
      </c>
      <c r="D24" s="3">
        <v>30</v>
      </c>
      <c r="E24" s="5">
        <v>1.188E-2</v>
      </c>
      <c r="F24" s="4">
        <f t="shared" si="1"/>
        <v>9.5040000000000003E-3</v>
      </c>
      <c r="G24" s="4">
        <f t="shared" si="2"/>
        <v>1.4256E-2</v>
      </c>
      <c r="H24" s="3" t="s">
        <v>16</v>
      </c>
      <c r="K24" s="3"/>
      <c r="L24" s="3" t="s">
        <v>25</v>
      </c>
      <c r="M24" s="4">
        <f t="array" ref="M24">INDEX(lookup!B:B,MATCH(L24,lookup!A:A,0))</f>
        <v>32</v>
      </c>
      <c r="N24" s="3" t="s">
        <v>42</v>
      </c>
    </row>
    <row r="25" spans="1:14">
      <c r="A25" s="3" t="s">
        <v>14</v>
      </c>
      <c r="B25" s="3" t="str">
        <f t="shared" si="0"/>
        <v>Symptomatic patient has meningitis [32]</v>
      </c>
      <c r="C25" s="3" t="s">
        <v>41</v>
      </c>
      <c r="D25" s="3">
        <v>40</v>
      </c>
      <c r="E25" s="5">
        <v>1.014E-2</v>
      </c>
      <c r="F25" s="4">
        <f t="shared" si="1"/>
        <v>8.1119999999999994E-3</v>
      </c>
      <c r="G25" s="4">
        <f t="shared" si="2"/>
        <v>1.2168E-2</v>
      </c>
      <c r="H25" s="3" t="s">
        <v>16</v>
      </c>
      <c r="K25" s="3"/>
      <c r="L25" s="3" t="s">
        <v>25</v>
      </c>
      <c r="M25" s="4">
        <f t="array" ref="M25">INDEX(lookup!B:B,MATCH(L25,lookup!A:A,0))</f>
        <v>32</v>
      </c>
      <c r="N25" s="3" t="s">
        <v>42</v>
      </c>
    </row>
    <row r="26" spans="1:14">
      <c r="A26" s="3" t="s">
        <v>14</v>
      </c>
      <c r="B26" s="3" t="str">
        <f t="shared" si="0"/>
        <v>Symptomatic patient has meningitis [32]</v>
      </c>
      <c r="C26" s="3" t="s">
        <v>41</v>
      </c>
      <c r="D26" s="3">
        <v>50</v>
      </c>
      <c r="E26" s="5">
        <v>7.9799999999999992E-3</v>
      </c>
      <c r="F26" s="4">
        <f t="shared" si="1"/>
        <v>6.3839999999999999E-3</v>
      </c>
      <c r="G26" s="4">
        <f t="shared" si="2"/>
        <v>9.5759999999999994E-3</v>
      </c>
      <c r="H26" s="3" t="s">
        <v>16</v>
      </c>
      <c r="K26" s="3"/>
      <c r="L26" s="3" t="s">
        <v>25</v>
      </c>
      <c r="M26" s="4">
        <f t="array" ref="M26">INDEX(lookup!B:B,MATCH(L26,lookup!A:A,0))</f>
        <v>32</v>
      </c>
      <c r="N26" s="3" t="s">
        <v>42</v>
      </c>
    </row>
    <row r="27" spans="1:14">
      <c r="A27" s="3" t="s">
        <v>14</v>
      </c>
      <c r="B27" s="3" t="str">
        <f t="shared" si="0"/>
        <v>Symptomatic patient has meningitis [32]</v>
      </c>
      <c r="C27" s="3" t="s">
        <v>41</v>
      </c>
      <c r="D27" s="3">
        <v>60</v>
      </c>
      <c r="E27" s="5">
        <v>8.1899999999999994E-3</v>
      </c>
      <c r="F27" s="4">
        <f t="shared" si="1"/>
        <v>6.5519999999999997E-3</v>
      </c>
      <c r="G27" s="4">
        <f t="shared" si="2"/>
        <v>9.8279999999999982E-3</v>
      </c>
      <c r="H27" s="3" t="s">
        <v>16</v>
      </c>
      <c r="K27" s="3"/>
      <c r="L27" s="3" t="s">
        <v>25</v>
      </c>
      <c r="M27" s="4">
        <f t="array" ref="M27">INDEX(lookup!B:B,MATCH(L27,lookup!A:A,0))</f>
        <v>32</v>
      </c>
      <c r="N27" s="3" t="s">
        <v>42</v>
      </c>
    </row>
    <row r="28" spans="1:14">
      <c r="A28" s="3" t="s">
        <v>14</v>
      </c>
      <c r="B28" s="3" t="str">
        <f t="shared" si="0"/>
        <v>Symptomatic patient has meningitis [32]</v>
      </c>
      <c r="C28" s="3" t="s">
        <v>41</v>
      </c>
      <c r="D28" s="3">
        <v>70</v>
      </c>
      <c r="E28" s="5">
        <v>2.7300000000000001E-2</v>
      </c>
      <c r="F28" s="4">
        <f t="shared" si="1"/>
        <v>2.1840000000000002E-2</v>
      </c>
      <c r="G28" s="4">
        <f t="shared" si="2"/>
        <v>3.2759999999999997E-2</v>
      </c>
      <c r="H28" s="3" t="s">
        <v>16</v>
      </c>
      <c r="K28" s="3"/>
      <c r="L28" s="3" t="s">
        <v>25</v>
      </c>
      <c r="M28" s="4">
        <f t="array" ref="M28">INDEX(lookup!B:B,MATCH(L28,lookup!A:A,0))</f>
        <v>32</v>
      </c>
      <c r="N28" s="3" t="s">
        <v>42</v>
      </c>
    </row>
    <row r="29" spans="1:14">
      <c r="A29" s="3" t="s">
        <v>14</v>
      </c>
      <c r="B29" s="3" t="str">
        <f t="shared" si="0"/>
        <v>Symptomatic patient has meningitis [32]</v>
      </c>
      <c r="C29" s="3" t="s">
        <v>41</v>
      </c>
      <c r="D29" s="3">
        <v>80</v>
      </c>
      <c r="E29" s="3">
        <v>2.1839999999999998E-2</v>
      </c>
      <c r="F29" s="4">
        <f t="shared" si="1"/>
        <v>1.7471999999999998E-2</v>
      </c>
      <c r="G29" s="4">
        <f t="shared" si="2"/>
        <v>2.6207999999999999E-2</v>
      </c>
      <c r="H29" s="3" t="s">
        <v>16</v>
      </c>
      <c r="K29" s="3"/>
      <c r="L29" s="3" t="s">
        <v>25</v>
      </c>
      <c r="M29" s="4">
        <f t="array" ref="M29">INDEX(lookup!B:B,MATCH(L29,lookup!A:A,0))</f>
        <v>32</v>
      </c>
      <c r="N29" s="3" t="s">
        <v>42</v>
      </c>
    </row>
    <row r="30" spans="1:14">
      <c r="A30" s="3" t="s">
        <v>14</v>
      </c>
      <c r="B30" s="3" t="str">
        <f t="shared" si="0"/>
        <v>Symptomatic patient has AFP [32]</v>
      </c>
      <c r="C30" s="3" t="s">
        <v>43</v>
      </c>
      <c r="D30" s="3">
        <v>0</v>
      </c>
      <c r="E30" s="3">
        <v>5.4000000000000001E-4</v>
      </c>
      <c r="F30" s="4">
        <f t="shared" si="1"/>
        <v>4.3200000000000004E-4</v>
      </c>
      <c r="G30" s="4">
        <f t="shared" si="2"/>
        <v>6.4800000000000003E-4</v>
      </c>
      <c r="H30" s="3" t="s">
        <v>16</v>
      </c>
      <c r="K30" s="3"/>
      <c r="L30" s="3" t="s">
        <v>25</v>
      </c>
      <c r="M30" s="4">
        <f t="array" ref="M30">INDEX(lookup!B:B,MATCH(L30,lookup!A:A,0))</f>
        <v>32</v>
      </c>
      <c r="N30" s="3" t="s">
        <v>44</v>
      </c>
    </row>
    <row r="31" spans="1:14">
      <c r="A31" s="3" t="s">
        <v>14</v>
      </c>
      <c r="B31" s="3" t="str">
        <f t="shared" si="0"/>
        <v>Symptomatic patient has AFP [32]</v>
      </c>
      <c r="C31" s="3" t="s">
        <v>43</v>
      </c>
      <c r="D31" s="3">
        <v>20</v>
      </c>
      <c r="E31" s="3">
        <v>7.6000000000000004E-4</v>
      </c>
      <c r="F31" s="4">
        <f t="shared" si="1"/>
        <v>6.0800000000000003E-4</v>
      </c>
      <c r="G31" s="4">
        <f t="shared" si="2"/>
        <v>9.1200000000000005E-4</v>
      </c>
      <c r="H31" s="3" t="s">
        <v>16</v>
      </c>
      <c r="K31" s="3"/>
      <c r="L31" s="3" t="s">
        <v>25</v>
      </c>
      <c r="M31" s="4">
        <f t="array" ref="M31">INDEX(lookup!B:B,MATCH(L31,lookup!A:A,0))</f>
        <v>32</v>
      </c>
      <c r="N31" s="3" t="s">
        <v>44</v>
      </c>
    </row>
    <row r="32" spans="1:14">
      <c r="A32" s="3" t="s">
        <v>14</v>
      </c>
      <c r="B32" s="3" t="str">
        <f t="shared" si="0"/>
        <v>Symptomatic patient has AFP [32]</v>
      </c>
      <c r="C32" s="3" t="s">
        <v>43</v>
      </c>
      <c r="D32" s="3">
        <v>30</v>
      </c>
      <c r="E32" s="5">
        <v>1.32E-3</v>
      </c>
      <c r="F32" s="4">
        <f t="shared" si="1"/>
        <v>1.0560000000000001E-3</v>
      </c>
      <c r="G32" s="4">
        <f t="shared" si="2"/>
        <v>1.5839999999999999E-3</v>
      </c>
      <c r="H32" s="3" t="s">
        <v>16</v>
      </c>
      <c r="K32" s="3"/>
      <c r="L32" s="3" t="s">
        <v>25</v>
      </c>
      <c r="M32" s="4">
        <f t="array" ref="M32">INDEX(lookup!B:B,MATCH(L32,lookup!A:A,0))</f>
        <v>32</v>
      </c>
      <c r="N32" s="3" t="s">
        <v>44</v>
      </c>
    </row>
    <row r="33" spans="1:14">
      <c r="A33" s="3" t="s">
        <v>14</v>
      </c>
      <c r="B33" s="3" t="str">
        <f t="shared" si="0"/>
        <v>Symptomatic patient has AFP [32]</v>
      </c>
      <c r="C33" s="3" t="s">
        <v>43</v>
      </c>
      <c r="D33" s="3">
        <v>40</v>
      </c>
      <c r="E33" s="5">
        <v>1.2800000000000001E-3</v>
      </c>
      <c r="F33" s="4">
        <f t="shared" si="1"/>
        <v>1.0240000000000002E-3</v>
      </c>
      <c r="G33" s="4">
        <f t="shared" si="2"/>
        <v>1.536E-3</v>
      </c>
      <c r="H33" s="3" t="s">
        <v>16</v>
      </c>
      <c r="K33" s="3"/>
      <c r="L33" s="3" t="s">
        <v>25</v>
      </c>
      <c r="M33" s="4">
        <f t="array" ref="M33">INDEX(lookup!B:B,MATCH(L33,lookup!A:A,0))</f>
        <v>32</v>
      </c>
      <c r="N33" s="3" t="s">
        <v>44</v>
      </c>
    </row>
    <row r="34" spans="1:14">
      <c r="A34" s="3" t="s">
        <v>14</v>
      </c>
      <c r="B34" s="3" t="str">
        <f t="shared" si="0"/>
        <v>Symptomatic patient has AFP [32]</v>
      </c>
      <c r="C34" s="3" t="s">
        <v>43</v>
      </c>
      <c r="D34" s="3">
        <v>50</v>
      </c>
      <c r="E34" s="5">
        <v>1.5399999999999999E-3</v>
      </c>
      <c r="F34" s="4">
        <f t="shared" si="1"/>
        <v>1.232E-3</v>
      </c>
      <c r="G34" s="4">
        <f t="shared" si="2"/>
        <v>1.8479999999999998E-3</v>
      </c>
      <c r="H34" s="3" t="s">
        <v>16</v>
      </c>
      <c r="K34" s="3"/>
      <c r="L34" s="3" t="s">
        <v>25</v>
      </c>
      <c r="M34" s="4">
        <f t="array" ref="M34">INDEX(lookup!B:B,MATCH(L34,lookup!A:A,0))</f>
        <v>32</v>
      </c>
      <c r="N34" s="3" t="s">
        <v>44</v>
      </c>
    </row>
    <row r="35" spans="1:14">
      <c r="A35" s="3" t="s">
        <v>14</v>
      </c>
      <c r="B35" s="3" t="str">
        <f t="shared" si="0"/>
        <v>Symptomatic patient has AFP [32]</v>
      </c>
      <c r="C35" s="3" t="s">
        <v>43</v>
      </c>
      <c r="D35" s="3">
        <v>60</v>
      </c>
      <c r="E35" s="5">
        <v>2.2799999999999999E-3</v>
      </c>
      <c r="F35" s="4">
        <f t="shared" si="1"/>
        <v>1.8240000000000001E-3</v>
      </c>
      <c r="G35" s="4">
        <f t="shared" si="2"/>
        <v>2.7359999999999997E-3</v>
      </c>
      <c r="H35" s="3" t="s">
        <v>16</v>
      </c>
      <c r="K35" s="3"/>
      <c r="L35" s="3" t="s">
        <v>25</v>
      </c>
      <c r="M35" s="4">
        <f t="array" ref="M35">INDEX(lookup!B:B,MATCH(L35,lookup!A:A,0))</f>
        <v>32</v>
      </c>
      <c r="N35" s="3" t="s">
        <v>44</v>
      </c>
    </row>
    <row r="36" spans="1:14">
      <c r="A36" s="3" t="s">
        <v>14</v>
      </c>
      <c r="B36" s="3" t="str">
        <f t="shared" si="0"/>
        <v>Symptomatic patient has AFP [32]</v>
      </c>
      <c r="C36" s="3" t="s">
        <v>43</v>
      </c>
      <c r="D36" s="3">
        <v>70</v>
      </c>
      <c r="E36" s="3">
        <v>7.5599999999999999E-3</v>
      </c>
      <c r="F36" s="4">
        <f t="shared" si="1"/>
        <v>6.0480000000000004E-3</v>
      </c>
      <c r="G36" s="4">
        <f t="shared" si="2"/>
        <v>9.0720000000000002E-3</v>
      </c>
      <c r="H36" s="3" t="s">
        <v>16</v>
      </c>
      <c r="K36" s="3"/>
      <c r="L36" s="3" t="s">
        <v>25</v>
      </c>
      <c r="M36" s="4">
        <f t="array" ref="M36">INDEX(lookup!B:B,MATCH(L36,lookup!A:A,0))</f>
        <v>32</v>
      </c>
      <c r="N36" s="3" t="s">
        <v>44</v>
      </c>
    </row>
    <row r="37" spans="1:14">
      <c r="A37" s="3" t="s">
        <v>14</v>
      </c>
      <c r="B37" s="3" t="str">
        <f t="shared" si="0"/>
        <v>Symptomatic patient has AFP [32]</v>
      </c>
      <c r="C37" s="3" t="s">
        <v>43</v>
      </c>
      <c r="D37" s="3">
        <v>80</v>
      </c>
      <c r="E37" s="5">
        <v>7.28E-3</v>
      </c>
      <c r="F37" s="4">
        <f t="shared" si="1"/>
        <v>5.8240000000000002E-3</v>
      </c>
      <c r="G37" s="4">
        <f t="shared" si="2"/>
        <v>8.735999999999999E-3</v>
      </c>
      <c r="H37" s="3" t="s">
        <v>16</v>
      </c>
      <c r="K37" s="3"/>
      <c r="L37" s="3" t="s">
        <v>25</v>
      </c>
      <c r="M37" s="4">
        <f t="array" ref="M37">INDEX(lookup!B:B,MATCH(L37,lookup!A:A,0))</f>
        <v>32</v>
      </c>
      <c r="N37" s="3" t="s">
        <v>44</v>
      </c>
    </row>
    <row r="38" spans="1:14">
      <c r="A38" s="3" t="s">
        <v>14</v>
      </c>
      <c r="B38" s="3" t="str">
        <f t="shared" si="0"/>
        <v>Death from WNV fever [32]</v>
      </c>
      <c r="C38" s="3" t="s">
        <v>45</v>
      </c>
      <c r="D38" s="3">
        <v>0</v>
      </c>
      <c r="E38" s="3">
        <v>0</v>
      </c>
      <c r="K38" s="3"/>
      <c r="L38" s="3" t="s">
        <v>25</v>
      </c>
      <c r="M38" s="4">
        <f t="array" ref="M38">INDEX(lookup!B:B,MATCH(L38,lookup!A:A,0))</f>
        <v>32</v>
      </c>
      <c r="N38" s="3" t="s">
        <v>46</v>
      </c>
    </row>
    <row r="39" spans="1:14">
      <c r="A39" s="3" t="s">
        <v>14</v>
      </c>
      <c r="B39" s="3" t="str">
        <f t="shared" si="0"/>
        <v>Death from WNV fever [32]</v>
      </c>
      <c r="C39" s="3" t="s">
        <v>45</v>
      </c>
      <c r="D39" s="3">
        <v>30</v>
      </c>
      <c r="E39" s="5">
        <v>5.9999999999999995E-4</v>
      </c>
      <c r="F39" s="4">
        <f t="shared" ref="F39:F60" si="3">E39*0.8</f>
        <v>4.7999999999999996E-4</v>
      </c>
      <c r="G39" s="4">
        <f t="shared" ref="G39:G60" si="4">E39*1.2</f>
        <v>7.1999999999999994E-4</v>
      </c>
      <c r="H39" s="3" t="s">
        <v>16</v>
      </c>
      <c r="K39" s="3"/>
      <c r="L39" s="3" t="s">
        <v>25</v>
      </c>
      <c r="M39" s="4">
        <f t="array" ref="M39">INDEX(lookup!B:B,MATCH(L39,lookup!A:A,0))</f>
        <v>32</v>
      </c>
      <c r="N39" s="3" t="s">
        <v>46</v>
      </c>
    </row>
    <row r="40" spans="1:14">
      <c r="A40" s="3" t="s">
        <v>14</v>
      </c>
      <c r="B40" s="3" t="str">
        <f t="shared" si="0"/>
        <v>Death from WNV fever [32]</v>
      </c>
      <c r="C40" s="3" t="s">
        <v>45</v>
      </c>
      <c r="D40" s="3">
        <v>40</v>
      </c>
      <c r="E40" s="5">
        <v>4.0000000000000002E-4</v>
      </c>
      <c r="F40" s="4">
        <f t="shared" si="3"/>
        <v>3.2000000000000003E-4</v>
      </c>
      <c r="G40" s="4">
        <f t="shared" si="4"/>
        <v>4.8000000000000001E-4</v>
      </c>
      <c r="H40" s="3" t="s">
        <v>16</v>
      </c>
      <c r="K40" s="3"/>
      <c r="L40" s="3" t="s">
        <v>25</v>
      </c>
      <c r="M40" s="4">
        <f t="array" ref="M40">INDEX(lookup!B:B,MATCH(L40,lookup!A:A,0))</f>
        <v>32</v>
      </c>
      <c r="N40" s="3" t="s">
        <v>46</v>
      </c>
    </row>
    <row r="41" spans="1:14">
      <c r="A41" s="3" t="s">
        <v>14</v>
      </c>
      <c r="B41" s="3" t="str">
        <f t="shared" si="0"/>
        <v>Death from WNV fever [32]</v>
      </c>
      <c r="C41" s="3" t="s">
        <v>45</v>
      </c>
      <c r="D41" s="3">
        <v>50</v>
      </c>
      <c r="E41" s="5">
        <v>2.9999999999999997E-4</v>
      </c>
      <c r="F41" s="4">
        <f t="shared" si="3"/>
        <v>2.3999999999999998E-4</v>
      </c>
      <c r="G41" s="4">
        <f t="shared" si="4"/>
        <v>3.5999999999999997E-4</v>
      </c>
      <c r="H41" s="3" t="s">
        <v>16</v>
      </c>
      <c r="K41" s="3"/>
      <c r="L41" s="3" t="s">
        <v>25</v>
      </c>
      <c r="M41" s="4">
        <f t="array" ref="M41">INDEX(lookup!B:B,MATCH(L41,lookup!A:A,0))</f>
        <v>32</v>
      </c>
      <c r="N41" s="3" t="s">
        <v>46</v>
      </c>
    </row>
    <row r="42" spans="1:14">
      <c r="A42" s="3" t="s">
        <v>14</v>
      </c>
      <c r="B42" s="3" t="str">
        <f t="shared" si="0"/>
        <v>Death from WNV fever [32]</v>
      </c>
      <c r="C42" s="3" t="s">
        <v>45</v>
      </c>
      <c r="D42" s="3">
        <v>60</v>
      </c>
      <c r="E42" s="5">
        <v>5.0000000000000001E-3</v>
      </c>
      <c r="F42" s="4">
        <f t="shared" si="3"/>
        <v>4.0000000000000001E-3</v>
      </c>
      <c r="G42" s="4">
        <f t="shared" si="4"/>
        <v>6.0000000000000001E-3</v>
      </c>
      <c r="H42" s="3" t="s">
        <v>16</v>
      </c>
      <c r="K42" s="3"/>
      <c r="L42" s="3" t="s">
        <v>25</v>
      </c>
      <c r="M42" s="4">
        <f t="array" ref="M42">INDEX(lookup!B:B,MATCH(L42,lookup!A:A,0))</f>
        <v>32</v>
      </c>
      <c r="N42" s="3" t="s">
        <v>46</v>
      </c>
    </row>
    <row r="43" spans="1:14">
      <c r="A43" s="3" t="s">
        <v>14</v>
      </c>
      <c r="B43" s="3" t="str">
        <f t="shared" si="0"/>
        <v>Death from WNV fever [32]</v>
      </c>
      <c r="C43" s="3" t="s">
        <v>45</v>
      </c>
      <c r="D43" s="3">
        <v>70</v>
      </c>
      <c r="E43" s="5">
        <v>1.6E-2</v>
      </c>
      <c r="F43" s="4">
        <f t="shared" si="3"/>
        <v>1.2800000000000001E-2</v>
      </c>
      <c r="G43" s="4">
        <f t="shared" si="4"/>
        <v>1.9199999999999998E-2</v>
      </c>
      <c r="H43" s="3" t="s">
        <v>16</v>
      </c>
      <c r="K43" s="3"/>
      <c r="L43" s="3" t="s">
        <v>25</v>
      </c>
      <c r="M43" s="4">
        <f t="array" ref="M43">INDEX(lookup!B:B,MATCH(L43,lookup!A:A,0))</f>
        <v>32</v>
      </c>
      <c r="N43" s="3" t="s">
        <v>46</v>
      </c>
    </row>
    <row r="44" spans="1:14">
      <c r="A44" s="3" t="s">
        <v>14</v>
      </c>
      <c r="B44" s="3" t="str">
        <f t="shared" si="0"/>
        <v>Death from WNV fever [32]</v>
      </c>
      <c r="C44" s="3" t="s">
        <v>45</v>
      </c>
      <c r="D44" s="3">
        <v>80</v>
      </c>
      <c r="E44" s="5">
        <v>8.2000000000000003E-2</v>
      </c>
      <c r="F44" s="4">
        <f t="shared" si="3"/>
        <v>6.5600000000000006E-2</v>
      </c>
      <c r="G44" s="4">
        <f t="shared" si="4"/>
        <v>9.8400000000000001E-2</v>
      </c>
      <c r="H44" s="3" t="s">
        <v>16</v>
      </c>
      <c r="K44" s="3"/>
      <c r="L44" s="3" t="s">
        <v>25</v>
      </c>
      <c r="M44" s="4">
        <f t="array" ref="M44">INDEX(lookup!B:B,MATCH(L44,lookup!A:A,0))</f>
        <v>32</v>
      </c>
      <c r="N44" s="3" t="s">
        <v>46</v>
      </c>
    </row>
    <row r="45" spans="1:14">
      <c r="A45" s="3" t="s">
        <v>14</v>
      </c>
      <c r="B45" s="3" t="str">
        <f t="shared" si="0"/>
        <v>Death from encephalitis [32]</v>
      </c>
      <c r="C45" s="3" t="s">
        <v>47</v>
      </c>
      <c r="D45" s="3">
        <v>0</v>
      </c>
      <c r="E45" s="5">
        <v>1.4999999999999999E-2</v>
      </c>
      <c r="F45" s="4">
        <f t="shared" si="3"/>
        <v>1.2E-2</v>
      </c>
      <c r="G45" s="4">
        <f t="shared" si="4"/>
        <v>1.7999999999999999E-2</v>
      </c>
      <c r="H45" s="3" t="s">
        <v>16</v>
      </c>
      <c r="K45" s="3"/>
      <c r="L45" s="3" t="s">
        <v>25</v>
      </c>
      <c r="M45" s="4">
        <f t="array" ref="M45">INDEX(lookup!B:B,MATCH(L45,lookup!A:A,0))</f>
        <v>32</v>
      </c>
      <c r="N45" s="3" t="s">
        <v>48</v>
      </c>
    </row>
    <row r="46" spans="1:14">
      <c r="A46" s="3" t="s">
        <v>14</v>
      </c>
      <c r="B46" s="3" t="str">
        <f t="shared" si="0"/>
        <v>Death from encephalitis [32]</v>
      </c>
      <c r="C46" s="3" t="s">
        <v>47</v>
      </c>
      <c r="D46" s="3">
        <v>20</v>
      </c>
      <c r="E46" s="5">
        <v>1.0999999999999999E-2</v>
      </c>
      <c r="F46" s="4">
        <f t="shared" si="3"/>
        <v>8.8000000000000005E-3</v>
      </c>
      <c r="G46" s="4">
        <f t="shared" si="4"/>
        <v>1.3199999999999998E-2</v>
      </c>
      <c r="H46" s="3" t="s">
        <v>16</v>
      </c>
      <c r="K46" s="3"/>
      <c r="L46" s="3" t="s">
        <v>25</v>
      </c>
      <c r="M46" s="4">
        <f t="array" ref="M46">INDEX(lookup!B:B,MATCH(L46,lookup!A:A,0))</f>
        <v>32</v>
      </c>
      <c r="N46" s="3" t="s">
        <v>48</v>
      </c>
    </row>
    <row r="47" spans="1:14">
      <c r="A47" s="3" t="s">
        <v>14</v>
      </c>
      <c r="B47" s="3" t="str">
        <f t="shared" si="0"/>
        <v>Death from encephalitis [32]</v>
      </c>
      <c r="C47" s="3" t="s">
        <v>47</v>
      </c>
      <c r="D47" s="3">
        <v>30</v>
      </c>
      <c r="E47" s="5">
        <v>1.4E-2</v>
      </c>
      <c r="F47" s="4">
        <f t="shared" si="3"/>
        <v>1.1200000000000002E-2</v>
      </c>
      <c r="G47" s="4">
        <f t="shared" si="4"/>
        <v>1.6799999999999999E-2</v>
      </c>
      <c r="H47" s="3" t="s">
        <v>16</v>
      </c>
      <c r="K47" s="3"/>
      <c r="L47" s="3" t="s">
        <v>25</v>
      </c>
      <c r="M47" s="4">
        <f t="array" ref="M47">INDEX(lookup!B:B,MATCH(L47,lookup!A:A,0))</f>
        <v>32</v>
      </c>
      <c r="N47" s="3" t="s">
        <v>48</v>
      </c>
    </row>
    <row r="48" spans="1:14">
      <c r="A48" s="3" t="s">
        <v>14</v>
      </c>
      <c r="B48" s="3" t="str">
        <f t="shared" si="0"/>
        <v>Death from encephalitis [32]</v>
      </c>
      <c r="C48" s="3" t="s">
        <v>47</v>
      </c>
      <c r="D48" s="3">
        <v>40</v>
      </c>
      <c r="E48" s="5">
        <v>4.1000000000000002E-2</v>
      </c>
      <c r="F48" s="4">
        <f t="shared" si="3"/>
        <v>3.2800000000000003E-2</v>
      </c>
      <c r="G48" s="4">
        <f t="shared" si="4"/>
        <v>4.9200000000000001E-2</v>
      </c>
      <c r="H48" s="3" t="s">
        <v>16</v>
      </c>
      <c r="K48" s="3"/>
      <c r="L48" s="3" t="s">
        <v>25</v>
      </c>
      <c r="M48" s="4">
        <f t="array" ref="M48">INDEX(lookup!B:B,MATCH(L48,lookup!A:A,0))</f>
        <v>32</v>
      </c>
      <c r="N48" s="3" t="s">
        <v>48</v>
      </c>
    </row>
    <row r="49" spans="1:14">
      <c r="A49" s="3" t="s">
        <v>14</v>
      </c>
      <c r="B49" s="3" t="str">
        <f t="shared" si="0"/>
        <v>Death from encephalitis [32]</v>
      </c>
      <c r="C49" s="3" t="s">
        <v>47</v>
      </c>
      <c r="D49" s="3">
        <v>50</v>
      </c>
      <c r="E49" s="5">
        <v>5.8000000000000003E-2</v>
      </c>
      <c r="F49" s="4">
        <f t="shared" si="3"/>
        <v>4.6400000000000004E-2</v>
      </c>
      <c r="G49" s="4">
        <f t="shared" si="4"/>
        <v>6.9599999999999995E-2</v>
      </c>
      <c r="H49" s="3" t="s">
        <v>16</v>
      </c>
      <c r="K49" s="3"/>
      <c r="L49" s="3" t="s">
        <v>25</v>
      </c>
      <c r="M49" s="4">
        <f t="array" ref="M49">INDEX(lookup!B:B,MATCH(L49,lookup!A:A,0))</f>
        <v>32</v>
      </c>
      <c r="N49" s="3" t="s">
        <v>48</v>
      </c>
    </row>
    <row r="50" spans="1:14">
      <c r="A50" s="3" t="s">
        <v>14</v>
      </c>
      <c r="B50" s="3" t="str">
        <f t="shared" si="0"/>
        <v>Death from encephalitis [32]</v>
      </c>
      <c r="C50" s="3" t="s">
        <v>47</v>
      </c>
      <c r="D50" s="3">
        <v>60</v>
      </c>
      <c r="E50" s="5">
        <v>0.108</v>
      </c>
      <c r="F50" s="4">
        <f t="shared" si="3"/>
        <v>8.6400000000000005E-2</v>
      </c>
      <c r="G50" s="4">
        <f t="shared" si="4"/>
        <v>0.12959999999999999</v>
      </c>
      <c r="H50" s="3" t="s">
        <v>16</v>
      </c>
      <c r="K50" s="3"/>
      <c r="L50" s="3" t="s">
        <v>25</v>
      </c>
      <c r="M50" s="4">
        <f t="array" ref="M50">INDEX(lookup!B:B,MATCH(L50,lookup!A:A,0))</f>
        <v>32</v>
      </c>
      <c r="N50" s="3" t="s">
        <v>48</v>
      </c>
    </row>
    <row r="51" spans="1:14">
      <c r="A51" s="3" t="s">
        <v>14</v>
      </c>
      <c r="B51" s="3" t="str">
        <f t="shared" si="0"/>
        <v>Death from encephalitis [32]</v>
      </c>
      <c r="C51" s="3" t="s">
        <v>47</v>
      </c>
      <c r="D51" s="3">
        <v>70</v>
      </c>
      <c r="E51" s="5">
        <v>0.182</v>
      </c>
      <c r="F51" s="4">
        <f t="shared" si="3"/>
        <v>0.14560000000000001</v>
      </c>
      <c r="G51" s="4">
        <f t="shared" si="4"/>
        <v>0.21839999999999998</v>
      </c>
      <c r="H51" s="3" t="s">
        <v>16</v>
      </c>
      <c r="K51" s="3"/>
      <c r="L51" s="3" t="s">
        <v>25</v>
      </c>
      <c r="M51" s="4">
        <f t="array" ref="M51">INDEX(lookup!B:B,MATCH(L51,lookup!A:A,0))</f>
        <v>32</v>
      </c>
      <c r="N51" s="3" t="s">
        <v>48</v>
      </c>
    </row>
    <row r="52" spans="1:14">
      <c r="A52" s="3" t="s">
        <v>14</v>
      </c>
      <c r="B52" s="3" t="str">
        <f t="shared" si="0"/>
        <v>Death from encephalitis [32]</v>
      </c>
      <c r="C52" s="3" t="s">
        <v>47</v>
      </c>
      <c r="D52" s="3">
        <v>80</v>
      </c>
      <c r="E52" s="5">
        <v>0.33600000000000002</v>
      </c>
      <c r="F52" s="4">
        <f t="shared" si="3"/>
        <v>0.26880000000000004</v>
      </c>
      <c r="G52" s="4">
        <f t="shared" si="4"/>
        <v>0.4032</v>
      </c>
      <c r="H52" s="3" t="s">
        <v>16</v>
      </c>
      <c r="K52" s="3"/>
      <c r="L52" s="3" t="s">
        <v>25</v>
      </c>
      <c r="M52" s="4">
        <f t="array" ref="M52">INDEX(lookup!B:B,MATCH(L52,lookup!A:A,0))</f>
        <v>32</v>
      </c>
      <c r="N52" s="3" t="s">
        <v>48</v>
      </c>
    </row>
    <row r="53" spans="1:14">
      <c r="A53" s="3" t="s">
        <v>14</v>
      </c>
      <c r="B53" s="3" t="str">
        <f t="shared" si="0"/>
        <v>Death from meningitis [32]</v>
      </c>
      <c r="C53" s="3" t="s">
        <v>49</v>
      </c>
      <c r="D53" s="3">
        <v>0</v>
      </c>
      <c r="E53" s="5">
        <v>5.0000000000000001E-3</v>
      </c>
      <c r="F53" s="4">
        <f t="shared" si="3"/>
        <v>4.0000000000000001E-3</v>
      </c>
      <c r="G53" s="4">
        <f t="shared" si="4"/>
        <v>6.0000000000000001E-3</v>
      </c>
      <c r="H53" s="3" t="s">
        <v>16</v>
      </c>
      <c r="K53" s="3"/>
      <c r="L53" s="3" t="s">
        <v>25</v>
      </c>
      <c r="M53" s="4">
        <f t="array" ref="M53">INDEX(lookup!B:B,MATCH(L53,lookup!A:A,0))</f>
        <v>32</v>
      </c>
      <c r="N53" s="3" t="s">
        <v>50</v>
      </c>
    </row>
    <row r="54" spans="1:14">
      <c r="A54" s="3" t="s">
        <v>14</v>
      </c>
      <c r="B54" s="3" t="str">
        <f t="shared" si="0"/>
        <v>Death from meningitis [32]</v>
      </c>
      <c r="C54" s="3" t="s">
        <v>49</v>
      </c>
      <c r="D54" s="3">
        <v>20</v>
      </c>
      <c r="E54" s="5">
        <v>3.0000000000000001E-3</v>
      </c>
      <c r="F54" s="4">
        <f t="shared" si="3"/>
        <v>2.4000000000000002E-3</v>
      </c>
      <c r="G54" s="4">
        <f t="shared" si="4"/>
        <v>3.5999999999999999E-3</v>
      </c>
      <c r="H54" s="3" t="s">
        <v>16</v>
      </c>
      <c r="K54" s="3"/>
      <c r="L54" s="3" t="s">
        <v>25</v>
      </c>
      <c r="M54" s="4">
        <f t="array" ref="M54">INDEX(lookup!B:B,MATCH(L54,lookup!A:A,0))</f>
        <v>32</v>
      </c>
      <c r="N54" s="3" t="s">
        <v>50</v>
      </c>
    </row>
    <row r="55" spans="1:14">
      <c r="A55" s="3" t="s">
        <v>14</v>
      </c>
      <c r="B55" s="3" t="str">
        <f t="shared" si="0"/>
        <v>Death from meningitis [32]</v>
      </c>
      <c r="C55" s="3" t="s">
        <v>49</v>
      </c>
      <c r="D55" s="3">
        <v>30</v>
      </c>
      <c r="E55" s="5">
        <v>4.0000000000000001E-3</v>
      </c>
      <c r="F55" s="4">
        <f t="shared" si="3"/>
        <v>3.2000000000000002E-3</v>
      </c>
      <c r="G55" s="4">
        <f t="shared" si="4"/>
        <v>4.7999999999999996E-3</v>
      </c>
      <c r="H55" s="3" t="s">
        <v>16</v>
      </c>
      <c r="K55" s="3"/>
      <c r="L55" s="3" t="s">
        <v>25</v>
      </c>
      <c r="M55" s="4">
        <f t="array" ref="M55">INDEX(lookup!B:B,MATCH(L55,lookup!A:A,0))</f>
        <v>32</v>
      </c>
      <c r="N55" s="3" t="s">
        <v>50</v>
      </c>
    </row>
    <row r="56" spans="1:14">
      <c r="A56" s="3" t="s">
        <v>14</v>
      </c>
      <c r="B56" s="3" t="str">
        <f t="shared" si="0"/>
        <v>Death from meningitis [32]</v>
      </c>
      <c r="C56" s="3" t="s">
        <v>49</v>
      </c>
      <c r="D56" s="3">
        <v>40</v>
      </c>
      <c r="E56" s="5">
        <v>5.0000000000000001E-3</v>
      </c>
      <c r="F56" s="4">
        <f t="shared" si="3"/>
        <v>4.0000000000000001E-3</v>
      </c>
      <c r="G56" s="4">
        <f t="shared" si="4"/>
        <v>6.0000000000000001E-3</v>
      </c>
      <c r="H56" s="3" t="s">
        <v>16</v>
      </c>
      <c r="K56" s="3"/>
      <c r="L56" s="3" t="s">
        <v>25</v>
      </c>
      <c r="M56" s="4">
        <f t="array" ref="M56">INDEX(lookup!B:B,MATCH(L56,lookup!A:A,0))</f>
        <v>32</v>
      </c>
      <c r="N56" s="3" t="s">
        <v>50</v>
      </c>
    </row>
    <row r="57" spans="1:14">
      <c r="A57" s="3" t="s">
        <v>14</v>
      </c>
      <c r="B57" s="3" t="str">
        <f t="shared" si="0"/>
        <v>Death from meningitis [32]</v>
      </c>
      <c r="C57" s="3" t="s">
        <v>49</v>
      </c>
      <c r="D57" s="3">
        <v>50</v>
      </c>
      <c r="E57" s="5">
        <v>6.0000000000000001E-3</v>
      </c>
      <c r="F57" s="4">
        <f t="shared" si="3"/>
        <v>4.8000000000000004E-3</v>
      </c>
      <c r="G57" s="4">
        <f t="shared" si="4"/>
        <v>7.1999999999999998E-3</v>
      </c>
      <c r="H57" s="3" t="s">
        <v>16</v>
      </c>
      <c r="K57" s="3"/>
      <c r="L57" s="3" t="s">
        <v>25</v>
      </c>
      <c r="M57" s="4">
        <f t="array" ref="M57">INDEX(lookup!B:B,MATCH(L57,lookup!A:A,0))</f>
        <v>32</v>
      </c>
      <c r="N57" s="3" t="s">
        <v>50</v>
      </c>
    </row>
    <row r="58" spans="1:14">
      <c r="A58" s="3" t="s">
        <v>14</v>
      </c>
      <c r="B58" s="3" t="str">
        <f t="shared" si="0"/>
        <v>Death from meningitis [32]</v>
      </c>
      <c r="C58" s="3" t="s">
        <v>49</v>
      </c>
      <c r="D58" s="3">
        <v>60</v>
      </c>
      <c r="E58" s="5">
        <v>8.0000000000000002E-3</v>
      </c>
      <c r="F58" s="4">
        <f t="shared" si="3"/>
        <v>6.4000000000000003E-3</v>
      </c>
      <c r="G58" s="4">
        <f t="shared" si="4"/>
        <v>9.5999999999999992E-3</v>
      </c>
      <c r="H58" s="3" t="s">
        <v>16</v>
      </c>
      <c r="K58" s="3"/>
      <c r="L58" s="3" t="s">
        <v>25</v>
      </c>
      <c r="M58" s="4">
        <f t="array" ref="M58">INDEX(lookup!B:B,MATCH(L58,lookup!A:A,0))</f>
        <v>32</v>
      </c>
      <c r="N58" s="3" t="s">
        <v>50</v>
      </c>
    </row>
    <row r="59" spans="1:14">
      <c r="A59" s="3" t="s">
        <v>14</v>
      </c>
      <c r="B59" s="3" t="str">
        <f t="shared" si="0"/>
        <v>Death from meningitis [32]</v>
      </c>
      <c r="C59" s="3" t="s">
        <v>49</v>
      </c>
      <c r="D59" s="3">
        <v>70</v>
      </c>
      <c r="E59" s="5">
        <v>4.4999999999999998E-2</v>
      </c>
      <c r="F59" s="4">
        <f t="shared" si="3"/>
        <v>3.5999999999999997E-2</v>
      </c>
      <c r="G59" s="4">
        <f t="shared" si="4"/>
        <v>5.3999999999999999E-2</v>
      </c>
      <c r="H59" s="3" t="s">
        <v>16</v>
      </c>
      <c r="K59" s="3"/>
      <c r="L59" s="3" t="s">
        <v>25</v>
      </c>
      <c r="M59" s="4">
        <f t="array" ref="M59">INDEX(lookup!B:B,MATCH(L59,lookup!A:A,0))</f>
        <v>32</v>
      </c>
      <c r="N59" s="3" t="s">
        <v>50</v>
      </c>
    </row>
    <row r="60" spans="1:14">
      <c r="A60" s="3" t="s">
        <v>14</v>
      </c>
      <c r="B60" s="3" t="str">
        <f t="shared" si="0"/>
        <v>Death from meningitis [32]</v>
      </c>
      <c r="C60" s="3" t="s">
        <v>49</v>
      </c>
      <c r="D60" s="3">
        <v>80</v>
      </c>
      <c r="E60" s="5">
        <v>0.157</v>
      </c>
      <c r="F60" s="4">
        <f t="shared" si="3"/>
        <v>0.12560000000000002</v>
      </c>
      <c r="G60" s="4">
        <f t="shared" si="4"/>
        <v>0.18839999999999998</v>
      </c>
      <c r="H60" s="3" t="s">
        <v>16</v>
      </c>
      <c r="K60" s="3"/>
      <c r="L60" s="3" t="s">
        <v>25</v>
      </c>
      <c r="M60" s="4">
        <f t="array" ref="M60">INDEX(lookup!B:B,MATCH(L60,lookup!A:A,0))</f>
        <v>32</v>
      </c>
      <c r="N60" s="3" t="s">
        <v>50</v>
      </c>
    </row>
    <row r="61" spans="1:14">
      <c r="A61" s="3" t="s">
        <v>14</v>
      </c>
      <c r="B61" s="3" t="str">
        <f t="shared" si="0"/>
        <v>Death from AFP [32]</v>
      </c>
      <c r="C61" s="3" t="s">
        <v>51</v>
      </c>
      <c r="D61" s="3">
        <v>0</v>
      </c>
      <c r="E61" s="3">
        <v>0</v>
      </c>
      <c r="K61" s="3"/>
      <c r="L61" s="3" t="s">
        <v>25</v>
      </c>
      <c r="M61" s="4">
        <f t="array" ref="M61">INDEX(lookup!B:B,MATCH(L61,lookup!A:A,0))</f>
        <v>32</v>
      </c>
      <c r="N61" s="3" t="s">
        <v>52</v>
      </c>
    </row>
    <row r="62" spans="1:14">
      <c r="A62" s="3" t="s">
        <v>14</v>
      </c>
      <c r="B62" s="3" t="str">
        <f t="shared" si="0"/>
        <v>Death from AFP [32]</v>
      </c>
      <c r="C62" s="3" t="s">
        <v>51</v>
      </c>
      <c r="D62" s="3">
        <v>30</v>
      </c>
      <c r="E62" s="5">
        <v>3.5999999999999997E-2</v>
      </c>
      <c r="F62" s="4">
        <f t="shared" ref="F62:F67" si="5">E62*0.8</f>
        <v>2.8799999999999999E-2</v>
      </c>
      <c r="G62" s="4">
        <f t="shared" ref="G62:G67" si="6">E62*1.2</f>
        <v>4.3199999999999995E-2</v>
      </c>
      <c r="H62" s="3" t="s">
        <v>16</v>
      </c>
      <c r="K62" s="3"/>
      <c r="L62" s="3" t="s">
        <v>25</v>
      </c>
      <c r="M62" s="4">
        <f t="array" ref="M62">INDEX(lookup!B:B,MATCH(L62,lookup!A:A,0))</f>
        <v>32</v>
      </c>
      <c r="N62" s="3" t="s">
        <v>52</v>
      </c>
    </row>
    <row r="63" spans="1:14">
      <c r="A63" s="3" t="s">
        <v>14</v>
      </c>
      <c r="B63" s="3" t="str">
        <f t="shared" si="0"/>
        <v>Death from AFP [32]</v>
      </c>
      <c r="C63" s="3" t="s">
        <v>51</v>
      </c>
      <c r="D63" s="3">
        <v>40</v>
      </c>
      <c r="E63" s="5">
        <v>6.0999999999999999E-2</v>
      </c>
      <c r="F63" s="4">
        <f t="shared" si="5"/>
        <v>4.8800000000000003E-2</v>
      </c>
      <c r="G63" s="4">
        <f t="shared" si="6"/>
        <v>7.3200000000000001E-2</v>
      </c>
      <c r="H63" s="3" t="s">
        <v>16</v>
      </c>
      <c r="K63" s="3"/>
      <c r="L63" s="3" t="s">
        <v>25</v>
      </c>
      <c r="M63" s="4">
        <f t="array" ref="M63">INDEX(lookup!B:B,MATCH(L63,lookup!A:A,0))</f>
        <v>32</v>
      </c>
      <c r="N63" s="3" t="s">
        <v>52</v>
      </c>
    </row>
    <row r="64" spans="1:14">
      <c r="A64" s="3" t="s">
        <v>14</v>
      </c>
      <c r="B64" s="3" t="str">
        <f t="shared" si="0"/>
        <v>Death from AFP [32]</v>
      </c>
      <c r="C64" s="3" t="s">
        <v>51</v>
      </c>
      <c r="D64" s="3">
        <v>50</v>
      </c>
      <c r="E64" s="5">
        <v>8.5999999999999993E-2</v>
      </c>
      <c r="F64" s="4">
        <f t="shared" si="5"/>
        <v>6.88E-2</v>
      </c>
      <c r="G64" s="4">
        <f t="shared" si="6"/>
        <v>0.10319999999999999</v>
      </c>
      <c r="H64" s="3" t="s">
        <v>16</v>
      </c>
      <c r="K64" s="3"/>
      <c r="L64" s="3" t="s">
        <v>25</v>
      </c>
      <c r="M64" s="4">
        <f t="array" ref="M64">INDEX(lookup!B:B,MATCH(L64,lookup!A:A,0))</f>
        <v>32</v>
      </c>
      <c r="N64" s="3" t="s">
        <v>52</v>
      </c>
    </row>
    <row r="65" spans="1:14">
      <c r="A65" s="3" t="s">
        <v>14</v>
      </c>
      <c r="B65" s="3" t="str">
        <f t="shared" si="0"/>
        <v>Death from AFP [32]</v>
      </c>
      <c r="C65" s="3" t="s">
        <v>51</v>
      </c>
      <c r="D65" s="3">
        <v>60</v>
      </c>
      <c r="E65" s="5">
        <v>9.0999999999999998E-2</v>
      </c>
      <c r="F65" s="4">
        <f t="shared" si="5"/>
        <v>7.2800000000000004E-2</v>
      </c>
      <c r="G65" s="4">
        <f t="shared" si="6"/>
        <v>0.10919999999999999</v>
      </c>
      <c r="H65" s="3" t="s">
        <v>16</v>
      </c>
      <c r="K65" s="3"/>
      <c r="L65" s="3" t="s">
        <v>25</v>
      </c>
      <c r="M65" s="4">
        <f t="array" ref="M65">INDEX(lookup!B:B,MATCH(L65,lookup!A:A,0))</f>
        <v>32</v>
      </c>
      <c r="N65" s="3" t="s">
        <v>52</v>
      </c>
    </row>
    <row r="66" spans="1:14">
      <c r="A66" s="3" t="s">
        <v>14</v>
      </c>
      <c r="B66" s="3" t="str">
        <f t="shared" si="0"/>
        <v>Death from AFP [32]</v>
      </c>
      <c r="C66" s="3" t="s">
        <v>51</v>
      </c>
      <c r="D66" s="3">
        <v>70</v>
      </c>
      <c r="E66" s="5">
        <v>0.19400000000000001</v>
      </c>
      <c r="F66" s="4">
        <f t="shared" si="5"/>
        <v>0.1552</v>
      </c>
      <c r="G66" s="4">
        <f t="shared" si="6"/>
        <v>0.23280000000000001</v>
      </c>
      <c r="H66" s="3" t="s">
        <v>16</v>
      </c>
      <c r="K66" s="3"/>
      <c r="L66" s="3" t="s">
        <v>25</v>
      </c>
      <c r="M66" s="4">
        <f t="array" ref="M66">INDEX(lookup!B:B,MATCH(L66,lookup!A:A,0))</f>
        <v>32</v>
      </c>
      <c r="N66" s="3" t="s">
        <v>52</v>
      </c>
    </row>
    <row r="67" spans="1:14">
      <c r="A67" s="3" t="s">
        <v>14</v>
      </c>
      <c r="B67" s="3" t="str">
        <f t="shared" si="0"/>
        <v>Death from AFP [32]</v>
      </c>
      <c r="C67" s="3" t="s">
        <v>51</v>
      </c>
      <c r="D67" s="3">
        <v>80</v>
      </c>
      <c r="E67" s="5">
        <v>0.3</v>
      </c>
      <c r="F67" s="4">
        <f t="shared" si="5"/>
        <v>0.24</v>
      </c>
      <c r="G67" s="4">
        <f t="shared" si="6"/>
        <v>0.36</v>
      </c>
      <c r="H67" s="3" t="s">
        <v>16</v>
      </c>
      <c r="K67" s="3"/>
      <c r="L67" s="3" t="s">
        <v>25</v>
      </c>
      <c r="M67" s="4">
        <f t="array" ref="M67">INDEX(lookup!B:B,MATCH(L67,lookup!A:A,0))</f>
        <v>32</v>
      </c>
      <c r="N67" s="3" t="s">
        <v>52</v>
      </c>
    </row>
    <row r="68" spans="1:14">
      <c r="A68" s="3" t="s">
        <v>53</v>
      </c>
      <c r="B68" s="3" t="str">
        <f t="shared" si="0"/>
        <v>Initial cost, WNV fever [33]</v>
      </c>
      <c r="C68" s="3" t="s">
        <v>54</v>
      </c>
      <c r="E68" s="6">
        <f>1.355328829*6955</f>
        <v>9426.3120056950011</v>
      </c>
      <c r="H68" s="3" t="s">
        <v>55</v>
      </c>
      <c r="I68" s="3">
        <v>1.7954000000000001</v>
      </c>
      <c r="J68" s="3">
        <v>3335.8</v>
      </c>
      <c r="K68" s="3">
        <v>1.3553288290000001</v>
      </c>
      <c r="L68" s="3" t="s">
        <v>56</v>
      </c>
      <c r="M68" s="4">
        <f t="array" ref="M68">INDEX(lookup!B:B,MATCH(L68,lookup!A:A,0))</f>
        <v>33</v>
      </c>
      <c r="N68" s="3" t="s">
        <v>57</v>
      </c>
    </row>
    <row r="69" spans="1:14">
      <c r="A69" s="3" t="s">
        <v>53</v>
      </c>
      <c r="B69" s="3" t="str">
        <f t="shared" si="0"/>
        <v>Initial cost, meningitis [33]</v>
      </c>
      <c r="C69" s="3" t="s">
        <v>58</v>
      </c>
      <c r="E69" s="6">
        <f>1.355328829*6961</f>
        <v>9434.443978669</v>
      </c>
      <c r="H69" s="3" t="s">
        <v>59</v>
      </c>
      <c r="I69" s="3">
        <v>3.0390000000000001</v>
      </c>
      <c r="J69" s="3">
        <v>7791.2</v>
      </c>
      <c r="K69" s="3">
        <v>1.3553288290000001</v>
      </c>
      <c r="L69" s="3" t="s">
        <v>56</v>
      </c>
      <c r="M69" s="4">
        <f t="array" ref="M69">INDEX(lookup!B:B,MATCH(L69,lookup!A:A,0))</f>
        <v>33</v>
      </c>
      <c r="N69" s="3" t="s">
        <v>60</v>
      </c>
    </row>
    <row r="70" spans="1:14">
      <c r="A70" s="3" t="s">
        <v>53</v>
      </c>
      <c r="B70" s="3" t="str">
        <f t="shared" si="0"/>
        <v>Initial cost, encephalitis [33]</v>
      </c>
      <c r="C70" s="3" t="s">
        <v>61</v>
      </c>
      <c r="E70" s="6">
        <f>1.355328829*27020</f>
        <v>36620.984959580004</v>
      </c>
      <c r="H70" s="3" t="s">
        <v>62</v>
      </c>
      <c r="I70" s="3">
        <v>2.161</v>
      </c>
      <c r="J70" s="3">
        <v>20129.3</v>
      </c>
      <c r="K70" s="3">
        <v>1.3553288290000001</v>
      </c>
      <c r="L70" s="3" t="s">
        <v>56</v>
      </c>
      <c r="M70" s="4">
        <f t="array" ref="M70">INDEX(lookup!B:B,MATCH(L70,lookup!A:A,0))</f>
        <v>33</v>
      </c>
      <c r="N70" s="3" t="s">
        <v>63</v>
      </c>
    </row>
    <row r="71" spans="1:14">
      <c r="A71" s="3" t="s">
        <v>53</v>
      </c>
      <c r="B71" s="3" t="str">
        <f t="shared" si="0"/>
        <v>Initial cost, AFP [33]</v>
      </c>
      <c r="C71" s="3" t="s">
        <v>64</v>
      </c>
      <c r="E71" s="6">
        <f>1.355328829*70186</f>
        <v>95125.10919219401</v>
      </c>
      <c r="H71" s="3" t="s">
        <v>65</v>
      </c>
      <c r="I71" s="3">
        <v>55931</v>
      </c>
      <c r="J71" s="3">
        <v>22231.8</v>
      </c>
      <c r="K71" s="3">
        <v>1.3553288290000001</v>
      </c>
      <c r="L71" s="3" t="s">
        <v>56</v>
      </c>
      <c r="M71" s="4">
        <f t="array" ref="M71">INDEX(lookup!B:B,MATCH(L71,lookup!A:A,0))</f>
        <v>33</v>
      </c>
      <c r="N71" s="3" t="s">
        <v>66</v>
      </c>
    </row>
    <row r="72" spans="1:14">
      <c r="A72" s="3" t="s">
        <v>53</v>
      </c>
      <c r="B72" s="3" t="str">
        <f t="shared" si="0"/>
        <v>Five-year cost, WNV fever [33]</v>
      </c>
      <c r="C72" s="3" t="s">
        <v>67</v>
      </c>
      <c r="E72" s="6">
        <f>1.355328829*1536</f>
        <v>2081.785081344</v>
      </c>
      <c r="H72" s="3" t="s">
        <v>68</v>
      </c>
      <c r="I72" s="3">
        <f>1/786.66</f>
        <v>1.2711972135357079E-3</v>
      </c>
      <c r="K72" s="3">
        <v>1.3553288290000001</v>
      </c>
      <c r="L72" s="3" t="s">
        <v>56</v>
      </c>
      <c r="M72" s="4">
        <f t="array" ref="M72">INDEX(lookup!B:B,MATCH(L72,lookup!A:A,0))</f>
        <v>33</v>
      </c>
      <c r="N72" s="3" t="s">
        <v>69</v>
      </c>
    </row>
    <row r="73" spans="1:14">
      <c r="A73" s="3" t="s">
        <v>53</v>
      </c>
      <c r="B73" s="3" t="str">
        <f t="shared" si="0"/>
        <v>Five-year cost, meningitis [33]</v>
      </c>
      <c r="C73" s="3" t="s">
        <v>70</v>
      </c>
      <c r="E73" s="6">
        <f>1.355328829*481</f>
        <v>651.91316674900008</v>
      </c>
      <c r="H73" s="3" t="s">
        <v>68</v>
      </c>
      <c r="I73" s="3">
        <f>1/314.07</f>
        <v>3.1840035660839943E-3</v>
      </c>
      <c r="K73" s="3">
        <v>1.3553288290000001</v>
      </c>
      <c r="L73" s="3" t="s">
        <v>56</v>
      </c>
      <c r="M73" s="4">
        <f t="array" ref="M73">INDEX(lookup!B:B,MATCH(L73,lookup!A:A,0))</f>
        <v>33</v>
      </c>
      <c r="N73" s="3" t="s">
        <v>71</v>
      </c>
    </row>
    <row r="74" spans="1:14">
      <c r="A74" s="3" t="s">
        <v>53</v>
      </c>
      <c r="B74" s="3" t="str">
        <f t="shared" si="0"/>
        <v>Five-year cost, encephalitis [33]</v>
      </c>
      <c r="C74" s="3" t="s">
        <v>72</v>
      </c>
      <c r="E74" s="6">
        <f>1.355328829*7601</f>
        <v>10301.854429229001</v>
      </c>
      <c r="H74" s="3" t="s">
        <v>68</v>
      </c>
      <c r="I74" s="3">
        <f>1/7601.4</f>
        <v>1.3155471360538849E-4</v>
      </c>
      <c r="K74" s="3">
        <v>1.3553288290000001</v>
      </c>
      <c r="L74" s="3" t="s">
        <v>56</v>
      </c>
      <c r="M74" s="4">
        <f t="array" ref="M74">INDEX(lookup!B:B,MATCH(L74,lookup!A:A,0))</f>
        <v>33</v>
      </c>
      <c r="N74" s="3" t="s">
        <v>73</v>
      </c>
    </row>
    <row r="75" spans="1:14">
      <c r="A75" s="3" t="s">
        <v>53</v>
      </c>
      <c r="B75" s="3" t="str">
        <f t="shared" si="0"/>
        <v>Five-year cost, AFP [33]</v>
      </c>
      <c r="C75" s="3" t="s">
        <v>74</v>
      </c>
      <c r="E75" s="6">
        <f>1.355328829*49163</f>
        <v>66632.031220126999</v>
      </c>
      <c r="H75" s="3" t="s">
        <v>59</v>
      </c>
      <c r="I75" s="3">
        <v>1.2627999999999999</v>
      </c>
      <c r="J75" s="3">
        <v>6182</v>
      </c>
      <c r="K75" s="3">
        <v>1.3553288290000001</v>
      </c>
      <c r="L75" s="3" t="s">
        <v>56</v>
      </c>
      <c r="M75" s="4">
        <f t="array" ref="M75">INDEX(lookup!B:B,MATCH(L75,lookup!A:A,0))</f>
        <v>33</v>
      </c>
      <c r="N75" s="3" t="s">
        <v>75</v>
      </c>
    </row>
    <row r="76" spans="1:14">
      <c r="A76" s="3" t="s">
        <v>53</v>
      </c>
      <c r="B76" s="3" t="str">
        <f t="shared" si="0"/>
        <v>Annual productivity [31]</v>
      </c>
      <c r="C76" s="3" t="s">
        <v>76</v>
      </c>
      <c r="D76" s="3">
        <v>0</v>
      </c>
      <c r="E76" s="5">
        <v>32268</v>
      </c>
      <c r="K76" s="3"/>
      <c r="L76" s="3" t="s">
        <v>77</v>
      </c>
      <c r="M76" s="4">
        <f t="array" ref="M76">INDEX(lookup!B:B,MATCH(L76,lookup!A:A,0))</f>
        <v>31</v>
      </c>
      <c r="N76" s="3" t="s">
        <v>78</v>
      </c>
    </row>
    <row r="77" spans="1:14">
      <c r="A77" s="3" t="s">
        <v>53</v>
      </c>
      <c r="B77" s="3" t="str">
        <f t="shared" si="0"/>
        <v>Annual productivity [31]</v>
      </c>
      <c r="C77" s="3" t="s">
        <v>76</v>
      </c>
      <c r="D77" s="3">
        <v>25</v>
      </c>
      <c r="E77" s="5">
        <v>74082</v>
      </c>
      <c r="K77" s="3"/>
      <c r="L77" s="3" t="s">
        <v>77</v>
      </c>
      <c r="M77" s="4">
        <f t="array" ref="M77">INDEX(lookup!B:B,MATCH(L77,lookup!A:A,0))</f>
        <v>31</v>
      </c>
      <c r="N77" s="3" t="s">
        <v>78</v>
      </c>
    </row>
    <row r="78" spans="1:14">
      <c r="A78" s="3" t="s">
        <v>53</v>
      </c>
      <c r="B78" s="3" t="str">
        <f t="shared" si="0"/>
        <v>Annual productivity [31]</v>
      </c>
      <c r="C78" s="3" t="s">
        <v>76</v>
      </c>
      <c r="D78" s="3">
        <v>35</v>
      </c>
      <c r="E78" s="5">
        <v>96581</v>
      </c>
      <c r="H78" s="7"/>
      <c r="K78" s="3"/>
      <c r="L78" s="3" t="s">
        <v>77</v>
      </c>
      <c r="M78" s="4">
        <f t="array" ref="M78">INDEX(lookup!B:B,MATCH(L78,lookup!A:A,0))</f>
        <v>31</v>
      </c>
      <c r="N78" s="3" t="s">
        <v>78</v>
      </c>
    </row>
    <row r="79" spans="1:14">
      <c r="A79" s="3" t="s">
        <v>53</v>
      </c>
      <c r="B79" s="3" t="str">
        <f t="shared" si="0"/>
        <v>Annual productivity [31]</v>
      </c>
      <c r="C79" s="3" t="s">
        <v>76</v>
      </c>
      <c r="D79" s="3">
        <v>45</v>
      </c>
      <c r="E79" s="5">
        <v>109366</v>
      </c>
      <c r="H79" s="7"/>
      <c r="K79" s="3"/>
      <c r="L79" s="3" t="s">
        <v>77</v>
      </c>
      <c r="M79" s="4">
        <f t="array" ref="M79">INDEX(lookup!B:B,MATCH(L79,lookup!A:A,0))</f>
        <v>31</v>
      </c>
      <c r="N79" s="3" t="s">
        <v>78</v>
      </c>
    </row>
    <row r="80" spans="1:14">
      <c r="A80" s="3" t="s">
        <v>53</v>
      </c>
      <c r="B80" s="3" t="str">
        <f t="shared" si="0"/>
        <v>Annual productivity [31]</v>
      </c>
      <c r="C80" s="3" t="s">
        <v>76</v>
      </c>
      <c r="D80" s="3">
        <v>55</v>
      </c>
      <c r="E80" s="5">
        <v>88342</v>
      </c>
      <c r="H80" s="7"/>
      <c r="K80" s="3"/>
      <c r="L80" s="3" t="s">
        <v>77</v>
      </c>
      <c r="M80" s="4">
        <f t="array" ref="M80">INDEX(lookup!B:B,MATCH(L80,lookup!A:A,0))</f>
        <v>31</v>
      </c>
      <c r="N80" s="3" t="s">
        <v>78</v>
      </c>
    </row>
    <row r="81" spans="1:14">
      <c r="A81" s="3" t="s">
        <v>53</v>
      </c>
      <c r="B81" s="3" t="str">
        <f t="shared" si="0"/>
        <v>Annual productivity [31]</v>
      </c>
      <c r="C81" s="3" t="s">
        <v>76</v>
      </c>
      <c r="D81" s="3">
        <v>65</v>
      </c>
      <c r="E81" s="5">
        <v>60735</v>
      </c>
      <c r="H81" s="7"/>
      <c r="K81" s="3"/>
      <c r="L81" s="3" t="s">
        <v>77</v>
      </c>
      <c r="M81" s="4">
        <f t="array" ref="M81">INDEX(lookup!B:B,MATCH(L81,lookup!A:A,0))</f>
        <v>31</v>
      </c>
      <c r="N81" s="3" t="s">
        <v>78</v>
      </c>
    </row>
    <row r="82" spans="1:14">
      <c r="A82" s="3" t="s">
        <v>53</v>
      </c>
      <c r="B82" s="3" t="str">
        <f t="shared" si="0"/>
        <v>Annual productivity [31]</v>
      </c>
      <c r="C82" s="3" t="s">
        <v>76</v>
      </c>
      <c r="D82" s="3">
        <v>75</v>
      </c>
      <c r="E82" s="5">
        <v>38786</v>
      </c>
      <c r="H82" s="7"/>
      <c r="K82" s="3"/>
      <c r="L82" s="3" t="s">
        <v>77</v>
      </c>
      <c r="M82" s="4">
        <f t="array" ref="M82">INDEX(lookup!B:B,MATCH(L82,lookup!A:A,0))</f>
        <v>31</v>
      </c>
      <c r="N82" s="3" t="s">
        <v>78</v>
      </c>
    </row>
    <row r="83" spans="1:14">
      <c r="A83" s="3" t="s">
        <v>53</v>
      </c>
      <c r="B83" s="3" t="str">
        <f t="shared" si="0"/>
        <v>Annual consumption [31]</v>
      </c>
      <c r="C83" s="3" t="s">
        <v>79</v>
      </c>
      <c r="D83" s="3">
        <v>0</v>
      </c>
      <c r="E83" s="5">
        <v>32039</v>
      </c>
      <c r="H83" s="7"/>
      <c r="K83" s="3"/>
      <c r="L83" s="3" t="s">
        <v>77</v>
      </c>
      <c r="M83" s="4">
        <f t="array" ref="M83">INDEX(lookup!B:B,MATCH(L83,lookup!A:A,0))</f>
        <v>31</v>
      </c>
      <c r="N83" s="3" t="s">
        <v>80</v>
      </c>
    </row>
    <row r="84" spans="1:14">
      <c r="A84" s="3" t="s">
        <v>53</v>
      </c>
      <c r="B84" s="3" t="str">
        <f t="shared" si="0"/>
        <v>Annual consumption [31]</v>
      </c>
      <c r="C84" s="3" t="s">
        <v>79</v>
      </c>
      <c r="D84" s="3">
        <v>25</v>
      </c>
      <c r="E84" s="5">
        <v>56457</v>
      </c>
      <c r="H84" s="7"/>
      <c r="K84" s="3"/>
      <c r="L84" s="3" t="s">
        <v>77</v>
      </c>
      <c r="M84" s="4">
        <f t="array" ref="M84">INDEX(lookup!B:B,MATCH(L84,lookup!A:A,0))</f>
        <v>31</v>
      </c>
      <c r="N84" s="3" t="s">
        <v>80</v>
      </c>
    </row>
    <row r="85" spans="1:14">
      <c r="A85" s="3" t="s">
        <v>53</v>
      </c>
      <c r="B85" s="3" t="str">
        <f t="shared" si="0"/>
        <v>Annual consumption [31]</v>
      </c>
      <c r="C85" s="3" t="s">
        <v>79</v>
      </c>
      <c r="D85" s="3">
        <v>35</v>
      </c>
      <c r="E85" s="5">
        <v>71198</v>
      </c>
      <c r="H85" s="7"/>
      <c r="K85" s="3"/>
      <c r="L85" s="3" t="s">
        <v>77</v>
      </c>
      <c r="M85" s="4">
        <f t="array" ref="M85">INDEX(lookup!B:B,MATCH(L85,lookup!A:A,0))</f>
        <v>31</v>
      </c>
      <c r="N85" s="3" t="s">
        <v>80</v>
      </c>
    </row>
    <row r="86" spans="1:14">
      <c r="A86" s="3" t="s">
        <v>53</v>
      </c>
      <c r="B86" s="3" t="str">
        <f t="shared" si="0"/>
        <v>Annual consumption [31]</v>
      </c>
      <c r="C86" s="3" t="s">
        <v>79</v>
      </c>
      <c r="D86" s="3">
        <v>45</v>
      </c>
      <c r="E86" s="5">
        <v>75387</v>
      </c>
      <c r="K86" s="3"/>
      <c r="L86" s="3" t="s">
        <v>77</v>
      </c>
      <c r="M86" s="4">
        <f t="array" ref="M86">INDEX(lookup!B:B,MATCH(L86,lookup!A:A,0))</f>
        <v>31</v>
      </c>
      <c r="N86" s="3" t="s">
        <v>80</v>
      </c>
    </row>
    <row r="87" spans="1:14">
      <c r="A87" s="3" t="s">
        <v>53</v>
      </c>
      <c r="B87" s="3" t="str">
        <f t="shared" si="0"/>
        <v>Annual consumption [31]</v>
      </c>
      <c r="C87" s="3" t="s">
        <v>79</v>
      </c>
      <c r="D87" s="3">
        <v>55</v>
      </c>
      <c r="E87" s="5">
        <v>66212</v>
      </c>
      <c r="K87" s="3"/>
      <c r="L87" s="3" t="s">
        <v>77</v>
      </c>
      <c r="M87" s="4">
        <f t="array" ref="M87">INDEX(lookup!B:B,MATCH(L87,lookup!A:A,0))</f>
        <v>31</v>
      </c>
      <c r="N87" s="3" t="s">
        <v>80</v>
      </c>
    </row>
    <row r="88" spans="1:14">
      <c r="A88" s="3" t="s">
        <v>53</v>
      </c>
      <c r="B88" s="3" t="str">
        <f t="shared" si="0"/>
        <v>Annual consumption [31]</v>
      </c>
      <c r="C88" s="3" t="s">
        <v>79</v>
      </c>
      <c r="D88" s="3">
        <v>65</v>
      </c>
      <c r="E88" s="5">
        <v>56268</v>
      </c>
      <c r="K88" s="3"/>
      <c r="L88" s="3" t="s">
        <v>77</v>
      </c>
      <c r="M88" s="4">
        <f t="array" ref="M88">INDEX(lookup!B:B,MATCH(L88,lookup!A:A,0))</f>
        <v>31</v>
      </c>
      <c r="N88" s="3" t="s">
        <v>80</v>
      </c>
    </row>
    <row r="89" spans="1:14">
      <c r="A89" s="3" t="s">
        <v>53</v>
      </c>
      <c r="B89" s="3" t="str">
        <f t="shared" si="0"/>
        <v>Annual consumption [31]</v>
      </c>
      <c r="C89" s="3" t="s">
        <v>79</v>
      </c>
      <c r="D89" s="3">
        <v>75</v>
      </c>
      <c r="E89" s="5">
        <v>43181</v>
      </c>
      <c r="L89" s="3" t="s">
        <v>77</v>
      </c>
      <c r="M89" s="4">
        <f t="array" ref="M89">INDEX(lookup!B:B,MATCH(L89,lookup!A:A,0))</f>
        <v>31</v>
      </c>
      <c r="N89" s="3" t="s">
        <v>80</v>
      </c>
    </row>
    <row r="90" spans="1:14">
      <c r="A90" s="3" t="s">
        <v>81</v>
      </c>
      <c r="B90" s="3" t="str">
        <f t="shared" si="0"/>
        <v>Baseline in transfusion survivors [32]</v>
      </c>
      <c r="C90" s="3" t="s">
        <v>82</v>
      </c>
      <c r="E90" s="3">
        <v>0.9</v>
      </c>
      <c r="F90" s="3">
        <v>0.8</v>
      </c>
      <c r="G90" s="3">
        <v>1</v>
      </c>
      <c r="H90" s="3" t="s">
        <v>16</v>
      </c>
      <c r="K90" s="3"/>
      <c r="L90" s="3" t="s">
        <v>25</v>
      </c>
      <c r="M90" s="4">
        <f t="array" ref="M90">INDEX(lookup!B:B,MATCH(L90,lookup!A:A,0))</f>
        <v>32</v>
      </c>
      <c r="N90" s="3" t="s">
        <v>83</v>
      </c>
    </row>
    <row r="91" spans="1:14">
      <c r="A91" s="3" t="s">
        <v>81</v>
      </c>
      <c r="B91" s="3" t="str">
        <f t="shared" si="0"/>
        <v>Multiplier for WNV fever [32]</v>
      </c>
      <c r="C91" s="3" t="s">
        <v>84</v>
      </c>
      <c r="E91" s="3">
        <v>0.52</v>
      </c>
      <c r="F91" s="3">
        <f>1-0.528</f>
        <v>0.47199999999999998</v>
      </c>
      <c r="G91" s="4">
        <f>1-0.432</f>
        <v>0.56800000000000006</v>
      </c>
      <c r="H91" s="3" t="s">
        <v>16</v>
      </c>
      <c r="K91" s="3"/>
      <c r="L91" s="3" t="s">
        <v>25</v>
      </c>
      <c r="M91" s="4">
        <f t="array" ref="M91">INDEX(lookup!B:B,MATCH(L91,lookup!A:A,0))</f>
        <v>32</v>
      </c>
      <c r="N91" s="3" t="s">
        <v>85</v>
      </c>
    </row>
    <row r="92" spans="1:14">
      <c r="A92" s="3" t="s">
        <v>81</v>
      </c>
      <c r="B92" s="3" t="str">
        <f t="shared" si="0"/>
        <v>Multiplier for meningitis [32]</v>
      </c>
      <c r="C92" s="3" t="s">
        <v>86</v>
      </c>
      <c r="E92" s="3">
        <v>0.39</v>
      </c>
      <c r="F92" s="4">
        <f>1-0.65</f>
        <v>0.35</v>
      </c>
      <c r="G92" s="4">
        <f>1-0.57</f>
        <v>0.43000000000000005</v>
      </c>
      <c r="H92" s="3" t="s">
        <v>16</v>
      </c>
      <c r="K92" s="3"/>
      <c r="L92" s="3" t="s">
        <v>25</v>
      </c>
      <c r="M92" s="4">
        <f t="array" ref="M92">INDEX(lookup!B:B,MATCH(L92,lookup!A:A,0))</f>
        <v>32</v>
      </c>
      <c r="N92" s="3" t="s">
        <v>87</v>
      </c>
    </row>
    <row r="93" spans="1:14">
      <c r="A93" s="3" t="s">
        <v>81</v>
      </c>
      <c r="B93" s="3" t="str">
        <f t="shared" si="0"/>
        <v>Multiplier for encephalitis [32]</v>
      </c>
      <c r="C93" s="3" t="s">
        <v>88</v>
      </c>
      <c r="E93" s="3">
        <v>0.19</v>
      </c>
      <c r="F93" s="4">
        <f>1-0.83</f>
        <v>0.17000000000000004</v>
      </c>
      <c r="G93" s="4">
        <f>1-0.79</f>
        <v>0.20999999999999996</v>
      </c>
      <c r="H93" s="3" t="s">
        <v>16</v>
      </c>
      <c r="K93" s="3"/>
      <c r="L93" s="3" t="s">
        <v>25</v>
      </c>
      <c r="M93" s="4">
        <f t="array" ref="M93">INDEX(lookup!B:B,MATCH(L93,lookup!A:A,0))</f>
        <v>32</v>
      </c>
      <c r="N93" s="8" t="s">
        <v>89</v>
      </c>
    </row>
    <row r="94" spans="1:14">
      <c r="A94" s="3" t="s">
        <v>81</v>
      </c>
      <c r="B94" s="3" t="str">
        <f t="shared" si="0"/>
        <v>Multiplier for AFP [32]</v>
      </c>
      <c r="C94" s="3" t="s">
        <v>90</v>
      </c>
      <c r="E94" s="3">
        <v>0.15</v>
      </c>
      <c r="F94" s="4">
        <f>1-0.865</f>
        <v>0.13500000000000001</v>
      </c>
      <c r="G94" s="4">
        <f>1-0.835</f>
        <v>0.16500000000000004</v>
      </c>
      <c r="H94" s="3" t="s">
        <v>16</v>
      </c>
      <c r="K94" s="3"/>
      <c r="L94" s="3" t="s">
        <v>25</v>
      </c>
      <c r="M94" s="4">
        <f t="array" ref="M94">INDEX(lookup!B:B,MATCH(L94,lookup!A:A,0))</f>
        <v>32</v>
      </c>
      <c r="N94" s="8" t="s">
        <v>91</v>
      </c>
    </row>
    <row r="95" spans="1:14">
      <c r="A95" s="3" t="s">
        <v>81</v>
      </c>
      <c r="B95" s="3" t="str">
        <f t="shared" si="0"/>
        <v>Multiplier for disability caused by WNV fever [32]</v>
      </c>
      <c r="C95" s="3" t="s">
        <v>92</v>
      </c>
      <c r="E95" s="3">
        <v>0.92</v>
      </c>
      <c r="F95" s="4">
        <f t="shared" ref="F95:F98" si="7">1-1.2*(1-E95)</f>
        <v>0.90400000000000003</v>
      </c>
      <c r="G95" s="4">
        <f t="shared" ref="G95:G98" si="8">1-0.8*(1-E95)</f>
        <v>0.93600000000000005</v>
      </c>
      <c r="H95" s="3" t="s">
        <v>16</v>
      </c>
      <c r="K95" s="3"/>
      <c r="L95" s="3" t="s">
        <v>25</v>
      </c>
      <c r="M95" s="4">
        <f t="array" ref="M95">INDEX(lookup!B:B,MATCH(L95,lookup!A:A,0))</f>
        <v>32</v>
      </c>
      <c r="N95" s="3" t="s">
        <v>93</v>
      </c>
    </row>
    <row r="96" spans="1:14">
      <c r="A96" s="3" t="s">
        <v>81</v>
      </c>
      <c r="B96" s="3" t="str">
        <f t="shared" si="0"/>
        <v>Multiplier for disability caused by meningitis [32]</v>
      </c>
      <c r="C96" s="3" t="s">
        <v>94</v>
      </c>
      <c r="E96" s="3">
        <v>0.88</v>
      </c>
      <c r="F96" s="4">
        <f t="shared" si="7"/>
        <v>0.85599999999999998</v>
      </c>
      <c r="G96" s="4">
        <f t="shared" si="8"/>
        <v>0.90400000000000003</v>
      </c>
      <c r="H96" s="3" t="s">
        <v>16</v>
      </c>
      <c r="K96" s="3"/>
      <c r="L96" s="3" t="s">
        <v>25</v>
      </c>
      <c r="M96" s="4">
        <f t="array" ref="M96">INDEX(lookup!B:B,MATCH(L96,lookup!A:A,0))</f>
        <v>32</v>
      </c>
      <c r="N96" s="3" t="s">
        <v>95</v>
      </c>
    </row>
    <row r="97" spans="1:14">
      <c r="A97" s="3" t="s">
        <v>81</v>
      </c>
      <c r="B97" s="3" t="str">
        <f t="shared" si="0"/>
        <v>Multiplier for disability caused by encephalitis [32]</v>
      </c>
      <c r="C97" s="3" t="s">
        <v>96</v>
      </c>
      <c r="E97" s="3">
        <v>0.78</v>
      </c>
      <c r="F97" s="4">
        <f t="shared" si="7"/>
        <v>0.73599999999999999</v>
      </c>
      <c r="G97" s="4">
        <f t="shared" si="8"/>
        <v>0.82400000000000007</v>
      </c>
      <c r="H97" s="3" t="s">
        <v>16</v>
      </c>
      <c r="K97" s="3"/>
      <c r="L97" s="3" t="s">
        <v>25</v>
      </c>
      <c r="M97" s="4">
        <f t="array" ref="M97">INDEX(lookup!B:B,MATCH(L97,lookup!A:A,0))</f>
        <v>32</v>
      </c>
      <c r="N97" s="3" t="s">
        <v>97</v>
      </c>
    </row>
    <row r="98" spans="1:14">
      <c r="A98" s="3" t="s">
        <v>81</v>
      </c>
      <c r="B98" s="3" t="str">
        <f t="shared" si="0"/>
        <v>Multiplier for disability caused by AFP [32]</v>
      </c>
      <c r="C98" s="3" t="s">
        <v>98</v>
      </c>
      <c r="E98" s="3">
        <v>0.68</v>
      </c>
      <c r="F98" s="4">
        <f t="shared" si="7"/>
        <v>0.6160000000000001</v>
      </c>
      <c r="G98" s="4">
        <f t="shared" si="8"/>
        <v>0.74399999999999999</v>
      </c>
      <c r="H98" s="3" t="s">
        <v>16</v>
      </c>
      <c r="K98" s="3"/>
      <c r="L98" s="3" t="s">
        <v>25</v>
      </c>
      <c r="M98" s="4">
        <f t="array" ref="M98">INDEX(lookup!B:B,MATCH(L98,lookup!A:A,0))</f>
        <v>32</v>
      </c>
      <c r="N98" s="3" t="s">
        <v>99</v>
      </c>
    </row>
    <row r="99" spans="1:14">
      <c r="A99" s="3" t="s">
        <v>100</v>
      </c>
      <c r="B99" s="3" t="str">
        <f t="shared" si="0"/>
        <v>Duration of WNV fever [32]</v>
      </c>
      <c r="C99" s="3" t="s">
        <v>101</v>
      </c>
      <c r="E99" s="3">
        <f t="shared" ref="E99:E102" si="9">AVERAGE(F99:G99)</f>
        <v>1.7750000000000002E-2</v>
      </c>
      <c r="F99" s="3">
        <v>2.7000000000000001E-3</v>
      </c>
      <c r="G99" s="3">
        <v>3.2800000000000003E-2</v>
      </c>
      <c r="H99" s="3" t="s">
        <v>16</v>
      </c>
      <c r="K99" s="3"/>
      <c r="L99" s="3" t="s">
        <v>25</v>
      </c>
      <c r="M99" s="4">
        <f t="array" ref="M99">INDEX(lookup!B:B,MATCH(L99,lookup!A:A,0))</f>
        <v>32</v>
      </c>
      <c r="N99" s="3" t="s">
        <v>102</v>
      </c>
    </row>
    <row r="100" spans="1:14">
      <c r="A100" s="3" t="s">
        <v>100</v>
      </c>
      <c r="B100" s="3" t="str">
        <f t="shared" si="0"/>
        <v>Duration of meningitis [32]</v>
      </c>
      <c r="C100" s="3" t="s">
        <v>103</v>
      </c>
      <c r="E100" s="3">
        <f t="shared" si="9"/>
        <v>1.2299999999999998E-2</v>
      </c>
      <c r="F100" s="3">
        <v>5.4999999999999997E-3</v>
      </c>
      <c r="G100" s="3">
        <v>1.9099999999999999E-2</v>
      </c>
      <c r="H100" s="3" t="s">
        <v>16</v>
      </c>
      <c r="K100" s="3"/>
      <c r="L100" s="3" t="s">
        <v>25</v>
      </c>
      <c r="M100" s="4">
        <f t="array" ref="M100">INDEX(lookup!B:B,MATCH(L100,lookup!A:A,0))</f>
        <v>32</v>
      </c>
      <c r="N100" s="3" t="s">
        <v>104</v>
      </c>
    </row>
    <row r="101" spans="1:14">
      <c r="A101" s="3" t="s">
        <v>100</v>
      </c>
      <c r="B101" s="3" t="str">
        <f t="shared" si="0"/>
        <v>Duration of encephalitis [32]</v>
      </c>
      <c r="C101" s="3" t="s">
        <v>105</v>
      </c>
      <c r="E101" s="3">
        <f t="shared" si="9"/>
        <v>7.9450000000000007E-2</v>
      </c>
      <c r="F101" s="3">
        <v>5.4999999999999997E-3</v>
      </c>
      <c r="G101" s="3">
        <v>0.15340000000000001</v>
      </c>
      <c r="H101" s="3" t="s">
        <v>16</v>
      </c>
      <c r="K101" s="3"/>
      <c r="L101" s="3" t="s">
        <v>25</v>
      </c>
      <c r="M101" s="4">
        <f t="array" ref="M101">INDEX(lookup!B:B,MATCH(L101,lookup!A:A,0))</f>
        <v>32</v>
      </c>
      <c r="N101" s="3" t="s">
        <v>106</v>
      </c>
    </row>
    <row r="102" spans="1:14">
      <c r="A102" s="3" t="s">
        <v>100</v>
      </c>
      <c r="B102" s="3" t="str">
        <f t="shared" si="0"/>
        <v>Duration of AFP [32]</v>
      </c>
      <c r="C102" s="3" t="s">
        <v>107</v>
      </c>
      <c r="E102" s="3">
        <f t="shared" si="9"/>
        <v>9.5899999999999999E-2</v>
      </c>
      <c r="F102" s="3">
        <v>5.4999999999999997E-3</v>
      </c>
      <c r="G102" s="3">
        <v>0.18629999999999999</v>
      </c>
      <c r="H102" s="3" t="s">
        <v>16</v>
      </c>
      <c r="K102" s="3"/>
      <c r="L102" s="3" t="s">
        <v>25</v>
      </c>
      <c r="M102" s="4">
        <f t="array" ref="M102">INDEX(lookup!B:B,MATCH(L102,lookup!A:A,0))</f>
        <v>32</v>
      </c>
      <c r="N102" s="3" t="s">
        <v>108</v>
      </c>
    </row>
    <row r="103" spans="1:14">
      <c r="A103" s="3" t="s">
        <v>100</v>
      </c>
      <c r="B103" s="3" t="str">
        <f t="shared" si="0"/>
        <v>Duration of disability [32]</v>
      </c>
      <c r="C103" s="3" t="s">
        <v>109</v>
      </c>
      <c r="E103" s="3">
        <v>5.5</v>
      </c>
      <c r="F103" s="4">
        <f>0.8*E103</f>
        <v>4.4000000000000004</v>
      </c>
      <c r="G103" s="4">
        <f>1.2*E103</f>
        <v>6.6</v>
      </c>
      <c r="H103" s="3" t="s">
        <v>16</v>
      </c>
      <c r="K103" s="3"/>
      <c r="L103" s="3" t="s">
        <v>25</v>
      </c>
      <c r="M103" s="4">
        <f t="array" ref="M103">INDEX(lookup!B:B,MATCH(L103,lookup!A:A,0))</f>
        <v>32</v>
      </c>
      <c r="N103" s="3" t="s">
        <v>110</v>
      </c>
    </row>
    <row r="104" spans="1:14">
      <c r="A104" s="3" t="s">
        <v>111</v>
      </c>
      <c r="B104" s="3" t="str">
        <f t="shared" si="0"/>
        <v>Annual discount rate [A]</v>
      </c>
      <c r="C104" s="3" t="s">
        <v>112</v>
      </c>
      <c r="E104" s="3">
        <v>0.03</v>
      </c>
      <c r="K104" s="3"/>
      <c r="L104" s="3" t="s">
        <v>20</v>
      </c>
      <c r="M104" s="4" t="str">
        <f t="array" ref="M104">INDEX(lookup!B:B,MATCH(L104,lookup!A:A,0))</f>
        <v>A</v>
      </c>
      <c r="N104" s="3" t="s">
        <v>113</v>
      </c>
    </row>
    <row r="105" spans="1:14">
      <c r="A105" s="3" t="s">
        <v>111</v>
      </c>
      <c r="B105" s="3" t="str">
        <f t="shared" si="0"/>
        <v>Transmissibility in RBC components [3]</v>
      </c>
      <c r="C105" s="3" t="s">
        <v>114</v>
      </c>
      <c r="E105" s="3">
        <v>1</v>
      </c>
      <c r="K105" s="3"/>
      <c r="L105" s="3" t="s">
        <v>17</v>
      </c>
      <c r="M105" s="4">
        <f t="array" ref="M105">INDEX(lookup!B:B,MATCH(L105,lookup!A:A,0))</f>
        <v>3</v>
      </c>
      <c r="N105" s="3" t="s">
        <v>115</v>
      </c>
    </row>
    <row r="106" spans="1:14">
      <c r="A106" s="3" t="s">
        <v>111</v>
      </c>
      <c r="B106" s="3" t="str">
        <f t="shared" si="0"/>
        <v>Transmissibility in PLT components [3]</v>
      </c>
      <c r="C106" s="3" t="s">
        <v>116</v>
      </c>
      <c r="E106" s="3">
        <v>1</v>
      </c>
      <c r="K106" s="3"/>
      <c r="L106" s="3" t="s">
        <v>17</v>
      </c>
      <c r="M106" s="4">
        <f t="array" ref="M106">INDEX(lookup!B:B,MATCH(L106,lookup!A:A,0))</f>
        <v>3</v>
      </c>
      <c r="N106" s="3" t="s">
        <v>117</v>
      </c>
    </row>
    <row r="107" spans="1:14">
      <c r="A107" s="3" t="s">
        <v>111</v>
      </c>
      <c r="B107" s="3" t="str">
        <f t="shared" si="0"/>
        <v>Transmissibility in FFP components [3]</v>
      </c>
      <c r="C107" s="3" t="s">
        <v>118</v>
      </c>
      <c r="E107" s="3">
        <v>1</v>
      </c>
      <c r="K107" s="3"/>
      <c r="L107" s="3" t="s">
        <v>17</v>
      </c>
      <c r="M107" s="4">
        <f t="array" ref="M107">INDEX(lookup!B:B,MATCH(L107,lookup!A:A,0))</f>
        <v>3</v>
      </c>
      <c r="N107" s="3" t="s">
        <v>119</v>
      </c>
    </row>
    <row r="108" spans="1:14">
      <c r="A108" s="3" t="s">
        <v>111</v>
      </c>
      <c r="B108" s="3" t="str">
        <f t="shared" si="0"/>
        <v>Willingness to pay per QALY threshold [34]</v>
      </c>
      <c r="C108" s="3" t="s">
        <v>120</v>
      </c>
      <c r="E108" s="3">
        <v>1000000</v>
      </c>
      <c r="L108" s="3" t="s">
        <v>121</v>
      </c>
      <c r="M108" s="4">
        <f t="array" ref="M108">INDEX(lookup!B:B,MATCH(L108,lookup!A:A,0))</f>
        <v>34</v>
      </c>
      <c r="N108" s="3" t="s">
        <v>122</v>
      </c>
    </row>
    <row r="109" spans="1:14">
      <c r="A109" s="3" t="s">
        <v>111</v>
      </c>
      <c r="B109" s="3" t="str">
        <f t="shared" si="0"/>
        <v>Red blood cell units transfused per donation [0]</v>
      </c>
      <c r="C109" s="3" t="s">
        <v>123</v>
      </c>
      <c r="E109" s="3">
        <v>0.94399999999999995</v>
      </c>
      <c r="K109" s="3"/>
      <c r="L109" s="3" t="s">
        <v>124</v>
      </c>
      <c r="M109" s="4">
        <f t="array" ref="M109">INDEX(lookup!B:B,MATCH(L109,lookup!A:A,0))</f>
        <v>0</v>
      </c>
      <c r="N109" s="3" t="s">
        <v>125</v>
      </c>
    </row>
    <row r="110" spans="1:14">
      <c r="A110" s="3" t="s">
        <v>111</v>
      </c>
      <c r="B110" s="3" t="str">
        <f t="shared" si="0"/>
        <v>Platelet units transfused per donation [0]</v>
      </c>
      <c r="C110" s="3" t="s">
        <v>126</v>
      </c>
      <c r="E110" s="3">
        <v>1.4999999999999999E-2</v>
      </c>
      <c r="K110" s="3"/>
      <c r="L110" s="3" t="s">
        <v>124</v>
      </c>
      <c r="M110" s="4">
        <f t="array" ref="M110">INDEX(lookup!B:B,MATCH(L110,lookup!A:A,0))</f>
        <v>0</v>
      </c>
      <c r="N110" s="3" t="s">
        <v>127</v>
      </c>
    </row>
    <row r="111" spans="1:14">
      <c r="A111" s="3" t="s">
        <v>111</v>
      </c>
      <c r="B111" s="3" t="str">
        <f t="shared" si="0"/>
        <v>Plasma units transfused per donation [0]</v>
      </c>
      <c r="C111" s="3" t="s">
        <v>128</v>
      </c>
      <c r="E111" s="3">
        <v>0.54100000000000004</v>
      </c>
      <c r="K111" s="3"/>
      <c r="L111" s="3" t="s">
        <v>124</v>
      </c>
      <c r="M111" s="4">
        <f t="array" ref="M111">INDEX(lookup!B:B,MATCH(L111,lookup!A:A,0))</f>
        <v>0</v>
      </c>
      <c r="N111" s="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3"/>
  <sheetViews>
    <sheetView tabSelected="1" workbookViewId="0">
      <pane ySplit="1" topLeftCell="A38" activePane="bottomLeft" state="frozen"/>
      <selection pane="bottomLeft" activeCell="N48" sqref="N48"/>
    </sheetView>
  </sheetViews>
  <sheetFormatPr defaultColWidth="14.42578125" defaultRowHeight="15.75" customHeight="1"/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s="3" t="s">
        <v>53</v>
      </c>
      <c r="B2" s="3" t="str">
        <f t="shared" ref="B2:B93" si="0">N2&amp;" ["&amp;M2&amp;"]"</f>
        <v>Annual productivity [31]</v>
      </c>
      <c r="C2" s="3" t="s">
        <v>76</v>
      </c>
      <c r="D2" s="3">
        <v>0</v>
      </c>
      <c r="E2" s="5">
        <v>32268</v>
      </c>
      <c r="K2" s="3"/>
      <c r="L2" s="3" t="s">
        <v>77</v>
      </c>
      <c r="M2" s="4">
        <f t="array" ref="M2">INDEX(lookup!B:B,MATCH(L2,lookup!A:A,0))</f>
        <v>31</v>
      </c>
      <c r="N2" s="3" t="s">
        <v>78</v>
      </c>
    </row>
    <row r="3" spans="1:14" ht="12.75">
      <c r="A3" s="3" t="s">
        <v>53</v>
      </c>
      <c r="B3" s="3" t="str">
        <f t="shared" si="0"/>
        <v>Annual productivity [31]</v>
      </c>
      <c r="C3" s="3" t="s">
        <v>76</v>
      </c>
      <c r="D3" s="3">
        <v>25</v>
      </c>
      <c r="E3" s="5">
        <v>74082</v>
      </c>
      <c r="K3" s="3"/>
      <c r="L3" s="3" t="s">
        <v>77</v>
      </c>
      <c r="M3" s="4">
        <f t="array" ref="M3">INDEX(lookup!B:B,MATCH(L3,lookup!A:A,0))</f>
        <v>31</v>
      </c>
      <c r="N3" s="3" t="s">
        <v>78</v>
      </c>
    </row>
    <row r="4" spans="1:14" ht="12.75">
      <c r="A4" s="3" t="s">
        <v>53</v>
      </c>
      <c r="B4" s="3" t="str">
        <f t="shared" si="0"/>
        <v>Annual productivity [31]</v>
      </c>
      <c r="C4" s="3" t="s">
        <v>76</v>
      </c>
      <c r="D4" s="3">
        <v>35</v>
      </c>
      <c r="E4" s="5">
        <v>96581</v>
      </c>
      <c r="K4" s="3"/>
      <c r="L4" s="3" t="s">
        <v>77</v>
      </c>
      <c r="M4" s="4">
        <f t="array" ref="M4">INDEX(lookup!B:B,MATCH(L4,lookup!A:A,0))</f>
        <v>31</v>
      </c>
      <c r="N4" s="3" t="s">
        <v>78</v>
      </c>
    </row>
    <row r="5" spans="1:14" ht="12.75">
      <c r="A5" s="3" t="s">
        <v>53</v>
      </c>
      <c r="B5" s="3" t="str">
        <f t="shared" si="0"/>
        <v>Annual productivity [31]</v>
      </c>
      <c r="C5" s="3" t="s">
        <v>76</v>
      </c>
      <c r="D5" s="3">
        <v>45</v>
      </c>
      <c r="E5" s="5">
        <v>109366</v>
      </c>
      <c r="K5" s="3"/>
      <c r="L5" s="3" t="s">
        <v>77</v>
      </c>
      <c r="M5" s="4">
        <f t="array" ref="M5">INDEX(lookup!B:B,MATCH(L5,lookup!A:A,0))</f>
        <v>31</v>
      </c>
      <c r="N5" s="3" t="s">
        <v>78</v>
      </c>
    </row>
    <row r="6" spans="1:14" ht="12.75">
      <c r="A6" s="3" t="s">
        <v>53</v>
      </c>
      <c r="B6" s="3" t="str">
        <f t="shared" si="0"/>
        <v>Annual productivity [31]</v>
      </c>
      <c r="C6" s="3" t="s">
        <v>76</v>
      </c>
      <c r="D6" s="3">
        <v>55</v>
      </c>
      <c r="E6" s="5">
        <v>88342</v>
      </c>
      <c r="K6" s="3"/>
      <c r="L6" s="3" t="s">
        <v>77</v>
      </c>
      <c r="M6" s="4">
        <f t="array" ref="M6">INDEX(lookup!B:B,MATCH(L6,lookup!A:A,0))</f>
        <v>31</v>
      </c>
      <c r="N6" s="3" t="s">
        <v>78</v>
      </c>
    </row>
    <row r="7" spans="1:14" ht="12.75">
      <c r="A7" s="3" t="s">
        <v>53</v>
      </c>
      <c r="B7" s="3" t="str">
        <f t="shared" si="0"/>
        <v>Annual productivity [31]</v>
      </c>
      <c r="C7" s="3" t="s">
        <v>76</v>
      </c>
      <c r="D7" s="3">
        <v>65</v>
      </c>
      <c r="E7" s="5">
        <v>60735</v>
      </c>
      <c r="K7" s="3"/>
      <c r="L7" s="3" t="s">
        <v>77</v>
      </c>
      <c r="M7" s="4">
        <f t="array" ref="M7">INDEX(lookup!B:B,MATCH(L7,lookup!A:A,0))</f>
        <v>31</v>
      </c>
      <c r="N7" s="3" t="s">
        <v>78</v>
      </c>
    </row>
    <row r="8" spans="1:14" ht="12.75">
      <c r="A8" s="3" t="s">
        <v>53</v>
      </c>
      <c r="B8" s="3" t="str">
        <f t="shared" si="0"/>
        <v>Annual productivity [31]</v>
      </c>
      <c r="C8" s="3" t="s">
        <v>76</v>
      </c>
      <c r="D8" s="3">
        <v>75</v>
      </c>
      <c r="E8" s="5">
        <v>38786</v>
      </c>
      <c r="K8" s="3"/>
      <c r="L8" s="3" t="s">
        <v>77</v>
      </c>
      <c r="M8" s="4">
        <f t="array" ref="M8">INDEX(lookup!B:B,MATCH(L8,lookup!A:A,0))</f>
        <v>31</v>
      </c>
      <c r="N8" s="3" t="s">
        <v>78</v>
      </c>
    </row>
    <row r="9" spans="1:14" ht="12.75">
      <c r="A9" s="3" t="s">
        <v>53</v>
      </c>
      <c r="B9" s="3" t="str">
        <f t="shared" si="0"/>
        <v>Annual consumption [31]</v>
      </c>
      <c r="C9" s="3" t="s">
        <v>79</v>
      </c>
      <c r="D9" s="3">
        <v>0</v>
      </c>
      <c r="E9" s="5">
        <v>32039</v>
      </c>
      <c r="K9" s="3"/>
      <c r="L9" s="3" t="s">
        <v>77</v>
      </c>
      <c r="M9" s="4">
        <f t="array" ref="M9">INDEX(lookup!B:B,MATCH(L9,lookup!A:A,0))</f>
        <v>31</v>
      </c>
      <c r="N9" s="3" t="s">
        <v>80</v>
      </c>
    </row>
    <row r="10" spans="1:14" ht="12.75">
      <c r="A10" s="3" t="s">
        <v>53</v>
      </c>
      <c r="B10" s="3" t="str">
        <f t="shared" si="0"/>
        <v>Annual consumption [31]</v>
      </c>
      <c r="C10" s="3" t="s">
        <v>79</v>
      </c>
      <c r="D10" s="3">
        <v>25</v>
      </c>
      <c r="E10" s="5">
        <v>56457</v>
      </c>
      <c r="K10" s="3"/>
      <c r="L10" s="3" t="s">
        <v>77</v>
      </c>
      <c r="M10" s="4">
        <f t="array" ref="M10">INDEX(lookup!B:B,MATCH(L10,lookup!A:A,0))</f>
        <v>31</v>
      </c>
      <c r="N10" s="3" t="s">
        <v>80</v>
      </c>
    </row>
    <row r="11" spans="1:14" ht="12.75">
      <c r="A11" s="3" t="s">
        <v>53</v>
      </c>
      <c r="B11" s="3" t="str">
        <f t="shared" si="0"/>
        <v>Annual consumption [31]</v>
      </c>
      <c r="C11" s="3" t="s">
        <v>79</v>
      </c>
      <c r="D11" s="3">
        <v>35</v>
      </c>
      <c r="E11" s="5">
        <v>71198</v>
      </c>
      <c r="K11" s="3"/>
      <c r="L11" s="3" t="s">
        <v>77</v>
      </c>
      <c r="M11" s="4">
        <f t="array" ref="M11">INDEX(lookup!B:B,MATCH(L11,lookup!A:A,0))</f>
        <v>31</v>
      </c>
      <c r="N11" s="3" t="s">
        <v>80</v>
      </c>
    </row>
    <row r="12" spans="1:14" ht="12.75">
      <c r="A12" s="3" t="s">
        <v>53</v>
      </c>
      <c r="B12" s="3" t="str">
        <f t="shared" si="0"/>
        <v>Annual consumption [31]</v>
      </c>
      <c r="C12" s="3" t="s">
        <v>79</v>
      </c>
      <c r="D12" s="3">
        <v>45</v>
      </c>
      <c r="E12" s="5">
        <v>75387</v>
      </c>
      <c r="K12" s="3"/>
      <c r="L12" s="3" t="s">
        <v>77</v>
      </c>
      <c r="M12" s="4">
        <f t="array" ref="M12">INDEX(lookup!B:B,MATCH(L12,lookup!A:A,0))</f>
        <v>31</v>
      </c>
      <c r="N12" s="3" t="s">
        <v>80</v>
      </c>
    </row>
    <row r="13" spans="1:14" ht="12.75">
      <c r="A13" s="3" t="s">
        <v>53</v>
      </c>
      <c r="B13" s="3" t="str">
        <f t="shared" si="0"/>
        <v>Annual consumption [31]</v>
      </c>
      <c r="C13" s="3" t="s">
        <v>79</v>
      </c>
      <c r="D13" s="3">
        <v>55</v>
      </c>
      <c r="E13" s="5">
        <v>66212</v>
      </c>
      <c r="K13" s="3"/>
      <c r="L13" s="3" t="s">
        <v>77</v>
      </c>
      <c r="M13" s="4">
        <f t="array" ref="M13">INDEX(lookup!B:B,MATCH(L13,lookup!A:A,0))</f>
        <v>31</v>
      </c>
      <c r="N13" s="3" t="s">
        <v>80</v>
      </c>
    </row>
    <row r="14" spans="1:14" ht="12.75">
      <c r="A14" s="3" t="s">
        <v>53</v>
      </c>
      <c r="B14" s="3" t="str">
        <f t="shared" si="0"/>
        <v>Annual consumption [31]</v>
      </c>
      <c r="C14" s="3" t="s">
        <v>79</v>
      </c>
      <c r="D14" s="3">
        <v>65</v>
      </c>
      <c r="E14" s="5">
        <v>56268</v>
      </c>
      <c r="K14" s="3"/>
      <c r="L14" s="3" t="s">
        <v>77</v>
      </c>
      <c r="M14" s="4">
        <f t="array" ref="M14">INDEX(lookup!B:B,MATCH(L14,lookup!A:A,0))</f>
        <v>31</v>
      </c>
      <c r="N14" s="3" t="s">
        <v>80</v>
      </c>
    </row>
    <row r="15" spans="1:14" ht="12.75">
      <c r="A15" s="3" t="s">
        <v>53</v>
      </c>
      <c r="B15" s="3" t="str">
        <f t="shared" si="0"/>
        <v>Annual consumption [31]</v>
      </c>
      <c r="C15" s="3" t="s">
        <v>79</v>
      </c>
      <c r="D15" s="3">
        <v>75</v>
      </c>
      <c r="E15" s="5">
        <v>43181</v>
      </c>
      <c r="K15" s="3"/>
      <c r="L15" s="3" t="s">
        <v>77</v>
      </c>
      <c r="M15" s="4">
        <f t="array" ref="M15">INDEX(lookup!B:B,MATCH(L15,lookup!A:A,0))</f>
        <v>31</v>
      </c>
      <c r="N15" s="3" t="s">
        <v>80</v>
      </c>
    </row>
    <row r="16" spans="1:14" ht="12.75">
      <c r="A16" s="3" t="s">
        <v>14</v>
      </c>
      <c r="B16" s="3" t="str">
        <f t="shared" si="0"/>
        <v>Zika fever [2]</v>
      </c>
      <c r="C16" s="3" t="s">
        <v>130</v>
      </c>
      <c r="E16" s="3">
        <v>0.18360000000000001</v>
      </c>
      <c r="F16" s="3">
        <v>9.5899999999999999E-2</v>
      </c>
      <c r="G16" s="3">
        <v>0.27110000000000001</v>
      </c>
      <c r="H16" s="3" t="s">
        <v>131</v>
      </c>
      <c r="K16" s="3"/>
      <c r="L16" s="3" t="s">
        <v>132</v>
      </c>
      <c r="M16" s="4">
        <f t="array" ref="M16">INDEX(lookup!B:B,MATCH(L16,lookup!A:A,0))</f>
        <v>2</v>
      </c>
      <c r="N16" s="3" t="s">
        <v>133</v>
      </c>
    </row>
    <row r="17" spans="1:14" ht="12.75">
      <c r="A17" s="3" t="s">
        <v>14</v>
      </c>
      <c r="B17" s="3" t="str">
        <f t="shared" si="0"/>
        <v>Guillain-Barré [2]</v>
      </c>
      <c r="C17" s="3" t="s">
        <v>134</v>
      </c>
      <c r="E17" s="3">
        <v>2.5700000000000001E-4</v>
      </c>
      <c r="H17" s="3" t="s">
        <v>131</v>
      </c>
      <c r="I17" s="3">
        <v>42</v>
      </c>
      <c r="J17" s="3">
        <v>163357</v>
      </c>
      <c r="K17" s="3"/>
      <c r="L17" s="3" t="s">
        <v>132</v>
      </c>
      <c r="M17" s="4">
        <f t="array" ref="M17">INDEX(lookup!B:B,MATCH(L17,lookup!A:A,0))</f>
        <v>2</v>
      </c>
      <c r="N17" s="3" t="s">
        <v>135</v>
      </c>
    </row>
    <row r="18" spans="1:14" ht="12.75">
      <c r="A18" s="3" t="s">
        <v>14</v>
      </c>
      <c r="B18" s="3" t="str">
        <f t="shared" si="0"/>
        <v>Death from Guillain-Barré [2]</v>
      </c>
      <c r="C18" s="3" t="s">
        <v>136</v>
      </c>
      <c r="E18" s="3">
        <v>2.58E-2</v>
      </c>
      <c r="H18" s="3" t="s">
        <v>131</v>
      </c>
      <c r="I18" s="3">
        <v>128</v>
      </c>
      <c r="J18" s="3">
        <v>4954</v>
      </c>
      <c r="K18" s="3"/>
      <c r="L18" s="3" t="s">
        <v>132</v>
      </c>
      <c r="M18" s="4">
        <f t="array" ref="M18">INDEX(lookup!B:B,MATCH(L18,lookup!A:A,0))</f>
        <v>2</v>
      </c>
      <c r="N18" s="3" t="s">
        <v>137</v>
      </c>
    </row>
    <row r="19" spans="1:14" ht="12.75">
      <c r="A19" s="3" t="s">
        <v>14</v>
      </c>
      <c r="B19" s="3" t="str">
        <f t="shared" si="0"/>
        <v>Permanent disability from Guillain-Barré [2]</v>
      </c>
      <c r="C19" s="3" t="s">
        <v>138</v>
      </c>
      <c r="D19" s="3">
        <v>0</v>
      </c>
      <c r="E19" s="3">
        <v>0</v>
      </c>
      <c r="K19" s="3"/>
      <c r="L19" s="3" t="s">
        <v>132</v>
      </c>
      <c r="M19" s="4">
        <f t="array" ref="M19">INDEX(lookup!B:B,MATCH(L19,lookup!A:A,0))</f>
        <v>2</v>
      </c>
      <c r="N19" s="3" t="s">
        <v>139</v>
      </c>
    </row>
    <row r="20" spans="1:14" ht="12.75">
      <c r="A20" s="3" t="s">
        <v>14</v>
      </c>
      <c r="B20" s="3" t="str">
        <f t="shared" si="0"/>
        <v>Permanent disability from Guillain-Barré [2]</v>
      </c>
      <c r="C20" s="3" t="s">
        <v>138</v>
      </c>
      <c r="D20" s="3">
        <v>15</v>
      </c>
      <c r="E20" s="3">
        <f t="shared" ref="E20:G20" si="1">0.4*E21</f>
        <v>4.8399999999999999E-2</v>
      </c>
      <c r="F20" s="3">
        <f t="shared" si="1"/>
        <v>4.1599999999999998E-2</v>
      </c>
      <c r="G20" s="3">
        <f t="shared" si="1"/>
        <v>5.4800000000000008E-2</v>
      </c>
      <c r="H20" s="3" t="s">
        <v>131</v>
      </c>
      <c r="K20" s="3"/>
      <c r="L20" s="3" t="s">
        <v>132</v>
      </c>
      <c r="M20" s="4">
        <f t="array" ref="M20">INDEX(lookup!B:B,MATCH(L20,lookup!A:A,0))</f>
        <v>2</v>
      </c>
      <c r="N20" s="3" t="s">
        <v>139</v>
      </c>
    </row>
    <row r="21" spans="1:14" ht="12.75">
      <c r="A21" s="3" t="s">
        <v>14</v>
      </c>
      <c r="B21" s="3" t="str">
        <f t="shared" si="0"/>
        <v>Permanent disability from Guillain-Barré [2]</v>
      </c>
      <c r="C21" s="3" t="s">
        <v>138</v>
      </c>
      <c r="D21" s="3">
        <v>20</v>
      </c>
      <c r="E21" s="5">
        <v>0.121</v>
      </c>
      <c r="F21" s="5">
        <v>0.104</v>
      </c>
      <c r="G21" s="5">
        <v>0.13700000000000001</v>
      </c>
      <c r="H21" s="3" t="s">
        <v>131</v>
      </c>
      <c r="K21" s="3"/>
      <c r="L21" s="3" t="s">
        <v>132</v>
      </c>
      <c r="M21" s="4">
        <f t="array" ref="M21">INDEX(lookup!B:B,MATCH(L21,lookup!A:A,0))</f>
        <v>2</v>
      </c>
      <c r="N21" s="3" t="s">
        <v>139</v>
      </c>
    </row>
    <row r="22" spans="1:14" ht="12.75">
      <c r="A22" s="3" t="s">
        <v>14</v>
      </c>
      <c r="B22" s="3" t="str">
        <f t="shared" si="0"/>
        <v>Permanent disability from Guillain-Barré [2]</v>
      </c>
      <c r="C22" s="3" t="s">
        <v>138</v>
      </c>
      <c r="D22" s="3">
        <v>35</v>
      </c>
      <c r="E22" s="5">
        <v>0.22</v>
      </c>
      <c r="F22" s="3">
        <v>0.20799999999999999</v>
      </c>
      <c r="G22" s="3">
        <v>0.23200000000000001</v>
      </c>
      <c r="H22" s="3" t="s">
        <v>131</v>
      </c>
      <c r="K22" s="3"/>
      <c r="L22" s="3" t="s">
        <v>132</v>
      </c>
      <c r="M22" s="4">
        <f t="array" ref="M22">INDEX(lookup!B:B,MATCH(L22,lookup!A:A,0))</f>
        <v>2</v>
      </c>
      <c r="N22" s="3" t="s">
        <v>139</v>
      </c>
    </row>
    <row r="23" spans="1:14" ht="12.75">
      <c r="A23" s="3" t="s">
        <v>14</v>
      </c>
      <c r="B23" s="3" t="str">
        <f t="shared" si="0"/>
        <v>Permanent disability from Guillain-Barré [2]</v>
      </c>
      <c r="C23" s="3" t="s">
        <v>138</v>
      </c>
      <c r="D23" s="3">
        <v>65</v>
      </c>
      <c r="E23" s="5">
        <v>0.48799999999999999</v>
      </c>
      <c r="F23" s="3">
        <v>0.47099999999999997</v>
      </c>
      <c r="G23" s="3">
        <v>0.505</v>
      </c>
      <c r="H23" s="3" t="s">
        <v>131</v>
      </c>
      <c r="K23" s="3"/>
      <c r="L23" s="3" t="s">
        <v>132</v>
      </c>
      <c r="M23" s="4">
        <f t="array" ref="M23">INDEX(lookup!B:B,MATCH(L23,lookup!A:A,0))</f>
        <v>2</v>
      </c>
      <c r="N23" s="3" t="s">
        <v>139</v>
      </c>
    </row>
    <row r="24" spans="1:14" ht="12.75">
      <c r="A24" s="3" t="s">
        <v>14</v>
      </c>
      <c r="B24" s="3" t="str">
        <f t="shared" si="0"/>
        <v>Penetrative sex [2]</v>
      </c>
      <c r="C24" s="3" t="s">
        <v>140</v>
      </c>
      <c r="D24" s="3">
        <v>0</v>
      </c>
      <c r="E24" s="3">
        <v>0</v>
      </c>
      <c r="K24" s="3"/>
      <c r="L24" s="3" t="s">
        <v>132</v>
      </c>
      <c r="M24" s="4">
        <f t="array" ref="M24">INDEX(lookup!B:B,MATCH(L24,lookup!A:A,0))</f>
        <v>2</v>
      </c>
      <c r="N24" s="3" t="s">
        <v>141</v>
      </c>
    </row>
    <row r="25" spans="1:14" ht="12.75">
      <c r="A25" s="3" t="s">
        <v>14</v>
      </c>
      <c r="B25" s="3" t="str">
        <f t="shared" si="0"/>
        <v>Penetrative sex [2]</v>
      </c>
      <c r="C25" s="3" t="s">
        <v>140</v>
      </c>
      <c r="D25" s="3">
        <v>10</v>
      </c>
      <c r="E25" s="5">
        <v>1.6E-2</v>
      </c>
      <c r="F25" s="3">
        <v>9.7199999999999995E-3</v>
      </c>
      <c r="G25" s="3">
        <v>2.7320000000000001E-2</v>
      </c>
      <c r="H25" s="3" t="s">
        <v>131</v>
      </c>
      <c r="K25" s="3"/>
      <c r="L25" s="3" t="s">
        <v>132</v>
      </c>
      <c r="M25" s="4">
        <f t="array" ref="M25">INDEX(lookup!B:B,MATCH(L25,lookup!A:A,0))</f>
        <v>2</v>
      </c>
      <c r="N25" s="3" t="s">
        <v>141</v>
      </c>
    </row>
    <row r="26" spans="1:14" ht="12.75">
      <c r="A26" s="3" t="s">
        <v>14</v>
      </c>
      <c r="B26" s="3" t="str">
        <f t="shared" si="0"/>
        <v>Penetrative sex [2]</v>
      </c>
      <c r="C26" s="3" t="s">
        <v>140</v>
      </c>
      <c r="D26" s="3">
        <v>15</v>
      </c>
      <c r="E26" s="5">
        <v>0.21351999999999999</v>
      </c>
      <c r="F26" s="3">
        <v>0.14813999999999999</v>
      </c>
      <c r="G26" s="3">
        <v>0.30974000000000002</v>
      </c>
      <c r="H26" s="3" t="s">
        <v>131</v>
      </c>
      <c r="K26" s="3"/>
      <c r="L26" s="3" t="s">
        <v>132</v>
      </c>
      <c r="M26" s="4">
        <f t="array" ref="M26">INDEX(lookup!B:B,MATCH(L26,lookup!A:A,0))</f>
        <v>2</v>
      </c>
      <c r="N26" s="3" t="s">
        <v>141</v>
      </c>
    </row>
    <row r="27" spans="1:14" ht="12.75">
      <c r="A27" s="3" t="s">
        <v>14</v>
      </c>
      <c r="B27" s="3" t="str">
        <f t="shared" si="0"/>
        <v>Penetrative sex [2]</v>
      </c>
      <c r="C27" s="3" t="s">
        <v>140</v>
      </c>
      <c r="D27" s="3">
        <v>20</v>
      </c>
      <c r="E27" s="9">
        <v>0.53239999999999998</v>
      </c>
      <c r="F27" s="3">
        <v>0.46050000000000002</v>
      </c>
      <c r="G27" s="3">
        <v>0.62080000000000002</v>
      </c>
      <c r="H27" s="3" t="s">
        <v>131</v>
      </c>
      <c r="K27" s="3"/>
      <c r="L27" s="3" t="s">
        <v>132</v>
      </c>
      <c r="M27" s="4">
        <f t="array" ref="M27">INDEX(lookup!B:B,MATCH(L27,lookup!A:A,0))</f>
        <v>2</v>
      </c>
      <c r="N27" s="3" t="s">
        <v>141</v>
      </c>
    </row>
    <row r="28" spans="1:14" ht="15.75" customHeight="1">
      <c r="A28" s="3" t="s">
        <v>14</v>
      </c>
      <c r="B28" s="3" t="str">
        <f t="shared" si="0"/>
        <v>Penetrative sex [2]</v>
      </c>
      <c r="C28" s="3" t="s">
        <v>140</v>
      </c>
      <c r="D28" s="3">
        <v>25</v>
      </c>
      <c r="E28" s="9">
        <v>0.76459999999999995</v>
      </c>
      <c r="F28" s="10">
        <v>0.72219999999999995</v>
      </c>
      <c r="G28" s="3">
        <v>0.83030000000000004</v>
      </c>
      <c r="H28" s="3" t="s">
        <v>131</v>
      </c>
      <c r="K28" s="3"/>
      <c r="L28" s="3" t="s">
        <v>132</v>
      </c>
      <c r="M28" s="4">
        <f t="array" ref="M28">INDEX(lookup!B:B,MATCH(L28,lookup!A:A,0))</f>
        <v>2</v>
      </c>
      <c r="N28" s="3" t="s">
        <v>141</v>
      </c>
    </row>
    <row r="29" spans="1:14" ht="12.75">
      <c r="A29" s="3" t="s">
        <v>14</v>
      </c>
      <c r="B29" s="3" t="str">
        <f t="shared" si="0"/>
        <v>Penetrative sex [2]</v>
      </c>
      <c r="C29" s="3" t="s">
        <v>140</v>
      </c>
      <c r="D29" s="3">
        <v>30</v>
      </c>
      <c r="E29" s="9">
        <v>0.72719999999999996</v>
      </c>
      <c r="F29" s="3">
        <v>0.68169999999999997</v>
      </c>
      <c r="G29" s="3">
        <v>0.7853</v>
      </c>
      <c r="H29" s="3" t="s">
        <v>131</v>
      </c>
      <c r="K29" s="3"/>
      <c r="L29" s="3" t="s">
        <v>132</v>
      </c>
      <c r="M29" s="4">
        <f t="array" ref="M29">INDEX(lookup!B:B,MATCH(L29,lookup!A:A,0))</f>
        <v>2</v>
      </c>
      <c r="N29" s="3" t="s">
        <v>141</v>
      </c>
    </row>
    <row r="30" spans="1:14" ht="12.75">
      <c r="A30" s="3" t="s">
        <v>14</v>
      </c>
      <c r="B30" s="3" t="str">
        <f t="shared" si="0"/>
        <v>Penetrative sex [2]</v>
      </c>
      <c r="C30" s="3" t="s">
        <v>140</v>
      </c>
      <c r="D30" s="3">
        <v>40</v>
      </c>
      <c r="E30" s="9">
        <v>0.62439999999999996</v>
      </c>
      <c r="F30" s="3">
        <v>0.58260000000000001</v>
      </c>
      <c r="G30" s="3">
        <v>0.68140000000000001</v>
      </c>
      <c r="H30" s="3" t="s">
        <v>131</v>
      </c>
      <c r="K30" s="3"/>
      <c r="L30" s="3" t="s">
        <v>132</v>
      </c>
      <c r="M30" s="4">
        <f t="array" ref="M30">INDEX(lookup!B:B,MATCH(L30,lookup!A:A,0))</f>
        <v>2</v>
      </c>
      <c r="N30" s="3" t="s">
        <v>141</v>
      </c>
    </row>
    <row r="31" spans="1:14" ht="12.75">
      <c r="A31" s="3" t="s">
        <v>14</v>
      </c>
      <c r="B31" s="3" t="str">
        <f t="shared" si="0"/>
        <v>Penetrative sex [2]</v>
      </c>
      <c r="C31" s="3" t="s">
        <v>140</v>
      </c>
      <c r="D31" s="3">
        <v>50</v>
      </c>
      <c r="E31" s="9">
        <v>0.4476</v>
      </c>
      <c r="F31" s="3">
        <v>0.40200000000000002</v>
      </c>
      <c r="G31" s="3">
        <v>0.50319999999999998</v>
      </c>
      <c r="H31" s="3" t="s">
        <v>131</v>
      </c>
      <c r="K31" s="3"/>
      <c r="L31" s="3" t="s">
        <v>132</v>
      </c>
      <c r="M31" s="4">
        <f t="array" ref="M31">INDEX(lookup!B:B,MATCH(L31,lookup!A:A,0))</f>
        <v>2</v>
      </c>
      <c r="N31" s="3" t="s">
        <v>141</v>
      </c>
    </row>
    <row r="32" spans="1:14" ht="12.75">
      <c r="A32" s="3" t="s">
        <v>14</v>
      </c>
      <c r="B32" s="3" t="str">
        <f t="shared" si="0"/>
        <v>Penetrative sex [2]</v>
      </c>
      <c r="C32" s="3" t="s">
        <v>140</v>
      </c>
      <c r="D32" s="3">
        <v>60</v>
      </c>
      <c r="E32" s="9">
        <v>0.39739999999999998</v>
      </c>
      <c r="F32" s="3">
        <v>0.34420000000000001</v>
      </c>
      <c r="G32" s="3">
        <v>0.46529999999999999</v>
      </c>
      <c r="H32" s="3" t="s">
        <v>131</v>
      </c>
      <c r="K32" s="3"/>
      <c r="L32" s="3" t="s">
        <v>132</v>
      </c>
      <c r="M32" s="4">
        <f t="array" ref="M32">INDEX(lookup!B:B,MATCH(L32,lookup!A:A,0))</f>
        <v>2</v>
      </c>
      <c r="N32" s="3" t="s">
        <v>141</v>
      </c>
    </row>
    <row r="33" spans="1:14" ht="12.75">
      <c r="A33" s="3" t="s">
        <v>14</v>
      </c>
      <c r="B33" s="3" t="str">
        <f t="shared" si="0"/>
        <v>Penetrative sex [2]</v>
      </c>
      <c r="C33" s="3" t="s">
        <v>140</v>
      </c>
      <c r="D33" s="3">
        <v>70</v>
      </c>
      <c r="E33" s="9">
        <v>0.28199999999999997</v>
      </c>
      <c r="F33" s="3">
        <v>0.221</v>
      </c>
      <c r="G33" s="3">
        <v>0.35949999999999999</v>
      </c>
      <c r="H33" s="3" t="s">
        <v>131</v>
      </c>
      <c r="K33" s="3"/>
      <c r="L33" s="3" t="s">
        <v>132</v>
      </c>
      <c r="M33" s="4">
        <f t="array" ref="M33">INDEX(lookup!B:B,MATCH(L33,lookup!A:A,0))</f>
        <v>2</v>
      </c>
      <c r="N33" s="3" t="s">
        <v>141</v>
      </c>
    </row>
    <row r="34" spans="1:14" ht="12.75">
      <c r="A34" s="3" t="s">
        <v>14</v>
      </c>
      <c r="B34" s="3" t="str">
        <f t="shared" si="0"/>
        <v>Transmission from penetrative sex [2]</v>
      </c>
      <c r="C34" s="3" t="s">
        <v>142</v>
      </c>
      <c r="E34" s="3">
        <v>0.1</v>
      </c>
      <c r="F34" s="3">
        <v>0.01</v>
      </c>
      <c r="G34" s="3">
        <v>0.2</v>
      </c>
      <c r="H34" s="3" t="s">
        <v>16</v>
      </c>
      <c r="K34" s="3"/>
      <c r="L34" s="3" t="s">
        <v>132</v>
      </c>
      <c r="M34" s="4">
        <f t="array" ref="M34">INDEX(lookup!B:B,MATCH(L34,lookup!A:A,0))</f>
        <v>2</v>
      </c>
      <c r="N34" s="3" t="s">
        <v>143</v>
      </c>
    </row>
    <row r="35" spans="1:14" ht="12.75">
      <c r="A35" s="3" t="s">
        <v>14</v>
      </c>
      <c r="B35" s="3" t="str">
        <f t="shared" si="0"/>
        <v>Congenital Zika syndrome [2]</v>
      </c>
      <c r="C35" s="3" t="s">
        <v>144</v>
      </c>
      <c r="E35" s="3">
        <v>3.4299999999999997E-2</v>
      </c>
      <c r="F35" s="3">
        <v>9.4999999999999998E-3</v>
      </c>
      <c r="G35" s="3">
        <v>0.19500000000000001</v>
      </c>
      <c r="H35" s="3" t="s">
        <v>131</v>
      </c>
      <c r="K35" s="3"/>
      <c r="L35" s="3" t="s">
        <v>132</v>
      </c>
      <c r="M35" s="4">
        <f t="array" ref="M35">INDEX(lookup!B:B,MATCH(L35,lookup!A:A,0))</f>
        <v>2</v>
      </c>
      <c r="N35" s="3" t="s">
        <v>145</v>
      </c>
    </row>
    <row r="36" spans="1:14" ht="12.75">
      <c r="A36" s="3" t="s">
        <v>14</v>
      </c>
      <c r="B36" s="3" t="str">
        <f t="shared" si="0"/>
        <v>Stillbirth after congenital transmission [2]</v>
      </c>
      <c r="C36" s="3" t="s">
        <v>146</v>
      </c>
      <c r="E36" s="3">
        <v>7.0000000000000007E-2</v>
      </c>
      <c r="F36" s="3">
        <v>5.3999999999999999E-2</v>
      </c>
      <c r="G36" s="3">
        <v>8.4000000000000005E-2</v>
      </c>
      <c r="H36" s="3" t="s">
        <v>16</v>
      </c>
      <c r="K36" s="3"/>
      <c r="L36" s="3" t="s">
        <v>132</v>
      </c>
      <c r="M36" s="4">
        <f t="array" ref="M36">INDEX(lookup!B:B,MATCH(L36,lookup!A:A,0))</f>
        <v>2</v>
      </c>
      <c r="N36" s="3" t="s">
        <v>147</v>
      </c>
    </row>
    <row r="37" spans="1:14" ht="12.75">
      <c r="A37" s="3" t="s">
        <v>53</v>
      </c>
      <c r="B37" s="3" t="str">
        <f t="shared" si="0"/>
        <v>True positive test result [2]</v>
      </c>
      <c r="C37" s="3" t="s">
        <v>148</v>
      </c>
      <c r="E37" s="3">
        <f t="shared" ref="E37:E38" si="2">85*1.08</f>
        <v>91.800000000000011</v>
      </c>
      <c r="F37" s="4">
        <f t="shared" ref="F37:F38" si="3">70*1.08</f>
        <v>75.600000000000009</v>
      </c>
      <c r="G37" s="4">
        <f t="shared" ref="G37:G38" si="4">100*1.08</f>
        <v>108</v>
      </c>
      <c r="H37" s="3" t="s">
        <v>16</v>
      </c>
      <c r="K37" s="3"/>
      <c r="L37" s="3" t="s">
        <v>132</v>
      </c>
      <c r="M37" s="4">
        <f t="array" ref="M37">INDEX(lookup!B:B,MATCH(L37,lookup!A:A,0))</f>
        <v>2</v>
      </c>
      <c r="N37" s="3" t="s">
        <v>149</v>
      </c>
    </row>
    <row r="38" spans="1:14" ht="12.75">
      <c r="A38" s="3" t="s">
        <v>53</v>
      </c>
      <c r="B38" s="3" t="str">
        <f t="shared" si="0"/>
        <v>False positive test result [2]</v>
      </c>
      <c r="C38" s="3" t="s">
        <v>150</v>
      </c>
      <c r="E38" s="3">
        <f t="shared" si="2"/>
        <v>91.800000000000011</v>
      </c>
      <c r="F38" s="4">
        <f t="shared" si="3"/>
        <v>75.600000000000009</v>
      </c>
      <c r="G38" s="4">
        <f t="shared" si="4"/>
        <v>108</v>
      </c>
      <c r="H38" s="3" t="s">
        <v>16</v>
      </c>
      <c r="K38" s="3"/>
      <c r="L38" s="3" t="s">
        <v>132</v>
      </c>
      <c r="M38" s="4">
        <f t="array" ref="M38">INDEX(lookup!B:B,MATCH(L38,lookup!A:A,0))</f>
        <v>2</v>
      </c>
      <c r="N38" s="3" t="s">
        <v>151</v>
      </c>
    </row>
    <row r="39" spans="1:14" ht="12.75">
      <c r="A39" s="3" t="s">
        <v>53</v>
      </c>
      <c r="B39" s="3" t="str">
        <f t="shared" si="0"/>
        <v>Zika fever in recipient (hospitalized) [2]</v>
      </c>
      <c r="C39" s="3" t="s">
        <v>152</v>
      </c>
      <c r="E39" s="4">
        <f>1257.24*1.08</f>
        <v>1357.8192000000001</v>
      </c>
      <c r="F39" s="3">
        <f>221.24*1.08</f>
        <v>238.93920000000003</v>
      </c>
      <c r="G39" s="3">
        <f>2293.24*1.08</f>
        <v>2476.6992</v>
      </c>
      <c r="H39" s="3" t="s">
        <v>55</v>
      </c>
      <c r="K39" s="3"/>
      <c r="L39" s="3" t="s">
        <v>132</v>
      </c>
      <c r="M39" s="4">
        <f t="array" ref="M39">INDEX(lookup!B:B,MATCH(L39,lookup!A:A,0))</f>
        <v>2</v>
      </c>
      <c r="N39" s="3" t="s">
        <v>153</v>
      </c>
    </row>
    <row r="40" spans="1:14" ht="12.75">
      <c r="A40" s="3" t="s">
        <v>53</v>
      </c>
      <c r="B40" s="3" t="str">
        <f t="shared" si="0"/>
        <v>Zika fever in partner (non-hospitalized) [2]</v>
      </c>
      <c r="C40" s="3" t="s">
        <v>154</v>
      </c>
      <c r="E40" s="4">
        <f>100.97*1.08</f>
        <v>109.0476</v>
      </c>
      <c r="F40" s="4">
        <f>51.52*1.08</f>
        <v>55.641600000000004</v>
      </c>
      <c r="G40" s="4">
        <f>152.49*1.08</f>
        <v>164.68920000000003</v>
      </c>
      <c r="H40" s="3" t="s">
        <v>55</v>
      </c>
      <c r="K40" s="3"/>
      <c r="L40" s="3" t="s">
        <v>132</v>
      </c>
      <c r="M40" s="4">
        <f t="array" ref="M40">INDEX(lookup!B:B,MATCH(L40,lookup!A:A,0))</f>
        <v>2</v>
      </c>
      <c r="N40" s="3" t="s">
        <v>155</v>
      </c>
    </row>
    <row r="41" spans="1:14" ht="12.75">
      <c r="A41" s="3" t="s">
        <v>53</v>
      </c>
      <c r="B41" s="3" t="str">
        <f t="shared" si="0"/>
        <v>Guillain-Barré [2]</v>
      </c>
      <c r="C41" s="3" t="s">
        <v>156</v>
      </c>
      <c r="E41" s="4">
        <f>57107*1.08</f>
        <v>61675.560000000005</v>
      </c>
      <c r="F41" s="4">
        <f>47223*1.08</f>
        <v>51000.840000000004</v>
      </c>
      <c r="G41" s="4">
        <f>66992*1.08</f>
        <v>72351.360000000001</v>
      </c>
      <c r="H41" s="3" t="s">
        <v>55</v>
      </c>
      <c r="K41" s="3"/>
      <c r="L41" s="3" t="s">
        <v>132</v>
      </c>
      <c r="M41" s="4">
        <f t="array" ref="M41">INDEX(lookup!B:B,MATCH(L41,lookup!A:A,0))</f>
        <v>2</v>
      </c>
      <c r="N41" s="3" t="s">
        <v>135</v>
      </c>
    </row>
    <row r="42" spans="1:14" ht="12.75">
      <c r="A42" s="3" t="s">
        <v>53</v>
      </c>
      <c r="B42" s="3" t="str">
        <f t="shared" si="0"/>
        <v>Permanent disability from Guillain-Barré [2]</v>
      </c>
      <c r="C42" s="3" t="s">
        <v>157</v>
      </c>
      <c r="E42" s="4">
        <f>35721.83*1.08</f>
        <v>38579.576400000005</v>
      </c>
      <c r="F42" s="4">
        <f t="shared" ref="F42:F43" si="5">E42*0.8</f>
        <v>30863.661120000004</v>
      </c>
      <c r="G42" s="4">
        <f t="shared" ref="G42:G43" si="6">E42*1.2</f>
        <v>46295.491680000006</v>
      </c>
      <c r="H42" s="3" t="s">
        <v>16</v>
      </c>
      <c r="K42" s="3"/>
      <c r="L42" s="3" t="s">
        <v>132</v>
      </c>
      <c r="M42" s="4">
        <f t="array" ref="M42">INDEX(lookup!B:B,MATCH(L42,lookup!A:A,0))</f>
        <v>2</v>
      </c>
      <c r="N42" s="3" t="s">
        <v>139</v>
      </c>
    </row>
    <row r="43" spans="1:14" ht="12.75">
      <c r="A43" s="3" t="s">
        <v>53</v>
      </c>
      <c r="B43" s="3" t="str">
        <f t="shared" si="0"/>
        <v>Death from Guillain-Barré [2]</v>
      </c>
      <c r="C43" s="3" t="s">
        <v>158</v>
      </c>
      <c r="E43" s="4">
        <f>67107*1.08</f>
        <v>72475.56</v>
      </c>
      <c r="F43" s="4">
        <f t="shared" si="5"/>
        <v>57980.448000000004</v>
      </c>
      <c r="G43" s="4">
        <f t="shared" si="6"/>
        <v>86970.671999999991</v>
      </c>
      <c r="H43" s="3" t="s">
        <v>16</v>
      </c>
      <c r="K43" s="3"/>
      <c r="L43" s="3" t="s">
        <v>132</v>
      </c>
      <c r="M43" s="4">
        <f t="array" ref="M43">INDEX(lookup!B:B,MATCH(L43,lookup!A:A,0))</f>
        <v>2</v>
      </c>
      <c r="N43" s="3" t="s">
        <v>137</v>
      </c>
    </row>
    <row r="44" spans="1:14" ht="12.75">
      <c r="A44" s="3" t="s">
        <v>53</v>
      </c>
      <c r="B44" s="3" t="str">
        <f t="shared" si="0"/>
        <v>Normal delivery [2]</v>
      </c>
      <c r="C44" s="3" t="s">
        <v>159</v>
      </c>
      <c r="E44" s="4">
        <f>23505.9*1.08</f>
        <v>25386.372000000003</v>
      </c>
      <c r="F44" s="11">
        <v>18803</v>
      </c>
      <c r="G44" s="3">
        <v>28205.599999999999</v>
      </c>
      <c r="H44" s="3" t="s">
        <v>16</v>
      </c>
      <c r="K44" s="3"/>
      <c r="L44" s="3" t="s">
        <v>132</v>
      </c>
      <c r="M44" s="4">
        <f t="array" ref="M44">INDEX(lookup!B:B,MATCH(L44,lookup!A:A,0))</f>
        <v>2</v>
      </c>
      <c r="N44" s="3" t="s">
        <v>160</v>
      </c>
    </row>
    <row r="45" spans="1:14" ht="12.75">
      <c r="A45" s="3" t="s">
        <v>53</v>
      </c>
      <c r="B45" s="3" t="str">
        <f t="shared" si="0"/>
        <v>Infant testing [2]</v>
      </c>
      <c r="C45" s="3" t="s">
        <v>161</v>
      </c>
      <c r="E45" s="4">
        <f>224.8*1.08</f>
        <v>242.78400000000002</v>
      </c>
      <c r="F45" s="4">
        <f>180*1.08</f>
        <v>194.4</v>
      </c>
      <c r="G45" s="4">
        <f>270*1.08</f>
        <v>291.60000000000002</v>
      </c>
      <c r="H45" s="3" t="s">
        <v>16</v>
      </c>
      <c r="K45" s="3"/>
      <c r="L45" s="3" t="s">
        <v>132</v>
      </c>
      <c r="M45" s="4">
        <f t="array" ref="M45">INDEX(lookup!B:B,MATCH(L45,lookup!A:A,0))</f>
        <v>2</v>
      </c>
      <c r="N45" s="3" t="s">
        <v>162</v>
      </c>
    </row>
    <row r="46" spans="1:14" ht="12.75">
      <c r="A46" s="3" t="s">
        <v>53</v>
      </c>
      <c r="B46" s="3" t="str">
        <f t="shared" si="0"/>
        <v>Mother testing [2]</v>
      </c>
      <c r="C46" s="3" t="s">
        <v>163</v>
      </c>
      <c r="E46" s="4">
        <f>467.6*1.08</f>
        <v>505.00800000000004</v>
      </c>
      <c r="F46" s="4">
        <f>373.9*1.08</f>
        <v>403.81200000000001</v>
      </c>
      <c r="G46" s="4">
        <f>561.4*1.08</f>
        <v>606.31200000000001</v>
      </c>
      <c r="H46" s="3" t="s">
        <v>16</v>
      </c>
      <c r="K46" s="3"/>
      <c r="L46" s="3" t="s">
        <v>132</v>
      </c>
      <c r="M46" s="4">
        <f t="array" ref="M46">INDEX(lookup!B:B,MATCH(L46,lookup!A:A,0))</f>
        <v>2</v>
      </c>
      <c r="N46" s="3" t="s">
        <v>164</v>
      </c>
    </row>
    <row r="47" spans="1:14" ht="12.75">
      <c r="A47" s="3" t="s">
        <v>53</v>
      </c>
      <c r="B47" s="3" t="str">
        <f t="shared" si="0"/>
        <v>Stillbirth [2]</v>
      </c>
      <c r="C47" s="3" t="s">
        <v>165</v>
      </c>
      <c r="E47" s="4">
        <f>6152.6*1.08</f>
        <v>6644.8080000000009</v>
      </c>
      <c r="F47" s="4">
        <f>4922*1.08</f>
        <v>5315.76</v>
      </c>
      <c r="G47" s="4">
        <f>7382*1.08</f>
        <v>7972.56</v>
      </c>
      <c r="H47" s="3" t="s">
        <v>16</v>
      </c>
      <c r="K47" s="3"/>
      <c r="L47" s="3" t="s">
        <v>132</v>
      </c>
      <c r="M47" s="4">
        <f t="array" ref="M47">INDEX(lookup!B:B,MATCH(L47,lookup!A:A,0))</f>
        <v>2</v>
      </c>
      <c r="N47" s="3" t="s">
        <v>166</v>
      </c>
    </row>
    <row r="48" spans="1:14" ht="12.75">
      <c r="A48" s="3" t="s">
        <v>53</v>
      </c>
      <c r="B48" s="3" t="str">
        <f>N48&amp;" ["&amp;M48&amp;"]"</f>
        <v>Delivery with congenital Zika syndrome [2]</v>
      </c>
      <c r="C48" s="3" t="s">
        <v>167</v>
      </c>
      <c r="E48" s="4">
        <f>24196.1*1.08</f>
        <v>26131.788</v>
      </c>
      <c r="F48" s="4">
        <f>19356.9*1.08</f>
        <v>20905.452000000001</v>
      </c>
      <c r="G48" s="4">
        <f>29035.3*1.08</f>
        <v>31358.124</v>
      </c>
      <c r="H48" s="3" t="s">
        <v>16</v>
      </c>
      <c r="K48" s="3"/>
      <c r="L48" s="3" t="s">
        <v>132</v>
      </c>
      <c r="M48" s="4">
        <f t="array" ref="M48">INDEX(lookup!B:B,MATCH(L48,lookup!A:A,0))</f>
        <v>2</v>
      </c>
      <c r="N48" s="3" t="s">
        <v>697</v>
      </c>
    </row>
    <row r="49" spans="1:14" ht="12.75">
      <c r="A49" s="3" t="s">
        <v>53</v>
      </c>
      <c r="B49" s="3" t="str">
        <f t="shared" si="0"/>
        <v>Lifetime medical costs with congenital Zika syndrome [2]</v>
      </c>
      <c r="C49" s="3" t="s">
        <v>168</v>
      </c>
      <c r="E49" s="4">
        <f>4035892.6*1.08</f>
        <v>4358764.0080000004</v>
      </c>
      <c r="F49" s="4">
        <f>E49*0.8</f>
        <v>3487011.2064000005</v>
      </c>
      <c r="G49" s="4">
        <f>E49*1.2</f>
        <v>5230516.8096000003</v>
      </c>
      <c r="H49" s="3" t="s">
        <v>16</v>
      </c>
      <c r="K49" s="3"/>
      <c r="L49" s="3" t="s">
        <v>132</v>
      </c>
      <c r="M49" s="4">
        <f t="array" ref="M49">INDEX(lookup!B:B,MATCH(L49,lookup!A:A,0))</f>
        <v>2</v>
      </c>
      <c r="N49" s="3" t="s">
        <v>169</v>
      </c>
    </row>
    <row r="50" spans="1:14" ht="12.75">
      <c r="A50" s="3" t="s">
        <v>81</v>
      </c>
      <c r="B50" s="3" t="str">
        <f t="shared" si="0"/>
        <v>Baseline [2]</v>
      </c>
      <c r="C50" s="3" t="s">
        <v>82</v>
      </c>
      <c r="E50" s="3">
        <v>0.9</v>
      </c>
      <c r="F50" s="3">
        <v>0.8</v>
      </c>
      <c r="G50" s="3">
        <v>1</v>
      </c>
      <c r="H50" s="3" t="s">
        <v>16</v>
      </c>
      <c r="K50" s="3"/>
      <c r="L50" s="3" t="s">
        <v>132</v>
      </c>
      <c r="M50" s="4">
        <f t="array" ref="M50">INDEX(lookup!B:B,MATCH(L50,lookup!A:A,0))</f>
        <v>2</v>
      </c>
      <c r="N50" s="3" t="s">
        <v>170</v>
      </c>
    </row>
    <row r="51" spans="1:14" ht="12.75">
      <c r="A51" s="3" t="s">
        <v>81</v>
      </c>
      <c r="B51" s="3" t="str">
        <f t="shared" si="0"/>
        <v>Zika fever, female recipient [2]</v>
      </c>
      <c r="C51" s="3" t="s">
        <v>171</v>
      </c>
      <c r="D51" s="3">
        <v>0</v>
      </c>
      <c r="E51" s="3">
        <v>0.56999999999999995</v>
      </c>
      <c r="F51" s="3">
        <v>0.4</v>
      </c>
      <c r="G51" s="3">
        <v>0.75</v>
      </c>
      <c r="H51" s="3" t="s">
        <v>131</v>
      </c>
      <c r="K51" s="3"/>
      <c r="L51" s="3" t="s">
        <v>132</v>
      </c>
      <c r="M51" s="4">
        <f t="array" ref="M51">INDEX(lookup!B:B,MATCH(L51,lookup!A:A,0))</f>
        <v>2</v>
      </c>
      <c r="N51" s="3" t="s">
        <v>172</v>
      </c>
    </row>
    <row r="52" spans="1:14" ht="12.75">
      <c r="A52" s="3" t="s">
        <v>81</v>
      </c>
      <c r="B52" s="3" t="str">
        <f t="shared" si="0"/>
        <v>Zika fever, female recipient [2]</v>
      </c>
      <c r="C52" s="3" t="s">
        <v>171</v>
      </c>
      <c r="D52" s="3">
        <v>20</v>
      </c>
      <c r="E52" s="5">
        <v>0.57999999999999996</v>
      </c>
      <c r="F52" s="3">
        <v>0.44</v>
      </c>
      <c r="G52" s="3">
        <v>0.72</v>
      </c>
      <c r="H52" s="3" t="s">
        <v>131</v>
      </c>
      <c r="K52" s="3"/>
      <c r="L52" s="3" t="s">
        <v>132</v>
      </c>
      <c r="M52" s="4">
        <f t="array" ref="M52">INDEX(lookup!B:B,MATCH(L52,lookup!A:A,0))</f>
        <v>2</v>
      </c>
      <c r="N52" s="3" t="s">
        <v>172</v>
      </c>
    </row>
    <row r="53" spans="1:14" ht="12.75">
      <c r="A53" s="3" t="s">
        <v>81</v>
      </c>
      <c r="B53" s="3" t="str">
        <f t="shared" si="0"/>
        <v>Zika fever, female recipient [2]</v>
      </c>
      <c r="C53" s="3" t="s">
        <v>171</v>
      </c>
      <c r="D53" s="3">
        <v>35</v>
      </c>
      <c r="E53" s="5">
        <v>0.63</v>
      </c>
      <c r="F53" s="3">
        <v>0.52</v>
      </c>
      <c r="G53" s="3">
        <v>0.75</v>
      </c>
      <c r="H53" s="3" t="s">
        <v>131</v>
      </c>
      <c r="K53" s="3"/>
      <c r="L53" s="3" t="s">
        <v>132</v>
      </c>
      <c r="M53" s="4">
        <f t="array" ref="M53">INDEX(lookup!B:B,MATCH(L53,lookup!A:A,0))</f>
        <v>2</v>
      </c>
      <c r="N53" s="3" t="s">
        <v>172</v>
      </c>
    </row>
    <row r="54" spans="1:14" ht="12.75">
      <c r="A54" s="3" t="s">
        <v>81</v>
      </c>
      <c r="B54" s="3" t="str">
        <f t="shared" si="0"/>
        <v>Zika fever, female recipient [2]</v>
      </c>
      <c r="C54" s="3" t="s">
        <v>171</v>
      </c>
      <c r="D54" s="3">
        <v>50</v>
      </c>
      <c r="E54" s="5">
        <v>0.61</v>
      </c>
      <c r="F54" s="3">
        <v>0.48</v>
      </c>
      <c r="G54" s="3">
        <v>0.74</v>
      </c>
      <c r="H54" s="3" t="s">
        <v>131</v>
      </c>
      <c r="K54" s="3"/>
      <c r="L54" s="3" t="s">
        <v>132</v>
      </c>
      <c r="M54" s="4">
        <f t="array" ref="M54">INDEX(lookup!B:B,MATCH(L54,lookup!A:A,0))</f>
        <v>2</v>
      </c>
      <c r="N54" s="3" t="s">
        <v>172</v>
      </c>
    </row>
    <row r="55" spans="1:14" ht="12.75">
      <c r="A55" s="3" t="s">
        <v>81</v>
      </c>
      <c r="B55" s="3" t="str">
        <f t="shared" si="0"/>
        <v>Zika fever, female recipient [2]</v>
      </c>
      <c r="C55" s="3" t="s">
        <v>171</v>
      </c>
      <c r="D55" s="3">
        <v>65</v>
      </c>
      <c r="E55" s="5">
        <v>0.59</v>
      </c>
      <c r="F55" s="3">
        <v>0.37</v>
      </c>
      <c r="G55" s="3">
        <v>0.81</v>
      </c>
      <c r="H55" s="3" t="s">
        <v>131</v>
      </c>
      <c r="K55" s="3"/>
      <c r="L55" s="3" t="s">
        <v>132</v>
      </c>
      <c r="M55" s="4">
        <f t="array" ref="M55">INDEX(lookup!B:B,MATCH(L55,lookup!A:A,0))</f>
        <v>2</v>
      </c>
      <c r="N55" s="3" t="s">
        <v>172</v>
      </c>
    </row>
    <row r="56" spans="1:14" ht="12.75">
      <c r="A56" s="3" t="s">
        <v>81</v>
      </c>
      <c r="B56" s="3" t="str">
        <f t="shared" si="0"/>
        <v>Zika fever, male recipient [2]</v>
      </c>
      <c r="C56" s="3" t="s">
        <v>173</v>
      </c>
      <c r="D56" s="3">
        <v>0</v>
      </c>
      <c r="E56" s="3">
        <v>0.5</v>
      </c>
      <c r="F56" s="3">
        <v>0.3</v>
      </c>
      <c r="G56" s="3">
        <v>0.7</v>
      </c>
      <c r="H56" s="3" t="s">
        <v>131</v>
      </c>
      <c r="K56" s="3"/>
      <c r="L56" s="3" t="s">
        <v>132</v>
      </c>
      <c r="M56" s="4">
        <f t="array" ref="M56">INDEX(lookup!B:B,MATCH(L56,lookup!A:A,0))</f>
        <v>2</v>
      </c>
      <c r="N56" s="3" t="s">
        <v>174</v>
      </c>
    </row>
    <row r="57" spans="1:14" ht="12.75">
      <c r="A57" s="3" t="s">
        <v>81</v>
      </c>
      <c r="B57" s="3" t="str">
        <f t="shared" si="0"/>
        <v>Zika fever, male recipient [2]</v>
      </c>
      <c r="C57" s="3" t="s">
        <v>173</v>
      </c>
      <c r="D57" s="3">
        <v>20</v>
      </c>
      <c r="E57" s="3">
        <v>0.59</v>
      </c>
      <c r="F57" s="3">
        <v>0.4</v>
      </c>
      <c r="G57" s="3">
        <v>0.77</v>
      </c>
      <c r="H57" s="3" t="s">
        <v>131</v>
      </c>
      <c r="K57" s="3"/>
      <c r="L57" s="3" t="s">
        <v>132</v>
      </c>
      <c r="M57" s="4">
        <f t="array" ref="M57">INDEX(lookup!B:B,MATCH(L57,lookup!A:A,0))</f>
        <v>2</v>
      </c>
      <c r="N57" s="3" t="s">
        <v>174</v>
      </c>
    </row>
    <row r="58" spans="1:14" ht="12.75">
      <c r="A58" s="3" t="s">
        <v>81</v>
      </c>
      <c r="B58" s="3" t="str">
        <f t="shared" si="0"/>
        <v>Zika fever, male recipient [2]</v>
      </c>
      <c r="C58" s="3" t="s">
        <v>173</v>
      </c>
      <c r="D58" s="3">
        <v>35</v>
      </c>
      <c r="E58" s="3">
        <v>0.57999999999999996</v>
      </c>
      <c r="F58" s="3">
        <v>0.44</v>
      </c>
      <c r="G58" s="3">
        <v>0.71</v>
      </c>
      <c r="H58" s="3" t="s">
        <v>131</v>
      </c>
      <c r="K58" s="3"/>
      <c r="L58" s="3" t="s">
        <v>132</v>
      </c>
      <c r="M58" s="4">
        <f t="array" ref="M58">INDEX(lookup!B:B,MATCH(L58,lookup!A:A,0))</f>
        <v>2</v>
      </c>
      <c r="N58" s="3" t="s">
        <v>174</v>
      </c>
    </row>
    <row r="59" spans="1:14" ht="12.75">
      <c r="A59" s="3" t="s">
        <v>81</v>
      </c>
      <c r="B59" s="3" t="str">
        <f t="shared" si="0"/>
        <v>Zika fever, male recipient [2]</v>
      </c>
      <c r="C59" s="3" t="s">
        <v>173</v>
      </c>
      <c r="D59" s="3">
        <v>50</v>
      </c>
      <c r="E59" s="5">
        <v>0.55000000000000004</v>
      </c>
      <c r="F59" s="3">
        <v>0.41</v>
      </c>
      <c r="G59" s="3">
        <v>0.68</v>
      </c>
      <c r="H59" s="3" t="s">
        <v>131</v>
      </c>
      <c r="K59" s="3"/>
      <c r="L59" s="3" t="s">
        <v>132</v>
      </c>
      <c r="M59" s="4">
        <f t="array" ref="M59">INDEX(lookup!B:B,MATCH(L59,lookup!A:A,0))</f>
        <v>2</v>
      </c>
      <c r="N59" s="3" t="s">
        <v>174</v>
      </c>
    </row>
    <row r="60" spans="1:14" ht="12.75">
      <c r="A60" s="3" t="s">
        <v>81</v>
      </c>
      <c r="B60" s="3" t="str">
        <f t="shared" si="0"/>
        <v>Zika fever, male recipient [2]</v>
      </c>
      <c r="C60" s="3" t="s">
        <v>173</v>
      </c>
      <c r="D60" s="3">
        <v>65</v>
      </c>
      <c r="E60" s="5">
        <v>0.54</v>
      </c>
      <c r="F60" s="3">
        <v>0.37</v>
      </c>
      <c r="G60" s="3">
        <v>0.71</v>
      </c>
      <c r="H60" s="3" t="s">
        <v>131</v>
      </c>
      <c r="K60" s="3"/>
      <c r="L60" s="3" t="s">
        <v>132</v>
      </c>
      <c r="M60" s="4">
        <f t="array" ref="M60">INDEX(lookup!B:B,MATCH(L60,lookup!A:A,0))</f>
        <v>2</v>
      </c>
      <c r="N60" s="3" t="s">
        <v>174</v>
      </c>
    </row>
    <row r="61" spans="1:14" ht="12.75">
      <c r="A61" s="3" t="s">
        <v>14</v>
      </c>
      <c r="B61" s="3" t="str">
        <f t="shared" si="0"/>
        <v>Recipient pregnant [2]</v>
      </c>
      <c r="C61" s="3" t="s">
        <v>175</v>
      </c>
      <c r="D61" s="3">
        <v>0</v>
      </c>
      <c r="E61" s="3">
        <v>0</v>
      </c>
      <c r="K61" s="3"/>
      <c r="L61" s="3" t="s">
        <v>132</v>
      </c>
      <c r="M61" s="4">
        <f t="array" ref="M61">INDEX(lookup!B:B,MATCH(L61,lookup!A:A,0))</f>
        <v>2</v>
      </c>
      <c r="N61" s="3" t="s">
        <v>176</v>
      </c>
    </row>
    <row r="62" spans="1:14" ht="12.75">
      <c r="A62" s="3" t="s">
        <v>14</v>
      </c>
      <c r="B62" s="3" t="str">
        <f t="shared" si="0"/>
        <v>Recipient pregnant [2]</v>
      </c>
      <c r="C62" s="3" t="s">
        <v>175</v>
      </c>
      <c r="D62" s="3">
        <v>15</v>
      </c>
      <c r="E62" s="3">
        <v>2.3357573E-2</v>
      </c>
      <c r="K62" s="3"/>
      <c r="L62" s="3" t="s">
        <v>132</v>
      </c>
      <c r="M62" s="4">
        <f t="array" ref="M62">INDEX(lookup!B:B,MATCH(L62,lookup!A:A,0))</f>
        <v>2</v>
      </c>
      <c r="N62" s="3" t="s">
        <v>176</v>
      </c>
    </row>
    <row r="63" spans="1:14" ht="12.75">
      <c r="A63" s="3" t="s">
        <v>14</v>
      </c>
      <c r="B63" s="3" t="str">
        <f t="shared" si="0"/>
        <v>Recipient pregnant [2]</v>
      </c>
      <c r="C63" s="3" t="s">
        <v>175</v>
      </c>
      <c r="D63" s="3">
        <v>20</v>
      </c>
      <c r="E63" s="3">
        <v>5.7343039999999998E-2</v>
      </c>
      <c r="K63" s="3"/>
      <c r="L63" s="3" t="s">
        <v>132</v>
      </c>
      <c r="M63" s="4">
        <f t="array" ref="M63">INDEX(lookup!B:B,MATCH(L63,lookup!A:A,0))</f>
        <v>2</v>
      </c>
      <c r="N63" s="3" t="s">
        <v>176</v>
      </c>
    </row>
    <row r="64" spans="1:14" ht="12.75">
      <c r="A64" s="3" t="s">
        <v>14</v>
      </c>
      <c r="B64" s="3" t="str">
        <f t="shared" si="0"/>
        <v>Recipient pregnant [2]</v>
      </c>
      <c r="C64" s="3" t="s">
        <v>175</v>
      </c>
      <c r="D64" s="3">
        <v>25</v>
      </c>
      <c r="E64" s="3">
        <v>6.2300081E-2</v>
      </c>
      <c r="K64" s="3"/>
      <c r="L64" s="3" t="s">
        <v>132</v>
      </c>
      <c r="M64" s="4">
        <f t="array" ref="M64">INDEX(lookup!B:B,MATCH(L64,lookup!A:A,0))</f>
        <v>2</v>
      </c>
      <c r="N64" s="3" t="s">
        <v>176</v>
      </c>
    </row>
    <row r="65" spans="1:14" ht="12.75">
      <c r="A65" s="3" t="s">
        <v>14</v>
      </c>
      <c r="B65" s="3" t="str">
        <f t="shared" si="0"/>
        <v>Recipient pregnant [2]</v>
      </c>
      <c r="C65" s="3" t="s">
        <v>175</v>
      </c>
      <c r="D65" s="3">
        <v>30</v>
      </c>
      <c r="E65" s="3">
        <v>5.4130878E-2</v>
      </c>
      <c r="K65" s="3"/>
      <c r="L65" s="3" t="s">
        <v>132</v>
      </c>
      <c r="M65" s="4">
        <f t="array" ref="M65">INDEX(lookup!B:B,MATCH(L65,lookup!A:A,0))</f>
        <v>2</v>
      </c>
      <c r="N65" s="3" t="s">
        <v>176</v>
      </c>
    </row>
    <row r="66" spans="1:14" ht="12.75">
      <c r="A66" s="3" t="s">
        <v>14</v>
      </c>
      <c r="B66" s="3" t="str">
        <f t="shared" si="0"/>
        <v>Recipient pregnant [2]</v>
      </c>
      <c r="C66" s="3" t="s">
        <v>175</v>
      </c>
      <c r="D66" s="3">
        <v>35</v>
      </c>
      <c r="E66" s="3">
        <v>3.0337085999999999E-2</v>
      </c>
      <c r="K66" s="3"/>
      <c r="L66" s="3" t="s">
        <v>132</v>
      </c>
      <c r="M66" s="4">
        <f t="array" ref="M66">INDEX(lookup!B:B,MATCH(L66,lookup!A:A,0))</f>
        <v>2</v>
      </c>
      <c r="N66" s="3" t="s">
        <v>176</v>
      </c>
    </row>
    <row r="67" spans="1:14" ht="12.75">
      <c r="A67" s="3" t="s">
        <v>14</v>
      </c>
      <c r="B67" s="3" t="str">
        <f t="shared" si="0"/>
        <v>Recipient pregnant [2]</v>
      </c>
      <c r="C67" s="3" t="s">
        <v>175</v>
      </c>
      <c r="D67" s="3">
        <v>40</v>
      </c>
      <c r="E67" s="3">
        <v>7.6933260000000003E-3</v>
      </c>
      <c r="K67" s="3"/>
      <c r="L67" s="3" t="s">
        <v>132</v>
      </c>
      <c r="M67" s="4">
        <f t="array" ref="M67">INDEX(lookup!B:B,MATCH(L67,lookup!A:A,0))</f>
        <v>2</v>
      </c>
      <c r="N67" s="3" t="s">
        <v>176</v>
      </c>
    </row>
    <row r="68" spans="1:14" ht="12.75">
      <c r="A68" s="3" t="s">
        <v>14</v>
      </c>
      <c r="B68" s="3" t="str">
        <f t="shared" si="0"/>
        <v>Recipient pregnant [2]</v>
      </c>
      <c r="C68" s="3" t="s">
        <v>175</v>
      </c>
      <c r="D68" s="3">
        <v>45</v>
      </c>
      <c r="E68" s="3">
        <v>0</v>
      </c>
      <c r="K68" s="3"/>
      <c r="L68" s="3" t="s">
        <v>132</v>
      </c>
      <c r="M68" s="4">
        <f t="array" ref="M68">INDEX(lookup!B:B,MATCH(L68,lookup!A:A,0))</f>
        <v>2</v>
      </c>
      <c r="N68" s="3" t="s">
        <v>176</v>
      </c>
    </row>
    <row r="69" spans="1:14" ht="12.75">
      <c r="A69" s="3" t="s">
        <v>14</v>
      </c>
      <c r="B69" s="3" t="str">
        <f t="shared" si="0"/>
        <v>Pregnancy multiplier for PSA [A]</v>
      </c>
      <c r="C69" s="3" t="s">
        <v>177</v>
      </c>
      <c r="D69" s="3"/>
      <c r="E69" s="3">
        <v>1</v>
      </c>
      <c r="F69" s="3">
        <v>0.2</v>
      </c>
      <c r="G69" s="3">
        <v>1.8</v>
      </c>
      <c r="H69" s="3" t="s">
        <v>16</v>
      </c>
      <c r="K69" s="3"/>
      <c r="L69" s="3" t="s">
        <v>20</v>
      </c>
      <c r="M69" s="4" t="str">
        <f t="array" ref="M69">INDEX(lookup!B:B,MATCH(L69,lookup!A:A,0))</f>
        <v>A</v>
      </c>
      <c r="N69" s="3" t="s">
        <v>178</v>
      </c>
    </row>
    <row r="70" spans="1:14" ht="12.75">
      <c r="A70" s="3" t="s">
        <v>14</v>
      </c>
      <c r="B70" s="3" t="str">
        <f t="shared" si="0"/>
        <v>Partner pregnant [2]</v>
      </c>
      <c r="C70" s="3" t="s">
        <v>179</v>
      </c>
      <c r="D70" s="3">
        <v>0</v>
      </c>
      <c r="E70" s="3">
        <v>0</v>
      </c>
      <c r="K70" s="3"/>
      <c r="L70" s="3" t="s">
        <v>132</v>
      </c>
      <c r="M70" s="4">
        <f t="array" ref="M70">INDEX(lookup!B:B,MATCH(L70,lookup!A:A,0))</f>
        <v>2</v>
      </c>
      <c r="N70" s="3" t="s">
        <v>180</v>
      </c>
    </row>
    <row r="71" spans="1:14" ht="12.75">
      <c r="A71" s="3" t="s">
        <v>14</v>
      </c>
      <c r="B71" s="3" t="str">
        <f t="shared" si="0"/>
        <v>Partner pregnant [2]</v>
      </c>
      <c r="C71" s="3" t="s">
        <v>179</v>
      </c>
      <c r="D71" s="3">
        <v>15</v>
      </c>
      <c r="E71" s="3">
        <v>4.4174999999999999E-2</v>
      </c>
      <c r="K71" s="3"/>
      <c r="L71" s="3" t="s">
        <v>132</v>
      </c>
      <c r="M71" s="4">
        <f t="array" ref="M71">INDEX(lookup!B:B,MATCH(L71,lookup!A:A,0))</f>
        <v>2</v>
      </c>
      <c r="N71" s="3" t="s">
        <v>180</v>
      </c>
    </row>
    <row r="72" spans="1:14" ht="12.75">
      <c r="A72" s="3" t="s">
        <v>14</v>
      </c>
      <c r="B72" s="3" t="str">
        <f t="shared" si="0"/>
        <v>Partner pregnant [2]</v>
      </c>
      <c r="C72" s="3" t="s">
        <v>179</v>
      </c>
      <c r="D72" s="3">
        <v>20</v>
      </c>
      <c r="E72" s="3">
        <v>0.10845</v>
      </c>
      <c r="K72" s="3"/>
      <c r="L72" s="3" t="s">
        <v>132</v>
      </c>
      <c r="M72" s="4">
        <f t="array" ref="M72">INDEX(lookup!B:B,MATCH(L72,lookup!A:A,0))</f>
        <v>2</v>
      </c>
      <c r="N72" s="3" t="s">
        <v>180</v>
      </c>
    </row>
    <row r="73" spans="1:14" ht="12.75">
      <c r="A73" s="3" t="s">
        <v>14</v>
      </c>
      <c r="B73" s="3" t="str">
        <f t="shared" si="0"/>
        <v>Partner pregnant [2]</v>
      </c>
      <c r="C73" s="3" t="s">
        <v>179</v>
      </c>
      <c r="D73" s="3">
        <v>25</v>
      </c>
      <c r="E73" s="3">
        <v>0.117825</v>
      </c>
      <c r="K73" s="3"/>
      <c r="L73" s="3" t="s">
        <v>132</v>
      </c>
      <c r="M73" s="4">
        <f t="array" ref="M73">INDEX(lookup!B:B,MATCH(L73,lookup!A:A,0))</f>
        <v>2</v>
      </c>
      <c r="N73" s="3" t="s">
        <v>180</v>
      </c>
    </row>
    <row r="74" spans="1:14" ht="12.75">
      <c r="A74" s="3" t="s">
        <v>14</v>
      </c>
      <c r="B74" s="3" t="str">
        <f t="shared" si="0"/>
        <v>Partner pregnant [2]</v>
      </c>
      <c r="C74" s="3" t="s">
        <v>179</v>
      </c>
      <c r="D74" s="3">
        <v>30</v>
      </c>
      <c r="E74" s="3">
        <v>0.10237499999999999</v>
      </c>
      <c r="K74" s="3"/>
      <c r="L74" s="3" t="s">
        <v>132</v>
      </c>
      <c r="M74" s="4">
        <f t="array" ref="M74">INDEX(lookup!B:B,MATCH(L74,lookup!A:A,0))</f>
        <v>2</v>
      </c>
      <c r="N74" s="3" t="s">
        <v>180</v>
      </c>
    </row>
    <row r="75" spans="1:14" ht="12.75">
      <c r="A75" s="3" t="s">
        <v>14</v>
      </c>
      <c r="B75" s="3" t="str">
        <f t="shared" si="0"/>
        <v>Partner pregnant [2]</v>
      </c>
      <c r="C75" s="3" t="s">
        <v>179</v>
      </c>
      <c r="D75" s="3">
        <v>35</v>
      </c>
      <c r="E75" s="3">
        <v>5.7375000000000002E-2</v>
      </c>
      <c r="K75" s="3"/>
      <c r="L75" s="3" t="s">
        <v>132</v>
      </c>
      <c r="M75" s="4">
        <f t="array" ref="M75">INDEX(lookup!B:B,MATCH(L75,lookup!A:A,0))</f>
        <v>2</v>
      </c>
      <c r="N75" s="3" t="s">
        <v>180</v>
      </c>
    </row>
    <row r="76" spans="1:14" ht="12.75">
      <c r="A76" s="3" t="s">
        <v>14</v>
      </c>
      <c r="B76" s="3" t="str">
        <f t="shared" si="0"/>
        <v>Partner pregnant [2]</v>
      </c>
      <c r="C76" s="3" t="s">
        <v>179</v>
      </c>
      <c r="D76" s="3">
        <v>40</v>
      </c>
      <c r="E76" s="3">
        <v>1.455E-2</v>
      </c>
      <c r="K76" s="3"/>
      <c r="L76" s="3" t="s">
        <v>132</v>
      </c>
      <c r="M76" s="4">
        <f t="array" ref="M76">INDEX(lookup!B:B,MATCH(L76,lookup!A:A,0))</f>
        <v>2</v>
      </c>
      <c r="N76" s="3" t="s">
        <v>180</v>
      </c>
    </row>
    <row r="77" spans="1:14" ht="12.75">
      <c r="A77" s="3" t="s">
        <v>14</v>
      </c>
      <c r="B77" s="3" t="str">
        <f t="shared" si="0"/>
        <v>Partner pregnant [2]</v>
      </c>
      <c r="C77" s="3" t="s">
        <v>179</v>
      </c>
      <c r="D77" s="3">
        <v>45</v>
      </c>
      <c r="E77" s="3">
        <v>0</v>
      </c>
      <c r="K77" s="3"/>
      <c r="L77" s="3" t="s">
        <v>132</v>
      </c>
      <c r="M77" s="4">
        <f t="array" ref="M77">INDEX(lookup!B:B,MATCH(L77,lookup!A:A,0))</f>
        <v>2</v>
      </c>
      <c r="N77" s="3" t="s">
        <v>180</v>
      </c>
    </row>
    <row r="78" spans="1:14" ht="12.75">
      <c r="A78" s="3" t="s">
        <v>81</v>
      </c>
      <c r="B78" s="3" t="str">
        <f t="shared" si="0"/>
        <v>Guillain-Barré, year 1 [2]</v>
      </c>
      <c r="C78" s="3" t="s">
        <v>181</v>
      </c>
      <c r="E78" s="3">
        <v>0.76</v>
      </c>
      <c r="F78" s="3">
        <v>0.34937380000000001</v>
      </c>
      <c r="G78" s="3">
        <v>0.98676660000000005</v>
      </c>
      <c r="H78" s="3" t="s">
        <v>131</v>
      </c>
      <c r="I78" s="3">
        <v>3.8175590000000001</v>
      </c>
      <c r="J78" s="3">
        <v>1.2055450000000001</v>
      </c>
      <c r="K78" s="3"/>
      <c r="L78" s="3" t="s">
        <v>132</v>
      </c>
      <c r="M78" s="4">
        <f t="array" ref="M78">INDEX(lookup!B:B,MATCH(L78,lookup!A:A,0))</f>
        <v>2</v>
      </c>
      <c r="N78" s="3" t="s">
        <v>182</v>
      </c>
    </row>
    <row r="79" spans="1:14" ht="12.75">
      <c r="A79" s="3" t="s">
        <v>81</v>
      </c>
      <c r="B79" s="3" t="str">
        <f t="shared" si="0"/>
        <v>Guillain-Barré, year 2 [2]</v>
      </c>
      <c r="C79" s="3" t="s">
        <v>183</v>
      </c>
      <c r="E79" s="3">
        <v>0.87</v>
      </c>
      <c r="F79" s="3">
        <v>0.24259020000000001</v>
      </c>
      <c r="G79" s="3">
        <v>1</v>
      </c>
      <c r="H79" s="3" t="s">
        <v>131</v>
      </c>
      <c r="I79" s="3">
        <v>1.4225479999999999</v>
      </c>
      <c r="J79" s="3">
        <v>0.21256459999999999</v>
      </c>
      <c r="K79" s="3"/>
      <c r="L79" s="3" t="s">
        <v>132</v>
      </c>
      <c r="M79" s="4">
        <f t="array" ref="M79">INDEX(lookup!B:B,MATCH(L79,lookup!A:A,0))</f>
        <v>2</v>
      </c>
      <c r="N79" s="3" t="s">
        <v>184</v>
      </c>
    </row>
    <row r="80" spans="1:14" ht="12.75">
      <c r="A80" s="3" t="s">
        <v>81</v>
      </c>
      <c r="B80" s="3" t="str">
        <f t="shared" si="0"/>
        <v>Guillain-Barré, years 3-6 [2]</v>
      </c>
      <c r="C80" s="3" t="s">
        <v>185</v>
      </c>
      <c r="E80" s="3">
        <v>0.99</v>
      </c>
      <c r="K80" s="3"/>
      <c r="L80" s="3" t="s">
        <v>132</v>
      </c>
      <c r="M80" s="4">
        <f t="array" ref="M80">INDEX(lookup!B:B,MATCH(L80,lookup!A:A,0))</f>
        <v>2</v>
      </c>
      <c r="N80" s="3" t="s">
        <v>186</v>
      </c>
    </row>
    <row r="81" spans="1:14" ht="12.75">
      <c r="A81" s="3" t="s">
        <v>81</v>
      </c>
      <c r="B81" s="3" t="str">
        <f t="shared" si="0"/>
        <v>Zika fever, partner [2]</v>
      </c>
      <c r="C81" s="3" t="s">
        <v>187</v>
      </c>
      <c r="E81" s="3">
        <v>0.56999999999999995</v>
      </c>
      <c r="F81" s="3">
        <v>0.54</v>
      </c>
      <c r="G81" s="3">
        <v>0.6</v>
      </c>
      <c r="H81" s="3" t="s">
        <v>131</v>
      </c>
      <c r="K81" s="3"/>
      <c r="L81" s="3" t="s">
        <v>132</v>
      </c>
      <c r="M81" s="4">
        <f t="array" ref="M81">INDEX(lookup!B:B,MATCH(L81,lookup!A:A,0))</f>
        <v>2</v>
      </c>
      <c r="N81" s="3" t="s">
        <v>188</v>
      </c>
    </row>
    <row r="82" spans="1:14" ht="12.75">
      <c r="A82" s="3" t="s">
        <v>81</v>
      </c>
      <c r="B82" s="3" t="str">
        <f t="shared" si="0"/>
        <v>Congenital Zika syndrome [2]</v>
      </c>
      <c r="C82" s="3"/>
      <c r="E82" s="3">
        <v>0</v>
      </c>
      <c r="H82" s="3"/>
      <c r="I82" s="3"/>
      <c r="J82" s="3"/>
      <c r="K82" s="3"/>
      <c r="L82" s="3" t="s">
        <v>132</v>
      </c>
      <c r="M82" s="4">
        <f t="array" ref="M82">INDEX(lookup!B:B,MATCH(L82,lookup!A:A,0))</f>
        <v>2</v>
      </c>
      <c r="N82" s="3" t="s">
        <v>145</v>
      </c>
    </row>
    <row r="83" spans="1:14" ht="12.75">
      <c r="A83" s="3" t="s">
        <v>100</v>
      </c>
      <c r="B83" s="3" t="str">
        <f t="shared" si="0"/>
        <v>Zika fever, recipient [2]</v>
      </c>
      <c r="C83" s="3" t="s">
        <v>189</v>
      </c>
      <c r="E83" s="3">
        <f>21</f>
        <v>21</v>
      </c>
      <c r="F83" s="4">
        <f>1.4</f>
        <v>1.4</v>
      </c>
      <c r="G83" s="4">
        <f>66.2</f>
        <v>66.2</v>
      </c>
      <c r="H83" s="3" t="s">
        <v>55</v>
      </c>
      <c r="I83" s="3">
        <v>1.456415</v>
      </c>
      <c r="J83" s="3">
        <v>14.41896</v>
      </c>
      <c r="K83" s="3"/>
      <c r="L83" s="3" t="s">
        <v>132</v>
      </c>
      <c r="M83" s="4">
        <f t="array" ref="M83">INDEX(lookup!B:B,MATCH(L83,lookup!A:A,0))</f>
        <v>2</v>
      </c>
      <c r="N83" s="3" t="s">
        <v>190</v>
      </c>
    </row>
    <row r="84" spans="1:14" ht="12.75">
      <c r="A84" s="3" t="s">
        <v>100</v>
      </c>
      <c r="B84" s="3" t="str">
        <f t="shared" si="0"/>
        <v>Zika fever, partner [2]</v>
      </c>
      <c r="C84" s="3" t="s">
        <v>191</v>
      </c>
      <c r="E84" s="4">
        <f>7</f>
        <v>7</v>
      </c>
      <c r="F84" s="3">
        <v>2.2999999999999998</v>
      </c>
      <c r="G84" s="3">
        <v>14.2</v>
      </c>
      <c r="H84" s="3" t="s">
        <v>55</v>
      </c>
      <c r="I84" s="3">
        <v>5.2010259999999997</v>
      </c>
      <c r="J84" s="3">
        <v>1.345888</v>
      </c>
      <c r="K84" s="3"/>
      <c r="L84" s="3" t="s">
        <v>132</v>
      </c>
      <c r="M84" s="4">
        <f t="array" ref="M84">INDEX(lookup!B:B,MATCH(L84,lookup!A:A,0))</f>
        <v>2</v>
      </c>
      <c r="N84" s="3" t="s">
        <v>188</v>
      </c>
    </row>
    <row r="85" spans="1:14" ht="12.75">
      <c r="A85" s="3" t="s">
        <v>100</v>
      </c>
      <c r="B85" s="3" t="str">
        <f t="shared" si="0"/>
        <v>Congenital Zika syndrome [2]</v>
      </c>
      <c r="C85" s="3" t="s">
        <v>192</v>
      </c>
      <c r="E85" s="3">
        <v>79.8</v>
      </c>
      <c r="K85" s="3"/>
      <c r="L85" s="3" t="s">
        <v>132</v>
      </c>
      <c r="M85" s="4">
        <f t="array" ref="M85">INDEX(lookup!B:B,MATCH(L85,lookup!A:A,0))</f>
        <v>2</v>
      </c>
      <c r="N85" s="3" t="s">
        <v>145</v>
      </c>
    </row>
    <row r="86" spans="1:14" ht="12.75">
      <c r="A86" s="3" t="s">
        <v>111</v>
      </c>
      <c r="B86" s="3" t="str">
        <f t="shared" si="0"/>
        <v>Discount rate [2]</v>
      </c>
      <c r="C86" s="3" t="s">
        <v>112</v>
      </c>
      <c r="E86" s="3">
        <v>0.03</v>
      </c>
      <c r="K86" s="3"/>
      <c r="L86" s="3" t="s">
        <v>132</v>
      </c>
      <c r="M86" s="4">
        <f t="array" ref="M86">INDEX(lookup!B:B,MATCH(L86,lookup!A:A,0))</f>
        <v>2</v>
      </c>
      <c r="N86" s="3" t="s">
        <v>193</v>
      </c>
    </row>
    <row r="87" spans="1:14" ht="12.75">
      <c r="A87" s="3" t="s">
        <v>111</v>
      </c>
      <c r="B87" s="3" t="str">
        <f t="shared" si="0"/>
        <v>Transmissibility in RBC components [2]</v>
      </c>
      <c r="C87" s="3" t="s">
        <v>114</v>
      </c>
      <c r="E87" s="3">
        <v>0.5</v>
      </c>
      <c r="F87" s="3">
        <v>0.3</v>
      </c>
      <c r="G87" s="3">
        <v>0.7</v>
      </c>
      <c r="H87" s="3" t="s">
        <v>16</v>
      </c>
      <c r="K87" s="3"/>
      <c r="L87" s="3" t="s">
        <v>132</v>
      </c>
      <c r="M87" s="4">
        <f t="array" ref="M87">INDEX(lookup!B:B,MATCH(L87,lookup!A:A,0))</f>
        <v>2</v>
      </c>
      <c r="N87" s="3" t="s">
        <v>115</v>
      </c>
    </row>
    <row r="88" spans="1:14" ht="12.75">
      <c r="A88" s="3" t="s">
        <v>111</v>
      </c>
      <c r="B88" s="3" t="str">
        <f t="shared" si="0"/>
        <v>Transmissibility in PLT components [2]</v>
      </c>
      <c r="C88" s="3" t="s">
        <v>116</v>
      </c>
      <c r="E88" s="3">
        <v>0.5</v>
      </c>
      <c r="F88" s="3">
        <v>0.3</v>
      </c>
      <c r="G88" s="3">
        <v>0.7</v>
      </c>
      <c r="H88" s="3" t="s">
        <v>16</v>
      </c>
      <c r="K88" s="3"/>
      <c r="L88" s="3" t="s">
        <v>132</v>
      </c>
      <c r="M88" s="4">
        <f t="array" ref="M88">INDEX(lookup!B:B,MATCH(L88,lookup!A:A,0))</f>
        <v>2</v>
      </c>
      <c r="N88" s="3" t="s">
        <v>117</v>
      </c>
    </row>
    <row r="89" spans="1:14" ht="12.75">
      <c r="A89" s="3" t="s">
        <v>111</v>
      </c>
      <c r="B89" s="3" t="str">
        <f t="shared" si="0"/>
        <v>Transmissibility in FFP components [2]</v>
      </c>
      <c r="C89" s="3" t="s">
        <v>118</v>
      </c>
      <c r="E89" s="3">
        <v>0.9</v>
      </c>
      <c r="F89" s="3">
        <v>0.8</v>
      </c>
      <c r="G89" s="3">
        <v>1</v>
      </c>
      <c r="H89" s="3" t="s">
        <v>16</v>
      </c>
      <c r="K89" s="3"/>
      <c r="L89" s="3" t="s">
        <v>132</v>
      </c>
      <c r="M89" s="4">
        <f t="array" ref="M89">INDEX(lookup!B:B,MATCH(L89,lookup!A:A,0))</f>
        <v>2</v>
      </c>
      <c r="N89" s="3" t="s">
        <v>119</v>
      </c>
    </row>
    <row r="90" spans="1:14" ht="12.75">
      <c r="A90" s="3" t="s">
        <v>111</v>
      </c>
      <c r="B90" s="3" t="str">
        <f t="shared" si="0"/>
        <v>Willingness to pay per QALY threshold [34]</v>
      </c>
      <c r="C90" s="3" t="s">
        <v>120</v>
      </c>
      <c r="E90" s="3">
        <v>1000000</v>
      </c>
      <c r="L90" s="3" t="s">
        <v>121</v>
      </c>
      <c r="M90" s="4">
        <f t="array" ref="M90">INDEX(lookup!B:B,MATCH(L90,lookup!A:A,0))</f>
        <v>34</v>
      </c>
      <c r="N90" s="3" t="s">
        <v>122</v>
      </c>
    </row>
    <row r="91" spans="1:14" ht="12.75">
      <c r="A91" s="3" t="s">
        <v>111</v>
      </c>
      <c r="B91" s="3" t="str">
        <f t="shared" si="0"/>
        <v>Red blood cell units transfused per donation [0]</v>
      </c>
      <c r="C91" s="3" t="s">
        <v>123</v>
      </c>
      <c r="E91" s="3">
        <v>0.94399999999999995</v>
      </c>
      <c r="K91" s="3"/>
      <c r="L91" s="3" t="s">
        <v>124</v>
      </c>
      <c r="M91" s="4">
        <f t="array" ref="M91">INDEX(lookup!B:B,MATCH(L91,lookup!A:A,0))</f>
        <v>0</v>
      </c>
      <c r="N91" s="3" t="s">
        <v>125</v>
      </c>
    </row>
    <row r="92" spans="1:14" ht="12.75">
      <c r="A92" s="3" t="s">
        <v>111</v>
      </c>
      <c r="B92" s="3" t="str">
        <f t="shared" si="0"/>
        <v>Platelet units transfused per donation [0]</v>
      </c>
      <c r="C92" s="3" t="s">
        <v>126</v>
      </c>
      <c r="E92" s="3">
        <v>1.4999999999999999E-2</v>
      </c>
      <c r="K92" s="3"/>
      <c r="L92" s="3" t="s">
        <v>124</v>
      </c>
      <c r="M92" s="4">
        <f t="array" ref="M92">INDEX(lookup!B:B,MATCH(L92,lookup!A:A,0))</f>
        <v>0</v>
      </c>
      <c r="N92" s="3" t="s">
        <v>127</v>
      </c>
    </row>
    <row r="93" spans="1:14" ht="12.75">
      <c r="A93" s="3" t="s">
        <v>111</v>
      </c>
      <c r="B93" s="3" t="str">
        <f t="shared" si="0"/>
        <v>Plasma units transfused per donation [0]</v>
      </c>
      <c r="C93" s="3" t="s">
        <v>128</v>
      </c>
      <c r="E93" s="3">
        <v>0.54100000000000004</v>
      </c>
      <c r="K93" s="3"/>
      <c r="L93" s="3" t="s">
        <v>124</v>
      </c>
      <c r="M93" s="4">
        <f t="array" ref="M93">INDEX(lookup!B:B,MATCH(L93,lookup!A:A,0))</f>
        <v>0</v>
      </c>
      <c r="N93" s="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topLeftCell="D1" zoomScale="130" zoomScaleNormal="130" workbookViewId="0">
      <pane ySplit="1" topLeftCell="A9" activePane="bottomLeft" state="frozen"/>
      <selection pane="bottomLeft" activeCell="Q35" sqref="Q35"/>
    </sheetView>
  </sheetViews>
  <sheetFormatPr defaultColWidth="14.42578125" defaultRowHeight="15.75" customHeight="1"/>
  <cols>
    <col min="2" max="2" width="8.7109375" customWidth="1"/>
    <col min="3" max="3" width="8.140625" customWidth="1"/>
    <col min="4" max="4" width="7.5703125" customWidth="1"/>
    <col min="9" max="11" width="0" hidden="1" customWidth="1"/>
    <col min="13" max="13" width="48.28515625" customWidth="1"/>
  </cols>
  <sheetData>
    <row r="1" spans="1:16" ht="12.75">
      <c r="A1" s="1" t="s">
        <v>0</v>
      </c>
      <c r="B1" s="1" t="s">
        <v>2</v>
      </c>
      <c r="C1" s="1" t="s">
        <v>194</v>
      </c>
      <c r="D1" s="1" t="s">
        <v>195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667</v>
      </c>
      <c r="O1" s="1" t="s">
        <v>668</v>
      </c>
      <c r="P1" s="1" t="s">
        <v>687</v>
      </c>
    </row>
    <row r="2" spans="1:16" ht="12.75">
      <c r="A2" s="3" t="s">
        <v>53</v>
      </c>
      <c r="B2" s="3" t="s">
        <v>196</v>
      </c>
      <c r="C2" s="3">
        <v>1</v>
      </c>
      <c r="D2" s="3">
        <v>1</v>
      </c>
      <c r="E2" s="3">
        <v>9739.1208869999991</v>
      </c>
      <c r="H2" s="3" t="s">
        <v>197</v>
      </c>
      <c r="K2" s="3"/>
      <c r="L2" s="3" t="s">
        <v>124</v>
      </c>
      <c r="M2" s="3" t="s">
        <v>677</v>
      </c>
      <c r="N2" t="s">
        <v>669</v>
      </c>
      <c r="O2">
        <v>1</v>
      </c>
      <c r="P2" s="12" t="str">
        <f>IF(ISNUMBER(INDEX(lookup!B:B,MATCH(L2,lookup!A:A,0))),"["&amp;INDEX(lookup!B:B,MATCH(L2,lookup!A:A,0))&amp;"]",INDEX(lookup!B:B,MATCH(L2,lookup!A:A,0)))</f>
        <v>[0]</v>
      </c>
    </row>
    <row r="3" spans="1:16" ht="15.75" customHeight="1">
      <c r="A3" s="3" t="s">
        <v>53</v>
      </c>
      <c r="B3" s="3" t="s">
        <v>196</v>
      </c>
      <c r="C3" s="3">
        <v>2</v>
      </c>
      <c r="D3" s="3">
        <v>1</v>
      </c>
      <c r="E3" s="10">
        <v>37991.620000000003</v>
      </c>
      <c r="H3" s="3" t="s">
        <v>197</v>
      </c>
      <c r="K3" s="3"/>
      <c r="L3" s="3" t="s">
        <v>124</v>
      </c>
      <c r="M3" s="3" t="s">
        <v>678</v>
      </c>
      <c r="N3" t="s">
        <v>669</v>
      </c>
      <c r="O3">
        <v>2</v>
      </c>
      <c r="P3" s="12" t="str">
        <f>IF(ISNUMBER(INDEX(lookup!B:B,MATCH(L3,lookup!A:A,0))),"["&amp;INDEX(lookup!B:B,MATCH(L3,lookup!A:A,0))&amp;"]",INDEX(lookup!B:B,MATCH(L3,lookup!A:A,0)))</f>
        <v>[0]</v>
      </c>
    </row>
    <row r="4" spans="1:16" ht="12.75">
      <c r="A4" s="3" t="s">
        <v>53</v>
      </c>
      <c r="B4" s="3" t="s">
        <v>198</v>
      </c>
      <c r="D4" s="3"/>
      <c r="E4" s="3">
        <v>90</v>
      </c>
      <c r="F4" s="4">
        <f t="shared" ref="F4:F10" si="0">0.5*E4</f>
        <v>45</v>
      </c>
      <c r="G4" s="4">
        <f t="shared" ref="G4:G10" si="1">1.5*E4</f>
        <v>135</v>
      </c>
      <c r="H4" s="3" t="s">
        <v>16</v>
      </c>
      <c r="K4" s="3"/>
      <c r="L4" s="3" t="s">
        <v>199</v>
      </c>
      <c r="M4" s="3" t="s">
        <v>679</v>
      </c>
      <c r="N4" s="17" t="s">
        <v>198</v>
      </c>
      <c r="P4" s="12" t="str">
        <f>IF(ISNUMBER(INDEX(lookup!B:B,MATCH(L4,lookup!A:A,0))),"["&amp;INDEX(lookup!B:B,MATCH(L4,lookup!A:A,0))&amp;"]",INDEX(lookup!B:B,MATCH(L4,lookup!A:A,0)))</f>
        <v>A</v>
      </c>
    </row>
    <row r="5" spans="1:16" ht="12.75">
      <c r="A5" s="3" t="s">
        <v>53</v>
      </c>
      <c r="B5" s="3" t="s">
        <v>200</v>
      </c>
      <c r="D5" s="3"/>
      <c r="E5" s="3">
        <v>20</v>
      </c>
      <c r="F5" s="4">
        <f t="shared" si="0"/>
        <v>10</v>
      </c>
      <c r="G5" s="4">
        <f t="shared" si="1"/>
        <v>30</v>
      </c>
      <c r="H5" s="3" t="s">
        <v>16</v>
      </c>
      <c r="K5" s="3"/>
      <c r="L5" s="3" t="s">
        <v>199</v>
      </c>
      <c r="M5" s="3" t="s">
        <v>680</v>
      </c>
      <c r="N5" s="17" t="s">
        <v>200</v>
      </c>
      <c r="P5" s="12" t="str">
        <f>IF(ISNUMBER(INDEX(lookup!B:B,MATCH(L5,lookup!A:A,0))),"["&amp;INDEX(lookup!B:B,MATCH(L5,lookup!A:A,0))&amp;"]",INDEX(lookup!B:B,MATCH(L5,lookup!A:A,0)))</f>
        <v>A</v>
      </c>
    </row>
    <row r="6" spans="1:16" ht="12.75">
      <c r="A6" s="3" t="s">
        <v>53</v>
      </c>
      <c r="B6" s="3" t="s">
        <v>201</v>
      </c>
      <c r="D6" s="3"/>
      <c r="E6" s="3">
        <v>60</v>
      </c>
      <c r="F6" s="4">
        <f t="shared" si="0"/>
        <v>30</v>
      </c>
      <c r="G6" s="4">
        <f t="shared" si="1"/>
        <v>90</v>
      </c>
      <c r="H6" s="3" t="s">
        <v>16</v>
      </c>
      <c r="K6" s="3"/>
      <c r="L6" s="3" t="s">
        <v>199</v>
      </c>
      <c r="M6" s="3" t="s">
        <v>681</v>
      </c>
      <c r="N6" s="17" t="s">
        <v>686</v>
      </c>
      <c r="P6" s="12" t="str">
        <f>IF(ISNUMBER(INDEX(lookup!B:B,MATCH(L6,lookup!A:A,0))),"["&amp;INDEX(lookup!B:B,MATCH(L6,lookup!A:A,0))&amp;"]",INDEX(lookup!B:B,MATCH(L6,lookup!A:A,0)))</f>
        <v>A</v>
      </c>
    </row>
    <row r="7" spans="1:16" ht="12.75">
      <c r="A7" s="3" t="s">
        <v>53</v>
      </c>
      <c r="B7" s="3" t="s">
        <v>202</v>
      </c>
      <c r="C7" s="3">
        <v>1</v>
      </c>
      <c r="D7" s="3">
        <v>1</v>
      </c>
      <c r="E7" s="3">
        <v>10</v>
      </c>
      <c r="F7" s="4">
        <f t="shared" si="0"/>
        <v>5</v>
      </c>
      <c r="G7" s="4">
        <f t="shared" si="1"/>
        <v>15</v>
      </c>
      <c r="H7" s="3" t="s">
        <v>16</v>
      </c>
      <c r="K7" s="3"/>
      <c r="L7" s="3" t="s">
        <v>203</v>
      </c>
      <c r="M7" s="3" t="s">
        <v>682</v>
      </c>
      <c r="N7" t="s">
        <v>673</v>
      </c>
      <c r="O7" s="17">
        <v>1</v>
      </c>
      <c r="P7" s="12" t="str">
        <f>IF(ISNUMBER(INDEX(lookup!B:B,MATCH(L7,lookup!A:A,0))),"["&amp;INDEX(lookup!B:B,MATCH(L7,lookup!A:A,0))&amp;"]",INDEX(lookup!B:B,MATCH(L7,lookup!A:A,0)))</f>
        <v>[23]</v>
      </c>
    </row>
    <row r="8" spans="1:16" ht="12.75">
      <c r="A8" s="3" t="s">
        <v>53</v>
      </c>
      <c r="B8" s="3" t="s">
        <v>202</v>
      </c>
      <c r="C8" s="3">
        <v>2</v>
      </c>
      <c r="D8" s="3">
        <v>1</v>
      </c>
      <c r="E8" s="3">
        <v>6</v>
      </c>
      <c r="F8" s="4">
        <f t="shared" si="0"/>
        <v>3</v>
      </c>
      <c r="G8" s="4">
        <f t="shared" si="1"/>
        <v>9</v>
      </c>
      <c r="H8" s="3" t="s">
        <v>16</v>
      </c>
      <c r="K8" s="3"/>
      <c r="L8" s="3" t="s">
        <v>203</v>
      </c>
      <c r="M8" s="3" t="s">
        <v>683</v>
      </c>
      <c r="N8" t="s">
        <v>673</v>
      </c>
      <c r="O8">
        <v>2</v>
      </c>
      <c r="P8" s="12" t="str">
        <f>IF(ISNUMBER(INDEX(lookup!B:B,MATCH(L8,lookup!A:A,0))),"["&amp;INDEX(lookup!B:B,MATCH(L8,lookup!A:A,0))&amp;"]",INDEX(lookup!B:B,MATCH(L8,lookup!A:A,0)))</f>
        <v>[23]</v>
      </c>
    </row>
    <row r="9" spans="1:16" ht="12.75">
      <c r="A9" s="3" t="s">
        <v>53</v>
      </c>
      <c r="B9" s="3" t="s">
        <v>202</v>
      </c>
      <c r="C9" s="3">
        <v>3</v>
      </c>
      <c r="D9" s="3">
        <v>1</v>
      </c>
      <c r="E9" s="3">
        <v>10</v>
      </c>
      <c r="F9" s="4">
        <f t="shared" si="0"/>
        <v>5</v>
      </c>
      <c r="G9" s="4">
        <f t="shared" si="1"/>
        <v>15</v>
      </c>
      <c r="H9" s="3" t="s">
        <v>16</v>
      </c>
      <c r="K9" s="3"/>
      <c r="L9" s="3" t="s">
        <v>204</v>
      </c>
      <c r="M9" s="3" t="s">
        <v>684</v>
      </c>
      <c r="N9" t="s">
        <v>673</v>
      </c>
      <c r="O9">
        <v>3</v>
      </c>
      <c r="P9" s="12" t="str">
        <f>IF(ISNUMBER(INDEX(lookup!B:B,MATCH(L9,lookup!A:A,0))),"["&amp;INDEX(lookup!B:B,MATCH(L9,lookup!A:A,0))&amp;"]",INDEX(lookup!B:B,MATCH(L9,lookup!A:A,0)))</f>
        <v>B</v>
      </c>
    </row>
    <row r="10" spans="1:16" ht="12.75">
      <c r="A10" s="3" t="s">
        <v>53</v>
      </c>
      <c r="B10" s="3" t="s">
        <v>202</v>
      </c>
      <c r="C10" s="3">
        <v>4</v>
      </c>
      <c r="D10" s="3">
        <v>1</v>
      </c>
      <c r="E10" s="3">
        <v>6</v>
      </c>
      <c r="F10" s="4">
        <f t="shared" si="0"/>
        <v>3</v>
      </c>
      <c r="G10" s="4">
        <f t="shared" si="1"/>
        <v>9</v>
      </c>
      <c r="H10" s="3" t="s">
        <v>16</v>
      </c>
      <c r="K10" s="3"/>
      <c r="L10" s="3" t="s">
        <v>204</v>
      </c>
      <c r="M10" s="3" t="s">
        <v>685</v>
      </c>
      <c r="N10" t="s">
        <v>673</v>
      </c>
      <c r="O10">
        <v>4</v>
      </c>
      <c r="P10" s="12" t="str">
        <f>IF(ISNUMBER(INDEX(lookup!B:B,MATCH(L10,lookup!A:A,0))),"["&amp;INDEX(lookup!B:B,MATCH(L10,lookup!A:A,0))&amp;"]",INDEX(lookup!B:B,MATCH(L10,lookup!A:A,0)))</f>
        <v>B</v>
      </c>
    </row>
    <row r="11" spans="1:16" ht="12.75">
      <c r="A11" s="3" t="s">
        <v>14</v>
      </c>
      <c r="B11" s="3" t="s">
        <v>205</v>
      </c>
      <c r="C11" s="3">
        <v>1</v>
      </c>
      <c r="D11" s="3">
        <v>1</v>
      </c>
      <c r="E11" s="3">
        <v>0.999</v>
      </c>
      <c r="F11" s="4">
        <f t="shared" ref="F11:F12" si="2">E11*2-G11</f>
        <v>0.998</v>
      </c>
      <c r="G11" s="3">
        <v>1</v>
      </c>
      <c r="H11" s="3" t="s">
        <v>16</v>
      </c>
      <c r="K11" s="3"/>
      <c r="L11" s="3" t="s">
        <v>206</v>
      </c>
      <c r="M11" s="3" t="s">
        <v>207</v>
      </c>
      <c r="N11" t="s">
        <v>670</v>
      </c>
      <c r="O11" s="9" t="s">
        <v>674</v>
      </c>
      <c r="P11" s="12" t="str">
        <f>IF(ISNUMBER(INDEX(lookup!B:B,MATCH(L11,lookup!A:A,0))),"["&amp;INDEX(lookup!B:B,MATCH(L11,lookup!A:A,0))&amp;"]",INDEX(lookup!B:B,MATCH(L11,lookup!A:A,0)))</f>
        <v>C</v>
      </c>
    </row>
    <row r="12" spans="1:16" ht="12.75">
      <c r="A12" s="3" t="s">
        <v>14</v>
      </c>
      <c r="B12" s="3" t="s">
        <v>205</v>
      </c>
      <c r="C12" s="3">
        <v>2</v>
      </c>
      <c r="D12" s="3">
        <v>1</v>
      </c>
      <c r="E12" s="3">
        <v>0.98</v>
      </c>
      <c r="F12" s="4">
        <f t="shared" si="2"/>
        <v>0.96099999999999997</v>
      </c>
      <c r="G12" s="3">
        <v>0.999</v>
      </c>
      <c r="H12" s="3" t="s">
        <v>16</v>
      </c>
      <c r="K12" s="3"/>
      <c r="L12" s="3" t="s">
        <v>206</v>
      </c>
      <c r="M12" s="3" t="s">
        <v>208</v>
      </c>
      <c r="N12" t="s">
        <v>670</v>
      </c>
      <c r="P12" s="12" t="str">
        <f>IF(ISNUMBER(INDEX(lookup!B:B,MATCH(L12,lookup!A:A,0))),"["&amp;INDEX(lookup!B:B,MATCH(L12,lookup!A:A,0))&amp;"]",INDEX(lookup!B:B,MATCH(L12,lookup!A:A,0)))</f>
        <v>C</v>
      </c>
    </row>
    <row r="13" spans="1:16" ht="12.75">
      <c r="A13" s="3" t="s">
        <v>14</v>
      </c>
      <c r="B13" s="3" t="s">
        <v>205</v>
      </c>
      <c r="C13" s="3">
        <v>3</v>
      </c>
      <c r="D13" s="3">
        <v>1</v>
      </c>
      <c r="E13" s="3">
        <v>0</v>
      </c>
      <c r="K13" s="3"/>
      <c r="L13" s="3" t="s">
        <v>124</v>
      </c>
      <c r="M13" s="3" t="s">
        <v>209</v>
      </c>
      <c r="N13" t="s">
        <v>670</v>
      </c>
      <c r="P13" s="12" t="str">
        <f>IF(ISNUMBER(INDEX(lookup!B:B,MATCH(L13,lookup!A:A,0))),"["&amp;INDEX(lookup!B:B,MATCH(L13,lookup!A:A,0))&amp;"]",INDEX(lookup!B:B,MATCH(L13,lookup!A:A,0)))</f>
        <v>[0]</v>
      </c>
    </row>
    <row r="14" spans="1:16" ht="12.75">
      <c r="A14" s="3" t="s">
        <v>14</v>
      </c>
      <c r="B14" s="3" t="s">
        <v>205</v>
      </c>
      <c r="C14" s="3">
        <v>4</v>
      </c>
      <c r="D14" s="3">
        <v>1</v>
      </c>
      <c r="E14" s="3">
        <v>0</v>
      </c>
      <c r="K14" s="3"/>
      <c r="L14" s="3" t="s">
        <v>124</v>
      </c>
      <c r="M14" s="3" t="s">
        <v>210</v>
      </c>
      <c r="N14" t="s">
        <v>670</v>
      </c>
      <c r="P14" s="12" t="str">
        <f>IF(ISNUMBER(INDEX(lookup!B:B,MATCH(L14,lookup!A:A,0))),"["&amp;INDEX(lookup!B:B,MATCH(L14,lookup!A:A,0))&amp;"]",INDEX(lookup!B:B,MATCH(L14,lookup!A:A,0)))</f>
        <v>[0]</v>
      </c>
    </row>
    <row r="15" spans="1:16" ht="12.75">
      <c r="A15" s="3" t="s">
        <v>14</v>
      </c>
      <c r="B15" s="3" t="s">
        <v>205</v>
      </c>
      <c r="C15" s="3">
        <v>1</v>
      </c>
      <c r="D15" s="3">
        <v>2</v>
      </c>
      <c r="E15" s="3">
        <v>0</v>
      </c>
      <c r="K15" s="3"/>
      <c r="L15" s="3" t="s">
        <v>124</v>
      </c>
      <c r="M15" s="3" t="s">
        <v>211</v>
      </c>
      <c r="N15" t="s">
        <v>670</v>
      </c>
      <c r="P15" s="12" t="str">
        <f>IF(ISNUMBER(INDEX(lookup!B:B,MATCH(L15,lookup!A:A,0))),"["&amp;INDEX(lookup!B:B,MATCH(L15,lookup!A:A,0))&amp;"]",INDEX(lookup!B:B,MATCH(L15,lookup!A:A,0)))</f>
        <v>[0]</v>
      </c>
    </row>
    <row r="16" spans="1:16" ht="12.75">
      <c r="A16" s="3" t="s">
        <v>14</v>
      </c>
      <c r="B16" s="3" t="s">
        <v>205</v>
      </c>
      <c r="C16" s="3">
        <v>2</v>
      </c>
      <c r="D16" s="3">
        <v>2</v>
      </c>
      <c r="E16" s="3">
        <v>0</v>
      </c>
      <c r="K16" s="3"/>
      <c r="L16" s="3" t="s">
        <v>124</v>
      </c>
      <c r="M16" s="3" t="s">
        <v>212</v>
      </c>
      <c r="N16" t="s">
        <v>670</v>
      </c>
      <c r="P16" s="12" t="str">
        <f>IF(ISNUMBER(INDEX(lookup!B:B,MATCH(L16,lookup!A:A,0))),"["&amp;INDEX(lookup!B:B,MATCH(L16,lookup!A:A,0))&amp;"]",INDEX(lookup!B:B,MATCH(L16,lookup!A:A,0)))</f>
        <v>[0]</v>
      </c>
    </row>
    <row r="17" spans="1:16" ht="12.75">
      <c r="A17" s="3" t="s">
        <v>14</v>
      </c>
      <c r="B17" s="3" t="s">
        <v>205</v>
      </c>
      <c r="C17" s="3">
        <v>3</v>
      </c>
      <c r="D17" s="3">
        <v>2</v>
      </c>
      <c r="E17" s="3">
        <v>0.99</v>
      </c>
      <c r="F17" s="4">
        <f t="shared" ref="F17:F20" si="3">E17*2-G17</f>
        <v>0.98</v>
      </c>
      <c r="G17" s="3">
        <v>1</v>
      </c>
      <c r="H17" s="3" t="s">
        <v>16</v>
      </c>
      <c r="K17" s="3"/>
      <c r="L17" s="3" t="s">
        <v>206</v>
      </c>
      <c r="M17" s="3" t="s">
        <v>213</v>
      </c>
      <c r="N17" t="s">
        <v>670</v>
      </c>
      <c r="P17" s="12" t="str">
        <f>IF(ISNUMBER(INDEX(lookup!B:B,MATCH(L17,lookup!A:A,0))),"["&amp;INDEX(lookup!B:B,MATCH(L17,lookup!A:A,0))&amp;"]",INDEX(lookup!B:B,MATCH(L17,lookup!A:A,0)))</f>
        <v>C</v>
      </c>
    </row>
    <row r="18" spans="1:16" ht="12.75">
      <c r="A18" s="3" t="s">
        <v>14</v>
      </c>
      <c r="B18" s="3" t="s">
        <v>205</v>
      </c>
      <c r="C18" s="3">
        <v>4</v>
      </c>
      <c r="D18" s="3">
        <v>2</v>
      </c>
      <c r="E18" s="3">
        <v>0.95</v>
      </c>
      <c r="F18" s="4">
        <f t="shared" si="3"/>
        <v>0.90999999999999992</v>
      </c>
      <c r="G18" s="3">
        <v>0.99</v>
      </c>
      <c r="H18" s="3" t="s">
        <v>16</v>
      </c>
      <c r="K18" s="3"/>
      <c r="L18" s="3" t="s">
        <v>206</v>
      </c>
      <c r="M18" s="3" t="s">
        <v>214</v>
      </c>
      <c r="N18" t="s">
        <v>670</v>
      </c>
      <c r="P18" s="12" t="str">
        <f>IF(ISNUMBER(INDEX(lookup!B:B,MATCH(L18,lookup!A:A,0))),"["&amp;INDEX(lookup!B:B,MATCH(L18,lookup!A:A,0))&amp;"]",INDEX(lookup!B:B,MATCH(L18,lookup!A:A,0)))</f>
        <v>C</v>
      </c>
    </row>
    <row r="19" spans="1:16" ht="12.75">
      <c r="A19" s="3" t="s">
        <v>14</v>
      </c>
      <c r="B19" s="3" t="s">
        <v>215</v>
      </c>
      <c r="C19" s="3">
        <v>1</v>
      </c>
      <c r="D19" s="3">
        <v>1</v>
      </c>
      <c r="E19" s="3">
        <v>0.99970000000000003</v>
      </c>
      <c r="F19" s="4">
        <f t="shared" si="3"/>
        <v>0.99940000000000007</v>
      </c>
      <c r="G19" s="3">
        <v>1</v>
      </c>
      <c r="H19" s="3" t="s">
        <v>16</v>
      </c>
      <c r="K19" s="3"/>
      <c r="L19" s="3" t="s">
        <v>206</v>
      </c>
      <c r="M19" s="3" t="s">
        <v>216</v>
      </c>
      <c r="N19" t="s">
        <v>671</v>
      </c>
      <c r="P19" s="12" t="str">
        <f>IF(ISNUMBER(INDEX(lookup!B:B,MATCH(L19,lookup!A:A,0))),"["&amp;INDEX(lookup!B:B,MATCH(L19,lookup!A:A,0))&amp;"]",INDEX(lookup!B:B,MATCH(L19,lookup!A:A,0)))</f>
        <v>C</v>
      </c>
    </row>
    <row r="20" spans="1:16" ht="12.75">
      <c r="A20" s="3" t="s">
        <v>14</v>
      </c>
      <c r="B20" s="3" t="s">
        <v>215</v>
      </c>
      <c r="C20" s="3">
        <v>2</v>
      </c>
      <c r="D20" s="3">
        <v>1</v>
      </c>
      <c r="E20" s="3">
        <v>0.99999999900000003</v>
      </c>
      <c r="F20" s="4">
        <f t="shared" si="3"/>
        <v>0.99999999800000006</v>
      </c>
      <c r="G20" s="3">
        <v>1</v>
      </c>
      <c r="H20" s="3" t="s">
        <v>16</v>
      </c>
      <c r="K20" s="3"/>
      <c r="L20" s="3" t="s">
        <v>206</v>
      </c>
      <c r="M20" s="3" t="s">
        <v>217</v>
      </c>
      <c r="N20" t="s">
        <v>671</v>
      </c>
      <c r="P20" s="12" t="str">
        <f>IF(ISNUMBER(INDEX(lookup!B:B,MATCH(L20,lookup!A:A,0))),"["&amp;INDEX(lookup!B:B,MATCH(L20,lookup!A:A,0))&amp;"]",INDEX(lookup!B:B,MATCH(L20,lookup!A:A,0)))</f>
        <v>C</v>
      </c>
    </row>
    <row r="21" spans="1:16" ht="12.75">
      <c r="A21" s="3" t="s">
        <v>14</v>
      </c>
      <c r="B21" s="3" t="s">
        <v>215</v>
      </c>
      <c r="C21" s="3">
        <v>3</v>
      </c>
      <c r="D21" s="3">
        <v>1</v>
      </c>
      <c r="E21" s="3">
        <v>1</v>
      </c>
      <c r="K21" s="3"/>
      <c r="L21" s="3" t="s">
        <v>124</v>
      </c>
      <c r="M21" s="3" t="s">
        <v>218</v>
      </c>
      <c r="N21" t="s">
        <v>671</v>
      </c>
      <c r="P21" s="12" t="str">
        <f>IF(ISNUMBER(INDEX(lookup!B:B,MATCH(L21,lookup!A:A,0))),"["&amp;INDEX(lookup!B:B,MATCH(L21,lookup!A:A,0))&amp;"]",INDEX(lookup!B:B,MATCH(L21,lookup!A:A,0)))</f>
        <v>[0]</v>
      </c>
    </row>
    <row r="22" spans="1:16" ht="12.75">
      <c r="A22" s="3" t="s">
        <v>14</v>
      </c>
      <c r="B22" s="3" t="s">
        <v>215</v>
      </c>
      <c r="C22" s="3">
        <v>4</v>
      </c>
      <c r="D22" s="3">
        <v>1</v>
      </c>
      <c r="E22" s="3">
        <v>1</v>
      </c>
      <c r="K22" s="3"/>
      <c r="L22" s="3" t="s">
        <v>124</v>
      </c>
      <c r="M22" s="3" t="s">
        <v>219</v>
      </c>
      <c r="N22" t="s">
        <v>671</v>
      </c>
      <c r="P22" s="12" t="str">
        <f>IF(ISNUMBER(INDEX(lookup!B:B,MATCH(L22,lookup!A:A,0))),"["&amp;INDEX(lookup!B:B,MATCH(L22,lookup!A:A,0))&amp;"]",INDEX(lookup!B:B,MATCH(L22,lookup!A:A,0)))</f>
        <v>[0]</v>
      </c>
    </row>
    <row r="23" spans="1:16" ht="12.75">
      <c r="A23" s="3" t="s">
        <v>14</v>
      </c>
      <c r="B23" s="3" t="s">
        <v>215</v>
      </c>
      <c r="C23" s="3">
        <v>1</v>
      </c>
      <c r="D23" s="3">
        <v>2</v>
      </c>
      <c r="E23" s="3">
        <v>1</v>
      </c>
      <c r="K23" s="3"/>
      <c r="L23" s="3" t="s">
        <v>124</v>
      </c>
      <c r="M23" s="3" t="s">
        <v>220</v>
      </c>
      <c r="N23" t="s">
        <v>671</v>
      </c>
      <c r="P23" s="12" t="str">
        <f>IF(ISNUMBER(INDEX(lookup!B:B,MATCH(L23,lookup!A:A,0))),"["&amp;INDEX(lookup!B:B,MATCH(L23,lookup!A:A,0))&amp;"]",INDEX(lookup!B:B,MATCH(L23,lookup!A:A,0)))</f>
        <v>[0]</v>
      </c>
    </row>
    <row r="24" spans="1:16" ht="12.75">
      <c r="A24" s="3" t="s">
        <v>14</v>
      </c>
      <c r="B24" s="3" t="s">
        <v>215</v>
      </c>
      <c r="C24" s="3">
        <v>2</v>
      </c>
      <c r="D24" s="3">
        <v>2</v>
      </c>
      <c r="E24" s="3">
        <v>1</v>
      </c>
      <c r="K24" s="3"/>
      <c r="L24" s="3" t="s">
        <v>124</v>
      </c>
      <c r="M24" s="3" t="s">
        <v>221</v>
      </c>
      <c r="N24" t="s">
        <v>671</v>
      </c>
      <c r="P24" s="12" t="str">
        <f>IF(ISNUMBER(INDEX(lookup!B:B,MATCH(L24,lookup!A:A,0))),"["&amp;INDEX(lookup!B:B,MATCH(L24,lookup!A:A,0))&amp;"]",INDEX(lookup!B:B,MATCH(L24,lookup!A:A,0)))</f>
        <v>[0]</v>
      </c>
    </row>
    <row r="25" spans="1:16" ht="12.75">
      <c r="A25" s="3" t="s">
        <v>14</v>
      </c>
      <c r="B25" s="3" t="s">
        <v>215</v>
      </c>
      <c r="C25" s="3">
        <v>3</v>
      </c>
      <c r="D25" s="3">
        <v>2</v>
      </c>
      <c r="E25" s="3">
        <v>0.99970000000000003</v>
      </c>
      <c r="F25" s="4">
        <f t="shared" ref="F25:F26" si="4">E25*2-G25</f>
        <v>0.99940000000000007</v>
      </c>
      <c r="G25" s="3">
        <v>1</v>
      </c>
      <c r="H25" s="3" t="s">
        <v>16</v>
      </c>
      <c r="K25" s="3"/>
      <c r="L25" s="3" t="s">
        <v>206</v>
      </c>
      <c r="M25" s="3" t="s">
        <v>222</v>
      </c>
      <c r="N25" t="s">
        <v>671</v>
      </c>
      <c r="P25" s="12" t="str">
        <f>IF(ISNUMBER(INDEX(lookup!B:B,MATCH(L25,lookup!A:A,0))),"["&amp;INDEX(lookup!B:B,MATCH(L25,lookup!A:A,0))&amp;"]",INDEX(lookup!B:B,MATCH(L25,lookup!A:A,0)))</f>
        <v>C</v>
      </c>
    </row>
    <row r="26" spans="1:16" ht="12.75">
      <c r="A26" s="3" t="s">
        <v>14</v>
      </c>
      <c r="B26" s="3" t="s">
        <v>215</v>
      </c>
      <c r="C26" s="3">
        <v>4</v>
      </c>
      <c r="D26" s="3">
        <v>2</v>
      </c>
      <c r="E26" s="3">
        <v>0.99999999900000003</v>
      </c>
      <c r="F26" s="4">
        <f t="shared" si="4"/>
        <v>0.99999999800000006</v>
      </c>
      <c r="G26" s="3">
        <v>1</v>
      </c>
      <c r="H26" s="3" t="s">
        <v>16</v>
      </c>
      <c r="K26" s="3"/>
      <c r="L26" s="3" t="s">
        <v>206</v>
      </c>
      <c r="M26" s="3" t="s">
        <v>223</v>
      </c>
      <c r="N26" s="17" t="s">
        <v>671</v>
      </c>
      <c r="P26" s="12" t="str">
        <f>IF(ISNUMBER(INDEX(lookup!B:B,MATCH(L26,lookup!A:A,0))),"["&amp;INDEX(lookup!B:B,MATCH(L26,lookup!A:A,0))&amp;"]",INDEX(lookup!B:B,MATCH(L26,lookup!A:A,0)))</f>
        <v>C</v>
      </c>
    </row>
    <row r="27" spans="1:16" ht="12.75">
      <c r="A27" s="3" t="s">
        <v>53</v>
      </c>
      <c r="B27" s="3" t="s">
        <v>224</v>
      </c>
      <c r="C27" s="3">
        <v>1</v>
      </c>
      <c r="D27" s="3">
        <v>1</v>
      </c>
      <c r="E27" s="3">
        <v>81.28</v>
      </c>
      <c r="F27" s="4">
        <f>0.5*E27</f>
        <v>40.64</v>
      </c>
      <c r="G27" s="4">
        <f>1.5*E27</f>
        <v>121.92</v>
      </c>
      <c r="H27" s="3" t="s">
        <v>16</v>
      </c>
      <c r="K27" s="3"/>
      <c r="L27" s="3" t="s">
        <v>225</v>
      </c>
      <c r="M27" s="3" t="s">
        <v>226</v>
      </c>
      <c r="N27" t="s">
        <v>675</v>
      </c>
      <c r="O27" s="9">
        <v>1</v>
      </c>
      <c r="P27" s="12" t="str">
        <f>IF(ISNUMBER(INDEX(lookup!B:B,MATCH(L27,lookup!A:A,0))),"["&amp;INDEX(lookup!B:B,MATCH(L27,lookup!A:A,0))&amp;"]",INDEX(lookup!B:B,MATCH(L27,lookup!A:A,0)))</f>
        <v>[21]</v>
      </c>
    </row>
    <row r="28" spans="1:16" ht="12.75">
      <c r="A28" s="3" t="s">
        <v>14</v>
      </c>
      <c r="B28" s="3" t="s">
        <v>227</v>
      </c>
      <c r="C28" s="3">
        <v>1</v>
      </c>
      <c r="D28" s="3">
        <v>1</v>
      </c>
      <c r="E28" s="3">
        <v>0.64566413899999997</v>
      </c>
      <c r="F28" s="4">
        <f t="shared" ref="F28:F29" si="5">0.8*E28</f>
        <v>0.51653131119999995</v>
      </c>
      <c r="G28" s="4">
        <f t="shared" ref="G28:G29" si="6">1.2*E28</f>
        <v>0.77479696679999999</v>
      </c>
      <c r="H28" s="3" t="s">
        <v>16</v>
      </c>
      <c r="K28" s="3"/>
      <c r="L28" s="3" t="s">
        <v>228</v>
      </c>
      <c r="M28" s="3" t="s">
        <v>229</v>
      </c>
      <c r="N28" s="17" t="s">
        <v>672</v>
      </c>
      <c r="O28" s="9" t="s">
        <v>676</v>
      </c>
      <c r="P28" s="12" t="str">
        <f>IF(ISNUMBER(INDEX(lookup!B:B,MATCH(L28,lookup!A:A,0))),"["&amp;INDEX(lookup!B:B,MATCH(L28,lookup!A:A,0))&amp;"]",INDEX(lookup!B:B,MATCH(L28,lookup!A:A,0)))</f>
        <v>D</v>
      </c>
    </row>
    <row r="29" spans="1:16" ht="12.75">
      <c r="A29" s="3" t="s">
        <v>14</v>
      </c>
      <c r="B29" s="3" t="s">
        <v>227</v>
      </c>
      <c r="C29" s="3">
        <v>1</v>
      </c>
      <c r="D29" s="3">
        <v>2</v>
      </c>
      <c r="E29" s="3">
        <v>0.64287943000000003</v>
      </c>
      <c r="F29" s="4">
        <f t="shared" si="5"/>
        <v>0.514303544</v>
      </c>
      <c r="G29" s="4">
        <f t="shared" si="6"/>
        <v>0.77145531600000006</v>
      </c>
      <c r="H29" s="3" t="s">
        <v>16</v>
      </c>
      <c r="K29" s="3"/>
      <c r="L29" s="3" t="s">
        <v>230</v>
      </c>
      <c r="M29" s="3" t="s">
        <v>231</v>
      </c>
      <c r="N29" s="17" t="s">
        <v>672</v>
      </c>
      <c r="O29" s="9" t="s">
        <v>674</v>
      </c>
      <c r="P29" s="12" t="str">
        <f>IF(ISNUMBER(INDEX(lookup!B:B,MATCH(L29,lookup!A:A,0))),"["&amp;INDEX(lookup!B:B,MATCH(L29,lookup!A:A,0))&amp;"]",INDEX(lookup!B:B,MATCH(L29,lookup!A:A,0)))</f>
        <v>D</v>
      </c>
    </row>
    <row r="30" spans="1:16" ht="12.75">
      <c r="A30" s="3" t="s">
        <v>14</v>
      </c>
      <c r="B30" s="3" t="s">
        <v>123</v>
      </c>
      <c r="E30" s="3">
        <v>0.94399999999999995</v>
      </c>
      <c r="F30" s="4">
        <f>E30*2-G30</f>
        <v>0.90799999999999992</v>
      </c>
      <c r="G30" s="3">
        <v>0.98</v>
      </c>
      <c r="H30" s="3" t="s">
        <v>16</v>
      </c>
      <c r="K30" s="3"/>
      <c r="L30" s="3" t="s">
        <v>230</v>
      </c>
      <c r="M30" s="3" t="s">
        <v>688</v>
      </c>
      <c r="N30" s="17"/>
      <c r="P30" s="12" t="str">
        <f>IF(ISNUMBER(INDEX(lookup!B:B,MATCH(L30,lookup!A:A,0))),"["&amp;INDEX(lookup!B:B,MATCH(L30,lookup!A:A,0))&amp;"]",INDEX(lookup!B:B,MATCH(L30,lookup!A:A,0)))</f>
        <v>D</v>
      </c>
    </row>
    <row r="31" spans="1:16" ht="12.75">
      <c r="A31" s="3" t="s">
        <v>14</v>
      </c>
      <c r="B31" s="3" t="s">
        <v>126</v>
      </c>
      <c r="E31" s="3">
        <v>1.4999999999999999E-2</v>
      </c>
      <c r="F31" s="4">
        <f t="shared" ref="F31:F32" si="7">0.8*E31</f>
        <v>1.2E-2</v>
      </c>
      <c r="G31" s="4">
        <f t="shared" ref="G31:G32" si="8">1.2*E31</f>
        <v>1.7999999999999999E-2</v>
      </c>
      <c r="H31" s="3" t="s">
        <v>16</v>
      </c>
      <c r="K31" s="3"/>
      <c r="L31" s="3" t="s">
        <v>230</v>
      </c>
      <c r="M31" s="3" t="s">
        <v>689</v>
      </c>
      <c r="N31" s="17"/>
      <c r="P31" s="12" t="str">
        <f>IF(ISNUMBER(INDEX(lookup!B:B,MATCH(L31,lookup!A:A,0))),"["&amp;INDEX(lookup!B:B,MATCH(L31,lookup!A:A,0))&amp;"]",INDEX(lookup!B:B,MATCH(L31,lookup!A:A,0)))</f>
        <v>D</v>
      </c>
    </row>
    <row r="32" spans="1:16" ht="12.75">
      <c r="A32" s="3" t="s">
        <v>14</v>
      </c>
      <c r="B32" s="3" t="s">
        <v>128</v>
      </c>
      <c r="E32" s="3">
        <v>0.54100000000000004</v>
      </c>
      <c r="F32" s="4">
        <f t="shared" si="7"/>
        <v>0.43280000000000007</v>
      </c>
      <c r="G32" s="4">
        <f t="shared" si="8"/>
        <v>0.6492</v>
      </c>
      <c r="H32" s="3" t="s">
        <v>16</v>
      </c>
      <c r="K32" s="3"/>
      <c r="L32" s="3" t="s">
        <v>230</v>
      </c>
      <c r="M32" s="3" t="s">
        <v>690</v>
      </c>
      <c r="N32" s="17"/>
      <c r="P32" s="12" t="str">
        <f>IF(ISNUMBER(INDEX(lookup!B:B,MATCH(L32,lookup!A:A,0))),"["&amp;INDEX(lookup!B:B,MATCH(L32,lookup!A:A,0))&amp;"]",INDEX(lookup!B:B,MATCH(L32,lookup!A:A,0)))</f>
        <v>D</v>
      </c>
    </row>
    <row r="33" spans="1:16" ht="12.75">
      <c r="A33" s="3" t="s">
        <v>14</v>
      </c>
      <c r="B33" s="3" t="s">
        <v>232</v>
      </c>
      <c r="E33" s="3">
        <v>1</v>
      </c>
      <c r="L33" s="3" t="s">
        <v>17</v>
      </c>
      <c r="M33" s="3" t="s">
        <v>691</v>
      </c>
      <c r="N33" s="17"/>
      <c r="P33" s="12" t="str">
        <f>IF(ISNUMBER(INDEX(lookup!B:B,MATCH(L33,lookup!A:A,0))),"["&amp;INDEX(lookup!B:B,MATCH(L33,lookup!A:A,0))&amp;"]",INDEX(lookup!B:B,MATCH(L33,lookup!A:A,0)))</f>
        <v>[3]</v>
      </c>
    </row>
    <row r="34" spans="1:16" ht="12.75">
      <c r="A34" s="3" t="s">
        <v>14</v>
      </c>
      <c r="B34" s="3" t="s">
        <v>233</v>
      </c>
      <c r="E34" s="3">
        <v>1</v>
      </c>
      <c r="L34" s="3" t="s">
        <v>17</v>
      </c>
      <c r="M34" s="3" t="s">
        <v>692</v>
      </c>
      <c r="N34" s="17"/>
      <c r="P34" s="12" t="str">
        <f>IF(ISNUMBER(INDEX(lookup!B:B,MATCH(L34,lookup!A:A,0))),"["&amp;INDEX(lookup!B:B,MATCH(L34,lookup!A:A,0))&amp;"]",INDEX(lookup!B:B,MATCH(L34,lookup!A:A,0)))</f>
        <v>[3]</v>
      </c>
    </row>
    <row r="35" spans="1:16" ht="12.75">
      <c r="A35" s="3" t="s">
        <v>14</v>
      </c>
      <c r="B35" s="3" t="s">
        <v>234</v>
      </c>
      <c r="E35" s="3">
        <v>1</v>
      </c>
      <c r="L35" s="3" t="s">
        <v>17</v>
      </c>
      <c r="M35" s="3" t="s">
        <v>693</v>
      </c>
      <c r="N35" s="17"/>
      <c r="P35" s="12" t="str">
        <f>IF(ISNUMBER(INDEX(lookup!B:B,MATCH(L35,lookup!A:A,0))),"["&amp;INDEX(lookup!B:B,MATCH(L35,lookup!A:A,0))&amp;"]",INDEX(lookup!B:B,MATCH(L35,lookup!A:A,0)))</f>
        <v>[3]</v>
      </c>
    </row>
    <row r="36" spans="1:16" ht="12.75">
      <c r="A36" s="3" t="s">
        <v>14</v>
      </c>
      <c r="B36" s="3" t="s">
        <v>235</v>
      </c>
      <c r="E36" s="3">
        <v>0.5</v>
      </c>
      <c r="F36" s="3">
        <v>0.3</v>
      </c>
      <c r="G36" s="3">
        <v>0.7</v>
      </c>
      <c r="H36" s="3" t="s">
        <v>16</v>
      </c>
      <c r="L36" s="3" t="s">
        <v>132</v>
      </c>
      <c r="M36" s="3" t="s">
        <v>694</v>
      </c>
      <c r="N36" s="17"/>
      <c r="P36" s="12" t="str">
        <f>IF(ISNUMBER(INDEX(lookup!B:B,MATCH(L36,lookup!A:A,0))),"["&amp;INDEX(lookup!B:B,MATCH(L36,lookup!A:A,0))&amp;"]",INDEX(lookup!B:B,MATCH(L36,lookup!A:A,0)))</f>
        <v>[2]</v>
      </c>
    </row>
    <row r="37" spans="1:16" ht="12.75">
      <c r="A37" s="3" t="s">
        <v>14</v>
      </c>
      <c r="B37" s="3" t="s">
        <v>236</v>
      </c>
      <c r="E37" s="3">
        <v>0.5</v>
      </c>
      <c r="F37" s="3">
        <v>0.3</v>
      </c>
      <c r="G37" s="3">
        <v>0.7</v>
      </c>
      <c r="H37" s="3" t="s">
        <v>16</v>
      </c>
      <c r="L37" s="3" t="s">
        <v>132</v>
      </c>
      <c r="M37" s="3" t="s">
        <v>695</v>
      </c>
      <c r="N37" s="17"/>
      <c r="P37" s="12" t="str">
        <f>IF(ISNUMBER(INDEX(lookup!B:B,MATCH(L37,lookup!A:A,0))),"["&amp;INDEX(lookup!B:B,MATCH(L37,lookup!A:A,0))&amp;"]",INDEX(lookup!B:B,MATCH(L37,lookup!A:A,0)))</f>
        <v>[2]</v>
      </c>
    </row>
    <row r="38" spans="1:16" ht="12.75">
      <c r="A38" s="3" t="s">
        <v>14</v>
      </c>
      <c r="B38" s="3" t="s">
        <v>237</v>
      </c>
      <c r="E38" s="3">
        <v>0.9</v>
      </c>
      <c r="F38" s="3">
        <v>0.8</v>
      </c>
      <c r="G38" s="3">
        <v>1</v>
      </c>
      <c r="H38" s="3" t="s">
        <v>16</v>
      </c>
      <c r="L38" s="3" t="s">
        <v>132</v>
      </c>
      <c r="M38" s="3" t="s">
        <v>696</v>
      </c>
      <c r="N38" s="17"/>
      <c r="P38" s="12" t="str">
        <f>IF(ISNUMBER(INDEX(lookup!B:B,MATCH(L38,lookup!A:A,0))),"["&amp;INDEX(lookup!B:B,MATCH(L38,lookup!A:A,0))&amp;"]",INDEX(lookup!B:B,MATCH(L38,lookup!A:A,0)))</f>
        <v>[2]</v>
      </c>
    </row>
    <row r="39" spans="1:16" ht="12.75">
      <c r="P39" s="12"/>
    </row>
    <row r="40" spans="1:16" ht="12.75">
      <c r="P40" s="12"/>
    </row>
    <row r="41" spans="1:16" ht="12.75">
      <c r="P41" s="12"/>
    </row>
    <row r="42" spans="1:16" ht="12.75">
      <c r="P42" s="12"/>
    </row>
    <row r="43" spans="1:16" ht="12.75">
      <c r="P43" s="12"/>
    </row>
    <row r="44" spans="1:16" ht="12.75">
      <c r="P44" s="12"/>
    </row>
    <row r="45" spans="1:16" ht="12.75">
      <c r="P45" s="12"/>
    </row>
    <row r="46" spans="1:16" ht="12.75">
      <c r="P46" s="12"/>
    </row>
    <row r="47" spans="1:16" ht="12.75">
      <c r="P47" s="12"/>
    </row>
    <row r="48" spans="1:16" ht="12.75">
      <c r="P48" s="12"/>
    </row>
    <row r="49" spans="16:16" ht="12.75">
      <c r="P49" s="12"/>
    </row>
    <row r="50" spans="16:16" ht="12.75">
      <c r="P50" s="12"/>
    </row>
    <row r="51" spans="16:16" ht="12.75">
      <c r="P51" s="12"/>
    </row>
    <row r="52" spans="16:16" ht="12.75">
      <c r="P52" s="12"/>
    </row>
    <row r="53" spans="16:16" ht="12.75">
      <c r="P53" s="12"/>
    </row>
    <row r="54" spans="16:16" ht="12.75">
      <c r="P54" s="12"/>
    </row>
    <row r="55" spans="16:16" ht="12.75">
      <c r="P55" s="12"/>
    </row>
    <row r="56" spans="16:16" ht="12.75">
      <c r="P56" s="12"/>
    </row>
    <row r="57" spans="16:16" ht="12.75">
      <c r="P57" s="12"/>
    </row>
    <row r="58" spans="16:16" ht="12.75">
      <c r="P58" s="12"/>
    </row>
    <row r="59" spans="16:16" ht="12.75">
      <c r="P59" s="12"/>
    </row>
    <row r="60" spans="16:16" ht="12.75">
      <c r="P60" s="12"/>
    </row>
    <row r="61" spans="16:16" ht="12.75">
      <c r="P61" s="12"/>
    </row>
    <row r="62" spans="16:16" ht="12.75">
      <c r="P62" s="12"/>
    </row>
    <row r="63" spans="16:16" ht="12.75">
      <c r="P63" s="12"/>
    </row>
    <row r="64" spans="16:16" ht="12.75">
      <c r="P64" s="12"/>
    </row>
    <row r="65" spans="16:16" ht="12.75">
      <c r="P65" s="12"/>
    </row>
    <row r="66" spans="16:16" ht="12.75">
      <c r="P66" s="12"/>
    </row>
    <row r="67" spans="16:16" ht="12.75">
      <c r="P67" s="12"/>
    </row>
    <row r="68" spans="16:16" ht="12.75">
      <c r="P68" s="12"/>
    </row>
    <row r="69" spans="16:16" ht="12.75">
      <c r="P69" s="12"/>
    </row>
    <row r="70" spans="16:16" ht="12.75">
      <c r="P70" s="12"/>
    </row>
    <row r="71" spans="16:16" ht="12.75">
      <c r="P71" s="12"/>
    </row>
    <row r="72" spans="16:16" ht="12.75">
      <c r="P72" s="12"/>
    </row>
    <row r="73" spans="16:16" ht="12.75">
      <c r="P73" s="12"/>
    </row>
    <row r="74" spans="16:16" ht="12.75">
      <c r="P74" s="12"/>
    </row>
    <row r="75" spans="16:16" ht="12.75">
      <c r="P75" s="12"/>
    </row>
    <row r="76" spans="16:16" ht="12.75">
      <c r="P76" s="12"/>
    </row>
    <row r="77" spans="16:16" ht="12.75">
      <c r="P77" s="12"/>
    </row>
    <row r="78" spans="16:16" ht="12.75">
      <c r="P78" s="12"/>
    </row>
    <row r="79" spans="16:16" ht="12.75">
      <c r="P79" s="12"/>
    </row>
    <row r="80" spans="16:16" ht="12.75">
      <c r="P80" s="12"/>
    </row>
    <row r="81" spans="16:16" ht="12.75">
      <c r="P81" s="12"/>
    </row>
    <row r="82" spans="16:16" ht="12.75">
      <c r="P82" s="12"/>
    </row>
    <row r="83" spans="16:16" ht="12.75">
      <c r="P83" s="12"/>
    </row>
    <row r="84" spans="16:16" ht="12.75">
      <c r="P84" s="12"/>
    </row>
    <row r="85" spans="16:16" ht="12.75">
      <c r="P85" s="12"/>
    </row>
    <row r="86" spans="16:16" ht="12.75">
      <c r="P86" s="12"/>
    </row>
    <row r="87" spans="16:16" ht="12.75">
      <c r="P87" s="12"/>
    </row>
    <row r="88" spans="16:16" ht="12.75">
      <c r="P88" s="12"/>
    </row>
    <row r="89" spans="16:16" ht="12.75">
      <c r="P89" s="12"/>
    </row>
    <row r="90" spans="16:16" ht="12.75">
      <c r="P90" s="12"/>
    </row>
    <row r="91" spans="16:16" ht="12.75">
      <c r="P91" s="12"/>
    </row>
    <row r="92" spans="16:16" ht="12.75">
      <c r="P92" s="12"/>
    </row>
    <row r="93" spans="16:16" ht="12.75">
      <c r="P93" s="12"/>
    </row>
    <row r="94" spans="16:16" ht="12.75">
      <c r="P94" s="12"/>
    </row>
    <row r="95" spans="16:16" ht="12.75">
      <c r="P95" s="12"/>
    </row>
    <row r="96" spans="16:16" ht="12.75">
      <c r="P96" s="12"/>
    </row>
    <row r="97" spans="16:16" ht="12.75">
      <c r="P97" s="12"/>
    </row>
    <row r="98" spans="16:16" ht="12.75">
      <c r="P98" s="12"/>
    </row>
    <row r="99" spans="16:16" ht="12.75">
      <c r="P99" s="12"/>
    </row>
    <row r="100" spans="16:16" ht="12.75">
      <c r="P100" s="12"/>
    </row>
    <row r="101" spans="16:16" ht="12.75">
      <c r="P101" s="12"/>
    </row>
    <row r="102" spans="16:16" ht="12.75">
      <c r="P102" s="12"/>
    </row>
    <row r="103" spans="16:16" ht="12.75">
      <c r="P103" s="12"/>
    </row>
    <row r="104" spans="16:16" ht="12.75">
      <c r="P104" s="12"/>
    </row>
    <row r="105" spans="16:16" ht="12.75">
      <c r="P105" s="12"/>
    </row>
    <row r="106" spans="16:16" ht="12.75">
      <c r="P106" s="12"/>
    </row>
    <row r="107" spans="16:16" ht="12.75">
      <c r="P107" s="12"/>
    </row>
    <row r="108" spans="16:16" ht="12.75">
      <c r="P108" s="12"/>
    </row>
    <row r="109" spans="16:16" ht="12.75">
      <c r="P109" s="12"/>
    </row>
    <row r="110" spans="16:16" ht="12.75">
      <c r="P110" s="12"/>
    </row>
    <row r="111" spans="16:16" ht="12.75">
      <c r="P111" s="12"/>
    </row>
    <row r="112" spans="16:16" ht="12.75">
      <c r="P112" s="12"/>
    </row>
    <row r="113" spans="16:16" ht="12.75">
      <c r="P113" s="12"/>
    </row>
    <row r="114" spans="16:16" ht="12.75">
      <c r="P114" s="12"/>
    </row>
    <row r="115" spans="16:16" ht="12.75">
      <c r="P115" s="12"/>
    </row>
    <row r="116" spans="16:16" ht="12.75">
      <c r="P116" s="12"/>
    </row>
    <row r="117" spans="16:16" ht="12.75">
      <c r="P117" s="12"/>
    </row>
    <row r="118" spans="16:16" ht="12.75">
      <c r="P118" s="12"/>
    </row>
    <row r="119" spans="16:16" ht="12.75">
      <c r="P119" s="12"/>
    </row>
    <row r="120" spans="16:16" ht="12.75">
      <c r="P120" s="12"/>
    </row>
    <row r="121" spans="16:16" ht="12.75">
      <c r="P121" s="12"/>
    </row>
    <row r="122" spans="16:16" ht="12.75">
      <c r="P122" s="12"/>
    </row>
    <row r="123" spans="16:16" ht="12.75">
      <c r="P123" s="12"/>
    </row>
    <row r="124" spans="16:16" ht="12.75">
      <c r="P124" s="12"/>
    </row>
    <row r="125" spans="16:16" ht="12.75">
      <c r="P125" s="12"/>
    </row>
    <row r="126" spans="16:16" ht="12.75">
      <c r="P126" s="12"/>
    </row>
    <row r="127" spans="16:16" ht="12.75">
      <c r="P127" s="12"/>
    </row>
    <row r="128" spans="16:16" ht="12.75">
      <c r="P128" s="12"/>
    </row>
    <row r="129" spans="16:16" ht="12.75">
      <c r="P129" s="12"/>
    </row>
    <row r="130" spans="16:16" ht="12.75">
      <c r="P130" s="12"/>
    </row>
    <row r="131" spans="16:16" ht="12.75">
      <c r="P131" s="12"/>
    </row>
    <row r="132" spans="16:16" ht="12.75">
      <c r="P132" s="12"/>
    </row>
    <row r="133" spans="16:16" ht="12.75">
      <c r="P133" s="12"/>
    </row>
    <row r="134" spans="16:16" ht="12.75">
      <c r="P134" s="12"/>
    </row>
    <row r="135" spans="16:16" ht="12.75">
      <c r="P135" s="12"/>
    </row>
    <row r="136" spans="16:16" ht="12.75">
      <c r="P136" s="12"/>
    </row>
    <row r="137" spans="16:16" ht="12.75">
      <c r="P137" s="12"/>
    </row>
    <row r="138" spans="16:16" ht="12.75">
      <c r="P138" s="12"/>
    </row>
    <row r="139" spans="16:16" ht="12.75">
      <c r="P139" s="12"/>
    </row>
    <row r="140" spans="16:16" ht="12.75">
      <c r="P140" s="12"/>
    </row>
    <row r="141" spans="16:16" ht="12.75">
      <c r="P141" s="12"/>
    </row>
    <row r="142" spans="16:16" ht="12.75">
      <c r="P142" s="12"/>
    </row>
    <row r="143" spans="16:16" ht="12.75">
      <c r="P143" s="12"/>
    </row>
    <row r="144" spans="16:16" ht="12.75">
      <c r="P144" s="12"/>
    </row>
    <row r="145" spans="16:16" ht="12.75">
      <c r="P145" s="12"/>
    </row>
    <row r="146" spans="16:16" ht="12.75">
      <c r="P146" s="12"/>
    </row>
    <row r="147" spans="16:16" ht="12.75">
      <c r="P147" s="12"/>
    </row>
    <row r="148" spans="16:16" ht="12.75">
      <c r="P148" s="12"/>
    </row>
    <row r="149" spans="16:16" ht="12.75">
      <c r="P149" s="12"/>
    </row>
    <row r="150" spans="16:16" ht="12.75">
      <c r="P150" s="12"/>
    </row>
    <row r="151" spans="16:16" ht="12.75">
      <c r="P151" s="12"/>
    </row>
    <row r="152" spans="16:16" ht="12.75">
      <c r="P152" s="12"/>
    </row>
    <row r="153" spans="16:16" ht="12.75">
      <c r="P153" s="12"/>
    </row>
    <row r="154" spans="16:16" ht="12.75">
      <c r="P154" s="12"/>
    </row>
    <row r="155" spans="16:16" ht="12.75">
      <c r="P155" s="12"/>
    </row>
    <row r="156" spans="16:16" ht="12.75">
      <c r="P156" s="12"/>
    </row>
    <row r="157" spans="16:16" ht="12.75">
      <c r="P157" s="12"/>
    </row>
    <row r="158" spans="16:16" ht="12.75">
      <c r="P158" s="12"/>
    </row>
    <row r="159" spans="16:16" ht="12.75">
      <c r="P159" s="12"/>
    </row>
    <row r="160" spans="16:16" ht="12.75">
      <c r="P160" s="12"/>
    </row>
    <row r="161" spans="16:16" ht="12.75">
      <c r="P161" s="12"/>
    </row>
    <row r="162" spans="16:16" ht="12.75">
      <c r="P162" s="12"/>
    </row>
    <row r="163" spans="16:16" ht="12.75">
      <c r="P163" s="12"/>
    </row>
    <row r="164" spans="16:16" ht="12.75">
      <c r="P164" s="12"/>
    </row>
    <row r="165" spans="16:16" ht="12.75">
      <c r="P165" s="12"/>
    </row>
    <row r="166" spans="16:16" ht="12.75">
      <c r="P166" s="12"/>
    </row>
    <row r="167" spans="16:16" ht="12.75">
      <c r="P167" s="12"/>
    </row>
    <row r="168" spans="16:16" ht="12.75">
      <c r="P168" s="12"/>
    </row>
    <row r="169" spans="16:16" ht="12.75">
      <c r="P169" s="12"/>
    </row>
    <row r="170" spans="16:16" ht="12.75">
      <c r="P170" s="12"/>
    </row>
    <row r="171" spans="16:16" ht="12.75">
      <c r="P171" s="12"/>
    </row>
    <row r="172" spans="16:16" ht="12.75">
      <c r="P172" s="12"/>
    </row>
    <row r="173" spans="16:16" ht="12.75">
      <c r="P173" s="12"/>
    </row>
    <row r="174" spans="16:16" ht="12.75">
      <c r="P174" s="12"/>
    </row>
    <row r="175" spans="16:16" ht="12.75">
      <c r="P175" s="12"/>
    </row>
    <row r="176" spans="16:16" ht="12.75">
      <c r="P176" s="12"/>
    </row>
    <row r="177" spans="16:16" ht="12.75">
      <c r="P177" s="12"/>
    </row>
    <row r="178" spans="16:16" ht="12.75">
      <c r="P178" s="12"/>
    </row>
    <row r="179" spans="16:16" ht="12.75">
      <c r="P179" s="12"/>
    </row>
    <row r="180" spans="16:16" ht="12.75">
      <c r="P180" s="12"/>
    </row>
    <row r="181" spans="16:16" ht="12.75">
      <c r="P181" s="12"/>
    </row>
    <row r="182" spans="16:16" ht="12.75">
      <c r="P182" s="12"/>
    </row>
    <row r="183" spans="16:16" ht="12.75">
      <c r="P183" s="12"/>
    </row>
    <row r="184" spans="16:16" ht="12.75">
      <c r="P184" s="12"/>
    </row>
    <row r="185" spans="16:16" ht="12.75">
      <c r="P185" s="12"/>
    </row>
    <row r="186" spans="16:16" ht="12.75">
      <c r="P186" s="12"/>
    </row>
    <row r="187" spans="16:16" ht="12.75">
      <c r="P187" s="12"/>
    </row>
    <row r="188" spans="16:16" ht="12.75">
      <c r="P188" s="12"/>
    </row>
    <row r="189" spans="16:16" ht="12.75">
      <c r="P189" s="12"/>
    </row>
    <row r="190" spans="16:16" ht="12.75">
      <c r="P190" s="12"/>
    </row>
    <row r="191" spans="16:16" ht="12.75">
      <c r="P191" s="12"/>
    </row>
    <row r="192" spans="16:16" ht="12.75">
      <c r="P192" s="12"/>
    </row>
    <row r="193" spans="16:16" ht="12.75">
      <c r="P193" s="12"/>
    </row>
    <row r="194" spans="16:16" ht="12.75">
      <c r="P194" s="12"/>
    </row>
    <row r="195" spans="16:16" ht="12.75">
      <c r="P195" s="12"/>
    </row>
    <row r="196" spans="16:16" ht="12.75">
      <c r="P196" s="12"/>
    </row>
    <row r="197" spans="16:16" ht="12.75">
      <c r="P197" s="12"/>
    </row>
    <row r="198" spans="16:16" ht="12.75">
      <c r="P198" s="12"/>
    </row>
    <row r="199" spans="16:16" ht="12.75">
      <c r="P199" s="12"/>
    </row>
    <row r="200" spans="16:16" ht="12.75">
      <c r="P200" s="12"/>
    </row>
    <row r="201" spans="16:16" ht="12.75">
      <c r="P201" s="12"/>
    </row>
    <row r="202" spans="16:16" ht="12.75">
      <c r="P202" s="12"/>
    </row>
    <row r="203" spans="16:16" ht="12.75">
      <c r="P203" s="12"/>
    </row>
    <row r="204" spans="16:16" ht="12.75">
      <c r="P204" s="12"/>
    </row>
    <row r="205" spans="16:16" ht="12.75">
      <c r="P205" s="12"/>
    </row>
    <row r="206" spans="16:16" ht="12.75">
      <c r="P206" s="12"/>
    </row>
    <row r="207" spans="16:16" ht="12.75">
      <c r="P207" s="12"/>
    </row>
    <row r="208" spans="16:16" ht="12.75">
      <c r="P208" s="12"/>
    </row>
    <row r="209" spans="16:16" ht="12.75">
      <c r="P209" s="12"/>
    </row>
    <row r="210" spans="16:16" ht="12.75">
      <c r="P210" s="12"/>
    </row>
    <row r="211" spans="16:16" ht="12.75">
      <c r="P211" s="12"/>
    </row>
    <row r="212" spans="16:16" ht="12.75">
      <c r="P212" s="12"/>
    </row>
    <row r="213" spans="16:16" ht="12.75">
      <c r="P213" s="12"/>
    </row>
    <row r="214" spans="16:16" ht="12.75">
      <c r="P214" s="12"/>
    </row>
    <row r="215" spans="16:16" ht="12.75">
      <c r="P215" s="12"/>
    </row>
    <row r="216" spans="16:16" ht="12.75">
      <c r="P216" s="12"/>
    </row>
    <row r="217" spans="16:16" ht="12.75">
      <c r="P217" s="12"/>
    </row>
    <row r="218" spans="16:16" ht="12.75">
      <c r="P218" s="12"/>
    </row>
    <row r="219" spans="16:16" ht="12.75">
      <c r="P219" s="12"/>
    </row>
    <row r="220" spans="16:16" ht="12.75">
      <c r="P220" s="12"/>
    </row>
    <row r="221" spans="16:16" ht="12.75">
      <c r="P221" s="12"/>
    </row>
    <row r="222" spans="16:16" ht="12.75">
      <c r="P222" s="12"/>
    </row>
    <row r="223" spans="16:16" ht="12.75">
      <c r="P223" s="12"/>
    </row>
    <row r="224" spans="16:16" ht="12.75">
      <c r="P224" s="12"/>
    </row>
    <row r="225" spans="16:16" ht="12.75">
      <c r="P225" s="12"/>
    </row>
    <row r="226" spans="16:16" ht="12.75">
      <c r="P226" s="12"/>
    </row>
    <row r="227" spans="16:16" ht="12.75">
      <c r="P227" s="12"/>
    </row>
    <row r="228" spans="16:16" ht="12.75">
      <c r="P228" s="12"/>
    </row>
    <row r="229" spans="16:16" ht="12.75">
      <c r="P229" s="12"/>
    </row>
    <row r="230" spans="16:16" ht="12.75">
      <c r="P230" s="12"/>
    </row>
    <row r="231" spans="16:16" ht="12.75">
      <c r="P231" s="12"/>
    </row>
    <row r="232" spans="16:16" ht="12.75">
      <c r="P232" s="12"/>
    </row>
    <row r="233" spans="16:16" ht="12.75">
      <c r="P233" s="12"/>
    </row>
    <row r="234" spans="16:16" ht="12.75">
      <c r="P234" s="12"/>
    </row>
    <row r="235" spans="16:16" ht="12.75">
      <c r="P235" s="12"/>
    </row>
    <row r="236" spans="16:16" ht="12.75">
      <c r="P236" s="12"/>
    </row>
    <row r="237" spans="16:16" ht="12.75">
      <c r="P237" s="12"/>
    </row>
    <row r="238" spans="16:16" ht="12.75">
      <c r="P238" s="12"/>
    </row>
    <row r="239" spans="16:16" ht="12.75">
      <c r="P239" s="12"/>
    </row>
    <row r="240" spans="16:16" ht="12.75">
      <c r="P240" s="12"/>
    </row>
    <row r="241" spans="16:16" ht="12.75">
      <c r="P241" s="12"/>
    </row>
    <row r="242" spans="16:16" ht="12.75">
      <c r="P242" s="12"/>
    </row>
    <row r="243" spans="16:16" ht="12.75">
      <c r="P243" s="12"/>
    </row>
    <row r="244" spans="16:16" ht="12.75">
      <c r="P244" s="12"/>
    </row>
    <row r="245" spans="16:16" ht="12.75">
      <c r="P245" s="12"/>
    </row>
    <row r="246" spans="16:16" ht="12.75">
      <c r="P246" s="12"/>
    </row>
    <row r="247" spans="16:16" ht="12.75">
      <c r="P247" s="12"/>
    </row>
    <row r="248" spans="16:16" ht="12.75">
      <c r="P248" s="12"/>
    </row>
    <row r="249" spans="16:16" ht="12.75">
      <c r="P249" s="12"/>
    </row>
    <row r="250" spans="16:16" ht="12.75">
      <c r="P250" s="12"/>
    </row>
    <row r="251" spans="16:16" ht="12.75">
      <c r="P251" s="12"/>
    </row>
    <row r="252" spans="16:16" ht="12.75">
      <c r="P252" s="12"/>
    </row>
    <row r="253" spans="16:16" ht="12.75">
      <c r="P253" s="12"/>
    </row>
    <row r="254" spans="16:16" ht="12.75">
      <c r="P254" s="12"/>
    </row>
    <row r="255" spans="16:16" ht="12.75">
      <c r="P255" s="12"/>
    </row>
    <row r="256" spans="16:16" ht="12.75">
      <c r="P256" s="12"/>
    </row>
    <row r="257" spans="16:16" ht="12.75">
      <c r="P257" s="12"/>
    </row>
    <row r="258" spans="16:16" ht="12.75">
      <c r="P258" s="12"/>
    </row>
    <row r="259" spans="16:16" ht="12.75">
      <c r="P259" s="12"/>
    </row>
    <row r="260" spans="16:16" ht="12.75">
      <c r="P260" s="12"/>
    </row>
    <row r="261" spans="16:16" ht="12.75">
      <c r="P261" s="12"/>
    </row>
    <row r="262" spans="16:16" ht="12.75">
      <c r="P262" s="12"/>
    </row>
    <row r="263" spans="16:16" ht="12.75">
      <c r="P263" s="12"/>
    </row>
    <row r="264" spans="16:16" ht="12.75">
      <c r="P264" s="12"/>
    </row>
    <row r="265" spans="16:16" ht="12.75">
      <c r="P265" s="12"/>
    </row>
    <row r="266" spans="16:16" ht="12.75">
      <c r="P266" s="12"/>
    </row>
    <row r="267" spans="16:16" ht="12.75">
      <c r="P267" s="12"/>
    </row>
    <row r="268" spans="16:16" ht="12.75">
      <c r="P268" s="12"/>
    </row>
    <row r="269" spans="16:16" ht="12.75">
      <c r="P269" s="12"/>
    </row>
    <row r="270" spans="16:16" ht="12.75">
      <c r="P270" s="12"/>
    </row>
    <row r="271" spans="16:16" ht="12.75">
      <c r="P271" s="12"/>
    </row>
    <row r="272" spans="16:16" ht="12.75">
      <c r="P272" s="12"/>
    </row>
    <row r="273" spans="16:16" ht="12.75">
      <c r="P273" s="12"/>
    </row>
    <row r="274" spans="16:16" ht="12.75">
      <c r="P274" s="12"/>
    </row>
    <row r="275" spans="16:16" ht="12.75">
      <c r="P275" s="12"/>
    </row>
    <row r="276" spans="16:16" ht="12.75">
      <c r="P276" s="12"/>
    </row>
    <row r="277" spans="16:16" ht="12.75">
      <c r="P277" s="12"/>
    </row>
    <row r="278" spans="16:16" ht="12.75">
      <c r="P278" s="12"/>
    </row>
    <row r="279" spans="16:16" ht="12.75">
      <c r="P279" s="12"/>
    </row>
    <row r="280" spans="16:16" ht="12.75">
      <c r="P280" s="12"/>
    </row>
    <row r="281" spans="16:16" ht="12.75">
      <c r="P281" s="12"/>
    </row>
    <row r="282" spans="16:16" ht="12.75">
      <c r="P282" s="12"/>
    </row>
    <row r="283" spans="16:16" ht="12.75">
      <c r="P283" s="12"/>
    </row>
    <row r="284" spans="16:16" ht="12.75">
      <c r="P284" s="12"/>
    </row>
    <row r="285" spans="16:16" ht="12.75">
      <c r="P285" s="12"/>
    </row>
    <row r="286" spans="16:16" ht="12.75">
      <c r="P286" s="12"/>
    </row>
    <row r="287" spans="16:16" ht="12.75">
      <c r="P287" s="12"/>
    </row>
    <row r="288" spans="16:16" ht="12.75">
      <c r="P288" s="12"/>
    </row>
    <row r="289" spans="16:16" ht="12.75">
      <c r="P289" s="12"/>
    </row>
    <row r="290" spans="16:16" ht="12.75">
      <c r="P290" s="12"/>
    </row>
    <row r="291" spans="16:16" ht="12.75">
      <c r="P291" s="12"/>
    </row>
    <row r="292" spans="16:16" ht="12.75">
      <c r="P292" s="12"/>
    </row>
    <row r="293" spans="16:16" ht="12.75">
      <c r="P293" s="12"/>
    </row>
    <row r="294" spans="16:16" ht="12.75">
      <c r="P294" s="12"/>
    </row>
    <row r="295" spans="16:16" ht="12.75">
      <c r="P295" s="12"/>
    </row>
    <row r="296" spans="16:16" ht="12.75">
      <c r="P296" s="12"/>
    </row>
    <row r="297" spans="16:16" ht="12.75">
      <c r="P297" s="12"/>
    </row>
    <row r="298" spans="16:16" ht="12.75">
      <c r="P298" s="12"/>
    </row>
    <row r="299" spans="16:16" ht="12.75">
      <c r="P299" s="12"/>
    </row>
    <row r="300" spans="16:16" ht="12.75">
      <c r="P300" s="12"/>
    </row>
    <row r="301" spans="16:16" ht="12.75">
      <c r="P301" s="12"/>
    </row>
    <row r="302" spans="16:16" ht="12.75">
      <c r="P302" s="12"/>
    </row>
    <row r="303" spans="16:16" ht="12.75">
      <c r="P303" s="12"/>
    </row>
    <row r="304" spans="16:16" ht="12.75">
      <c r="P304" s="12"/>
    </row>
    <row r="305" spans="16:16" ht="12.75">
      <c r="P305" s="12"/>
    </row>
    <row r="306" spans="16:16" ht="12.75">
      <c r="P306" s="12"/>
    </row>
    <row r="307" spans="16:16" ht="12.75">
      <c r="P307" s="12"/>
    </row>
    <row r="308" spans="16:16" ht="12.75">
      <c r="P308" s="12"/>
    </row>
    <row r="309" spans="16:16" ht="12.75">
      <c r="P309" s="12"/>
    </row>
    <row r="310" spans="16:16" ht="12.75">
      <c r="P310" s="12"/>
    </row>
    <row r="311" spans="16:16" ht="12.75">
      <c r="P311" s="12"/>
    </row>
    <row r="312" spans="16:16" ht="12.75">
      <c r="P312" s="12"/>
    </row>
    <row r="313" spans="16:16" ht="12.75">
      <c r="P313" s="12"/>
    </row>
    <row r="314" spans="16:16" ht="12.75">
      <c r="P314" s="12"/>
    </row>
    <row r="315" spans="16:16" ht="12.75">
      <c r="P315" s="12"/>
    </row>
    <row r="316" spans="16:16" ht="12.75">
      <c r="P316" s="12"/>
    </row>
    <row r="317" spans="16:16" ht="12.75">
      <c r="P317" s="12"/>
    </row>
    <row r="318" spans="16:16" ht="12.75">
      <c r="P318" s="12"/>
    </row>
    <row r="319" spans="16:16" ht="12.75">
      <c r="P319" s="12"/>
    </row>
    <row r="320" spans="16:16" ht="12.75">
      <c r="P320" s="12"/>
    </row>
    <row r="321" spans="16:16" ht="12.75">
      <c r="P321" s="12"/>
    </row>
    <row r="322" spans="16:16" ht="12.75">
      <c r="P322" s="12"/>
    </row>
    <row r="323" spans="16:16" ht="12.75">
      <c r="P323" s="12"/>
    </row>
    <row r="324" spans="16:16" ht="12.75">
      <c r="P324" s="12"/>
    </row>
    <row r="325" spans="16:16" ht="12.75">
      <c r="P325" s="12"/>
    </row>
    <row r="326" spans="16:16" ht="12.75">
      <c r="P326" s="12"/>
    </row>
    <row r="327" spans="16:16" ht="12.75">
      <c r="P327" s="12"/>
    </row>
    <row r="328" spans="16:16" ht="12.75">
      <c r="P328" s="12"/>
    </row>
    <row r="329" spans="16:16" ht="12.75">
      <c r="P329" s="12"/>
    </row>
    <row r="330" spans="16:16" ht="12.75">
      <c r="P330" s="12"/>
    </row>
    <row r="331" spans="16:16" ht="12.75">
      <c r="P331" s="12"/>
    </row>
    <row r="332" spans="16:16" ht="12.75">
      <c r="P332" s="12"/>
    </row>
    <row r="333" spans="16:16" ht="12.75">
      <c r="P333" s="12"/>
    </row>
    <row r="334" spans="16:16" ht="12.75">
      <c r="P334" s="12"/>
    </row>
    <row r="335" spans="16:16" ht="12.75">
      <c r="P335" s="12"/>
    </row>
    <row r="336" spans="16:16" ht="12.75">
      <c r="P336" s="12"/>
    </row>
    <row r="337" spans="16:16" ht="12.75">
      <c r="P337" s="12"/>
    </row>
    <row r="338" spans="16:16" ht="12.75">
      <c r="P338" s="12"/>
    </row>
    <row r="339" spans="16:16" ht="12.75">
      <c r="P339" s="12"/>
    </row>
    <row r="340" spans="16:16" ht="12.75">
      <c r="P340" s="12"/>
    </row>
    <row r="341" spans="16:16" ht="12.75">
      <c r="P341" s="12"/>
    </row>
    <row r="342" spans="16:16" ht="12.75">
      <c r="P342" s="12"/>
    </row>
    <row r="343" spans="16:16" ht="12.75">
      <c r="P343" s="12"/>
    </row>
    <row r="344" spans="16:16" ht="12.75">
      <c r="P344" s="12"/>
    </row>
    <row r="345" spans="16:16" ht="12.75">
      <c r="P345" s="12"/>
    </row>
    <row r="346" spans="16:16" ht="12.75">
      <c r="P346" s="12"/>
    </row>
    <row r="347" spans="16:16" ht="12.75">
      <c r="P347" s="12"/>
    </row>
    <row r="348" spans="16:16" ht="12.75">
      <c r="P348" s="12"/>
    </row>
    <row r="349" spans="16:16" ht="12.75">
      <c r="P349" s="12"/>
    </row>
    <row r="350" spans="16:16" ht="12.75">
      <c r="P350" s="12"/>
    </row>
    <row r="351" spans="16:16" ht="12.75">
      <c r="P351" s="12"/>
    </row>
    <row r="352" spans="16:16" ht="12.75">
      <c r="P352" s="12"/>
    </row>
    <row r="353" spans="16:16" ht="12.75">
      <c r="P353" s="12"/>
    </row>
    <row r="354" spans="16:16" ht="12.75">
      <c r="P354" s="12"/>
    </row>
    <row r="355" spans="16:16" ht="12.75">
      <c r="P355" s="12"/>
    </row>
    <row r="356" spans="16:16" ht="12.75">
      <c r="P356" s="12"/>
    </row>
    <row r="357" spans="16:16" ht="12.75">
      <c r="P357" s="12"/>
    </row>
    <row r="358" spans="16:16" ht="12.75">
      <c r="P358" s="12"/>
    </row>
    <row r="359" spans="16:16" ht="12.75">
      <c r="P359" s="12"/>
    </row>
    <row r="360" spans="16:16" ht="12.75">
      <c r="P360" s="12"/>
    </row>
    <row r="361" spans="16:16" ht="12.75">
      <c r="P361" s="12"/>
    </row>
    <row r="362" spans="16:16" ht="12.75">
      <c r="P362" s="12"/>
    </row>
    <row r="363" spans="16:16" ht="12.75">
      <c r="P363" s="12"/>
    </row>
    <row r="364" spans="16:16" ht="12.75">
      <c r="P364" s="12"/>
    </row>
    <row r="365" spans="16:16" ht="12.75">
      <c r="P365" s="12"/>
    </row>
    <row r="366" spans="16:16" ht="12.75">
      <c r="P366" s="12"/>
    </row>
    <row r="367" spans="16:16" ht="12.75">
      <c r="P367" s="12"/>
    </row>
    <row r="368" spans="16:16" ht="12.75">
      <c r="P368" s="12"/>
    </row>
    <row r="369" spans="16:16" ht="12.75">
      <c r="P369" s="12"/>
    </row>
    <row r="370" spans="16:16" ht="12.75">
      <c r="P370" s="12"/>
    </row>
    <row r="371" spans="16:16" ht="12.75">
      <c r="P371" s="12"/>
    </row>
    <row r="372" spans="16:16" ht="12.75">
      <c r="P372" s="12"/>
    </row>
    <row r="373" spans="16:16" ht="12.75">
      <c r="P373" s="12"/>
    </row>
    <row r="374" spans="16:16" ht="12.75">
      <c r="P374" s="12"/>
    </row>
    <row r="375" spans="16:16" ht="12.75">
      <c r="P375" s="12"/>
    </row>
    <row r="376" spans="16:16" ht="12.75">
      <c r="P376" s="12"/>
    </row>
    <row r="377" spans="16:16" ht="12.75">
      <c r="P377" s="12"/>
    </row>
    <row r="378" spans="16:16" ht="12.75">
      <c r="P378" s="12"/>
    </row>
    <row r="379" spans="16:16" ht="12.75">
      <c r="P379" s="12"/>
    </row>
    <row r="380" spans="16:16" ht="12.75">
      <c r="P380" s="12"/>
    </row>
    <row r="381" spans="16:16" ht="12.75">
      <c r="P381" s="12"/>
    </row>
    <row r="382" spans="16:16" ht="12.75">
      <c r="P382" s="12"/>
    </row>
    <row r="383" spans="16:16" ht="12.75">
      <c r="P383" s="12"/>
    </row>
    <row r="384" spans="16:16" ht="12.75">
      <c r="P384" s="12"/>
    </row>
    <row r="385" spans="16:16" ht="12.75">
      <c r="P385" s="12"/>
    </row>
    <row r="386" spans="16:16" ht="12.75">
      <c r="P386" s="12"/>
    </row>
    <row r="387" spans="16:16" ht="12.75">
      <c r="P387" s="12"/>
    </row>
    <row r="388" spans="16:16" ht="12.75">
      <c r="P388" s="12"/>
    </row>
    <row r="389" spans="16:16" ht="12.75">
      <c r="P389" s="12"/>
    </row>
    <row r="390" spans="16:16" ht="12.75">
      <c r="P390" s="12"/>
    </row>
    <row r="391" spans="16:16" ht="12.75">
      <c r="P391" s="12"/>
    </row>
    <row r="392" spans="16:16" ht="12.75">
      <c r="P392" s="12"/>
    </row>
    <row r="393" spans="16:16" ht="12.75">
      <c r="P393" s="12"/>
    </row>
    <row r="394" spans="16:16" ht="12.75">
      <c r="P394" s="12"/>
    </row>
    <row r="395" spans="16:16" ht="12.75">
      <c r="P395" s="12"/>
    </row>
    <row r="396" spans="16:16" ht="12.75">
      <c r="P396" s="12"/>
    </row>
    <row r="397" spans="16:16" ht="12.75">
      <c r="P397" s="12"/>
    </row>
    <row r="398" spans="16:16" ht="12.75">
      <c r="P398" s="12"/>
    </row>
    <row r="399" spans="16:16" ht="12.75">
      <c r="P399" s="12"/>
    </row>
    <row r="400" spans="16:16" ht="12.75">
      <c r="P400" s="12"/>
    </row>
    <row r="401" spans="16:16" ht="12.75">
      <c r="P401" s="12"/>
    </row>
    <row r="402" spans="16:16" ht="12.75">
      <c r="P402" s="12"/>
    </row>
    <row r="403" spans="16:16" ht="12.75">
      <c r="P403" s="12"/>
    </row>
    <row r="404" spans="16:16" ht="12.75">
      <c r="P404" s="12"/>
    </row>
    <row r="405" spans="16:16" ht="12.75">
      <c r="P405" s="12"/>
    </row>
    <row r="406" spans="16:16" ht="12.75">
      <c r="P406" s="12"/>
    </row>
    <row r="407" spans="16:16" ht="12.75">
      <c r="P407" s="12"/>
    </row>
    <row r="408" spans="16:16" ht="12.75">
      <c r="P408" s="12"/>
    </row>
    <row r="409" spans="16:16" ht="12.75">
      <c r="P409" s="12"/>
    </row>
    <row r="410" spans="16:16" ht="12.75">
      <c r="P410" s="12"/>
    </row>
    <row r="411" spans="16:16" ht="12.75">
      <c r="P411" s="12"/>
    </row>
    <row r="412" spans="16:16" ht="12.75">
      <c r="P412" s="12"/>
    </row>
    <row r="413" spans="16:16" ht="12.75">
      <c r="P413" s="12"/>
    </row>
    <row r="414" spans="16:16" ht="12.75">
      <c r="P414" s="12"/>
    </row>
    <row r="415" spans="16:16" ht="12.75">
      <c r="P415" s="12"/>
    </row>
    <row r="416" spans="16:16" ht="12.75">
      <c r="P416" s="12"/>
    </row>
    <row r="417" spans="16:16" ht="12.75">
      <c r="P417" s="12"/>
    </row>
    <row r="418" spans="16:16" ht="12.75">
      <c r="P418" s="12"/>
    </row>
    <row r="419" spans="16:16" ht="12.75">
      <c r="P419" s="12"/>
    </row>
    <row r="420" spans="16:16" ht="12.75">
      <c r="P420" s="12"/>
    </row>
    <row r="421" spans="16:16" ht="12.75">
      <c r="P421" s="12"/>
    </row>
    <row r="422" spans="16:16" ht="12.75">
      <c r="P422" s="12"/>
    </row>
    <row r="423" spans="16:16" ht="12.75">
      <c r="P423" s="12"/>
    </row>
    <row r="424" spans="16:16" ht="12.75">
      <c r="P424" s="12"/>
    </row>
    <row r="425" spans="16:16" ht="12.75">
      <c r="P425" s="12"/>
    </row>
    <row r="426" spans="16:16" ht="12.75">
      <c r="P426" s="12"/>
    </row>
    <row r="427" spans="16:16" ht="12.75">
      <c r="P427" s="12"/>
    </row>
    <row r="428" spans="16:16" ht="12.75">
      <c r="P428" s="12"/>
    </row>
    <row r="429" spans="16:16" ht="12.75">
      <c r="P429" s="12"/>
    </row>
    <row r="430" spans="16:16" ht="12.75">
      <c r="P430" s="12"/>
    </row>
    <row r="431" spans="16:16" ht="12.75">
      <c r="P431" s="12"/>
    </row>
    <row r="432" spans="16:16" ht="12.75">
      <c r="P432" s="12"/>
    </row>
    <row r="433" spans="16:16" ht="12.75">
      <c r="P433" s="12"/>
    </row>
    <row r="434" spans="16:16" ht="12.75">
      <c r="P434" s="12"/>
    </row>
    <row r="435" spans="16:16" ht="12.75">
      <c r="P435" s="12"/>
    </row>
    <row r="436" spans="16:16" ht="12.75">
      <c r="P436" s="12"/>
    </row>
    <row r="437" spans="16:16" ht="12.75">
      <c r="P437" s="12"/>
    </row>
    <row r="438" spans="16:16" ht="12.75">
      <c r="P438" s="12"/>
    </row>
    <row r="439" spans="16:16" ht="12.75">
      <c r="P439" s="12"/>
    </row>
    <row r="440" spans="16:16" ht="12.75">
      <c r="P440" s="12"/>
    </row>
    <row r="441" spans="16:16" ht="12.75">
      <c r="P441" s="12"/>
    </row>
    <row r="442" spans="16:16" ht="12.75">
      <c r="P442" s="12"/>
    </row>
    <row r="443" spans="16:16" ht="12.75">
      <c r="P443" s="12"/>
    </row>
    <row r="444" spans="16:16" ht="12.75">
      <c r="P444" s="12"/>
    </row>
    <row r="445" spans="16:16" ht="12.75">
      <c r="P445" s="12"/>
    </row>
    <row r="446" spans="16:16" ht="12.75">
      <c r="P446" s="12"/>
    </row>
    <row r="447" spans="16:16" ht="12.75">
      <c r="P447" s="12"/>
    </row>
    <row r="448" spans="16:16" ht="12.75">
      <c r="P448" s="12"/>
    </row>
    <row r="449" spans="16:16" ht="12.75">
      <c r="P449" s="12"/>
    </row>
    <row r="450" spans="16:16" ht="12.75">
      <c r="P450" s="12"/>
    </row>
    <row r="451" spans="16:16" ht="12.75">
      <c r="P451" s="12"/>
    </row>
    <row r="452" spans="16:16" ht="12.75">
      <c r="P452" s="12"/>
    </row>
    <row r="453" spans="16:16" ht="12.75">
      <c r="P453" s="12"/>
    </row>
    <row r="454" spans="16:16" ht="12.75">
      <c r="P454" s="12"/>
    </row>
    <row r="455" spans="16:16" ht="12.75">
      <c r="P455" s="12"/>
    </row>
    <row r="456" spans="16:16" ht="12.75">
      <c r="P456" s="12"/>
    </row>
    <row r="457" spans="16:16" ht="12.75">
      <c r="P457" s="12"/>
    </row>
    <row r="458" spans="16:16" ht="12.75">
      <c r="P458" s="12"/>
    </row>
    <row r="459" spans="16:16" ht="12.75">
      <c r="P459" s="12"/>
    </row>
    <row r="460" spans="16:16" ht="12.75">
      <c r="P460" s="12"/>
    </row>
    <row r="461" spans="16:16" ht="12.75">
      <c r="P461" s="12"/>
    </row>
    <row r="462" spans="16:16" ht="12.75">
      <c r="P462" s="12"/>
    </row>
    <row r="463" spans="16:16" ht="12.75">
      <c r="P463" s="12"/>
    </row>
    <row r="464" spans="16:16" ht="12.75">
      <c r="P464" s="12"/>
    </row>
    <row r="465" spans="16:16" ht="12.75">
      <c r="P465" s="12"/>
    </row>
    <row r="466" spans="16:16" ht="12.75">
      <c r="P466" s="12"/>
    </row>
    <row r="467" spans="16:16" ht="12.75">
      <c r="P467" s="12"/>
    </row>
    <row r="468" spans="16:16" ht="12.75">
      <c r="P468" s="12"/>
    </row>
    <row r="469" spans="16:16" ht="12.75">
      <c r="P469" s="12"/>
    </row>
    <row r="470" spans="16:16" ht="12.75">
      <c r="P470" s="12"/>
    </row>
    <row r="471" spans="16:16" ht="12.75">
      <c r="P471" s="12"/>
    </row>
    <row r="472" spans="16:16" ht="12.75">
      <c r="P472" s="12"/>
    </row>
    <row r="473" spans="16:16" ht="12.75">
      <c r="P473" s="12"/>
    </row>
    <row r="474" spans="16:16" ht="12.75">
      <c r="P474" s="12"/>
    </row>
    <row r="475" spans="16:16" ht="12.75">
      <c r="P475" s="12"/>
    </row>
    <row r="476" spans="16:16" ht="12.75">
      <c r="P476" s="12"/>
    </row>
    <row r="477" spans="16:16" ht="12.75">
      <c r="P477" s="12"/>
    </row>
    <row r="478" spans="16:16" ht="12.75">
      <c r="P478" s="12"/>
    </row>
    <row r="479" spans="16:16" ht="12.75">
      <c r="P479" s="12"/>
    </row>
    <row r="480" spans="16:16" ht="12.75">
      <c r="P480" s="12"/>
    </row>
    <row r="481" spans="16:16" ht="12.75">
      <c r="P481" s="12"/>
    </row>
    <row r="482" spans="16:16" ht="12.75">
      <c r="P482" s="12"/>
    </row>
    <row r="483" spans="16:16" ht="12.75">
      <c r="P483" s="12"/>
    </row>
    <row r="484" spans="16:16" ht="12.75">
      <c r="P484" s="12"/>
    </row>
    <row r="485" spans="16:16" ht="12.75">
      <c r="P485" s="12"/>
    </row>
    <row r="486" spans="16:16" ht="12.75">
      <c r="P486" s="12"/>
    </row>
    <row r="487" spans="16:16" ht="12.75">
      <c r="P487" s="12"/>
    </row>
    <row r="488" spans="16:16" ht="12.75">
      <c r="P488" s="12"/>
    </row>
    <row r="489" spans="16:16" ht="12.75">
      <c r="P489" s="12"/>
    </row>
    <row r="490" spans="16:16" ht="12.75">
      <c r="P490" s="12"/>
    </row>
    <row r="491" spans="16:16" ht="12.75">
      <c r="P491" s="12"/>
    </row>
    <row r="492" spans="16:16" ht="12.75">
      <c r="P492" s="12"/>
    </row>
    <row r="493" spans="16:16" ht="12.75">
      <c r="P493" s="12"/>
    </row>
    <row r="494" spans="16:16" ht="12.75">
      <c r="P494" s="12"/>
    </row>
    <row r="495" spans="16:16" ht="12.75">
      <c r="P495" s="12"/>
    </row>
    <row r="496" spans="16:16" ht="12.75">
      <c r="P496" s="12"/>
    </row>
    <row r="497" spans="16:16" ht="12.75">
      <c r="P497" s="12"/>
    </row>
    <row r="498" spans="16:16" ht="12.75">
      <c r="P498" s="12"/>
    </row>
    <row r="499" spans="16:16" ht="12.75">
      <c r="P499" s="12"/>
    </row>
    <row r="500" spans="16:16" ht="12.75">
      <c r="P500" s="12"/>
    </row>
    <row r="501" spans="16:16" ht="12.75">
      <c r="P501" s="12"/>
    </row>
    <row r="502" spans="16:16" ht="12.75">
      <c r="P502" s="12"/>
    </row>
    <row r="503" spans="16:16" ht="12.75">
      <c r="P503" s="12"/>
    </row>
    <row r="504" spans="16:16" ht="12.75">
      <c r="P504" s="12"/>
    </row>
    <row r="505" spans="16:16" ht="12.75">
      <c r="P505" s="12"/>
    </row>
    <row r="506" spans="16:16" ht="12.75">
      <c r="P506" s="12"/>
    </row>
    <row r="507" spans="16:16" ht="12.75">
      <c r="P507" s="12"/>
    </row>
    <row r="508" spans="16:16" ht="12.75">
      <c r="P508" s="12"/>
    </row>
    <row r="509" spans="16:16" ht="12.75">
      <c r="P509" s="12"/>
    </row>
    <row r="510" spans="16:16" ht="12.75">
      <c r="P510" s="12"/>
    </row>
    <row r="511" spans="16:16" ht="12.75">
      <c r="P511" s="12"/>
    </row>
    <row r="512" spans="16:16" ht="12.75">
      <c r="P512" s="12"/>
    </row>
    <row r="513" spans="16:16" ht="12.75">
      <c r="P513" s="12"/>
    </row>
    <row r="514" spans="16:16" ht="12.75">
      <c r="P514" s="12"/>
    </row>
    <row r="515" spans="16:16" ht="12.75">
      <c r="P515" s="12"/>
    </row>
    <row r="516" spans="16:16" ht="12.75">
      <c r="P516" s="12"/>
    </row>
    <row r="517" spans="16:16" ht="12.75">
      <c r="P517" s="12"/>
    </row>
    <row r="518" spans="16:16" ht="12.75">
      <c r="P518" s="12"/>
    </row>
    <row r="519" spans="16:16" ht="12.75">
      <c r="P519" s="12"/>
    </row>
    <row r="520" spans="16:16" ht="12.75">
      <c r="P520" s="12"/>
    </row>
    <row r="521" spans="16:16" ht="12.75">
      <c r="P521" s="12"/>
    </row>
    <row r="522" spans="16:16" ht="12.75">
      <c r="P522" s="12"/>
    </row>
    <row r="523" spans="16:16" ht="12.75">
      <c r="P523" s="12"/>
    </row>
    <row r="524" spans="16:16" ht="12.75">
      <c r="P524" s="12"/>
    </row>
    <row r="525" spans="16:16" ht="12.75">
      <c r="P525" s="12"/>
    </row>
    <row r="526" spans="16:16" ht="12.75">
      <c r="P526" s="12"/>
    </row>
    <row r="527" spans="16:16" ht="12.75">
      <c r="P527" s="12"/>
    </row>
    <row r="528" spans="16:16" ht="12.75">
      <c r="P528" s="12"/>
    </row>
    <row r="529" spans="16:16" ht="12.75">
      <c r="P529" s="12"/>
    </row>
    <row r="530" spans="16:16" ht="12.75">
      <c r="P530" s="12"/>
    </row>
    <row r="531" spans="16:16" ht="12.75">
      <c r="P531" s="12"/>
    </row>
    <row r="532" spans="16:16" ht="12.75">
      <c r="P532" s="12"/>
    </row>
    <row r="533" spans="16:16" ht="12.75">
      <c r="P533" s="12"/>
    </row>
    <row r="534" spans="16:16" ht="12.75">
      <c r="P534" s="12"/>
    </row>
    <row r="535" spans="16:16" ht="12.75">
      <c r="P535" s="12"/>
    </row>
    <row r="536" spans="16:16" ht="12.75">
      <c r="P536" s="12"/>
    </row>
    <row r="537" spans="16:16" ht="12.75">
      <c r="P537" s="12"/>
    </row>
    <row r="538" spans="16:16" ht="12.75">
      <c r="P538" s="12"/>
    </row>
    <row r="539" spans="16:16" ht="12.75">
      <c r="P539" s="12"/>
    </row>
    <row r="540" spans="16:16" ht="12.75">
      <c r="P540" s="12"/>
    </row>
    <row r="541" spans="16:16" ht="12.75">
      <c r="P541" s="12"/>
    </row>
    <row r="542" spans="16:16" ht="12.75">
      <c r="P542" s="12"/>
    </row>
    <row r="543" spans="16:16" ht="12.75">
      <c r="P543" s="12"/>
    </row>
    <row r="544" spans="16:16" ht="12.75">
      <c r="P544" s="12"/>
    </row>
    <row r="545" spans="16:16" ht="12.75">
      <c r="P545" s="12"/>
    </row>
    <row r="546" spans="16:16" ht="12.75">
      <c r="P546" s="12"/>
    </row>
    <row r="547" spans="16:16" ht="12.75">
      <c r="P547" s="12"/>
    </row>
    <row r="548" spans="16:16" ht="12.75">
      <c r="P548" s="12"/>
    </row>
    <row r="549" spans="16:16" ht="12.75">
      <c r="P549" s="12"/>
    </row>
    <row r="550" spans="16:16" ht="12.75">
      <c r="P550" s="12"/>
    </row>
    <row r="551" spans="16:16" ht="12.75">
      <c r="P551" s="12"/>
    </row>
    <row r="552" spans="16:16" ht="12.75">
      <c r="P552" s="12"/>
    </row>
    <row r="553" spans="16:16" ht="12.75">
      <c r="P553" s="12"/>
    </row>
    <row r="554" spans="16:16" ht="12.75">
      <c r="P554" s="12"/>
    </row>
    <row r="555" spans="16:16" ht="12.75">
      <c r="P555" s="12"/>
    </row>
    <row r="556" spans="16:16" ht="12.75">
      <c r="P556" s="12"/>
    </row>
    <row r="557" spans="16:16" ht="12.75">
      <c r="P557" s="12"/>
    </row>
    <row r="558" spans="16:16" ht="12.75">
      <c r="P558" s="12"/>
    </row>
    <row r="559" spans="16:16" ht="12.75">
      <c r="P559" s="12"/>
    </row>
    <row r="560" spans="16:16" ht="12.75">
      <c r="P560" s="12"/>
    </row>
    <row r="561" spans="16:16" ht="12.75">
      <c r="P561" s="12"/>
    </row>
    <row r="562" spans="16:16" ht="12.75">
      <c r="P562" s="12"/>
    </row>
    <row r="563" spans="16:16" ht="12.75">
      <c r="P563" s="12"/>
    </row>
    <row r="564" spans="16:16" ht="12.75">
      <c r="P564" s="12"/>
    </row>
    <row r="565" spans="16:16" ht="12.75">
      <c r="P565" s="12"/>
    </row>
    <row r="566" spans="16:16" ht="12.75">
      <c r="P566" s="12"/>
    </row>
    <row r="567" spans="16:16" ht="12.75">
      <c r="P567" s="12"/>
    </row>
    <row r="568" spans="16:16" ht="12.75">
      <c r="P568" s="12"/>
    </row>
    <row r="569" spans="16:16" ht="12.75">
      <c r="P569" s="12"/>
    </row>
    <row r="570" spans="16:16" ht="12.75">
      <c r="P570" s="12"/>
    </row>
    <row r="571" spans="16:16" ht="12.75">
      <c r="P571" s="12"/>
    </row>
    <row r="572" spans="16:16" ht="12.75">
      <c r="P572" s="12"/>
    </row>
    <row r="573" spans="16:16" ht="12.75">
      <c r="P573" s="12"/>
    </row>
    <row r="574" spans="16:16" ht="12.75">
      <c r="P574" s="12"/>
    </row>
    <row r="575" spans="16:16" ht="12.75">
      <c r="P575" s="12"/>
    </row>
    <row r="576" spans="16:16" ht="12.75">
      <c r="P576" s="12"/>
    </row>
    <row r="577" spans="16:16" ht="12.75">
      <c r="P577" s="12"/>
    </row>
    <row r="578" spans="16:16" ht="12.75">
      <c r="P578" s="12"/>
    </row>
    <row r="579" spans="16:16" ht="12.75">
      <c r="P579" s="12"/>
    </row>
    <row r="580" spans="16:16" ht="12.75">
      <c r="P580" s="12"/>
    </row>
    <row r="581" spans="16:16" ht="12.75">
      <c r="P581" s="12"/>
    </row>
    <row r="582" spans="16:16" ht="12.75">
      <c r="P582" s="12"/>
    </row>
    <row r="583" spans="16:16" ht="12.75">
      <c r="P583" s="12"/>
    </row>
    <row r="584" spans="16:16" ht="12.75">
      <c r="P584" s="12"/>
    </row>
    <row r="585" spans="16:16" ht="12.75">
      <c r="P585" s="12"/>
    </row>
    <row r="586" spans="16:16" ht="12.75">
      <c r="P586" s="12"/>
    </row>
    <row r="587" spans="16:16" ht="12.75">
      <c r="P587" s="12"/>
    </row>
    <row r="588" spans="16:16" ht="12.75">
      <c r="P588" s="12"/>
    </row>
    <row r="589" spans="16:16" ht="12.75">
      <c r="P589" s="12"/>
    </row>
    <row r="590" spans="16:16" ht="12.75">
      <c r="P590" s="12"/>
    </row>
    <row r="591" spans="16:16" ht="12.75">
      <c r="P591" s="12"/>
    </row>
    <row r="592" spans="16:16" ht="12.75">
      <c r="P592" s="12"/>
    </row>
    <row r="593" spans="16:16" ht="12.75">
      <c r="P593" s="12"/>
    </row>
    <row r="594" spans="16:16" ht="12.75">
      <c r="P594" s="12"/>
    </row>
    <row r="595" spans="16:16" ht="12.75">
      <c r="P595" s="12"/>
    </row>
    <row r="596" spans="16:16" ht="12.75">
      <c r="P596" s="12"/>
    </row>
    <row r="597" spans="16:16" ht="12.75">
      <c r="P597" s="12"/>
    </row>
    <row r="598" spans="16:16" ht="12.75">
      <c r="P598" s="12"/>
    </row>
    <row r="599" spans="16:16" ht="12.75">
      <c r="P599" s="12"/>
    </row>
    <row r="600" spans="16:16" ht="12.75">
      <c r="P600" s="12"/>
    </row>
    <row r="601" spans="16:16" ht="12.75">
      <c r="P601" s="12"/>
    </row>
    <row r="602" spans="16:16" ht="12.75">
      <c r="P602" s="12"/>
    </row>
    <row r="603" spans="16:16" ht="12.75">
      <c r="P603" s="12"/>
    </row>
    <row r="604" spans="16:16" ht="12.75">
      <c r="P604" s="12"/>
    </row>
    <row r="605" spans="16:16" ht="12.75">
      <c r="P605" s="12"/>
    </row>
    <row r="606" spans="16:16" ht="12.75">
      <c r="P606" s="12"/>
    </row>
    <row r="607" spans="16:16" ht="12.75">
      <c r="P607" s="12"/>
    </row>
    <row r="608" spans="16:16" ht="12.75">
      <c r="P608" s="12"/>
    </row>
    <row r="609" spans="16:16" ht="12.75">
      <c r="P609" s="12"/>
    </row>
    <row r="610" spans="16:16" ht="12.75">
      <c r="P610" s="12"/>
    </row>
    <row r="611" spans="16:16" ht="12.75">
      <c r="P611" s="12"/>
    </row>
    <row r="612" spans="16:16" ht="12.75">
      <c r="P612" s="12"/>
    </row>
    <row r="613" spans="16:16" ht="12.75">
      <c r="P613" s="12"/>
    </row>
    <row r="614" spans="16:16" ht="12.75">
      <c r="P614" s="12"/>
    </row>
    <row r="615" spans="16:16" ht="12.75">
      <c r="P615" s="12"/>
    </row>
    <row r="616" spans="16:16" ht="12.75">
      <c r="P616" s="12"/>
    </row>
    <row r="617" spans="16:16" ht="12.75">
      <c r="P617" s="12"/>
    </row>
    <row r="618" spans="16:16" ht="12.75">
      <c r="P618" s="12"/>
    </row>
    <row r="619" spans="16:16" ht="12.75">
      <c r="P619" s="12"/>
    </row>
    <row r="620" spans="16:16" ht="12.75">
      <c r="P620" s="12"/>
    </row>
    <row r="621" spans="16:16" ht="12.75">
      <c r="P621" s="12"/>
    </row>
    <row r="622" spans="16:16" ht="12.75">
      <c r="P622" s="12"/>
    </row>
    <row r="623" spans="16:16" ht="12.75">
      <c r="P623" s="12"/>
    </row>
    <row r="624" spans="16:16" ht="12.75">
      <c r="P624" s="12"/>
    </row>
    <row r="625" spans="16:16" ht="12.75">
      <c r="P625" s="12"/>
    </row>
    <row r="626" spans="16:16" ht="12.75">
      <c r="P626" s="12"/>
    </row>
    <row r="627" spans="16:16" ht="12.75">
      <c r="P627" s="12"/>
    </row>
    <row r="628" spans="16:16" ht="12.75">
      <c r="P628" s="12"/>
    </row>
    <row r="629" spans="16:16" ht="12.75">
      <c r="P629" s="12"/>
    </row>
    <row r="630" spans="16:16" ht="12.75">
      <c r="P630" s="12"/>
    </row>
    <row r="631" spans="16:16" ht="12.75">
      <c r="P631" s="12"/>
    </row>
    <row r="632" spans="16:16" ht="12.75">
      <c r="P632" s="12"/>
    </row>
    <row r="633" spans="16:16" ht="12.75">
      <c r="P633" s="12"/>
    </row>
    <row r="634" spans="16:16" ht="12.75">
      <c r="P634" s="12"/>
    </row>
    <row r="635" spans="16:16" ht="12.75">
      <c r="P635" s="12"/>
    </row>
    <row r="636" spans="16:16" ht="12.75">
      <c r="P636" s="12"/>
    </row>
    <row r="637" spans="16:16" ht="12.75">
      <c r="P637" s="12"/>
    </row>
    <row r="638" spans="16:16" ht="12.75">
      <c r="P638" s="12"/>
    </row>
    <row r="639" spans="16:16" ht="12.75">
      <c r="P639" s="12"/>
    </row>
    <row r="640" spans="16:16" ht="12.75">
      <c r="P640" s="12"/>
    </row>
    <row r="641" spans="16:16" ht="12.75">
      <c r="P641" s="12"/>
    </row>
    <row r="642" spans="16:16" ht="12.75">
      <c r="P642" s="12"/>
    </row>
    <row r="643" spans="16:16" ht="12.75">
      <c r="P643" s="12"/>
    </row>
    <row r="644" spans="16:16" ht="12.75">
      <c r="P644" s="12"/>
    </row>
    <row r="645" spans="16:16" ht="12.75">
      <c r="P645" s="12"/>
    </row>
    <row r="646" spans="16:16" ht="12.75">
      <c r="P646" s="12"/>
    </row>
    <row r="647" spans="16:16" ht="12.75">
      <c r="P647" s="12"/>
    </row>
    <row r="648" spans="16:16" ht="12.75">
      <c r="P648" s="12"/>
    </row>
    <row r="649" spans="16:16" ht="12.75">
      <c r="P649" s="12"/>
    </row>
    <row r="650" spans="16:16" ht="12.75">
      <c r="P650" s="12"/>
    </row>
    <row r="651" spans="16:16" ht="12.75">
      <c r="P651" s="12"/>
    </row>
    <row r="652" spans="16:16" ht="12.75">
      <c r="P652" s="12"/>
    </row>
    <row r="653" spans="16:16" ht="12.75">
      <c r="P653" s="12"/>
    </row>
    <row r="654" spans="16:16" ht="12.75">
      <c r="P654" s="12"/>
    </row>
    <row r="655" spans="16:16" ht="12.75">
      <c r="P655" s="12"/>
    </row>
    <row r="656" spans="16:16" ht="12.75">
      <c r="P656" s="12"/>
    </row>
    <row r="657" spans="16:16" ht="12.75">
      <c r="P657" s="12"/>
    </row>
    <row r="658" spans="16:16" ht="12.75">
      <c r="P658" s="12"/>
    </row>
    <row r="659" spans="16:16" ht="12.75">
      <c r="P659" s="12"/>
    </row>
    <row r="660" spans="16:16" ht="12.75">
      <c r="P660" s="12"/>
    </row>
    <row r="661" spans="16:16" ht="12.75">
      <c r="P661" s="12"/>
    </row>
    <row r="662" spans="16:16" ht="12.75">
      <c r="P662" s="12"/>
    </row>
    <row r="663" spans="16:16" ht="12.75">
      <c r="P663" s="12"/>
    </row>
    <row r="664" spans="16:16" ht="12.75">
      <c r="P664" s="12"/>
    </row>
    <row r="665" spans="16:16" ht="12.75">
      <c r="P665" s="12"/>
    </row>
    <row r="666" spans="16:16" ht="12.75">
      <c r="P666" s="12"/>
    </row>
    <row r="667" spans="16:16" ht="12.75">
      <c r="P667" s="12"/>
    </row>
    <row r="668" spans="16:16" ht="12.75">
      <c r="P668" s="12"/>
    </row>
    <row r="669" spans="16:16" ht="12.75">
      <c r="P669" s="12"/>
    </row>
    <row r="670" spans="16:16" ht="12.75">
      <c r="P670" s="12"/>
    </row>
    <row r="671" spans="16:16" ht="12.75">
      <c r="P671" s="12"/>
    </row>
    <row r="672" spans="16:16" ht="12.75">
      <c r="P672" s="12"/>
    </row>
    <row r="673" spans="16:16" ht="12.75">
      <c r="P673" s="12"/>
    </row>
    <row r="674" spans="16:16" ht="12.75">
      <c r="P674" s="12"/>
    </row>
    <row r="675" spans="16:16" ht="12.75">
      <c r="P675" s="12"/>
    </row>
    <row r="676" spans="16:16" ht="12.75">
      <c r="P676" s="12"/>
    </row>
    <row r="677" spans="16:16" ht="12.75">
      <c r="P677" s="12"/>
    </row>
    <row r="678" spans="16:16" ht="12.75">
      <c r="P678" s="12"/>
    </row>
    <row r="679" spans="16:16" ht="12.75">
      <c r="P679" s="12"/>
    </row>
    <row r="680" spans="16:16" ht="12.75">
      <c r="P680" s="12"/>
    </row>
    <row r="681" spans="16:16" ht="12.75">
      <c r="P681" s="12"/>
    </row>
    <row r="682" spans="16:16" ht="12.75">
      <c r="P682" s="12"/>
    </row>
    <row r="683" spans="16:16" ht="12.75">
      <c r="P683" s="12"/>
    </row>
    <row r="684" spans="16:16" ht="12.75">
      <c r="P684" s="12"/>
    </row>
    <row r="685" spans="16:16" ht="12.75">
      <c r="P685" s="12"/>
    </row>
    <row r="686" spans="16:16" ht="12.75">
      <c r="P686" s="12"/>
    </row>
    <row r="687" spans="16:16" ht="12.75">
      <c r="P687" s="12"/>
    </row>
    <row r="688" spans="16:16" ht="12.75">
      <c r="P688" s="12"/>
    </row>
    <row r="689" spans="16:16" ht="12.75">
      <c r="P689" s="12"/>
    </row>
    <row r="690" spans="16:16" ht="12.75">
      <c r="P690" s="12"/>
    </row>
    <row r="691" spans="16:16" ht="12.75">
      <c r="P691" s="12"/>
    </row>
    <row r="692" spans="16:16" ht="12.75">
      <c r="P692" s="12"/>
    </row>
    <row r="693" spans="16:16" ht="12.75">
      <c r="P693" s="12"/>
    </row>
    <row r="694" spans="16:16" ht="12.75">
      <c r="P694" s="12"/>
    </row>
    <row r="695" spans="16:16" ht="12.75">
      <c r="P695" s="12"/>
    </row>
    <row r="696" spans="16:16" ht="12.75">
      <c r="P696" s="12"/>
    </row>
    <row r="697" spans="16:16" ht="12.75">
      <c r="P697" s="12"/>
    </row>
    <row r="698" spans="16:16" ht="12.75">
      <c r="P698" s="12"/>
    </row>
    <row r="699" spans="16:16" ht="12.75">
      <c r="P699" s="12"/>
    </row>
    <row r="700" spans="16:16" ht="12.75">
      <c r="P700" s="12"/>
    </row>
    <row r="701" spans="16:16" ht="12.75">
      <c r="P701" s="12"/>
    </row>
    <row r="702" spans="16:16" ht="12.75">
      <c r="P702" s="12"/>
    </row>
    <row r="703" spans="16:16" ht="12.75">
      <c r="P703" s="12"/>
    </row>
    <row r="704" spans="16:16" ht="12.75">
      <c r="P704" s="12"/>
    </row>
    <row r="705" spans="16:16" ht="12.75">
      <c r="P705" s="12"/>
    </row>
    <row r="706" spans="16:16" ht="12.75">
      <c r="P706" s="12"/>
    </row>
    <row r="707" spans="16:16" ht="12.75">
      <c r="P707" s="12"/>
    </row>
    <row r="708" spans="16:16" ht="12.75">
      <c r="P708" s="12"/>
    </row>
    <row r="709" spans="16:16" ht="12.75">
      <c r="P709" s="12"/>
    </row>
    <row r="710" spans="16:16" ht="12.75">
      <c r="P710" s="12"/>
    </row>
    <row r="711" spans="16:16" ht="12.75">
      <c r="P711" s="12"/>
    </row>
    <row r="712" spans="16:16" ht="12.75">
      <c r="P712" s="12"/>
    </row>
    <row r="713" spans="16:16" ht="12.75">
      <c r="P713" s="12"/>
    </row>
    <row r="714" spans="16:16" ht="12.75">
      <c r="P714" s="12"/>
    </row>
    <row r="715" spans="16:16" ht="12.75">
      <c r="P715" s="12"/>
    </row>
    <row r="716" spans="16:16" ht="12.75">
      <c r="P716" s="12"/>
    </row>
    <row r="717" spans="16:16" ht="12.75">
      <c r="P717" s="12"/>
    </row>
    <row r="718" spans="16:16" ht="12.75">
      <c r="P718" s="12"/>
    </row>
    <row r="719" spans="16:16" ht="12.75">
      <c r="P719" s="12"/>
    </row>
    <row r="720" spans="16:16" ht="12.75">
      <c r="P720" s="12"/>
    </row>
    <row r="721" spans="16:16" ht="12.75">
      <c r="P721" s="12"/>
    </row>
    <row r="722" spans="16:16" ht="12.75">
      <c r="P722" s="12"/>
    </row>
    <row r="723" spans="16:16" ht="12.75">
      <c r="P723" s="12"/>
    </row>
    <row r="724" spans="16:16" ht="12.75">
      <c r="P724" s="12"/>
    </row>
    <row r="725" spans="16:16" ht="12.75">
      <c r="P725" s="12"/>
    </row>
    <row r="726" spans="16:16" ht="12.75">
      <c r="P726" s="12"/>
    </row>
    <row r="727" spans="16:16" ht="12.75">
      <c r="P727" s="12"/>
    </row>
    <row r="728" spans="16:16" ht="12.75">
      <c r="P728" s="12"/>
    </row>
    <row r="729" spans="16:16" ht="12.75">
      <c r="P729" s="12"/>
    </row>
    <row r="730" spans="16:16" ht="12.75">
      <c r="P730" s="12"/>
    </row>
    <row r="731" spans="16:16" ht="12.75">
      <c r="P731" s="12"/>
    </row>
    <row r="732" spans="16:16" ht="12.75">
      <c r="P732" s="12"/>
    </row>
    <row r="733" spans="16:16" ht="12.75">
      <c r="P733" s="12"/>
    </row>
    <row r="734" spans="16:16" ht="12.75">
      <c r="P734" s="12"/>
    </row>
    <row r="735" spans="16:16" ht="12.75">
      <c r="P735" s="12"/>
    </row>
    <row r="736" spans="16:16" ht="12.75">
      <c r="P736" s="12"/>
    </row>
    <row r="737" spans="16:16" ht="12.75">
      <c r="P737" s="12"/>
    </row>
    <row r="738" spans="16:16" ht="12.75">
      <c r="P738" s="12"/>
    </row>
    <row r="739" spans="16:16" ht="12.75">
      <c r="P739" s="12"/>
    </row>
    <row r="740" spans="16:16" ht="12.75">
      <c r="P740" s="12"/>
    </row>
    <row r="741" spans="16:16" ht="12.75">
      <c r="P741" s="12"/>
    </row>
    <row r="742" spans="16:16" ht="12.75">
      <c r="P742" s="12"/>
    </row>
    <row r="743" spans="16:16" ht="12.75">
      <c r="P743" s="12"/>
    </row>
    <row r="744" spans="16:16" ht="12.75">
      <c r="P744" s="12"/>
    </row>
    <row r="745" spans="16:16" ht="12.75">
      <c r="P745" s="12"/>
    </row>
    <row r="746" spans="16:16" ht="12.75">
      <c r="P746" s="12"/>
    </row>
    <row r="747" spans="16:16" ht="12.75">
      <c r="P747" s="12"/>
    </row>
    <row r="748" spans="16:16" ht="12.75">
      <c r="P748" s="12"/>
    </row>
    <row r="749" spans="16:16" ht="12.75">
      <c r="P749" s="12"/>
    </row>
    <row r="750" spans="16:16" ht="12.75">
      <c r="P750" s="12"/>
    </row>
    <row r="751" spans="16:16" ht="12.75">
      <c r="P751" s="12"/>
    </row>
    <row r="752" spans="16:16" ht="12.75">
      <c r="P752" s="12"/>
    </row>
    <row r="753" spans="16:16" ht="12.75">
      <c r="P753" s="12"/>
    </row>
    <row r="754" spans="16:16" ht="12.75">
      <c r="P754" s="12"/>
    </row>
    <row r="755" spans="16:16" ht="12.75">
      <c r="P755" s="12"/>
    </row>
    <row r="756" spans="16:16" ht="12.75">
      <c r="P756" s="12"/>
    </row>
    <row r="757" spans="16:16" ht="12.75">
      <c r="P757" s="12"/>
    </row>
    <row r="758" spans="16:16" ht="12.75">
      <c r="P758" s="12"/>
    </row>
    <row r="759" spans="16:16" ht="12.75">
      <c r="P759" s="12"/>
    </row>
    <row r="760" spans="16:16" ht="12.75">
      <c r="P760" s="12"/>
    </row>
    <row r="761" spans="16:16" ht="12.75">
      <c r="P761" s="12"/>
    </row>
    <row r="762" spans="16:16" ht="12.75">
      <c r="P762" s="12"/>
    </row>
    <row r="763" spans="16:16" ht="12.75">
      <c r="P763" s="12"/>
    </row>
    <row r="764" spans="16:16" ht="12.75">
      <c r="P764" s="12"/>
    </row>
    <row r="765" spans="16:16" ht="12.75">
      <c r="P765" s="12"/>
    </row>
    <row r="766" spans="16:16" ht="12.75">
      <c r="P766" s="12"/>
    </row>
    <row r="767" spans="16:16" ht="12.75">
      <c r="P767" s="12"/>
    </row>
    <row r="768" spans="16:16" ht="12.75">
      <c r="P768" s="12"/>
    </row>
    <row r="769" spans="16:16" ht="12.75">
      <c r="P769" s="12"/>
    </row>
    <row r="770" spans="16:16" ht="12.75">
      <c r="P770" s="12"/>
    </row>
    <row r="771" spans="16:16" ht="12.75">
      <c r="P771" s="12"/>
    </row>
    <row r="772" spans="16:16" ht="12.75">
      <c r="P772" s="12"/>
    </row>
    <row r="773" spans="16:16" ht="12.75">
      <c r="P773" s="12"/>
    </row>
    <row r="774" spans="16:16" ht="12.75">
      <c r="P774" s="12"/>
    </row>
    <row r="775" spans="16:16" ht="12.75">
      <c r="P775" s="12"/>
    </row>
    <row r="776" spans="16:16" ht="12.75">
      <c r="P776" s="12"/>
    </row>
    <row r="777" spans="16:16" ht="12.75">
      <c r="P777" s="12"/>
    </row>
    <row r="778" spans="16:16" ht="12.75">
      <c r="P778" s="12"/>
    </row>
    <row r="779" spans="16:16" ht="12.75">
      <c r="P779" s="12"/>
    </row>
    <row r="780" spans="16:16" ht="12.75">
      <c r="P780" s="12"/>
    </row>
    <row r="781" spans="16:16" ht="12.75">
      <c r="P781" s="12"/>
    </row>
    <row r="782" spans="16:16" ht="12.75">
      <c r="P782" s="12"/>
    </row>
    <row r="783" spans="16:16" ht="12.75">
      <c r="P783" s="12"/>
    </row>
    <row r="784" spans="16:16" ht="12.75">
      <c r="P784" s="12"/>
    </row>
    <row r="785" spans="16:16" ht="12.75">
      <c r="P785" s="12"/>
    </row>
    <row r="786" spans="16:16" ht="12.75">
      <c r="P786" s="12"/>
    </row>
    <row r="787" spans="16:16" ht="12.75">
      <c r="P787" s="12"/>
    </row>
    <row r="788" spans="16:16" ht="12.75">
      <c r="P788" s="12"/>
    </row>
    <row r="789" spans="16:16" ht="12.75">
      <c r="P789" s="12"/>
    </row>
    <row r="790" spans="16:16" ht="12.75">
      <c r="P790" s="12"/>
    </row>
    <row r="791" spans="16:16" ht="12.75">
      <c r="P791" s="12"/>
    </row>
    <row r="792" spans="16:16" ht="12.75">
      <c r="P792" s="12"/>
    </row>
    <row r="793" spans="16:16" ht="12.75">
      <c r="P793" s="12"/>
    </row>
    <row r="794" spans="16:16" ht="12.75">
      <c r="P794" s="12"/>
    </row>
    <row r="795" spans="16:16" ht="12.75">
      <c r="P795" s="12"/>
    </row>
    <row r="796" spans="16:16" ht="12.75">
      <c r="P796" s="12"/>
    </row>
    <row r="797" spans="16:16" ht="12.75">
      <c r="P797" s="12"/>
    </row>
    <row r="798" spans="16:16" ht="12.75">
      <c r="P798" s="12"/>
    </row>
    <row r="799" spans="16:16" ht="12.75">
      <c r="P799" s="12"/>
    </row>
    <row r="800" spans="16:16" ht="12.75">
      <c r="P800" s="12"/>
    </row>
    <row r="801" spans="16:16" ht="12.75">
      <c r="P801" s="12"/>
    </row>
    <row r="802" spans="16:16" ht="12.75">
      <c r="P802" s="12"/>
    </row>
    <row r="803" spans="16:16" ht="12.75">
      <c r="P803" s="12"/>
    </row>
    <row r="804" spans="16:16" ht="12.75">
      <c r="P804" s="12"/>
    </row>
    <row r="805" spans="16:16" ht="12.75">
      <c r="P805" s="12"/>
    </row>
    <row r="806" spans="16:16" ht="12.75">
      <c r="P806" s="12"/>
    </row>
    <row r="807" spans="16:16" ht="12.75">
      <c r="P807" s="12"/>
    </row>
    <row r="808" spans="16:16" ht="12.75">
      <c r="P808" s="12"/>
    </row>
    <row r="809" spans="16:16" ht="12.75">
      <c r="P809" s="12"/>
    </row>
    <row r="810" spans="16:16" ht="12.75">
      <c r="P810" s="12"/>
    </row>
    <row r="811" spans="16:16" ht="12.75">
      <c r="P811" s="12"/>
    </row>
    <row r="812" spans="16:16" ht="12.75">
      <c r="P812" s="12"/>
    </row>
    <row r="813" spans="16:16" ht="12.75">
      <c r="P813" s="12"/>
    </row>
    <row r="814" spans="16:16" ht="12.75">
      <c r="P814" s="12"/>
    </row>
    <row r="815" spans="16:16" ht="12.75">
      <c r="P815" s="12"/>
    </row>
    <row r="816" spans="16:16" ht="12.75">
      <c r="P816" s="12"/>
    </row>
    <row r="817" spans="16:16" ht="12.75">
      <c r="P817" s="12"/>
    </row>
    <row r="818" spans="16:16" ht="12.75">
      <c r="P818" s="12"/>
    </row>
    <row r="819" spans="16:16" ht="12.75">
      <c r="P819" s="12"/>
    </row>
    <row r="820" spans="16:16" ht="12.75">
      <c r="P820" s="12"/>
    </row>
    <row r="821" spans="16:16" ht="12.75">
      <c r="P821" s="12"/>
    </row>
    <row r="822" spans="16:16" ht="12.75">
      <c r="P822" s="12"/>
    </row>
    <row r="823" spans="16:16" ht="12.75">
      <c r="P823" s="12"/>
    </row>
    <row r="824" spans="16:16" ht="12.75">
      <c r="P824" s="12"/>
    </row>
    <row r="825" spans="16:16" ht="12.75">
      <c r="P825" s="12"/>
    </row>
    <row r="826" spans="16:16" ht="12.75">
      <c r="P826" s="12"/>
    </row>
    <row r="827" spans="16:16" ht="12.75">
      <c r="P827" s="12"/>
    </row>
    <row r="828" spans="16:16" ht="12.75">
      <c r="P828" s="12"/>
    </row>
    <row r="829" spans="16:16" ht="12.75">
      <c r="P829" s="12"/>
    </row>
    <row r="830" spans="16:16" ht="12.75">
      <c r="P830" s="12"/>
    </row>
    <row r="831" spans="16:16" ht="12.75">
      <c r="P831" s="12"/>
    </row>
    <row r="832" spans="16:16" ht="12.75">
      <c r="P832" s="12"/>
    </row>
    <row r="833" spans="16:16" ht="12.75">
      <c r="P833" s="12"/>
    </row>
    <row r="834" spans="16:16" ht="12.75">
      <c r="P834" s="12"/>
    </row>
    <row r="835" spans="16:16" ht="12.75">
      <c r="P835" s="12"/>
    </row>
    <row r="836" spans="16:16" ht="12.75">
      <c r="P836" s="12"/>
    </row>
    <row r="837" spans="16:16" ht="12.75">
      <c r="P837" s="12"/>
    </row>
    <row r="838" spans="16:16" ht="12.75">
      <c r="P838" s="12"/>
    </row>
    <row r="839" spans="16:16" ht="12.75">
      <c r="P839" s="12"/>
    </row>
    <row r="840" spans="16:16" ht="12.75">
      <c r="P840" s="12"/>
    </row>
    <row r="841" spans="16:16" ht="12.75">
      <c r="P841" s="12"/>
    </row>
    <row r="842" spans="16:16" ht="12.75">
      <c r="P842" s="12"/>
    </row>
    <row r="843" spans="16:16" ht="12.75">
      <c r="P843" s="12"/>
    </row>
    <row r="844" spans="16:16" ht="12.75">
      <c r="P844" s="12"/>
    </row>
    <row r="845" spans="16:16" ht="12.75">
      <c r="P845" s="12"/>
    </row>
    <row r="846" spans="16:16" ht="12.75">
      <c r="P846" s="12"/>
    </row>
    <row r="847" spans="16:16" ht="12.75">
      <c r="P847" s="12"/>
    </row>
    <row r="848" spans="16:16" ht="12.75">
      <c r="P848" s="12"/>
    </row>
    <row r="849" spans="16:16" ht="12.75">
      <c r="P849" s="12"/>
    </row>
    <row r="850" spans="16:16" ht="12.75">
      <c r="P850" s="12"/>
    </row>
    <row r="851" spans="16:16" ht="12.75">
      <c r="P851" s="12"/>
    </row>
    <row r="852" spans="16:16" ht="12.75">
      <c r="P852" s="12"/>
    </row>
    <row r="853" spans="16:16" ht="12.75">
      <c r="P853" s="12"/>
    </row>
    <row r="854" spans="16:16" ht="12.75">
      <c r="P854" s="12"/>
    </row>
    <row r="855" spans="16:16" ht="12.75">
      <c r="P855" s="12"/>
    </row>
    <row r="856" spans="16:16" ht="12.75">
      <c r="P856" s="12"/>
    </row>
    <row r="857" spans="16:16" ht="12.75">
      <c r="P857" s="12"/>
    </row>
    <row r="858" spans="16:16" ht="12.75">
      <c r="P858" s="12"/>
    </row>
    <row r="859" spans="16:16" ht="12.75">
      <c r="P859" s="12"/>
    </row>
    <row r="860" spans="16:16" ht="12.75">
      <c r="P860" s="12"/>
    </row>
    <row r="861" spans="16:16" ht="12.75">
      <c r="P861" s="12"/>
    </row>
    <row r="862" spans="16:16" ht="12.75">
      <c r="P862" s="12"/>
    </row>
    <row r="863" spans="16:16" ht="12.75">
      <c r="P863" s="12"/>
    </row>
    <row r="864" spans="16:16" ht="12.75">
      <c r="P864" s="12"/>
    </row>
    <row r="865" spans="16:16" ht="12.75">
      <c r="P865" s="12"/>
    </row>
    <row r="866" spans="16:16" ht="12.75">
      <c r="P866" s="12"/>
    </row>
    <row r="867" spans="16:16" ht="12.75">
      <c r="P867" s="12"/>
    </row>
    <row r="868" spans="16:16" ht="12.75">
      <c r="P868" s="12"/>
    </row>
    <row r="869" spans="16:16" ht="12.75">
      <c r="P869" s="12"/>
    </row>
    <row r="870" spans="16:16" ht="12.75">
      <c r="P870" s="12"/>
    </row>
    <row r="871" spans="16:16" ht="12.75">
      <c r="P871" s="12"/>
    </row>
    <row r="872" spans="16:16" ht="12.75">
      <c r="P872" s="12"/>
    </row>
    <row r="873" spans="16:16" ht="12.75">
      <c r="P873" s="12"/>
    </row>
    <row r="874" spans="16:16" ht="12.75">
      <c r="P874" s="12"/>
    </row>
    <row r="875" spans="16:16" ht="12.75">
      <c r="P875" s="12"/>
    </row>
    <row r="876" spans="16:16" ht="12.75">
      <c r="P876" s="12"/>
    </row>
    <row r="877" spans="16:16" ht="12.75">
      <c r="P877" s="12"/>
    </row>
    <row r="878" spans="16:16" ht="12.75">
      <c r="P878" s="12"/>
    </row>
    <row r="879" spans="16:16" ht="12.75">
      <c r="P879" s="12"/>
    </row>
    <row r="880" spans="16:16" ht="12.75">
      <c r="P880" s="12"/>
    </row>
    <row r="881" spans="16:16" ht="12.75">
      <c r="P881" s="12"/>
    </row>
    <row r="882" spans="16:16" ht="12.75">
      <c r="P882" s="12"/>
    </row>
    <row r="883" spans="16:16" ht="12.75">
      <c r="P883" s="12"/>
    </row>
    <row r="884" spans="16:16" ht="12.75">
      <c r="P884" s="12"/>
    </row>
    <row r="885" spans="16:16" ht="12.75">
      <c r="P885" s="12"/>
    </row>
    <row r="886" spans="16:16" ht="12.75">
      <c r="P886" s="12"/>
    </row>
    <row r="887" spans="16:16" ht="12.75">
      <c r="P887" s="12"/>
    </row>
    <row r="888" spans="16:16" ht="12.75">
      <c r="P888" s="12"/>
    </row>
    <row r="889" spans="16:16" ht="12.75">
      <c r="P889" s="12"/>
    </row>
    <row r="890" spans="16:16" ht="12.75">
      <c r="P890" s="12"/>
    </row>
    <row r="891" spans="16:16" ht="12.75">
      <c r="P891" s="12"/>
    </row>
    <row r="892" spans="16:16" ht="12.75">
      <c r="P892" s="12"/>
    </row>
    <row r="893" spans="16:16" ht="12.75">
      <c r="P893" s="12"/>
    </row>
    <row r="894" spans="16:16" ht="12.75">
      <c r="P894" s="12"/>
    </row>
    <row r="895" spans="16:16" ht="12.75">
      <c r="P895" s="12"/>
    </row>
    <row r="896" spans="16:16" ht="12.75">
      <c r="P896" s="12"/>
    </row>
    <row r="897" spans="16:16" ht="12.75">
      <c r="P897" s="12"/>
    </row>
    <row r="898" spans="16:16" ht="12.75">
      <c r="P898" s="12"/>
    </row>
    <row r="899" spans="16:16" ht="12.75">
      <c r="P899" s="12"/>
    </row>
    <row r="900" spans="16:16" ht="12.75">
      <c r="P900" s="12"/>
    </row>
    <row r="901" spans="16:16" ht="12.75">
      <c r="P901" s="12"/>
    </row>
    <row r="902" spans="16:16" ht="12.75">
      <c r="P902" s="12"/>
    </row>
    <row r="903" spans="16:16" ht="12.75">
      <c r="P903" s="12"/>
    </row>
    <row r="904" spans="16:16" ht="12.75">
      <c r="P904" s="12"/>
    </row>
    <row r="905" spans="16:16" ht="12.75">
      <c r="P905" s="12"/>
    </row>
    <row r="906" spans="16:16" ht="12.75">
      <c r="P906" s="12"/>
    </row>
    <row r="907" spans="16:16" ht="12.75">
      <c r="P907" s="12"/>
    </row>
    <row r="908" spans="16:16" ht="12.75">
      <c r="P908" s="12"/>
    </row>
    <row r="909" spans="16:16" ht="12.75">
      <c r="P909" s="12"/>
    </row>
    <row r="910" spans="16:16" ht="12.75">
      <c r="P910" s="12"/>
    </row>
    <row r="911" spans="16:16" ht="12.75">
      <c r="P911" s="12"/>
    </row>
    <row r="912" spans="16:16" ht="12.75">
      <c r="P912" s="12"/>
    </row>
    <row r="913" spans="16:16" ht="12.75">
      <c r="P913" s="12"/>
    </row>
    <row r="914" spans="16:16" ht="12.75">
      <c r="P914" s="12"/>
    </row>
    <row r="915" spans="16:16" ht="12.75">
      <c r="P915" s="12"/>
    </row>
    <row r="916" spans="16:16" ht="12.75">
      <c r="P916" s="12"/>
    </row>
    <row r="917" spans="16:16" ht="12.75">
      <c r="P917" s="12"/>
    </row>
    <row r="918" spans="16:16" ht="12.75">
      <c r="P918" s="12"/>
    </row>
    <row r="919" spans="16:16" ht="12.75">
      <c r="P919" s="12"/>
    </row>
    <row r="920" spans="16:16" ht="12.75">
      <c r="P920" s="12"/>
    </row>
    <row r="921" spans="16:16" ht="12.75">
      <c r="P921" s="12"/>
    </row>
    <row r="922" spans="16:16" ht="12.75">
      <c r="P922" s="12"/>
    </row>
    <row r="923" spans="16:16" ht="12.75">
      <c r="P923" s="12"/>
    </row>
    <row r="924" spans="16:16" ht="12.75">
      <c r="P924" s="12"/>
    </row>
    <row r="925" spans="16:16" ht="12.75">
      <c r="P925" s="12"/>
    </row>
    <row r="926" spans="16:16" ht="12.75">
      <c r="P926" s="12"/>
    </row>
    <row r="927" spans="16:16" ht="12.75">
      <c r="P927" s="12"/>
    </row>
    <row r="928" spans="16:16" ht="12.75">
      <c r="P928" s="12"/>
    </row>
    <row r="929" spans="16:16" ht="12.75">
      <c r="P929" s="12"/>
    </row>
    <row r="930" spans="16:16" ht="12.75">
      <c r="P930" s="12"/>
    </row>
    <row r="931" spans="16:16" ht="12.75">
      <c r="P931" s="12"/>
    </row>
    <row r="932" spans="16:16" ht="12.75">
      <c r="P932" s="12"/>
    </row>
    <row r="933" spans="16:16" ht="12.75">
      <c r="P933" s="12"/>
    </row>
    <row r="934" spans="16:16" ht="12.75">
      <c r="P934" s="12"/>
    </row>
    <row r="935" spans="16:16" ht="12.75">
      <c r="P935" s="12"/>
    </row>
    <row r="936" spans="16:16" ht="12.75">
      <c r="P936" s="12"/>
    </row>
    <row r="937" spans="16:16" ht="12.75">
      <c r="P937" s="12"/>
    </row>
    <row r="938" spans="16:16" ht="12.75">
      <c r="P938" s="12"/>
    </row>
    <row r="939" spans="16:16" ht="12.75">
      <c r="P939" s="12"/>
    </row>
    <row r="940" spans="16:16" ht="12.75">
      <c r="P940" s="12"/>
    </row>
    <row r="941" spans="16:16" ht="12.75">
      <c r="P941" s="12"/>
    </row>
    <row r="942" spans="16:16" ht="12.75">
      <c r="P942" s="12"/>
    </row>
    <row r="943" spans="16:16" ht="12.75">
      <c r="P943" s="12"/>
    </row>
    <row r="944" spans="16:16" ht="12.75">
      <c r="P944" s="12"/>
    </row>
    <row r="945" spans="16:16" ht="12.75">
      <c r="P945" s="12"/>
    </row>
    <row r="946" spans="16:16" ht="12.75">
      <c r="P946" s="12"/>
    </row>
    <row r="947" spans="16:16" ht="12.75">
      <c r="P947" s="12"/>
    </row>
    <row r="948" spans="16:16" ht="12.75">
      <c r="P948" s="12"/>
    </row>
    <row r="949" spans="16:16" ht="12.75">
      <c r="P949" s="12"/>
    </row>
    <row r="950" spans="16:16" ht="12.75">
      <c r="P950" s="12"/>
    </row>
    <row r="951" spans="16:16" ht="12.75">
      <c r="P951" s="12"/>
    </row>
    <row r="952" spans="16:16" ht="12.75">
      <c r="P952" s="12"/>
    </row>
    <row r="953" spans="16:16" ht="12.75">
      <c r="P953" s="12"/>
    </row>
    <row r="954" spans="16:16" ht="12.75">
      <c r="P954" s="12"/>
    </row>
    <row r="955" spans="16:16" ht="12.75">
      <c r="P955" s="12"/>
    </row>
    <row r="956" spans="16:16" ht="12.75">
      <c r="P956" s="12"/>
    </row>
    <row r="957" spans="16:16" ht="12.75">
      <c r="P957" s="12"/>
    </row>
    <row r="958" spans="16:16" ht="12.75">
      <c r="P958" s="12"/>
    </row>
    <row r="959" spans="16:16" ht="12.75">
      <c r="P959" s="12"/>
    </row>
    <row r="960" spans="16:16" ht="12.75">
      <c r="P960" s="12"/>
    </row>
    <row r="961" spans="16:16" ht="12.75">
      <c r="P961" s="12"/>
    </row>
    <row r="962" spans="16:16" ht="12.75">
      <c r="P962" s="12"/>
    </row>
    <row r="963" spans="16:16" ht="12.75">
      <c r="P963" s="12"/>
    </row>
    <row r="964" spans="16:16" ht="12.75">
      <c r="P964" s="12"/>
    </row>
    <row r="965" spans="16:16" ht="12.75">
      <c r="P965" s="12"/>
    </row>
    <row r="966" spans="16:16" ht="12.75">
      <c r="P966" s="12"/>
    </row>
    <row r="967" spans="16:16" ht="12.75">
      <c r="P967" s="12"/>
    </row>
    <row r="968" spans="16:16" ht="12.75">
      <c r="P968" s="12"/>
    </row>
    <row r="969" spans="16:16" ht="12.75">
      <c r="P969" s="12"/>
    </row>
    <row r="970" spans="16:16" ht="12.75">
      <c r="P970" s="12"/>
    </row>
    <row r="971" spans="16:16" ht="12.75">
      <c r="P971" s="12"/>
    </row>
    <row r="972" spans="16:16" ht="12.75">
      <c r="P972" s="12"/>
    </row>
    <row r="973" spans="16:16" ht="12.75">
      <c r="P973" s="12"/>
    </row>
    <row r="974" spans="16:16" ht="12.75">
      <c r="P974" s="12"/>
    </row>
    <row r="975" spans="16:16" ht="12.75">
      <c r="P975" s="12"/>
    </row>
    <row r="976" spans="16:16" ht="12.75">
      <c r="P976" s="12"/>
    </row>
    <row r="977" spans="16:16" ht="12.75">
      <c r="P977" s="12"/>
    </row>
    <row r="978" spans="16:16" ht="12.75">
      <c r="P978" s="12"/>
    </row>
    <row r="979" spans="16:16" ht="12.75">
      <c r="P979" s="12"/>
    </row>
    <row r="980" spans="16:16" ht="12.75">
      <c r="P980" s="12"/>
    </row>
    <row r="981" spans="16:16" ht="12.75">
      <c r="P981" s="12"/>
    </row>
    <row r="982" spans="16:16" ht="12.75">
      <c r="P982" s="12"/>
    </row>
    <row r="983" spans="16:16" ht="12.75">
      <c r="P983" s="12"/>
    </row>
    <row r="984" spans="16:16" ht="12.75">
      <c r="P984" s="12"/>
    </row>
    <row r="985" spans="16:16" ht="12.75">
      <c r="P985" s="12"/>
    </row>
    <row r="986" spans="16:16" ht="12.75">
      <c r="P986" s="12"/>
    </row>
    <row r="987" spans="16:16" ht="12.75">
      <c r="P987" s="12"/>
    </row>
    <row r="988" spans="16:16" ht="12.75">
      <c r="P988" s="12"/>
    </row>
    <row r="989" spans="16:16" ht="12.75">
      <c r="P989" s="12"/>
    </row>
    <row r="990" spans="16:16" ht="12.75">
      <c r="P990" s="12"/>
    </row>
    <row r="991" spans="16:16" ht="12.75">
      <c r="P991" s="12"/>
    </row>
    <row r="992" spans="16:16" ht="12.75">
      <c r="P992" s="12"/>
    </row>
    <row r="993" spans="16:16" ht="12.75">
      <c r="P993" s="12"/>
    </row>
    <row r="994" spans="16:16" ht="12.75">
      <c r="P994" s="12"/>
    </row>
    <row r="995" spans="16:16" ht="12.75">
      <c r="P995" s="12"/>
    </row>
    <row r="996" spans="16:16" ht="12.75">
      <c r="P996" s="12"/>
    </row>
    <row r="997" spans="16:16" ht="12.75">
      <c r="P997" s="12"/>
    </row>
    <row r="998" spans="16:16" ht="12.75">
      <c r="P998" s="12"/>
    </row>
    <row r="999" spans="16:16" ht="12.75">
      <c r="P999" s="12"/>
    </row>
    <row r="1000" spans="16:16" ht="12.75">
      <c r="P100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13"/>
  <sheetViews>
    <sheetView workbookViewId="0">
      <pane ySplit="1" topLeftCell="A2" activePane="bottomLeft" state="frozen"/>
      <selection pane="bottomLeft" activeCell="M22" sqref="M22"/>
    </sheetView>
  </sheetViews>
  <sheetFormatPr defaultColWidth="14.42578125" defaultRowHeight="15.75" customHeight="1"/>
  <sheetData>
    <row r="1" spans="1:8" ht="15.75" customHeight="1">
      <c r="A1" s="13" t="s">
        <v>238</v>
      </c>
      <c r="B1" s="13" t="s">
        <v>239</v>
      </c>
      <c r="C1" s="13" t="s">
        <v>240</v>
      </c>
      <c r="D1" s="13" t="s">
        <v>241</v>
      </c>
      <c r="E1" s="13" t="s">
        <v>242</v>
      </c>
      <c r="F1" s="13" t="s">
        <v>243</v>
      </c>
      <c r="G1" s="13" t="s">
        <v>244</v>
      </c>
      <c r="H1" s="13" t="s">
        <v>245</v>
      </c>
    </row>
    <row r="2" spans="1:8" ht="15.75" customHeight="1">
      <c r="A2" s="14">
        <v>2019</v>
      </c>
      <c r="B2" s="14" t="s">
        <v>246</v>
      </c>
      <c r="C2" s="14" t="s">
        <v>247</v>
      </c>
      <c r="D2" s="14" t="s">
        <v>6</v>
      </c>
      <c r="E2" s="15" t="s">
        <v>248</v>
      </c>
      <c r="F2" s="10">
        <v>76548.891199999998</v>
      </c>
      <c r="G2" s="10">
        <v>0</v>
      </c>
      <c r="H2" s="16">
        <v>7.0600000000000002E-6</v>
      </c>
    </row>
    <row r="3" spans="1:8" ht="15.75" customHeight="1">
      <c r="A3" s="14">
        <v>2019</v>
      </c>
      <c r="B3" s="14" t="s">
        <v>249</v>
      </c>
      <c r="C3" s="14" t="s">
        <v>250</v>
      </c>
      <c r="D3" s="14" t="s">
        <v>6</v>
      </c>
      <c r="E3" s="15" t="s">
        <v>251</v>
      </c>
      <c r="F3" s="10">
        <v>11420.935299999999</v>
      </c>
      <c r="G3" s="10">
        <v>0</v>
      </c>
      <c r="H3" s="16">
        <v>9.4700000000000008E-6</v>
      </c>
    </row>
    <row r="4" spans="1:8" ht="15.75" customHeight="1">
      <c r="A4" s="14">
        <v>2019</v>
      </c>
      <c r="B4" s="14" t="s">
        <v>252</v>
      </c>
      <c r="C4" s="14" t="s">
        <v>253</v>
      </c>
      <c r="D4" s="14" t="s">
        <v>6</v>
      </c>
      <c r="E4" s="15" t="s">
        <v>254</v>
      </c>
      <c r="F4" s="10">
        <v>113635.8746</v>
      </c>
      <c r="G4" s="10">
        <v>0</v>
      </c>
      <c r="H4" s="16">
        <v>1.66E-4</v>
      </c>
    </row>
    <row r="5" spans="1:8" ht="15.75" customHeight="1">
      <c r="A5" s="14">
        <v>2019</v>
      </c>
      <c r="B5" s="14" t="s">
        <v>255</v>
      </c>
      <c r="C5" s="14" t="s">
        <v>256</v>
      </c>
      <c r="D5" s="14" t="s">
        <v>6</v>
      </c>
      <c r="E5" s="15" t="s">
        <v>257</v>
      </c>
      <c r="F5" s="10">
        <v>47114.181900000003</v>
      </c>
      <c r="G5" s="10">
        <v>0</v>
      </c>
      <c r="H5" s="16">
        <v>2.0699999999999998E-5</v>
      </c>
    </row>
    <row r="6" spans="1:8" ht="15.75" customHeight="1">
      <c r="A6" s="14">
        <v>2019</v>
      </c>
      <c r="B6" s="14" t="s">
        <v>258</v>
      </c>
      <c r="C6" s="14" t="s">
        <v>259</v>
      </c>
      <c r="D6" s="14" t="s">
        <v>6</v>
      </c>
      <c r="E6" s="15" t="s">
        <v>260</v>
      </c>
      <c r="F6" s="10">
        <v>616867.78269999998</v>
      </c>
      <c r="G6" s="16">
        <v>2.0263699999999999E-8</v>
      </c>
      <c r="H6" s="16">
        <v>3.7499999999999997E-5</v>
      </c>
    </row>
    <row r="7" spans="1:8" ht="15.75" customHeight="1">
      <c r="A7" s="14">
        <v>2019</v>
      </c>
      <c r="B7" s="14" t="s">
        <v>261</v>
      </c>
      <c r="C7" s="14" t="s">
        <v>262</v>
      </c>
      <c r="D7" s="14" t="s">
        <v>6</v>
      </c>
      <c r="E7" s="15" t="s">
        <v>263</v>
      </c>
      <c r="F7" s="10">
        <v>89905.8174</v>
      </c>
      <c r="G7" s="10">
        <v>0</v>
      </c>
      <c r="H7" s="16">
        <v>1.46E-4</v>
      </c>
    </row>
    <row r="8" spans="1:8" ht="15.75" customHeight="1">
      <c r="A8" s="14">
        <v>2019</v>
      </c>
      <c r="B8" s="14" t="s">
        <v>264</v>
      </c>
      <c r="C8" s="14" t="s">
        <v>265</v>
      </c>
      <c r="D8" s="14" t="s">
        <v>6</v>
      </c>
      <c r="E8" s="15" t="s">
        <v>266</v>
      </c>
      <c r="F8" s="10">
        <v>55661.527499999997</v>
      </c>
      <c r="G8" s="10">
        <v>0</v>
      </c>
      <c r="H8" s="16">
        <v>1.9400000000000001E-6</v>
      </c>
    </row>
    <row r="9" spans="1:8" ht="15.75" customHeight="1">
      <c r="A9" s="14">
        <v>2019</v>
      </c>
      <c r="B9" s="14" t="s">
        <v>267</v>
      </c>
      <c r="C9" s="14" t="s">
        <v>268</v>
      </c>
      <c r="D9" s="14" t="s">
        <v>6</v>
      </c>
      <c r="E9" s="15" t="s">
        <v>269</v>
      </c>
      <c r="F9" s="10">
        <v>15202.4764</v>
      </c>
      <c r="G9" s="10">
        <v>0</v>
      </c>
      <c r="H9" s="16">
        <v>0</v>
      </c>
    </row>
    <row r="10" spans="1:8" ht="15.75" customHeight="1">
      <c r="A10" s="14">
        <v>2019</v>
      </c>
      <c r="B10" s="14" t="s">
        <v>270</v>
      </c>
      <c r="C10" s="14" t="s">
        <v>271</v>
      </c>
      <c r="D10" s="14" t="s">
        <v>6</v>
      </c>
      <c r="E10" s="15" t="s">
        <v>272</v>
      </c>
      <c r="F10" s="10">
        <v>11018.206200000001</v>
      </c>
      <c r="G10" s="10">
        <v>0</v>
      </c>
      <c r="H10" s="16">
        <v>6.8700000000000003E-5</v>
      </c>
    </row>
    <row r="11" spans="1:8" ht="15.75" customHeight="1">
      <c r="A11" s="14">
        <v>2019</v>
      </c>
      <c r="B11" s="14" t="s">
        <v>273</v>
      </c>
      <c r="C11" s="14" t="s">
        <v>274</v>
      </c>
      <c r="D11" s="14" t="s">
        <v>6</v>
      </c>
      <c r="E11" s="15" t="s">
        <v>275</v>
      </c>
      <c r="F11" s="10">
        <v>335312.03749999998</v>
      </c>
      <c r="G11" s="10">
        <v>0</v>
      </c>
      <c r="H11" s="16">
        <v>6.4499999999999997E-7</v>
      </c>
    </row>
    <row r="12" spans="1:8" ht="15.75" customHeight="1">
      <c r="A12" s="14">
        <v>2019</v>
      </c>
      <c r="B12" s="14" t="s">
        <v>276</v>
      </c>
      <c r="C12" s="14" t="s">
        <v>277</v>
      </c>
      <c r="D12" s="14" t="s">
        <v>6</v>
      </c>
      <c r="E12" s="15" t="s">
        <v>278</v>
      </c>
      <c r="F12" s="10">
        <v>165760.0025</v>
      </c>
      <c r="G12" s="16">
        <v>3.7705099999999998E-8</v>
      </c>
      <c r="H12" s="16">
        <v>9.1300000000000007E-6</v>
      </c>
    </row>
    <row r="13" spans="1:8" ht="15.75" customHeight="1">
      <c r="A13" s="14">
        <v>2019</v>
      </c>
      <c r="B13" s="14" t="s">
        <v>279</v>
      </c>
      <c r="C13" s="14" t="s">
        <v>280</v>
      </c>
      <c r="D13" s="14" t="s">
        <v>6</v>
      </c>
      <c r="E13" s="15" t="s">
        <v>281</v>
      </c>
      <c r="F13" s="10">
        <v>22104.6996</v>
      </c>
      <c r="G13" s="10">
        <v>0</v>
      </c>
      <c r="H13" s="16">
        <v>0</v>
      </c>
    </row>
    <row r="14" spans="1:8" ht="15.75" customHeight="1">
      <c r="A14" s="14">
        <v>2019</v>
      </c>
      <c r="B14" s="14" t="s">
        <v>282</v>
      </c>
      <c r="C14" s="14" t="s">
        <v>283</v>
      </c>
      <c r="D14" s="14" t="s">
        <v>6</v>
      </c>
      <c r="E14" s="15" t="s">
        <v>284</v>
      </c>
      <c r="F14" s="10">
        <v>27899.7925</v>
      </c>
      <c r="G14" s="16">
        <v>1.1200800000000001E-7</v>
      </c>
      <c r="H14" s="16">
        <v>4.2599999999999999E-5</v>
      </c>
    </row>
    <row r="15" spans="1:8" ht="15.75" customHeight="1">
      <c r="A15" s="14">
        <v>2019</v>
      </c>
      <c r="B15" s="14" t="s">
        <v>285</v>
      </c>
      <c r="C15" s="14" t="s">
        <v>286</v>
      </c>
      <c r="D15" s="14" t="s">
        <v>6</v>
      </c>
      <c r="E15" s="15" t="s">
        <v>287</v>
      </c>
      <c r="F15" s="10">
        <v>197833.4179</v>
      </c>
      <c r="G15" s="10">
        <v>0</v>
      </c>
      <c r="H15" s="16">
        <v>1.31E-5</v>
      </c>
    </row>
    <row r="16" spans="1:8" ht="15.75" customHeight="1">
      <c r="A16" s="14">
        <v>2019</v>
      </c>
      <c r="B16" s="14" t="s">
        <v>288</v>
      </c>
      <c r="C16" s="14" t="s">
        <v>289</v>
      </c>
      <c r="D16" s="14" t="s">
        <v>6</v>
      </c>
      <c r="E16" s="15" t="s">
        <v>290</v>
      </c>
      <c r="F16" s="10">
        <v>105103.9069</v>
      </c>
      <c r="G16" s="10">
        <v>0</v>
      </c>
      <c r="H16" s="16">
        <v>4.1099999999999996E-6</v>
      </c>
    </row>
    <row r="17" spans="1:8" ht="15.75" customHeight="1">
      <c r="A17" s="14">
        <v>2019</v>
      </c>
      <c r="B17" s="14" t="s">
        <v>291</v>
      </c>
      <c r="C17" s="14" t="s">
        <v>292</v>
      </c>
      <c r="D17" s="14" t="s">
        <v>6</v>
      </c>
      <c r="E17" s="15" t="s">
        <v>293</v>
      </c>
      <c r="F17" s="10">
        <v>49257.188999999998</v>
      </c>
      <c r="G17" s="10">
        <v>0</v>
      </c>
      <c r="H17" s="16">
        <v>1.1E-5</v>
      </c>
    </row>
    <row r="18" spans="1:8" ht="15.75" customHeight="1">
      <c r="A18" s="14">
        <v>2019</v>
      </c>
      <c r="B18" s="14" t="s">
        <v>294</v>
      </c>
      <c r="C18" s="14" t="s">
        <v>295</v>
      </c>
      <c r="D18" s="14" t="s">
        <v>6</v>
      </c>
      <c r="E18" s="15" t="s">
        <v>296</v>
      </c>
      <c r="F18" s="10">
        <v>45482.876199999999</v>
      </c>
      <c r="G18" s="10">
        <v>0</v>
      </c>
      <c r="H18" s="16">
        <v>1.43E-5</v>
      </c>
    </row>
    <row r="19" spans="1:8" ht="15.75" customHeight="1">
      <c r="A19" s="14">
        <v>2019</v>
      </c>
      <c r="B19" s="14" t="s">
        <v>297</v>
      </c>
      <c r="C19" s="14" t="s">
        <v>298</v>
      </c>
      <c r="D19" s="14" t="s">
        <v>6</v>
      </c>
      <c r="E19" s="15" t="s">
        <v>299</v>
      </c>
      <c r="F19" s="10">
        <v>69749.645300000004</v>
      </c>
      <c r="G19" s="10">
        <v>0</v>
      </c>
      <c r="H19" s="16">
        <v>1.55E-6</v>
      </c>
    </row>
    <row r="20" spans="1:8" ht="15.75" customHeight="1">
      <c r="A20" s="14">
        <v>2019</v>
      </c>
      <c r="B20" s="14" t="s">
        <v>300</v>
      </c>
      <c r="C20" s="14" t="s">
        <v>301</v>
      </c>
      <c r="D20" s="14" t="s">
        <v>6</v>
      </c>
      <c r="E20" s="15" t="s">
        <v>302</v>
      </c>
      <c r="F20" s="10">
        <v>72577.319900000002</v>
      </c>
      <c r="G20" s="10">
        <v>0</v>
      </c>
      <c r="H20" s="16">
        <v>2.9799999999999999E-5</v>
      </c>
    </row>
    <row r="21" spans="1:8" ht="15.75" customHeight="1">
      <c r="A21" s="14">
        <v>2019</v>
      </c>
      <c r="B21" s="14" t="s">
        <v>303</v>
      </c>
      <c r="C21" s="14" t="s">
        <v>304</v>
      </c>
      <c r="D21" s="14" t="s">
        <v>6</v>
      </c>
      <c r="E21" s="15" t="s">
        <v>305</v>
      </c>
      <c r="F21" s="10">
        <v>20985.938399999999</v>
      </c>
      <c r="G21" s="10">
        <v>0</v>
      </c>
      <c r="H21" s="16">
        <v>0</v>
      </c>
    </row>
    <row r="22" spans="1:8" ht="15.75" customHeight="1">
      <c r="A22" s="14">
        <v>2019</v>
      </c>
      <c r="B22" s="14" t="s">
        <v>306</v>
      </c>
      <c r="C22" s="14" t="s">
        <v>307</v>
      </c>
      <c r="D22" s="14" t="s">
        <v>6</v>
      </c>
      <c r="E22" s="15" t="s">
        <v>308</v>
      </c>
      <c r="F22" s="10">
        <v>94385.608600000007</v>
      </c>
      <c r="G22" s="10">
        <v>0</v>
      </c>
      <c r="H22" s="16">
        <v>3.4400000000000001E-6</v>
      </c>
    </row>
    <row r="23" spans="1:8" ht="15.75" customHeight="1">
      <c r="A23" s="14">
        <v>2019</v>
      </c>
      <c r="B23" s="14" t="s">
        <v>309</v>
      </c>
      <c r="C23" s="14" t="s">
        <v>310</v>
      </c>
      <c r="D23" s="14" t="s">
        <v>6</v>
      </c>
      <c r="E23" s="15" t="s">
        <v>311</v>
      </c>
      <c r="F23" s="10">
        <v>107606.2727</v>
      </c>
      <c r="G23" s="10">
        <v>0</v>
      </c>
      <c r="H23" s="16">
        <v>5.0200000000000002E-6</v>
      </c>
    </row>
    <row r="24" spans="1:8" ht="15.75" customHeight="1">
      <c r="A24" s="14">
        <v>2019</v>
      </c>
      <c r="B24" s="14" t="s">
        <v>312</v>
      </c>
      <c r="C24" s="14" t="s">
        <v>313</v>
      </c>
      <c r="D24" s="14" t="s">
        <v>6</v>
      </c>
      <c r="E24" s="15" t="s">
        <v>314</v>
      </c>
      <c r="F24" s="10">
        <v>155915.5589</v>
      </c>
      <c r="G24" s="10">
        <v>0</v>
      </c>
      <c r="H24" s="16">
        <v>8.32E-6</v>
      </c>
    </row>
    <row r="25" spans="1:8" ht="15.75" customHeight="1">
      <c r="A25" s="14">
        <v>2019</v>
      </c>
      <c r="B25" s="14" t="s">
        <v>315</v>
      </c>
      <c r="C25" s="14" t="s">
        <v>316</v>
      </c>
      <c r="D25" s="14" t="s">
        <v>6</v>
      </c>
      <c r="E25" s="15" t="s">
        <v>317</v>
      </c>
      <c r="F25" s="10">
        <v>88046.356899999999</v>
      </c>
      <c r="G25" s="10">
        <v>0</v>
      </c>
      <c r="H25" s="16">
        <v>3.6799999999999999E-6</v>
      </c>
    </row>
    <row r="26" spans="1:8" ht="15.75" customHeight="1">
      <c r="A26" s="14">
        <v>2019</v>
      </c>
      <c r="B26" s="14" t="s">
        <v>318</v>
      </c>
      <c r="C26" s="14" t="s">
        <v>319</v>
      </c>
      <c r="D26" s="14" t="s">
        <v>6</v>
      </c>
      <c r="E26" s="15" t="s">
        <v>320</v>
      </c>
      <c r="F26" s="10">
        <v>46463.8609</v>
      </c>
      <c r="G26" s="10">
        <v>0</v>
      </c>
      <c r="H26" s="16">
        <v>3.4900000000000001E-5</v>
      </c>
    </row>
    <row r="27" spans="1:8" ht="15.75" customHeight="1">
      <c r="A27" s="14">
        <v>2019</v>
      </c>
      <c r="B27" s="14" t="s">
        <v>321</v>
      </c>
      <c r="C27" s="14" t="s">
        <v>322</v>
      </c>
      <c r="D27" s="14" t="s">
        <v>6</v>
      </c>
      <c r="E27" s="15" t="s">
        <v>323</v>
      </c>
      <c r="F27" s="10">
        <v>95817.9853</v>
      </c>
      <c r="G27" s="10">
        <v>0</v>
      </c>
      <c r="H27" s="16">
        <v>3.3799999999999998E-6</v>
      </c>
    </row>
    <row r="28" spans="1:8" ht="15.75" customHeight="1">
      <c r="A28" s="14">
        <v>2019</v>
      </c>
      <c r="B28" s="14" t="s">
        <v>324</v>
      </c>
      <c r="C28" s="14" t="s">
        <v>325</v>
      </c>
      <c r="D28" s="14" t="s">
        <v>6</v>
      </c>
      <c r="E28" s="15" t="s">
        <v>326</v>
      </c>
      <c r="F28" s="10">
        <v>16685.842100000002</v>
      </c>
      <c r="G28" s="10">
        <v>0</v>
      </c>
      <c r="H28" s="16">
        <v>1.9400000000000001E-5</v>
      </c>
    </row>
    <row r="29" spans="1:8" ht="15.75" customHeight="1">
      <c r="A29" s="14">
        <v>2019</v>
      </c>
      <c r="B29" s="14" t="s">
        <v>327</v>
      </c>
      <c r="C29" s="14" t="s">
        <v>328</v>
      </c>
      <c r="D29" s="14" t="s">
        <v>6</v>
      </c>
      <c r="E29" s="15" t="s">
        <v>329</v>
      </c>
      <c r="F29" s="10">
        <v>30200.122500000001</v>
      </c>
      <c r="G29" s="16">
        <v>1.0347600000000001E-7</v>
      </c>
      <c r="H29" s="16">
        <v>1E-4</v>
      </c>
    </row>
    <row r="30" spans="1:8" ht="15.75" customHeight="1">
      <c r="A30" s="14">
        <v>2019</v>
      </c>
      <c r="B30" s="14" t="s">
        <v>330</v>
      </c>
      <c r="C30" s="14" t="s">
        <v>331</v>
      </c>
      <c r="D30" s="14" t="s">
        <v>6</v>
      </c>
      <c r="E30" s="15" t="s">
        <v>332</v>
      </c>
      <c r="F30" s="10">
        <v>48087.625999999997</v>
      </c>
      <c r="G30" s="16">
        <v>6.4985499999999996E-8</v>
      </c>
      <c r="H30" s="16">
        <v>9.8900000000000005E-5</v>
      </c>
    </row>
    <row r="31" spans="1:8" ht="15.75" customHeight="1">
      <c r="A31" s="14">
        <v>2019</v>
      </c>
      <c r="B31" s="14" t="s">
        <v>333</v>
      </c>
      <c r="C31" s="14" t="s">
        <v>334</v>
      </c>
      <c r="D31" s="14" t="s">
        <v>6</v>
      </c>
      <c r="E31" s="15" t="s">
        <v>335</v>
      </c>
      <c r="F31" s="10">
        <v>21227.909899999999</v>
      </c>
      <c r="G31" s="10">
        <v>0</v>
      </c>
      <c r="H31" s="16">
        <v>0</v>
      </c>
    </row>
    <row r="32" spans="1:8" ht="15.75" customHeight="1">
      <c r="A32" s="14">
        <v>2019</v>
      </c>
      <c r="B32" s="14" t="s">
        <v>336</v>
      </c>
      <c r="C32" s="14" t="s">
        <v>337</v>
      </c>
      <c r="D32" s="14" t="s">
        <v>6</v>
      </c>
      <c r="E32" s="15" t="s">
        <v>338</v>
      </c>
      <c r="F32" s="10">
        <v>138669.41510000001</v>
      </c>
      <c r="G32" s="16">
        <v>6.7606799999999994E-8</v>
      </c>
      <c r="H32" s="16">
        <v>6.2400000000000004E-6</v>
      </c>
    </row>
    <row r="33" spans="1:8" ht="15.75" customHeight="1">
      <c r="A33" s="14">
        <v>2019</v>
      </c>
      <c r="B33" s="14" t="s">
        <v>339</v>
      </c>
      <c r="C33" s="14" t="s">
        <v>340</v>
      </c>
      <c r="D33" s="14" t="s">
        <v>6</v>
      </c>
      <c r="E33" s="15" t="s">
        <v>341</v>
      </c>
      <c r="F33" s="10">
        <v>32735.851299999998</v>
      </c>
      <c r="G33" s="10">
        <v>0</v>
      </c>
      <c r="H33" s="16">
        <v>1.3200000000000001E-4</v>
      </c>
    </row>
    <row r="34" spans="1:8" ht="15.75" customHeight="1">
      <c r="A34" s="14">
        <v>2019</v>
      </c>
      <c r="B34" s="14" t="s">
        <v>342</v>
      </c>
      <c r="C34" s="14" t="s">
        <v>343</v>
      </c>
      <c r="D34" s="14" t="s">
        <v>6</v>
      </c>
      <c r="E34" s="15" t="s">
        <v>344</v>
      </c>
      <c r="F34" s="10">
        <v>303710.45030000003</v>
      </c>
      <c r="G34" s="16">
        <v>3.08682E-8</v>
      </c>
      <c r="H34" s="16">
        <v>5.6999999999999996E-6</v>
      </c>
    </row>
    <row r="35" spans="1:8" ht="15.75" customHeight="1">
      <c r="A35" s="14">
        <v>2019</v>
      </c>
      <c r="B35" s="14" t="s">
        <v>345</v>
      </c>
      <c r="C35" s="14" t="s">
        <v>346</v>
      </c>
      <c r="D35" s="14" t="s">
        <v>6</v>
      </c>
      <c r="E35" s="15" t="s">
        <v>347</v>
      </c>
      <c r="F35" s="10">
        <v>163740.7524</v>
      </c>
      <c r="G35" s="10">
        <v>0</v>
      </c>
      <c r="H35" s="16">
        <v>6.6000000000000003E-7</v>
      </c>
    </row>
    <row r="36" spans="1:8" ht="15.75" customHeight="1">
      <c r="A36" s="14">
        <v>2019</v>
      </c>
      <c r="B36" s="14" t="s">
        <v>348</v>
      </c>
      <c r="C36" s="14" t="s">
        <v>349</v>
      </c>
      <c r="D36" s="14" t="s">
        <v>6</v>
      </c>
      <c r="E36" s="15" t="s">
        <v>350</v>
      </c>
      <c r="F36" s="10">
        <v>11897.369000000001</v>
      </c>
      <c r="G36" s="10">
        <v>0</v>
      </c>
      <c r="H36" s="16">
        <v>8.1799999999999996E-5</v>
      </c>
    </row>
    <row r="37" spans="1:8" ht="15.75" customHeight="1">
      <c r="A37" s="14">
        <v>2019</v>
      </c>
      <c r="B37" s="14" t="s">
        <v>351</v>
      </c>
      <c r="C37" s="14" t="s">
        <v>352</v>
      </c>
      <c r="D37" s="14" t="s">
        <v>6</v>
      </c>
      <c r="E37" s="15" t="s">
        <v>353</v>
      </c>
      <c r="F37" s="10">
        <v>182491.1041</v>
      </c>
      <c r="G37" s="10">
        <v>0</v>
      </c>
      <c r="H37" s="16">
        <v>1.7799999999999999E-6</v>
      </c>
    </row>
    <row r="38" spans="1:8" ht="15.75" customHeight="1">
      <c r="A38" s="14">
        <v>2019</v>
      </c>
      <c r="B38" s="14" t="s">
        <v>354</v>
      </c>
      <c r="C38" s="14" t="s">
        <v>355</v>
      </c>
      <c r="D38" s="14" t="s">
        <v>6</v>
      </c>
      <c r="E38" s="15" t="s">
        <v>356</v>
      </c>
      <c r="F38" s="10">
        <v>61776.527399999999</v>
      </c>
      <c r="G38" s="10">
        <v>0</v>
      </c>
      <c r="H38" s="16">
        <v>1.2300000000000001E-5</v>
      </c>
    </row>
    <row r="39" spans="1:8" ht="15.75" customHeight="1">
      <c r="A39" s="14">
        <v>2019</v>
      </c>
      <c r="B39" s="14" t="s">
        <v>357</v>
      </c>
      <c r="C39" s="14" t="s">
        <v>358</v>
      </c>
      <c r="D39" s="14" t="s">
        <v>6</v>
      </c>
      <c r="E39" s="15" t="s">
        <v>359</v>
      </c>
      <c r="F39" s="10">
        <v>65847.625700000004</v>
      </c>
      <c r="G39" s="16">
        <v>4.7458099999999999E-8</v>
      </c>
      <c r="H39" s="16">
        <v>1.4800000000000001E-5</v>
      </c>
    </row>
    <row r="40" spans="1:8" ht="15">
      <c r="A40" s="14">
        <v>2019</v>
      </c>
      <c r="B40" s="14" t="s">
        <v>360</v>
      </c>
      <c r="C40" s="14" t="s">
        <v>361</v>
      </c>
      <c r="D40" s="14" t="s">
        <v>6</v>
      </c>
      <c r="E40" s="15" t="s">
        <v>362</v>
      </c>
      <c r="F40" s="10">
        <v>199865.61040000001</v>
      </c>
      <c r="G40" s="10">
        <v>0</v>
      </c>
      <c r="H40" s="16">
        <v>3.7900000000000001E-6</v>
      </c>
    </row>
    <row r="41" spans="1:8" ht="15">
      <c r="A41" s="14">
        <v>2019</v>
      </c>
      <c r="B41" s="14" t="s">
        <v>363</v>
      </c>
      <c r="C41" s="14" t="s">
        <v>364</v>
      </c>
      <c r="D41" s="14" t="s">
        <v>6</v>
      </c>
      <c r="E41" s="15" t="s">
        <v>365</v>
      </c>
      <c r="F41" s="10">
        <v>16538.823199999999</v>
      </c>
      <c r="G41" s="10">
        <v>0</v>
      </c>
      <c r="H41" s="16">
        <v>0</v>
      </c>
    </row>
    <row r="42" spans="1:8" ht="15">
      <c r="A42" s="14">
        <v>2019</v>
      </c>
      <c r="B42" s="14" t="s">
        <v>366</v>
      </c>
      <c r="C42" s="14" t="s">
        <v>367</v>
      </c>
      <c r="D42" s="14" t="s">
        <v>6</v>
      </c>
      <c r="E42" s="15" t="s">
        <v>368</v>
      </c>
      <c r="F42" s="10">
        <v>80382.108300000007</v>
      </c>
      <c r="G42" s="10">
        <v>0</v>
      </c>
      <c r="H42" s="16">
        <v>1.3400000000000001E-6</v>
      </c>
    </row>
    <row r="43" spans="1:8" ht="15">
      <c r="A43" s="14">
        <v>2019</v>
      </c>
      <c r="B43" s="14" t="s">
        <v>369</v>
      </c>
      <c r="C43" s="14" t="s">
        <v>370</v>
      </c>
      <c r="D43" s="14" t="s">
        <v>6</v>
      </c>
      <c r="E43" s="15" t="s">
        <v>371</v>
      </c>
      <c r="F43" s="10">
        <v>13811.362499999999</v>
      </c>
      <c r="G43" s="10">
        <v>0</v>
      </c>
      <c r="H43" s="16">
        <v>8.6100000000000006E-5</v>
      </c>
    </row>
    <row r="44" spans="1:8" ht="15">
      <c r="A44" s="14">
        <v>2019</v>
      </c>
      <c r="B44" s="14" t="s">
        <v>372</v>
      </c>
      <c r="C44" s="14" t="s">
        <v>373</v>
      </c>
      <c r="D44" s="14" t="s">
        <v>6</v>
      </c>
      <c r="E44" s="15" t="s">
        <v>374</v>
      </c>
      <c r="F44" s="10">
        <v>106617.5756</v>
      </c>
      <c r="G44" s="10">
        <v>0</v>
      </c>
      <c r="H44" s="16">
        <v>3.0400000000000001E-6</v>
      </c>
    </row>
    <row r="45" spans="1:8" ht="15">
      <c r="A45" s="14">
        <v>2019</v>
      </c>
      <c r="B45" s="14" t="s">
        <v>375</v>
      </c>
      <c r="C45" s="14" t="s">
        <v>376</v>
      </c>
      <c r="D45" s="14" t="s">
        <v>6</v>
      </c>
      <c r="E45" s="15" t="s">
        <v>377</v>
      </c>
      <c r="F45" s="10">
        <v>452685.86440000002</v>
      </c>
      <c r="G45" s="16">
        <v>1.38065E-8</v>
      </c>
      <c r="H45" s="16">
        <v>7.1600000000000001E-6</v>
      </c>
    </row>
    <row r="46" spans="1:8" ht="15">
      <c r="A46" s="14">
        <v>2019</v>
      </c>
      <c r="B46" s="14" t="s">
        <v>378</v>
      </c>
      <c r="C46" s="14" t="s">
        <v>379</v>
      </c>
      <c r="D46" s="14" t="s">
        <v>6</v>
      </c>
      <c r="E46" s="15" t="s">
        <v>380</v>
      </c>
      <c r="F46" s="10">
        <v>50051.656199999998</v>
      </c>
      <c r="G46" s="16">
        <v>6.2435500000000003E-8</v>
      </c>
      <c r="H46" s="16">
        <v>4.5399999999999999E-5</v>
      </c>
    </row>
    <row r="47" spans="1:8" ht="15">
      <c r="A47" s="14">
        <v>2019</v>
      </c>
      <c r="B47" s="14" t="s">
        <v>381</v>
      </c>
      <c r="C47" s="14" t="s">
        <v>382</v>
      </c>
      <c r="D47" s="14" t="s">
        <v>6</v>
      </c>
      <c r="E47" s="15" t="s">
        <v>383</v>
      </c>
      <c r="F47" s="10">
        <v>9741.7630000000008</v>
      </c>
      <c r="G47" s="10">
        <v>0</v>
      </c>
      <c r="H47" s="16">
        <v>0</v>
      </c>
    </row>
    <row r="48" spans="1:8" ht="15">
      <c r="A48" s="14">
        <v>2019</v>
      </c>
      <c r="B48" s="14" t="s">
        <v>384</v>
      </c>
      <c r="C48" s="14" t="s">
        <v>385</v>
      </c>
      <c r="D48" s="14" t="s">
        <v>6</v>
      </c>
      <c r="E48" s="15" t="s">
        <v>386</v>
      </c>
      <c r="F48" s="10">
        <v>133257.16149999999</v>
      </c>
      <c r="G48" s="16">
        <v>2.3450900000000001E-8</v>
      </c>
      <c r="H48" s="16">
        <v>4.87E-6</v>
      </c>
    </row>
    <row r="49" spans="1:8" ht="15">
      <c r="A49" s="14">
        <v>2019</v>
      </c>
      <c r="B49" s="14" t="s">
        <v>387</v>
      </c>
      <c r="C49" s="14" t="s">
        <v>388</v>
      </c>
      <c r="D49" s="14" t="s">
        <v>6</v>
      </c>
      <c r="E49" s="15" t="s">
        <v>389</v>
      </c>
      <c r="F49" s="10">
        <v>118884.2794</v>
      </c>
      <c r="G49" s="10">
        <v>0</v>
      </c>
      <c r="H49" s="16">
        <v>4.5499999999999996E-6</v>
      </c>
    </row>
    <row r="50" spans="1:8" ht="15">
      <c r="A50" s="14">
        <v>2019</v>
      </c>
      <c r="B50" s="14" t="s">
        <v>390</v>
      </c>
      <c r="C50" s="14" t="s">
        <v>391</v>
      </c>
      <c r="D50" s="14" t="s">
        <v>6</v>
      </c>
      <c r="E50" s="15" t="s">
        <v>392</v>
      </c>
      <c r="F50" s="10">
        <v>27979.133099999999</v>
      </c>
      <c r="G50" s="10">
        <v>0</v>
      </c>
      <c r="H50" s="16">
        <v>0</v>
      </c>
    </row>
    <row r="51" spans="1:8" ht="15">
      <c r="A51" s="14">
        <v>2019</v>
      </c>
      <c r="B51" s="14" t="s">
        <v>393</v>
      </c>
      <c r="C51" s="14" t="s">
        <v>394</v>
      </c>
      <c r="D51" s="14" t="s">
        <v>6</v>
      </c>
      <c r="E51" s="15" t="s">
        <v>395</v>
      </c>
      <c r="F51" s="10">
        <v>90900.275399999999</v>
      </c>
      <c r="G51" s="10">
        <v>0</v>
      </c>
      <c r="H51" s="16">
        <v>2.3800000000000001E-6</v>
      </c>
    </row>
    <row r="52" spans="1:8" ht="15">
      <c r="A52" s="14">
        <v>2019</v>
      </c>
      <c r="B52" s="14" t="s">
        <v>396</v>
      </c>
      <c r="C52" s="14" t="s">
        <v>397</v>
      </c>
      <c r="D52" s="14" t="s">
        <v>6</v>
      </c>
      <c r="E52" s="15" t="s">
        <v>398</v>
      </c>
      <c r="F52" s="10">
        <v>9035.6288000000004</v>
      </c>
      <c r="G52" s="10">
        <v>0</v>
      </c>
      <c r="H52" s="16">
        <v>3.5899999999999998E-5</v>
      </c>
    </row>
    <row r="53" spans="1:8" ht="15">
      <c r="A53" s="14">
        <v>2019</v>
      </c>
      <c r="B53" s="14" t="s">
        <v>399</v>
      </c>
      <c r="C53" s="14" t="s">
        <v>400</v>
      </c>
      <c r="D53" s="14" t="s">
        <v>6</v>
      </c>
      <c r="E53" s="15" t="s">
        <v>401</v>
      </c>
      <c r="F53" s="10">
        <v>39023</v>
      </c>
      <c r="G53" s="16">
        <v>8.7497000000000003E-6</v>
      </c>
      <c r="H53" s="16">
        <v>0</v>
      </c>
    </row>
    <row r="54" spans="1:8" ht="15">
      <c r="A54" s="14">
        <v>2019</v>
      </c>
      <c r="B54" s="14" t="s">
        <v>246</v>
      </c>
      <c r="C54" s="14" t="s">
        <v>247</v>
      </c>
      <c r="D54" s="14" t="s">
        <v>5</v>
      </c>
      <c r="E54" s="15" t="s">
        <v>402</v>
      </c>
      <c r="F54" s="10">
        <v>76548.891199999998</v>
      </c>
      <c r="G54" s="10">
        <v>0</v>
      </c>
      <c r="H54" s="16">
        <v>6.1200000000000005E-8</v>
      </c>
    </row>
    <row r="55" spans="1:8" ht="15">
      <c r="A55" s="14">
        <v>2019</v>
      </c>
      <c r="B55" s="14" t="s">
        <v>249</v>
      </c>
      <c r="C55" s="14" t="s">
        <v>250</v>
      </c>
      <c r="D55" s="14" t="s">
        <v>5</v>
      </c>
      <c r="E55" s="15" t="s">
        <v>403</v>
      </c>
      <c r="F55" s="10">
        <v>11420.935299999999</v>
      </c>
      <c r="G55" s="10">
        <v>0</v>
      </c>
      <c r="H55" s="16">
        <v>8.2100000000000001E-8</v>
      </c>
    </row>
    <row r="56" spans="1:8" ht="15">
      <c r="A56" s="14">
        <v>2019</v>
      </c>
      <c r="B56" s="14" t="s">
        <v>252</v>
      </c>
      <c r="C56" s="14" t="s">
        <v>253</v>
      </c>
      <c r="D56" s="14" t="s">
        <v>5</v>
      </c>
      <c r="E56" s="15" t="s">
        <v>404</v>
      </c>
      <c r="F56" s="10">
        <v>113635.8746</v>
      </c>
      <c r="G56" s="10">
        <v>0</v>
      </c>
      <c r="H56" s="16">
        <v>1.44E-6</v>
      </c>
    </row>
    <row r="57" spans="1:8" ht="15">
      <c r="A57" s="14">
        <v>2019</v>
      </c>
      <c r="B57" s="14" t="s">
        <v>255</v>
      </c>
      <c r="C57" s="14" t="s">
        <v>256</v>
      </c>
      <c r="D57" s="14" t="s">
        <v>5</v>
      </c>
      <c r="E57" s="15" t="s">
        <v>405</v>
      </c>
      <c r="F57" s="10">
        <v>47114.181900000003</v>
      </c>
      <c r="G57" s="10">
        <v>0</v>
      </c>
      <c r="H57" s="16">
        <v>1.79E-7</v>
      </c>
    </row>
    <row r="58" spans="1:8" ht="15">
      <c r="A58" s="14">
        <v>2019</v>
      </c>
      <c r="B58" s="14" t="s">
        <v>258</v>
      </c>
      <c r="C58" s="14" t="s">
        <v>259</v>
      </c>
      <c r="D58" s="14" t="s">
        <v>5</v>
      </c>
      <c r="E58" s="15" t="s">
        <v>406</v>
      </c>
      <c r="F58" s="10">
        <v>616867.78269999998</v>
      </c>
      <c r="G58" s="16">
        <v>2.0263699999999999E-8</v>
      </c>
      <c r="H58" s="16">
        <v>3.2500000000000001E-7</v>
      </c>
    </row>
    <row r="59" spans="1:8" ht="15">
      <c r="A59" s="14">
        <v>2019</v>
      </c>
      <c r="B59" s="14" t="s">
        <v>261</v>
      </c>
      <c r="C59" s="14" t="s">
        <v>262</v>
      </c>
      <c r="D59" s="14" t="s">
        <v>5</v>
      </c>
      <c r="E59" s="15" t="s">
        <v>407</v>
      </c>
      <c r="F59" s="10">
        <v>89905.8174</v>
      </c>
      <c r="G59" s="10">
        <v>0</v>
      </c>
      <c r="H59" s="16">
        <v>1.26E-6</v>
      </c>
    </row>
    <row r="60" spans="1:8" ht="15">
      <c r="A60" s="14">
        <v>2019</v>
      </c>
      <c r="B60" s="14" t="s">
        <v>264</v>
      </c>
      <c r="C60" s="14" t="s">
        <v>265</v>
      </c>
      <c r="D60" s="14" t="s">
        <v>5</v>
      </c>
      <c r="E60" s="15" t="s">
        <v>408</v>
      </c>
      <c r="F60" s="10">
        <v>55661.527499999997</v>
      </c>
      <c r="G60" s="10">
        <v>0</v>
      </c>
      <c r="H60" s="16">
        <v>1.6800000000000002E-8</v>
      </c>
    </row>
    <row r="61" spans="1:8" ht="15">
      <c r="A61" s="14">
        <v>2019</v>
      </c>
      <c r="B61" s="14" t="s">
        <v>267</v>
      </c>
      <c r="C61" s="14" t="s">
        <v>268</v>
      </c>
      <c r="D61" s="14" t="s">
        <v>5</v>
      </c>
      <c r="E61" s="15" t="s">
        <v>409</v>
      </c>
      <c r="F61" s="10">
        <v>15202.4764</v>
      </c>
      <c r="G61" s="10">
        <v>0</v>
      </c>
      <c r="H61" s="16">
        <v>0</v>
      </c>
    </row>
    <row r="62" spans="1:8" ht="15">
      <c r="A62" s="14">
        <v>2019</v>
      </c>
      <c r="B62" s="14" t="s">
        <v>270</v>
      </c>
      <c r="C62" s="14" t="s">
        <v>271</v>
      </c>
      <c r="D62" s="14" t="s">
        <v>5</v>
      </c>
      <c r="E62" s="15" t="s">
        <v>410</v>
      </c>
      <c r="F62" s="10">
        <v>11018.206200000001</v>
      </c>
      <c r="G62" s="10">
        <v>0</v>
      </c>
      <c r="H62" s="16">
        <v>5.9599999999999999E-7</v>
      </c>
    </row>
    <row r="63" spans="1:8" ht="15">
      <c r="A63" s="14">
        <v>2019</v>
      </c>
      <c r="B63" s="14" t="s">
        <v>273</v>
      </c>
      <c r="C63" s="14" t="s">
        <v>274</v>
      </c>
      <c r="D63" s="14" t="s">
        <v>5</v>
      </c>
      <c r="E63" s="15" t="s">
        <v>411</v>
      </c>
      <c r="F63" s="10">
        <v>335312.03749999998</v>
      </c>
      <c r="G63" s="10">
        <v>0</v>
      </c>
      <c r="H63" s="16">
        <v>5.5899999999999999E-9</v>
      </c>
    </row>
    <row r="64" spans="1:8" ht="15">
      <c r="A64" s="14">
        <v>2019</v>
      </c>
      <c r="B64" s="14" t="s">
        <v>276</v>
      </c>
      <c r="C64" s="14" t="s">
        <v>277</v>
      </c>
      <c r="D64" s="14" t="s">
        <v>5</v>
      </c>
      <c r="E64" s="15" t="s">
        <v>412</v>
      </c>
      <c r="F64" s="10">
        <v>165760.0025</v>
      </c>
      <c r="G64" s="16">
        <v>3.7705099999999998E-8</v>
      </c>
      <c r="H64" s="16">
        <v>7.9199999999999995E-8</v>
      </c>
    </row>
    <row r="65" spans="1:8" ht="15">
      <c r="A65" s="14">
        <v>2019</v>
      </c>
      <c r="B65" s="14" t="s">
        <v>279</v>
      </c>
      <c r="C65" s="14" t="s">
        <v>280</v>
      </c>
      <c r="D65" s="14" t="s">
        <v>5</v>
      </c>
      <c r="E65" s="15" t="s">
        <v>413</v>
      </c>
      <c r="F65" s="10">
        <v>22104.6996</v>
      </c>
      <c r="G65" s="10">
        <v>0</v>
      </c>
      <c r="H65" s="16">
        <v>0</v>
      </c>
    </row>
    <row r="66" spans="1:8" ht="15">
      <c r="A66" s="14">
        <v>2019</v>
      </c>
      <c r="B66" s="14" t="s">
        <v>282</v>
      </c>
      <c r="C66" s="14" t="s">
        <v>283</v>
      </c>
      <c r="D66" s="14" t="s">
        <v>5</v>
      </c>
      <c r="E66" s="15" t="s">
        <v>414</v>
      </c>
      <c r="F66" s="10">
        <v>27899.7925</v>
      </c>
      <c r="G66" s="16">
        <v>1.1200800000000001E-7</v>
      </c>
      <c r="H66" s="16">
        <v>3.7E-7</v>
      </c>
    </row>
    <row r="67" spans="1:8" ht="15">
      <c r="A67" s="14">
        <v>2019</v>
      </c>
      <c r="B67" s="14" t="s">
        <v>285</v>
      </c>
      <c r="C67" s="14" t="s">
        <v>286</v>
      </c>
      <c r="D67" s="14" t="s">
        <v>5</v>
      </c>
      <c r="E67" s="15" t="s">
        <v>415</v>
      </c>
      <c r="F67" s="10">
        <v>197833.4179</v>
      </c>
      <c r="G67" s="10">
        <v>0</v>
      </c>
      <c r="H67" s="16">
        <v>1.14E-7</v>
      </c>
    </row>
    <row r="68" spans="1:8" ht="15">
      <c r="A68" s="14">
        <v>2019</v>
      </c>
      <c r="B68" s="14" t="s">
        <v>288</v>
      </c>
      <c r="C68" s="14" t="s">
        <v>289</v>
      </c>
      <c r="D68" s="14" t="s">
        <v>5</v>
      </c>
      <c r="E68" s="15" t="s">
        <v>416</v>
      </c>
      <c r="F68" s="10">
        <v>105103.9069</v>
      </c>
      <c r="G68" s="10">
        <v>0</v>
      </c>
      <c r="H68" s="16">
        <v>3.5700000000000002E-8</v>
      </c>
    </row>
    <row r="69" spans="1:8" ht="15">
      <c r="A69" s="14">
        <v>2019</v>
      </c>
      <c r="B69" s="14" t="s">
        <v>291</v>
      </c>
      <c r="C69" s="14" t="s">
        <v>292</v>
      </c>
      <c r="D69" s="14" t="s">
        <v>5</v>
      </c>
      <c r="E69" s="15" t="s">
        <v>417</v>
      </c>
      <c r="F69" s="10">
        <v>49257.188999999998</v>
      </c>
      <c r="G69" s="10">
        <v>0</v>
      </c>
      <c r="H69" s="16">
        <v>9.5200000000000005E-8</v>
      </c>
    </row>
    <row r="70" spans="1:8" ht="15">
      <c r="A70" s="14">
        <v>2019</v>
      </c>
      <c r="B70" s="14" t="s">
        <v>294</v>
      </c>
      <c r="C70" s="14" t="s">
        <v>295</v>
      </c>
      <c r="D70" s="14" t="s">
        <v>5</v>
      </c>
      <c r="E70" s="15" t="s">
        <v>418</v>
      </c>
      <c r="F70" s="10">
        <v>45482.876199999999</v>
      </c>
      <c r="G70" s="10">
        <v>0</v>
      </c>
      <c r="H70" s="16">
        <v>1.24E-7</v>
      </c>
    </row>
    <row r="71" spans="1:8" ht="15">
      <c r="A71" s="14">
        <v>2019</v>
      </c>
      <c r="B71" s="14" t="s">
        <v>297</v>
      </c>
      <c r="C71" s="14" t="s">
        <v>298</v>
      </c>
      <c r="D71" s="14" t="s">
        <v>5</v>
      </c>
      <c r="E71" s="15" t="s">
        <v>419</v>
      </c>
      <c r="F71" s="10">
        <v>69749.645300000004</v>
      </c>
      <c r="G71" s="10">
        <v>0</v>
      </c>
      <c r="H71" s="16">
        <v>1.3399999999999999E-8</v>
      </c>
    </row>
    <row r="72" spans="1:8" ht="15">
      <c r="A72" s="14">
        <v>2019</v>
      </c>
      <c r="B72" s="14" t="s">
        <v>300</v>
      </c>
      <c r="C72" s="14" t="s">
        <v>301</v>
      </c>
      <c r="D72" s="14" t="s">
        <v>5</v>
      </c>
      <c r="E72" s="15" t="s">
        <v>420</v>
      </c>
      <c r="F72" s="10">
        <v>72577.319900000002</v>
      </c>
      <c r="G72" s="10">
        <v>0</v>
      </c>
      <c r="H72" s="16">
        <v>2.5800000000000001E-7</v>
      </c>
    </row>
    <row r="73" spans="1:8" ht="15">
      <c r="A73" s="14">
        <v>2019</v>
      </c>
      <c r="B73" s="14" t="s">
        <v>303</v>
      </c>
      <c r="C73" s="14" t="s">
        <v>304</v>
      </c>
      <c r="D73" s="14" t="s">
        <v>5</v>
      </c>
      <c r="E73" s="15" t="s">
        <v>421</v>
      </c>
      <c r="F73" s="10">
        <v>20985.938399999999</v>
      </c>
      <c r="G73" s="10">
        <v>0</v>
      </c>
      <c r="H73" s="16">
        <v>0</v>
      </c>
    </row>
    <row r="74" spans="1:8" ht="15">
      <c r="A74" s="14">
        <v>2019</v>
      </c>
      <c r="B74" s="14" t="s">
        <v>306</v>
      </c>
      <c r="C74" s="14" t="s">
        <v>307</v>
      </c>
      <c r="D74" s="14" t="s">
        <v>5</v>
      </c>
      <c r="E74" s="15" t="s">
        <v>422</v>
      </c>
      <c r="F74" s="10">
        <v>94385.608600000007</v>
      </c>
      <c r="G74" s="10">
        <v>0</v>
      </c>
      <c r="H74" s="16">
        <v>2.9799999999999999E-8</v>
      </c>
    </row>
    <row r="75" spans="1:8" ht="15">
      <c r="A75" s="14">
        <v>2019</v>
      </c>
      <c r="B75" s="14" t="s">
        <v>309</v>
      </c>
      <c r="C75" s="14" t="s">
        <v>310</v>
      </c>
      <c r="D75" s="14" t="s">
        <v>5</v>
      </c>
      <c r="E75" s="15" t="s">
        <v>423</v>
      </c>
      <c r="F75" s="10">
        <v>107606.2727</v>
      </c>
      <c r="G75" s="10">
        <v>0</v>
      </c>
      <c r="H75" s="16">
        <v>4.36E-8</v>
      </c>
    </row>
    <row r="76" spans="1:8" ht="15">
      <c r="A76" s="14">
        <v>2019</v>
      </c>
      <c r="B76" s="14" t="s">
        <v>312</v>
      </c>
      <c r="C76" s="14" t="s">
        <v>313</v>
      </c>
      <c r="D76" s="14" t="s">
        <v>5</v>
      </c>
      <c r="E76" s="15" t="s">
        <v>424</v>
      </c>
      <c r="F76" s="10">
        <v>155915.5589</v>
      </c>
      <c r="G76" s="10">
        <v>0</v>
      </c>
      <c r="H76" s="16">
        <v>7.2199999999999998E-8</v>
      </c>
    </row>
    <row r="77" spans="1:8" ht="15">
      <c r="A77" s="14">
        <v>2019</v>
      </c>
      <c r="B77" s="14" t="s">
        <v>315</v>
      </c>
      <c r="C77" s="14" t="s">
        <v>316</v>
      </c>
      <c r="D77" s="14" t="s">
        <v>5</v>
      </c>
      <c r="E77" s="15" t="s">
        <v>425</v>
      </c>
      <c r="F77" s="10">
        <v>88046.356899999999</v>
      </c>
      <c r="G77" s="10">
        <v>0</v>
      </c>
      <c r="H77" s="16">
        <v>3.1900000000000001E-8</v>
      </c>
    </row>
    <row r="78" spans="1:8" ht="15">
      <c r="A78" s="14">
        <v>2019</v>
      </c>
      <c r="B78" s="14" t="s">
        <v>318</v>
      </c>
      <c r="C78" s="14" t="s">
        <v>319</v>
      </c>
      <c r="D78" s="14" t="s">
        <v>5</v>
      </c>
      <c r="E78" s="15" t="s">
        <v>426</v>
      </c>
      <c r="F78" s="10">
        <v>46463.8609</v>
      </c>
      <c r="G78" s="10">
        <v>0</v>
      </c>
      <c r="H78" s="16">
        <v>3.03E-7</v>
      </c>
    </row>
    <row r="79" spans="1:8" ht="15">
      <c r="A79" s="14">
        <v>2019</v>
      </c>
      <c r="B79" s="14" t="s">
        <v>321</v>
      </c>
      <c r="C79" s="14" t="s">
        <v>322</v>
      </c>
      <c r="D79" s="14" t="s">
        <v>5</v>
      </c>
      <c r="E79" s="15" t="s">
        <v>427</v>
      </c>
      <c r="F79" s="10">
        <v>95817.9853</v>
      </c>
      <c r="G79" s="10">
        <v>0</v>
      </c>
      <c r="H79" s="16">
        <v>2.9399999999999999E-8</v>
      </c>
    </row>
    <row r="80" spans="1:8" ht="15">
      <c r="A80" s="14">
        <v>2019</v>
      </c>
      <c r="B80" s="14" t="s">
        <v>324</v>
      </c>
      <c r="C80" s="14" t="s">
        <v>325</v>
      </c>
      <c r="D80" s="14" t="s">
        <v>5</v>
      </c>
      <c r="E80" s="15" t="s">
        <v>428</v>
      </c>
      <c r="F80" s="10">
        <v>16685.842100000002</v>
      </c>
      <c r="G80" s="10">
        <v>0</v>
      </c>
      <c r="H80" s="16">
        <v>1.6899999999999999E-7</v>
      </c>
    </row>
    <row r="81" spans="1:8" ht="15">
      <c r="A81" s="14">
        <v>2019</v>
      </c>
      <c r="B81" s="14" t="s">
        <v>327</v>
      </c>
      <c r="C81" s="14" t="s">
        <v>328</v>
      </c>
      <c r="D81" s="14" t="s">
        <v>5</v>
      </c>
      <c r="E81" s="15" t="s">
        <v>429</v>
      </c>
      <c r="F81" s="10">
        <v>30200.122500000001</v>
      </c>
      <c r="G81" s="16">
        <v>1.0347600000000001E-7</v>
      </c>
      <c r="H81" s="16">
        <v>8.6899999999999996E-7</v>
      </c>
    </row>
    <row r="82" spans="1:8" ht="15">
      <c r="A82" s="14">
        <v>2019</v>
      </c>
      <c r="B82" s="14" t="s">
        <v>330</v>
      </c>
      <c r="C82" s="14" t="s">
        <v>331</v>
      </c>
      <c r="D82" s="14" t="s">
        <v>5</v>
      </c>
      <c r="E82" s="15" t="s">
        <v>430</v>
      </c>
      <c r="F82" s="10">
        <v>48087.625999999997</v>
      </c>
      <c r="G82" s="16">
        <v>6.4985499999999996E-8</v>
      </c>
      <c r="H82" s="16">
        <v>8.5799999999999998E-7</v>
      </c>
    </row>
    <row r="83" spans="1:8" ht="15">
      <c r="A83" s="14">
        <v>2019</v>
      </c>
      <c r="B83" s="14" t="s">
        <v>333</v>
      </c>
      <c r="C83" s="14" t="s">
        <v>334</v>
      </c>
      <c r="D83" s="14" t="s">
        <v>5</v>
      </c>
      <c r="E83" s="15" t="s">
        <v>431</v>
      </c>
      <c r="F83" s="10">
        <v>21227.909899999999</v>
      </c>
      <c r="G83" s="10">
        <v>0</v>
      </c>
      <c r="H83" s="16">
        <v>0</v>
      </c>
    </row>
    <row r="84" spans="1:8" ht="15">
      <c r="A84" s="14">
        <v>2019</v>
      </c>
      <c r="B84" s="14" t="s">
        <v>336</v>
      </c>
      <c r="C84" s="14" t="s">
        <v>337</v>
      </c>
      <c r="D84" s="14" t="s">
        <v>5</v>
      </c>
      <c r="E84" s="15" t="s">
        <v>432</v>
      </c>
      <c r="F84" s="10">
        <v>138669.41510000001</v>
      </c>
      <c r="G84" s="16">
        <v>6.7606799999999994E-8</v>
      </c>
      <c r="H84" s="16">
        <v>5.4100000000000001E-8</v>
      </c>
    </row>
    <row r="85" spans="1:8" ht="15">
      <c r="A85" s="14">
        <v>2019</v>
      </c>
      <c r="B85" s="14" t="s">
        <v>339</v>
      </c>
      <c r="C85" s="14" t="s">
        <v>340</v>
      </c>
      <c r="D85" s="14" t="s">
        <v>5</v>
      </c>
      <c r="E85" s="15" t="s">
        <v>433</v>
      </c>
      <c r="F85" s="10">
        <v>32735.851299999998</v>
      </c>
      <c r="G85" s="10">
        <v>0</v>
      </c>
      <c r="H85" s="16">
        <v>1.15E-6</v>
      </c>
    </row>
    <row r="86" spans="1:8" ht="15">
      <c r="A86" s="14">
        <v>2019</v>
      </c>
      <c r="B86" s="14" t="s">
        <v>342</v>
      </c>
      <c r="C86" s="14" t="s">
        <v>343</v>
      </c>
      <c r="D86" s="14" t="s">
        <v>5</v>
      </c>
      <c r="E86" s="15" t="s">
        <v>434</v>
      </c>
      <c r="F86" s="10">
        <v>303710.45030000003</v>
      </c>
      <c r="G86" s="16">
        <v>3.08682E-8</v>
      </c>
      <c r="H86" s="16">
        <v>4.9399999999999999E-8</v>
      </c>
    </row>
    <row r="87" spans="1:8" ht="15">
      <c r="A87" s="14">
        <v>2019</v>
      </c>
      <c r="B87" s="14" t="s">
        <v>345</v>
      </c>
      <c r="C87" s="14" t="s">
        <v>346</v>
      </c>
      <c r="D87" s="14" t="s">
        <v>5</v>
      </c>
      <c r="E87" s="15" t="s">
        <v>435</v>
      </c>
      <c r="F87" s="10">
        <v>163740.7524</v>
      </c>
      <c r="G87" s="10">
        <v>0</v>
      </c>
      <c r="H87" s="16">
        <v>5.7299999999999999E-9</v>
      </c>
    </row>
    <row r="88" spans="1:8" ht="15">
      <c r="A88" s="14">
        <v>2019</v>
      </c>
      <c r="B88" s="14" t="s">
        <v>348</v>
      </c>
      <c r="C88" s="14" t="s">
        <v>349</v>
      </c>
      <c r="D88" s="14" t="s">
        <v>5</v>
      </c>
      <c r="E88" s="15" t="s">
        <v>436</v>
      </c>
      <c r="F88" s="10">
        <v>11897.369000000001</v>
      </c>
      <c r="G88" s="10">
        <v>0</v>
      </c>
      <c r="H88" s="16">
        <v>7.0900000000000001E-7</v>
      </c>
    </row>
    <row r="89" spans="1:8" ht="15">
      <c r="A89" s="14">
        <v>2019</v>
      </c>
      <c r="B89" s="14" t="s">
        <v>351</v>
      </c>
      <c r="C89" s="14" t="s">
        <v>352</v>
      </c>
      <c r="D89" s="14" t="s">
        <v>5</v>
      </c>
      <c r="E89" s="15" t="s">
        <v>437</v>
      </c>
      <c r="F89" s="10">
        <v>182491.1041</v>
      </c>
      <c r="G89" s="10">
        <v>0</v>
      </c>
      <c r="H89" s="16">
        <v>1.5399999999999999E-8</v>
      </c>
    </row>
    <row r="90" spans="1:8" ht="15">
      <c r="A90" s="14">
        <v>2019</v>
      </c>
      <c r="B90" s="14" t="s">
        <v>354</v>
      </c>
      <c r="C90" s="14" t="s">
        <v>355</v>
      </c>
      <c r="D90" s="14" t="s">
        <v>5</v>
      </c>
      <c r="E90" s="15" t="s">
        <v>438</v>
      </c>
      <c r="F90" s="10">
        <v>61776.527399999999</v>
      </c>
      <c r="G90" s="10">
        <v>0</v>
      </c>
      <c r="H90" s="16">
        <v>1.06E-7</v>
      </c>
    </row>
    <row r="91" spans="1:8" ht="15">
      <c r="A91" s="14">
        <v>2019</v>
      </c>
      <c r="B91" s="14" t="s">
        <v>357</v>
      </c>
      <c r="C91" s="14" t="s">
        <v>358</v>
      </c>
      <c r="D91" s="14" t="s">
        <v>5</v>
      </c>
      <c r="E91" s="15" t="s">
        <v>439</v>
      </c>
      <c r="F91" s="10">
        <v>65847.625700000004</v>
      </c>
      <c r="G91" s="16">
        <v>4.7458099999999999E-8</v>
      </c>
      <c r="H91" s="16">
        <v>1.2800000000000001E-7</v>
      </c>
    </row>
    <row r="92" spans="1:8" ht="15">
      <c r="A92" s="14">
        <v>2019</v>
      </c>
      <c r="B92" s="14" t="s">
        <v>360</v>
      </c>
      <c r="C92" s="14" t="s">
        <v>361</v>
      </c>
      <c r="D92" s="14" t="s">
        <v>5</v>
      </c>
      <c r="E92" s="15" t="s">
        <v>440</v>
      </c>
      <c r="F92" s="10">
        <v>199865.61040000001</v>
      </c>
      <c r="G92" s="10">
        <v>0</v>
      </c>
      <c r="H92" s="16">
        <v>3.2800000000000003E-8</v>
      </c>
    </row>
    <row r="93" spans="1:8" ht="15">
      <c r="A93" s="14">
        <v>2019</v>
      </c>
      <c r="B93" s="14" t="s">
        <v>363</v>
      </c>
      <c r="C93" s="14" t="s">
        <v>364</v>
      </c>
      <c r="D93" s="14" t="s">
        <v>5</v>
      </c>
      <c r="E93" s="15" t="s">
        <v>441</v>
      </c>
      <c r="F93" s="10">
        <v>16538.823199999999</v>
      </c>
      <c r="G93" s="10">
        <v>0</v>
      </c>
      <c r="H93" s="16">
        <v>0</v>
      </c>
    </row>
    <row r="94" spans="1:8" ht="15">
      <c r="A94" s="14">
        <v>2019</v>
      </c>
      <c r="B94" s="14" t="s">
        <v>366</v>
      </c>
      <c r="C94" s="14" t="s">
        <v>367</v>
      </c>
      <c r="D94" s="14" t="s">
        <v>5</v>
      </c>
      <c r="E94" s="15" t="s">
        <v>442</v>
      </c>
      <c r="F94" s="10">
        <v>80382.108300000007</v>
      </c>
      <c r="G94" s="10">
        <v>0</v>
      </c>
      <c r="H94" s="16">
        <v>1.1700000000000001E-8</v>
      </c>
    </row>
    <row r="95" spans="1:8" ht="15">
      <c r="A95" s="14">
        <v>2019</v>
      </c>
      <c r="B95" s="14" t="s">
        <v>369</v>
      </c>
      <c r="C95" s="14" t="s">
        <v>370</v>
      </c>
      <c r="D95" s="14" t="s">
        <v>5</v>
      </c>
      <c r="E95" s="15" t="s">
        <v>443</v>
      </c>
      <c r="F95" s="10">
        <v>13811.362499999999</v>
      </c>
      <c r="G95" s="10">
        <v>0</v>
      </c>
      <c r="H95" s="16">
        <v>7.4700000000000001E-7</v>
      </c>
    </row>
    <row r="96" spans="1:8" ht="15">
      <c r="A96" s="14">
        <v>2019</v>
      </c>
      <c r="B96" s="14" t="s">
        <v>372</v>
      </c>
      <c r="C96" s="14" t="s">
        <v>373</v>
      </c>
      <c r="D96" s="14" t="s">
        <v>5</v>
      </c>
      <c r="E96" s="15" t="s">
        <v>444</v>
      </c>
      <c r="F96" s="10">
        <v>106617.5756</v>
      </c>
      <c r="G96" s="10">
        <v>0</v>
      </c>
      <c r="H96" s="16">
        <v>2.6400000000000001E-8</v>
      </c>
    </row>
    <row r="97" spans="1:8" ht="15">
      <c r="A97" s="14">
        <v>2019</v>
      </c>
      <c r="B97" s="14" t="s">
        <v>375</v>
      </c>
      <c r="C97" s="14" t="s">
        <v>376</v>
      </c>
      <c r="D97" s="14" t="s">
        <v>5</v>
      </c>
      <c r="E97" s="15" t="s">
        <v>445</v>
      </c>
      <c r="F97" s="10">
        <v>452685.86440000002</v>
      </c>
      <c r="G97" s="16">
        <v>1.38065E-8</v>
      </c>
      <c r="H97" s="16">
        <v>6.2099999999999994E-8</v>
      </c>
    </row>
    <row r="98" spans="1:8" ht="15">
      <c r="A98" s="14">
        <v>2019</v>
      </c>
      <c r="B98" s="14" t="s">
        <v>378</v>
      </c>
      <c r="C98" s="14" t="s">
        <v>379</v>
      </c>
      <c r="D98" s="14" t="s">
        <v>5</v>
      </c>
      <c r="E98" s="15" t="s">
        <v>446</v>
      </c>
      <c r="F98" s="10">
        <v>50051.656199999998</v>
      </c>
      <c r="G98" s="16">
        <v>6.2435500000000003E-8</v>
      </c>
      <c r="H98" s="16">
        <v>3.9299999999999999E-7</v>
      </c>
    </row>
    <row r="99" spans="1:8" ht="15">
      <c r="A99" s="14">
        <v>2019</v>
      </c>
      <c r="B99" s="14" t="s">
        <v>381</v>
      </c>
      <c r="C99" s="14" t="s">
        <v>382</v>
      </c>
      <c r="D99" s="14" t="s">
        <v>5</v>
      </c>
      <c r="E99" s="15" t="s">
        <v>447</v>
      </c>
      <c r="F99" s="10">
        <v>9741.7630000000008</v>
      </c>
      <c r="G99" s="10">
        <v>0</v>
      </c>
      <c r="H99" s="16">
        <v>0</v>
      </c>
    </row>
    <row r="100" spans="1:8" ht="15">
      <c r="A100" s="14">
        <v>2019</v>
      </c>
      <c r="B100" s="14" t="s">
        <v>384</v>
      </c>
      <c r="C100" s="14" t="s">
        <v>385</v>
      </c>
      <c r="D100" s="14" t="s">
        <v>5</v>
      </c>
      <c r="E100" s="15" t="s">
        <v>448</v>
      </c>
      <c r="F100" s="10">
        <v>133257.16149999999</v>
      </c>
      <c r="G100" s="16">
        <v>2.3450900000000001E-8</v>
      </c>
      <c r="H100" s="16">
        <v>4.2200000000000001E-8</v>
      </c>
    </row>
    <row r="101" spans="1:8" ht="15">
      <c r="A101" s="14">
        <v>2019</v>
      </c>
      <c r="B101" s="14" t="s">
        <v>387</v>
      </c>
      <c r="C101" s="14" t="s">
        <v>388</v>
      </c>
      <c r="D101" s="14" t="s">
        <v>5</v>
      </c>
      <c r="E101" s="15" t="s">
        <v>449</v>
      </c>
      <c r="F101" s="10">
        <v>118884.2794</v>
      </c>
      <c r="G101" s="10">
        <v>0</v>
      </c>
      <c r="H101" s="16">
        <v>3.9400000000000002E-8</v>
      </c>
    </row>
    <row r="102" spans="1:8" ht="15">
      <c r="A102" s="14">
        <v>2019</v>
      </c>
      <c r="B102" s="14" t="s">
        <v>390</v>
      </c>
      <c r="C102" s="14" t="s">
        <v>391</v>
      </c>
      <c r="D102" s="14" t="s">
        <v>5</v>
      </c>
      <c r="E102" s="15" t="s">
        <v>450</v>
      </c>
      <c r="F102" s="10">
        <v>27979.133099999999</v>
      </c>
      <c r="G102" s="10">
        <v>0</v>
      </c>
      <c r="H102" s="16">
        <v>0</v>
      </c>
    </row>
    <row r="103" spans="1:8" ht="15">
      <c r="A103" s="14">
        <v>2019</v>
      </c>
      <c r="B103" s="14" t="s">
        <v>393</v>
      </c>
      <c r="C103" s="14" t="s">
        <v>394</v>
      </c>
      <c r="D103" s="14" t="s">
        <v>5</v>
      </c>
      <c r="E103" s="15" t="s">
        <v>451</v>
      </c>
      <c r="F103" s="10">
        <v>90900.275399999999</v>
      </c>
      <c r="G103" s="10">
        <v>0</v>
      </c>
      <c r="H103" s="16">
        <v>2.0599999999999999E-8</v>
      </c>
    </row>
    <row r="104" spans="1:8" ht="15">
      <c r="A104" s="14">
        <v>2019</v>
      </c>
      <c r="B104" s="14" t="s">
        <v>396</v>
      </c>
      <c r="C104" s="14" t="s">
        <v>397</v>
      </c>
      <c r="D104" s="14" t="s">
        <v>5</v>
      </c>
      <c r="E104" s="15" t="s">
        <v>452</v>
      </c>
      <c r="F104" s="10">
        <v>9035.6288000000004</v>
      </c>
      <c r="G104" s="10">
        <v>0</v>
      </c>
      <c r="H104" s="16">
        <v>3.1100000000000002E-7</v>
      </c>
    </row>
    <row r="105" spans="1:8" ht="15">
      <c r="A105" s="14">
        <v>2019</v>
      </c>
      <c r="B105" s="14" t="s">
        <v>399</v>
      </c>
      <c r="C105" s="14" t="s">
        <v>400</v>
      </c>
      <c r="D105" s="14" t="s">
        <v>5</v>
      </c>
      <c r="E105" s="15" t="s">
        <v>453</v>
      </c>
      <c r="F105" s="10">
        <v>39023</v>
      </c>
      <c r="G105" s="16">
        <v>8.6001399999999999E-7</v>
      </c>
      <c r="H105" s="16">
        <v>0</v>
      </c>
    </row>
    <row r="106" spans="1:8" ht="15">
      <c r="A106" s="3">
        <v>2018</v>
      </c>
      <c r="B106" s="14" t="s">
        <v>246</v>
      </c>
      <c r="C106" s="14" t="s">
        <v>247</v>
      </c>
      <c r="D106" s="14" t="s">
        <v>6</v>
      </c>
      <c r="E106" s="15" t="s">
        <v>454</v>
      </c>
      <c r="F106" s="10">
        <v>76669.358999999997</v>
      </c>
      <c r="G106" s="16">
        <v>1.77859E-7</v>
      </c>
      <c r="H106" s="16">
        <v>5.0883300000000001E-5</v>
      </c>
    </row>
    <row r="107" spans="1:8" ht="15">
      <c r="A107" s="3">
        <v>2018</v>
      </c>
      <c r="B107" s="14" t="s">
        <v>249</v>
      </c>
      <c r="C107" s="14" t="s">
        <v>250</v>
      </c>
      <c r="D107" s="14" t="s">
        <v>6</v>
      </c>
      <c r="E107" s="15" t="s">
        <v>455</v>
      </c>
      <c r="F107" s="10">
        <v>11531.570100000001</v>
      </c>
      <c r="G107" s="10">
        <v>0</v>
      </c>
      <c r="H107" s="16">
        <v>1.2082299999999999E-5</v>
      </c>
    </row>
    <row r="108" spans="1:8" ht="15">
      <c r="A108" s="3">
        <v>2018</v>
      </c>
      <c r="B108" s="14" t="s">
        <v>252</v>
      </c>
      <c r="C108" s="14" t="s">
        <v>253</v>
      </c>
      <c r="D108" s="14" t="s">
        <v>6</v>
      </c>
      <c r="E108" s="15" t="s">
        <v>456</v>
      </c>
      <c r="F108" s="10">
        <v>112282.5143</v>
      </c>
      <c r="G108" s="16">
        <v>1.2144699999999999E-7</v>
      </c>
      <c r="H108" s="16">
        <v>3.2262699999999999E-5</v>
      </c>
    </row>
    <row r="109" spans="1:8" ht="15">
      <c r="A109" s="3">
        <v>2018</v>
      </c>
      <c r="B109" s="14" t="s">
        <v>255</v>
      </c>
      <c r="C109" s="14" t="s">
        <v>256</v>
      </c>
      <c r="D109" s="14" t="s">
        <v>6</v>
      </c>
      <c r="E109" s="15" t="s">
        <v>457</v>
      </c>
      <c r="F109" s="10">
        <v>47211.407599999999</v>
      </c>
      <c r="G109" s="10">
        <v>0</v>
      </c>
      <c r="H109" s="16">
        <v>2.3609200000000001E-5</v>
      </c>
    </row>
    <row r="110" spans="1:8" ht="15">
      <c r="A110" s="3">
        <v>2018</v>
      </c>
      <c r="B110" s="14" t="s">
        <v>258</v>
      </c>
      <c r="C110" s="14" t="s">
        <v>259</v>
      </c>
      <c r="D110" s="14" t="s">
        <v>6</v>
      </c>
      <c r="E110" s="15" t="s">
        <v>458</v>
      </c>
      <c r="F110" s="10">
        <v>619004.11580000003</v>
      </c>
      <c r="G110" s="16">
        <v>2.7536899999999998E-7</v>
      </c>
      <c r="H110" s="16">
        <v>4.88433E-5</v>
      </c>
    </row>
    <row r="111" spans="1:8" ht="15">
      <c r="A111" s="3">
        <v>2018</v>
      </c>
      <c r="B111" s="14" t="s">
        <v>261</v>
      </c>
      <c r="C111" s="14" t="s">
        <v>262</v>
      </c>
      <c r="D111" s="14" t="s">
        <v>6</v>
      </c>
      <c r="E111" s="15" t="s">
        <v>459</v>
      </c>
      <c r="F111" s="10">
        <v>89274.919099999999</v>
      </c>
      <c r="G111" s="10">
        <v>0</v>
      </c>
      <c r="H111" s="10">
        <v>1.4982400000000001E-4</v>
      </c>
    </row>
    <row r="112" spans="1:8" ht="15">
      <c r="A112" s="3">
        <v>2018</v>
      </c>
      <c r="B112" s="14" t="s">
        <v>264</v>
      </c>
      <c r="C112" s="14" t="s">
        <v>265</v>
      </c>
      <c r="D112" s="14" t="s">
        <v>6</v>
      </c>
      <c r="E112" s="15" t="s">
        <v>460</v>
      </c>
      <c r="F112" s="10">
        <v>56023.735800000002</v>
      </c>
      <c r="G112" s="10">
        <v>0</v>
      </c>
      <c r="H112" s="16">
        <v>5.7199800000000001E-5</v>
      </c>
    </row>
    <row r="113" spans="1:8" ht="15">
      <c r="A113" s="3">
        <v>2018</v>
      </c>
      <c r="B113" s="14" t="s">
        <v>267</v>
      </c>
      <c r="C113" s="14" t="s">
        <v>268</v>
      </c>
      <c r="D113" s="14" t="s">
        <v>6</v>
      </c>
      <c r="E113" s="15" t="s">
        <v>461</v>
      </c>
      <c r="F113" s="10">
        <v>15144.739600000001</v>
      </c>
      <c r="G113" s="10">
        <v>0</v>
      </c>
      <c r="H113" s="16">
        <v>9.1997700000000002E-5</v>
      </c>
    </row>
    <row r="114" spans="1:8" ht="15">
      <c r="A114" s="3">
        <v>2018</v>
      </c>
      <c r="B114" s="14" t="s">
        <v>270</v>
      </c>
      <c r="C114" s="14" t="s">
        <v>271</v>
      </c>
      <c r="D114" s="14" t="s">
        <v>6</v>
      </c>
      <c r="E114" s="15" t="s">
        <v>462</v>
      </c>
      <c r="F114" s="10">
        <v>11004.637699999999</v>
      </c>
      <c r="G114" s="10">
        <v>0</v>
      </c>
      <c r="H114" s="10">
        <v>1.6459100000000001E-4</v>
      </c>
    </row>
    <row r="115" spans="1:8" ht="15">
      <c r="A115" s="3">
        <v>2018</v>
      </c>
      <c r="B115" s="14" t="s">
        <v>273</v>
      </c>
      <c r="C115" s="14" t="s">
        <v>274</v>
      </c>
      <c r="D115" s="14" t="s">
        <v>6</v>
      </c>
      <c r="E115" s="15" t="s">
        <v>463</v>
      </c>
      <c r="F115" s="10">
        <v>333243.54969999997</v>
      </c>
      <c r="G115" s="16">
        <v>2.8644099999999999E-7</v>
      </c>
      <c r="H115" s="16">
        <v>1.46334E-5</v>
      </c>
    </row>
    <row r="116" spans="1:8" ht="15">
      <c r="A116" s="3">
        <v>2018</v>
      </c>
      <c r="B116" s="14" t="s">
        <v>276</v>
      </c>
      <c r="C116" s="14" t="s">
        <v>277</v>
      </c>
      <c r="D116" s="14" t="s">
        <v>6</v>
      </c>
      <c r="E116" s="15" t="s">
        <v>464</v>
      </c>
      <c r="F116" s="10">
        <v>164880.1703</v>
      </c>
      <c r="G116" s="10">
        <v>0</v>
      </c>
      <c r="H116" s="16">
        <v>3.0420999999999999E-5</v>
      </c>
    </row>
    <row r="117" spans="1:8" ht="15">
      <c r="A117" s="3">
        <v>2018</v>
      </c>
      <c r="B117" s="14" t="s">
        <v>279</v>
      </c>
      <c r="C117" s="14" t="s">
        <v>280</v>
      </c>
      <c r="D117" s="14" t="s">
        <v>6</v>
      </c>
      <c r="E117" s="15" t="s">
        <v>465</v>
      </c>
      <c r="F117" s="10">
        <v>22283.769100000001</v>
      </c>
      <c r="G117" s="10">
        <v>0</v>
      </c>
      <c r="H117" s="10">
        <v>0</v>
      </c>
    </row>
    <row r="118" spans="1:8" ht="15">
      <c r="A118" s="3">
        <v>2018</v>
      </c>
      <c r="B118" s="14" t="s">
        <v>282</v>
      </c>
      <c r="C118" s="14" t="s">
        <v>283</v>
      </c>
      <c r="D118" s="14" t="s">
        <v>6</v>
      </c>
      <c r="E118" s="15" t="s">
        <v>466</v>
      </c>
      <c r="F118" s="10">
        <v>27459.335599999999</v>
      </c>
      <c r="G118" s="10">
        <v>0</v>
      </c>
      <c r="H118" s="16">
        <v>8.1183700000000007E-5</v>
      </c>
    </row>
    <row r="119" spans="1:8" ht="15">
      <c r="A119" s="3">
        <v>2018</v>
      </c>
      <c r="B119" s="14" t="s">
        <v>285</v>
      </c>
      <c r="C119" s="14" t="s">
        <v>286</v>
      </c>
      <c r="D119" s="14" t="s">
        <v>6</v>
      </c>
      <c r="E119" s="15" t="s">
        <v>467</v>
      </c>
      <c r="F119" s="10">
        <v>199577.20189999999</v>
      </c>
      <c r="G119" s="16">
        <v>1.02489E-7</v>
      </c>
      <c r="H119" s="10">
        <v>1.2286900000000001E-4</v>
      </c>
    </row>
    <row r="120" spans="1:8" ht="15">
      <c r="A120" s="3">
        <v>2018</v>
      </c>
      <c r="B120" s="14" t="s">
        <v>288</v>
      </c>
      <c r="C120" s="14" t="s">
        <v>289</v>
      </c>
      <c r="D120" s="14" t="s">
        <v>6</v>
      </c>
      <c r="E120" s="15" t="s">
        <v>468</v>
      </c>
      <c r="F120" s="10">
        <v>105027.20269999999</v>
      </c>
      <c r="G120" s="10">
        <v>0</v>
      </c>
      <c r="H120" s="16">
        <v>4.6430700000000003E-5</v>
      </c>
    </row>
    <row r="121" spans="1:8" ht="15">
      <c r="A121" s="3">
        <v>2018</v>
      </c>
      <c r="B121" s="14" t="s">
        <v>291</v>
      </c>
      <c r="C121" s="14" t="s">
        <v>292</v>
      </c>
      <c r="D121" s="14" t="s">
        <v>6</v>
      </c>
      <c r="E121" s="15" t="s">
        <v>469</v>
      </c>
      <c r="F121" s="10">
        <v>49389.991600000001</v>
      </c>
      <c r="G121" s="10">
        <v>0</v>
      </c>
      <c r="H121" s="10">
        <v>2.9338200000000002E-4</v>
      </c>
    </row>
    <row r="122" spans="1:8" ht="15">
      <c r="A122" s="3">
        <v>2018</v>
      </c>
      <c r="B122" s="14" t="s">
        <v>294</v>
      </c>
      <c r="C122" s="14" t="s">
        <v>295</v>
      </c>
      <c r="D122" s="14" t="s">
        <v>6</v>
      </c>
      <c r="E122" s="15" t="s">
        <v>470</v>
      </c>
      <c r="F122" s="10">
        <v>45668.288999999997</v>
      </c>
      <c r="G122" s="10">
        <v>0</v>
      </c>
      <c r="H122" s="10">
        <v>1.4339100000000001E-4</v>
      </c>
    </row>
    <row r="123" spans="1:8" ht="15">
      <c r="A123" s="3">
        <v>2018</v>
      </c>
      <c r="B123" s="14" t="s">
        <v>297</v>
      </c>
      <c r="C123" s="14" t="s">
        <v>298</v>
      </c>
      <c r="D123" s="14" t="s">
        <v>6</v>
      </c>
      <c r="E123" s="15" t="s">
        <v>471</v>
      </c>
      <c r="F123" s="10">
        <v>69978.736499999999</v>
      </c>
      <c r="G123" s="10">
        <v>0</v>
      </c>
      <c r="H123" s="16">
        <v>2.3892100000000001E-5</v>
      </c>
    </row>
    <row r="124" spans="1:8" ht="15">
      <c r="A124" s="3">
        <v>2018</v>
      </c>
      <c r="B124" s="14" t="s">
        <v>300</v>
      </c>
      <c r="C124" s="14" t="s">
        <v>301</v>
      </c>
      <c r="D124" s="14" t="s">
        <v>6</v>
      </c>
      <c r="E124" s="15" t="s">
        <v>472</v>
      </c>
      <c r="F124" s="10">
        <v>73093.036399999997</v>
      </c>
      <c r="G124" s="10">
        <v>0</v>
      </c>
      <c r="H124" s="10">
        <v>1.5821300000000001E-4</v>
      </c>
    </row>
    <row r="125" spans="1:8" ht="15">
      <c r="A125" s="3">
        <v>2018</v>
      </c>
      <c r="B125" s="14" t="s">
        <v>303</v>
      </c>
      <c r="C125" s="14" t="s">
        <v>304</v>
      </c>
      <c r="D125" s="14" t="s">
        <v>6</v>
      </c>
      <c r="E125" s="15" t="s">
        <v>473</v>
      </c>
      <c r="F125" s="10">
        <v>21004.775399999999</v>
      </c>
      <c r="G125" s="10">
        <v>0</v>
      </c>
      <c r="H125" s="16">
        <v>1.32663E-5</v>
      </c>
    </row>
    <row r="126" spans="1:8" ht="15">
      <c r="A126" s="3">
        <v>2018</v>
      </c>
      <c r="B126" s="14" t="s">
        <v>306</v>
      </c>
      <c r="C126" s="14" t="s">
        <v>307</v>
      </c>
      <c r="D126" s="14" t="s">
        <v>6</v>
      </c>
      <c r="E126" s="15" t="s">
        <v>474</v>
      </c>
      <c r="F126" s="10">
        <v>94679.065600000002</v>
      </c>
      <c r="G126" s="16">
        <v>1.44027E-7</v>
      </c>
      <c r="H126" s="16">
        <v>6.6221299999999996E-5</v>
      </c>
    </row>
    <row r="127" spans="1:8" ht="15">
      <c r="A127" s="3">
        <v>2018</v>
      </c>
      <c r="B127" s="14" t="s">
        <v>309</v>
      </c>
      <c r="C127" s="14" t="s">
        <v>310</v>
      </c>
      <c r="D127" s="14" t="s">
        <v>6</v>
      </c>
      <c r="E127" s="15" t="s">
        <v>475</v>
      </c>
      <c r="F127" s="10">
        <v>107962.6951</v>
      </c>
      <c r="G127" s="16">
        <v>6.3153100000000002E-8</v>
      </c>
      <c r="H127" s="16">
        <v>6.3235600000000002E-5</v>
      </c>
    </row>
    <row r="128" spans="1:8" ht="15">
      <c r="A128" s="3">
        <v>2018</v>
      </c>
      <c r="B128" s="14" t="s">
        <v>312</v>
      </c>
      <c r="C128" s="14" t="s">
        <v>313</v>
      </c>
      <c r="D128" s="14" t="s">
        <v>6</v>
      </c>
      <c r="E128" s="15" t="s">
        <v>476</v>
      </c>
      <c r="F128" s="10">
        <v>156612.59400000001</v>
      </c>
      <c r="G128" s="10">
        <v>0</v>
      </c>
      <c r="H128" s="16">
        <v>9.0742900000000002E-5</v>
      </c>
    </row>
    <row r="129" spans="1:8" ht="15">
      <c r="A129" s="3">
        <v>2018</v>
      </c>
      <c r="B129" s="14" t="s">
        <v>315</v>
      </c>
      <c r="C129" s="14" t="s">
        <v>316</v>
      </c>
      <c r="D129" s="14" t="s">
        <v>6</v>
      </c>
      <c r="E129" s="15" t="s">
        <v>477</v>
      </c>
      <c r="F129" s="10">
        <v>87940.992299999998</v>
      </c>
      <c r="G129" s="16">
        <v>7.7531299999999998E-8</v>
      </c>
      <c r="H129" s="16">
        <v>9.9813200000000002E-5</v>
      </c>
    </row>
    <row r="130" spans="1:8" ht="15">
      <c r="A130" s="3">
        <v>2018</v>
      </c>
      <c r="B130" s="14" t="s">
        <v>318</v>
      </c>
      <c r="C130" s="14" t="s">
        <v>319</v>
      </c>
      <c r="D130" s="14" t="s">
        <v>6</v>
      </c>
      <c r="E130" s="15" t="s">
        <v>478</v>
      </c>
      <c r="F130" s="10">
        <v>46761.008399999999</v>
      </c>
      <c r="G130" s="10">
        <v>0</v>
      </c>
      <c r="H130" s="10">
        <v>1.4897900000000001E-4</v>
      </c>
    </row>
    <row r="131" spans="1:8" ht="15">
      <c r="A131" s="3">
        <v>2018</v>
      </c>
      <c r="B131" s="14" t="s">
        <v>321</v>
      </c>
      <c r="C131" s="14" t="s">
        <v>322</v>
      </c>
      <c r="D131" s="14" t="s">
        <v>6</v>
      </c>
      <c r="E131" s="15" t="s">
        <v>479</v>
      </c>
      <c r="F131" s="10">
        <v>96025.274799999999</v>
      </c>
      <c r="G131" s="10">
        <v>0</v>
      </c>
      <c r="H131" s="16">
        <v>3.3371899999999998E-5</v>
      </c>
    </row>
    <row r="132" spans="1:8" ht="15">
      <c r="A132" s="3">
        <v>2018</v>
      </c>
      <c r="B132" s="14" t="s">
        <v>324</v>
      </c>
      <c r="C132" s="14" t="s">
        <v>325</v>
      </c>
      <c r="D132" s="14" t="s">
        <v>6</v>
      </c>
      <c r="E132" s="15" t="s">
        <v>480</v>
      </c>
      <c r="F132" s="10">
        <v>16637.8505</v>
      </c>
      <c r="G132" s="10">
        <v>0</v>
      </c>
      <c r="H132" s="10">
        <v>3.9358600000000002E-4</v>
      </c>
    </row>
    <row r="133" spans="1:8" ht="15">
      <c r="A133" s="3">
        <v>2018</v>
      </c>
      <c r="B133" s="14" t="s">
        <v>327</v>
      </c>
      <c r="C133" s="14" t="s">
        <v>328</v>
      </c>
      <c r="D133" s="14" t="s">
        <v>6</v>
      </c>
      <c r="E133" s="15" t="s">
        <v>481</v>
      </c>
      <c r="F133" s="10">
        <v>30205.651900000001</v>
      </c>
      <c r="G133" s="10">
        <v>0</v>
      </c>
      <c r="H133" s="10">
        <v>1.1577759999999999E-3</v>
      </c>
    </row>
    <row r="134" spans="1:8" ht="15">
      <c r="A134" s="3">
        <v>2018</v>
      </c>
      <c r="B134" s="14" t="s">
        <v>330</v>
      </c>
      <c r="C134" s="14" t="s">
        <v>331</v>
      </c>
      <c r="D134" s="14" t="s">
        <v>6</v>
      </c>
      <c r="E134" s="15" t="s">
        <v>482</v>
      </c>
      <c r="F134" s="10">
        <v>47487.610999999997</v>
      </c>
      <c r="G134" s="10">
        <v>0</v>
      </c>
      <c r="H134" s="16">
        <v>2.6405900000000001E-5</v>
      </c>
    </row>
    <row r="135" spans="1:8" ht="15">
      <c r="A135" s="3">
        <v>2018</v>
      </c>
      <c r="B135" s="14" t="s">
        <v>333</v>
      </c>
      <c r="C135" s="14" t="s">
        <v>334</v>
      </c>
      <c r="D135" s="14" t="s">
        <v>6</v>
      </c>
      <c r="E135" s="15" t="s">
        <v>483</v>
      </c>
      <c r="F135" s="10">
        <v>21230.782800000001</v>
      </c>
      <c r="G135" s="10">
        <v>0</v>
      </c>
      <c r="H135" s="10">
        <v>0</v>
      </c>
    </row>
    <row r="136" spans="1:8" ht="15">
      <c r="A136" s="3">
        <v>2018</v>
      </c>
      <c r="B136" s="14" t="s">
        <v>336</v>
      </c>
      <c r="C136" s="14" t="s">
        <v>337</v>
      </c>
      <c r="D136" s="14" t="s">
        <v>6</v>
      </c>
      <c r="E136" s="15" t="s">
        <v>484</v>
      </c>
      <c r="F136" s="10">
        <v>139388.36040000001</v>
      </c>
      <c r="G136" s="16">
        <v>2.44575E-7</v>
      </c>
      <c r="H136" s="16">
        <v>6.0973700000000002E-5</v>
      </c>
    </row>
    <row r="137" spans="1:8" ht="15">
      <c r="A137" s="3">
        <v>2018</v>
      </c>
      <c r="B137" s="14" t="s">
        <v>339</v>
      </c>
      <c r="C137" s="14" t="s">
        <v>340</v>
      </c>
      <c r="D137" s="14" t="s">
        <v>6</v>
      </c>
      <c r="E137" s="15" t="s">
        <v>485</v>
      </c>
      <c r="F137" s="10">
        <v>32827.246899999998</v>
      </c>
      <c r="G137" s="10">
        <v>0</v>
      </c>
      <c r="H137" s="16">
        <v>2.9709999999999998E-5</v>
      </c>
    </row>
    <row r="138" spans="1:8" ht="15">
      <c r="A138" s="3">
        <v>2018</v>
      </c>
      <c r="B138" s="14" t="s">
        <v>342</v>
      </c>
      <c r="C138" s="14" t="s">
        <v>343</v>
      </c>
      <c r="D138" s="14" t="s">
        <v>6</v>
      </c>
      <c r="E138" s="15" t="s">
        <v>486</v>
      </c>
      <c r="F138" s="10">
        <v>306357.86</v>
      </c>
      <c r="G138" s="16">
        <v>1.78045E-7</v>
      </c>
      <c r="H138" s="16">
        <v>4.45693E-5</v>
      </c>
    </row>
    <row r="139" spans="1:8" ht="15">
      <c r="A139" s="3">
        <v>2018</v>
      </c>
      <c r="B139" s="14" t="s">
        <v>345</v>
      </c>
      <c r="C139" s="14" t="s">
        <v>346</v>
      </c>
      <c r="D139" s="14" t="s">
        <v>6</v>
      </c>
      <c r="E139" s="15" t="s">
        <v>487</v>
      </c>
      <c r="F139" s="10">
        <v>162848.55069999999</v>
      </c>
      <c r="G139" s="16">
        <v>1.2560499999999999E-7</v>
      </c>
      <c r="H139" s="16">
        <v>8.5556899999999994E-6</v>
      </c>
    </row>
    <row r="140" spans="1:8" ht="15">
      <c r="A140" s="3">
        <v>2018</v>
      </c>
      <c r="B140" s="14" t="s">
        <v>348</v>
      </c>
      <c r="C140" s="14" t="s">
        <v>349</v>
      </c>
      <c r="D140" s="14" t="s">
        <v>6</v>
      </c>
      <c r="E140" s="15" t="s">
        <v>488</v>
      </c>
      <c r="F140" s="10">
        <v>11891.4282</v>
      </c>
      <c r="G140" s="10">
        <v>0</v>
      </c>
      <c r="H140" s="10">
        <v>2.3902049999999998E-3</v>
      </c>
    </row>
    <row r="141" spans="1:8" ht="15">
      <c r="A141" s="3">
        <v>2018</v>
      </c>
      <c r="B141" s="14" t="s">
        <v>351</v>
      </c>
      <c r="C141" s="14" t="s">
        <v>352</v>
      </c>
      <c r="D141" s="14" t="s">
        <v>6</v>
      </c>
      <c r="E141" s="15" t="s">
        <v>489</v>
      </c>
      <c r="F141" s="10">
        <v>183157.93919999999</v>
      </c>
      <c r="G141" s="10">
        <v>0</v>
      </c>
      <c r="H141" s="16">
        <v>4.9445499999999999E-5</v>
      </c>
    </row>
    <row r="142" spans="1:8" ht="15">
      <c r="A142" s="3">
        <v>2018</v>
      </c>
      <c r="B142" s="14" t="s">
        <v>354</v>
      </c>
      <c r="C142" s="14" t="s">
        <v>355</v>
      </c>
      <c r="D142" s="14" t="s">
        <v>6</v>
      </c>
      <c r="E142" s="15" t="s">
        <v>490</v>
      </c>
      <c r="F142" s="10">
        <v>61807.489399999999</v>
      </c>
      <c r="G142" s="10">
        <v>0</v>
      </c>
      <c r="H142" s="16">
        <v>4.0576099999999999E-5</v>
      </c>
    </row>
    <row r="143" spans="1:8" ht="15">
      <c r="A143" s="3">
        <v>2018</v>
      </c>
      <c r="B143" s="14" t="s">
        <v>357</v>
      </c>
      <c r="C143" s="14" t="s">
        <v>358</v>
      </c>
      <c r="D143" s="14" t="s">
        <v>6</v>
      </c>
      <c r="E143" s="15" t="s">
        <v>491</v>
      </c>
      <c r="F143" s="10">
        <v>65598.0861</v>
      </c>
      <c r="G143" s="16">
        <v>1.03939E-7</v>
      </c>
      <c r="H143" s="16">
        <v>4.24793E-6</v>
      </c>
    </row>
    <row r="144" spans="1:8" ht="15">
      <c r="A144" s="3">
        <v>2018</v>
      </c>
      <c r="B144" s="14" t="s">
        <v>360</v>
      </c>
      <c r="C144" s="14" t="s">
        <v>361</v>
      </c>
      <c r="D144" s="14" t="s">
        <v>6</v>
      </c>
      <c r="E144" s="15" t="s">
        <v>492</v>
      </c>
      <c r="F144" s="10">
        <v>200798.39170000001</v>
      </c>
      <c r="G144" s="10">
        <v>0</v>
      </c>
      <c r="H144" s="16">
        <v>9.0203200000000004E-5</v>
      </c>
    </row>
    <row r="145" spans="1:8" ht="15">
      <c r="A145" s="3">
        <v>2018</v>
      </c>
      <c r="B145" s="14" t="s">
        <v>363</v>
      </c>
      <c r="C145" s="14" t="s">
        <v>364</v>
      </c>
      <c r="D145" s="14" t="s">
        <v>6</v>
      </c>
      <c r="E145" s="15" t="s">
        <v>493</v>
      </c>
      <c r="F145" s="10">
        <v>16600.548599999998</v>
      </c>
      <c r="G145" s="10">
        <v>0</v>
      </c>
      <c r="H145" s="16">
        <v>8.3929900000000001E-6</v>
      </c>
    </row>
    <row r="146" spans="1:8" ht="15">
      <c r="A146" s="3">
        <v>2018</v>
      </c>
      <c r="B146" s="14" t="s">
        <v>366</v>
      </c>
      <c r="C146" s="14" t="s">
        <v>367</v>
      </c>
      <c r="D146" s="14" t="s">
        <v>6</v>
      </c>
      <c r="E146" s="15" t="s">
        <v>494</v>
      </c>
      <c r="F146" s="10">
        <v>79751.313800000004</v>
      </c>
      <c r="G146" s="10">
        <v>0</v>
      </c>
      <c r="H146" s="16">
        <v>2.6205499999999998E-5</v>
      </c>
    </row>
    <row r="147" spans="1:8" ht="15">
      <c r="A147" s="3">
        <v>2018</v>
      </c>
      <c r="B147" s="14" t="s">
        <v>369</v>
      </c>
      <c r="C147" s="14" t="s">
        <v>370</v>
      </c>
      <c r="D147" s="14" t="s">
        <v>6</v>
      </c>
      <c r="E147" s="15" t="s">
        <v>495</v>
      </c>
      <c r="F147" s="10">
        <v>13783.471600000001</v>
      </c>
      <c r="G147" s="10">
        <v>0</v>
      </c>
      <c r="H147" s="10">
        <v>1.7083109999999999E-3</v>
      </c>
    </row>
    <row r="148" spans="1:8" ht="15">
      <c r="A148" s="3">
        <v>2018</v>
      </c>
      <c r="B148" s="14" t="s">
        <v>372</v>
      </c>
      <c r="C148" s="14" t="s">
        <v>373</v>
      </c>
      <c r="D148" s="14" t="s">
        <v>6</v>
      </c>
      <c r="E148" s="15" t="s">
        <v>496</v>
      </c>
      <c r="F148" s="10">
        <v>106221.4592</v>
      </c>
      <c r="G148" s="10">
        <v>0</v>
      </c>
      <c r="H148" s="16">
        <v>1.5740099999999999E-5</v>
      </c>
    </row>
    <row r="149" spans="1:8" ht="15">
      <c r="A149" s="3">
        <v>2018</v>
      </c>
      <c r="B149" s="14" t="s">
        <v>375</v>
      </c>
      <c r="C149" s="14" t="s">
        <v>376</v>
      </c>
      <c r="D149" s="14" t="s">
        <v>6</v>
      </c>
      <c r="E149" s="15" t="s">
        <v>497</v>
      </c>
      <c r="F149" s="10">
        <v>449076.25319999998</v>
      </c>
      <c r="G149" s="16">
        <v>6.07307E-8</v>
      </c>
      <c r="H149" s="16">
        <v>4.5297199999999997E-5</v>
      </c>
    </row>
    <row r="150" spans="1:8" ht="15">
      <c r="A150" s="3">
        <v>2018</v>
      </c>
      <c r="B150" s="14" t="s">
        <v>378</v>
      </c>
      <c r="C150" s="14" t="s">
        <v>379</v>
      </c>
      <c r="D150" s="14" t="s">
        <v>6</v>
      </c>
      <c r="E150" s="15" t="s">
        <v>498</v>
      </c>
      <c r="F150" s="10">
        <v>49467.356200000002</v>
      </c>
      <c r="G150" s="16">
        <v>2.7566400000000003E-7</v>
      </c>
      <c r="H150" s="16">
        <v>3.0982200000000003E-5</v>
      </c>
    </row>
    <row r="151" spans="1:8" ht="15">
      <c r="A151" s="3">
        <v>2018</v>
      </c>
      <c r="B151" s="14" t="s">
        <v>381</v>
      </c>
      <c r="C151" s="14" t="s">
        <v>382</v>
      </c>
      <c r="D151" s="14" t="s">
        <v>6</v>
      </c>
      <c r="E151" s="15" t="s">
        <v>499</v>
      </c>
      <c r="F151" s="10">
        <v>9793.8322000000007</v>
      </c>
      <c r="G151" s="10">
        <v>0</v>
      </c>
      <c r="H151" s="16">
        <v>1.4226099999999999E-5</v>
      </c>
    </row>
    <row r="152" spans="1:8" ht="15">
      <c r="A152" s="3">
        <v>2018</v>
      </c>
      <c r="B152" s="14" t="s">
        <v>384</v>
      </c>
      <c r="C152" s="14" t="s">
        <v>385</v>
      </c>
      <c r="D152" s="14" t="s">
        <v>6</v>
      </c>
      <c r="E152" s="15" t="s">
        <v>500</v>
      </c>
      <c r="F152" s="10">
        <v>133353.25030000001</v>
      </c>
      <c r="G152" s="16">
        <v>5.1128699999999998E-8</v>
      </c>
      <c r="H152" s="16">
        <v>5.0150700000000001E-5</v>
      </c>
    </row>
    <row r="153" spans="1:8" ht="15">
      <c r="A153" s="3">
        <v>2018</v>
      </c>
      <c r="B153" s="14" t="s">
        <v>387</v>
      </c>
      <c r="C153" s="14" t="s">
        <v>388</v>
      </c>
      <c r="D153" s="14" t="s">
        <v>6</v>
      </c>
      <c r="E153" s="15" t="s">
        <v>501</v>
      </c>
      <c r="F153" s="10">
        <v>118021.2484</v>
      </c>
      <c r="G153" s="10">
        <v>0</v>
      </c>
      <c r="H153" s="16">
        <v>3.5416000000000001E-6</v>
      </c>
    </row>
    <row r="154" spans="1:8" ht="15">
      <c r="A154" s="3">
        <v>2018</v>
      </c>
      <c r="B154" s="14" t="s">
        <v>390</v>
      </c>
      <c r="C154" s="14" t="s">
        <v>391</v>
      </c>
      <c r="D154" s="14" t="s">
        <v>6</v>
      </c>
      <c r="E154" s="15" t="s">
        <v>502</v>
      </c>
      <c r="F154" s="10">
        <v>28302.5497</v>
      </c>
      <c r="G154" s="10">
        <v>0</v>
      </c>
      <c r="H154" s="16">
        <v>9.8456299999999998E-6</v>
      </c>
    </row>
    <row r="155" spans="1:8" ht="15">
      <c r="A155" s="3">
        <v>2018</v>
      </c>
      <c r="B155" s="14" t="s">
        <v>393</v>
      </c>
      <c r="C155" s="14" t="s">
        <v>394</v>
      </c>
      <c r="D155" s="14" t="s">
        <v>6</v>
      </c>
      <c r="E155" s="15" t="s">
        <v>503</v>
      </c>
      <c r="F155" s="10">
        <v>91096.390100000004</v>
      </c>
      <c r="G155" s="10">
        <v>0</v>
      </c>
      <c r="H155" s="16">
        <v>5.0472100000000001E-5</v>
      </c>
    </row>
    <row r="156" spans="1:8" ht="15">
      <c r="A156" s="3">
        <v>2018</v>
      </c>
      <c r="B156" s="14" t="s">
        <v>396</v>
      </c>
      <c r="C156" s="14" t="s">
        <v>397</v>
      </c>
      <c r="D156" s="14" t="s">
        <v>6</v>
      </c>
      <c r="E156" s="15" t="s">
        <v>504</v>
      </c>
      <c r="F156" s="10">
        <v>9060.3904999999995</v>
      </c>
      <c r="G156" s="10">
        <v>0</v>
      </c>
      <c r="H156" s="16">
        <v>6.1510899999999994E-5</v>
      </c>
    </row>
    <row r="157" spans="1:8" ht="15">
      <c r="A157" s="3">
        <v>2018</v>
      </c>
      <c r="B157" s="14" t="s">
        <v>399</v>
      </c>
      <c r="C157" s="14" t="s">
        <v>400</v>
      </c>
      <c r="D157" s="14" t="s">
        <v>6</v>
      </c>
      <c r="E157" s="15" t="s">
        <v>505</v>
      </c>
      <c r="F157" s="10">
        <v>39023</v>
      </c>
      <c r="G157" s="16">
        <v>4.6452999999999997E-5</v>
      </c>
      <c r="H157" s="10">
        <v>0</v>
      </c>
    </row>
    <row r="158" spans="1:8" ht="15">
      <c r="A158" s="3">
        <v>2018</v>
      </c>
      <c r="B158" s="14" t="s">
        <v>246</v>
      </c>
      <c r="C158" s="14" t="s">
        <v>247</v>
      </c>
      <c r="D158" s="14" t="s">
        <v>5</v>
      </c>
      <c r="E158" s="15" t="s">
        <v>506</v>
      </c>
      <c r="F158" s="10">
        <v>76669.358999999997</v>
      </c>
      <c r="G158" s="16">
        <v>1.77859E-7</v>
      </c>
      <c r="H158" s="16">
        <v>4.4126900000000001E-7</v>
      </c>
    </row>
    <row r="159" spans="1:8" ht="15">
      <c r="A159" s="3">
        <v>2018</v>
      </c>
      <c r="B159" s="14" t="s">
        <v>249</v>
      </c>
      <c r="C159" s="14" t="s">
        <v>250</v>
      </c>
      <c r="D159" s="14" t="s">
        <v>5</v>
      </c>
      <c r="E159" s="15" t="s">
        <v>507</v>
      </c>
      <c r="F159" s="10">
        <v>11531.570100000001</v>
      </c>
      <c r="G159" s="10">
        <v>0</v>
      </c>
      <c r="H159" s="16">
        <v>1.0478E-7</v>
      </c>
    </row>
    <row r="160" spans="1:8" ht="15">
      <c r="A160" s="3">
        <v>2018</v>
      </c>
      <c r="B160" s="14" t="s">
        <v>252</v>
      </c>
      <c r="C160" s="14" t="s">
        <v>253</v>
      </c>
      <c r="D160" s="14" t="s">
        <v>5</v>
      </c>
      <c r="E160" s="15" t="s">
        <v>508</v>
      </c>
      <c r="F160" s="10">
        <v>112282.5143</v>
      </c>
      <c r="G160" s="16">
        <v>1.2144699999999999E-7</v>
      </c>
      <c r="H160" s="16">
        <v>2.7978799999999999E-7</v>
      </c>
    </row>
    <row r="161" spans="1:8" ht="15">
      <c r="A161" s="3">
        <v>2018</v>
      </c>
      <c r="B161" s="14" t="s">
        <v>255</v>
      </c>
      <c r="C161" s="14" t="s">
        <v>256</v>
      </c>
      <c r="D161" s="14" t="s">
        <v>5</v>
      </c>
      <c r="E161" s="15" t="s">
        <v>509</v>
      </c>
      <c r="F161" s="10">
        <v>47211.407599999999</v>
      </c>
      <c r="G161" s="10">
        <v>0</v>
      </c>
      <c r="H161" s="16">
        <v>2.04744E-7</v>
      </c>
    </row>
    <row r="162" spans="1:8" ht="15">
      <c r="A162" s="3">
        <v>2018</v>
      </c>
      <c r="B162" s="14" t="s">
        <v>258</v>
      </c>
      <c r="C162" s="14" t="s">
        <v>259</v>
      </c>
      <c r="D162" s="14" t="s">
        <v>5</v>
      </c>
      <c r="E162" s="15" t="s">
        <v>510</v>
      </c>
      <c r="F162" s="10">
        <v>619004.11580000003</v>
      </c>
      <c r="G162" s="16">
        <v>2.7536899999999998E-7</v>
      </c>
      <c r="H162" s="16">
        <v>4.2357799999999998E-7</v>
      </c>
    </row>
    <row r="163" spans="1:8" ht="15">
      <c r="A163" s="3">
        <v>2018</v>
      </c>
      <c r="B163" s="14" t="s">
        <v>261</v>
      </c>
      <c r="C163" s="14" t="s">
        <v>262</v>
      </c>
      <c r="D163" s="14" t="s">
        <v>5</v>
      </c>
      <c r="E163" s="15" t="s">
        <v>511</v>
      </c>
      <c r="F163" s="10">
        <v>89274.919099999999</v>
      </c>
      <c r="G163" s="10">
        <v>0</v>
      </c>
      <c r="H163" s="16">
        <v>1.2993E-6</v>
      </c>
    </row>
    <row r="164" spans="1:8" ht="15">
      <c r="A164" s="3">
        <v>2018</v>
      </c>
      <c r="B164" s="14" t="s">
        <v>264</v>
      </c>
      <c r="C164" s="14" t="s">
        <v>265</v>
      </c>
      <c r="D164" s="14" t="s">
        <v>5</v>
      </c>
      <c r="E164" s="15" t="s">
        <v>512</v>
      </c>
      <c r="F164" s="10">
        <v>56023.735800000002</v>
      </c>
      <c r="G164" s="10">
        <v>0</v>
      </c>
      <c r="H164" s="16">
        <v>4.9604700000000002E-7</v>
      </c>
    </row>
    <row r="165" spans="1:8" ht="15">
      <c r="A165" s="3">
        <v>2018</v>
      </c>
      <c r="B165" s="14" t="s">
        <v>267</v>
      </c>
      <c r="C165" s="14" t="s">
        <v>268</v>
      </c>
      <c r="D165" s="14" t="s">
        <v>5</v>
      </c>
      <c r="E165" s="15" t="s">
        <v>513</v>
      </c>
      <c r="F165" s="10">
        <v>15144.739600000001</v>
      </c>
      <c r="G165" s="10">
        <v>0</v>
      </c>
      <c r="H165" s="16">
        <v>7.9782099999999995E-7</v>
      </c>
    </row>
    <row r="166" spans="1:8" ht="15">
      <c r="A166" s="3">
        <v>2018</v>
      </c>
      <c r="B166" s="14" t="s">
        <v>270</v>
      </c>
      <c r="C166" s="14" t="s">
        <v>271</v>
      </c>
      <c r="D166" s="14" t="s">
        <v>5</v>
      </c>
      <c r="E166" s="15" t="s">
        <v>514</v>
      </c>
      <c r="F166" s="10">
        <v>11004.637699999999</v>
      </c>
      <c r="G166" s="10">
        <v>0</v>
      </c>
      <c r="H166" s="16">
        <v>1.42736E-6</v>
      </c>
    </row>
    <row r="167" spans="1:8" ht="15">
      <c r="A167" s="3">
        <v>2018</v>
      </c>
      <c r="B167" s="14" t="s">
        <v>273</v>
      </c>
      <c r="C167" s="14" t="s">
        <v>274</v>
      </c>
      <c r="D167" s="14" t="s">
        <v>5</v>
      </c>
      <c r="E167" s="15" t="s">
        <v>515</v>
      </c>
      <c r="F167" s="10">
        <v>333243.54969999997</v>
      </c>
      <c r="G167" s="16">
        <v>2.8644099999999999E-7</v>
      </c>
      <c r="H167" s="16">
        <v>1.2690400000000001E-7</v>
      </c>
    </row>
    <row r="168" spans="1:8" ht="15">
      <c r="A168" s="3">
        <v>2018</v>
      </c>
      <c r="B168" s="14" t="s">
        <v>276</v>
      </c>
      <c r="C168" s="14" t="s">
        <v>277</v>
      </c>
      <c r="D168" s="14" t="s">
        <v>5</v>
      </c>
      <c r="E168" s="15" t="s">
        <v>516</v>
      </c>
      <c r="F168" s="10">
        <v>164880.1703</v>
      </c>
      <c r="G168" s="10">
        <v>0</v>
      </c>
      <c r="H168" s="16">
        <v>2.6381599999999998E-7</v>
      </c>
    </row>
    <row r="169" spans="1:8" ht="15">
      <c r="A169" s="3">
        <v>2018</v>
      </c>
      <c r="B169" s="14" t="s">
        <v>279</v>
      </c>
      <c r="C169" s="14" t="s">
        <v>280</v>
      </c>
      <c r="D169" s="14" t="s">
        <v>5</v>
      </c>
      <c r="E169" s="15" t="s">
        <v>517</v>
      </c>
      <c r="F169" s="10">
        <v>22283.769100000001</v>
      </c>
      <c r="G169" s="10">
        <v>0</v>
      </c>
      <c r="H169" s="10">
        <v>0</v>
      </c>
    </row>
    <row r="170" spans="1:8" ht="15">
      <c r="A170" s="3">
        <v>2018</v>
      </c>
      <c r="B170" s="14" t="s">
        <v>282</v>
      </c>
      <c r="C170" s="14" t="s">
        <v>283</v>
      </c>
      <c r="D170" s="14" t="s">
        <v>5</v>
      </c>
      <c r="E170" s="15" t="s">
        <v>518</v>
      </c>
      <c r="F170" s="10">
        <v>27459.335599999999</v>
      </c>
      <c r="G170" s="10">
        <v>0</v>
      </c>
      <c r="H170" s="16">
        <v>7.0404E-7</v>
      </c>
    </row>
    <row r="171" spans="1:8" ht="15">
      <c r="A171" s="3">
        <v>2018</v>
      </c>
      <c r="B171" s="14" t="s">
        <v>285</v>
      </c>
      <c r="C171" s="14" t="s">
        <v>286</v>
      </c>
      <c r="D171" s="14" t="s">
        <v>5</v>
      </c>
      <c r="E171" s="15" t="s">
        <v>519</v>
      </c>
      <c r="F171" s="10">
        <v>199577.20189999999</v>
      </c>
      <c r="G171" s="16">
        <v>1.02489E-7</v>
      </c>
      <c r="H171" s="16">
        <v>1.0655400000000001E-6</v>
      </c>
    </row>
    <row r="172" spans="1:8" ht="15">
      <c r="A172" s="3">
        <v>2018</v>
      </c>
      <c r="B172" s="14" t="s">
        <v>288</v>
      </c>
      <c r="C172" s="14" t="s">
        <v>289</v>
      </c>
      <c r="D172" s="14" t="s">
        <v>5</v>
      </c>
      <c r="E172" s="15" t="s">
        <v>520</v>
      </c>
      <c r="F172" s="10">
        <v>105027.20269999999</v>
      </c>
      <c r="G172" s="10">
        <v>0</v>
      </c>
      <c r="H172" s="16">
        <v>4.0265599999999998E-7</v>
      </c>
    </row>
    <row r="173" spans="1:8" ht="15">
      <c r="A173" s="3">
        <v>2018</v>
      </c>
      <c r="B173" s="14" t="s">
        <v>291</v>
      </c>
      <c r="C173" s="14" t="s">
        <v>292</v>
      </c>
      <c r="D173" s="14" t="s">
        <v>5</v>
      </c>
      <c r="E173" s="15" t="s">
        <v>521</v>
      </c>
      <c r="F173" s="10">
        <v>49389.991600000001</v>
      </c>
      <c r="G173" s="10">
        <v>0</v>
      </c>
      <c r="H173" s="16">
        <v>2.5442600000000001E-6</v>
      </c>
    </row>
    <row r="174" spans="1:8" ht="15">
      <c r="A174" s="3">
        <v>2018</v>
      </c>
      <c r="B174" s="14" t="s">
        <v>294</v>
      </c>
      <c r="C174" s="14" t="s">
        <v>295</v>
      </c>
      <c r="D174" s="14" t="s">
        <v>5</v>
      </c>
      <c r="E174" s="15" t="s">
        <v>522</v>
      </c>
      <c r="F174" s="10">
        <v>45668.288999999997</v>
      </c>
      <c r="G174" s="10">
        <v>0</v>
      </c>
      <c r="H174" s="16">
        <v>1.2435100000000001E-6</v>
      </c>
    </row>
    <row r="175" spans="1:8" ht="15">
      <c r="A175" s="3">
        <v>2018</v>
      </c>
      <c r="B175" s="14" t="s">
        <v>297</v>
      </c>
      <c r="C175" s="14" t="s">
        <v>298</v>
      </c>
      <c r="D175" s="14" t="s">
        <v>5</v>
      </c>
      <c r="E175" s="15" t="s">
        <v>523</v>
      </c>
      <c r="F175" s="10">
        <v>69978.736499999999</v>
      </c>
      <c r="G175" s="10">
        <v>0</v>
      </c>
      <c r="H175" s="16">
        <v>2.07197E-7</v>
      </c>
    </row>
    <row r="176" spans="1:8" ht="15">
      <c r="A176" s="3">
        <v>2018</v>
      </c>
      <c r="B176" s="14" t="s">
        <v>300</v>
      </c>
      <c r="C176" s="14" t="s">
        <v>301</v>
      </c>
      <c r="D176" s="14" t="s">
        <v>5</v>
      </c>
      <c r="E176" s="15" t="s">
        <v>524</v>
      </c>
      <c r="F176" s="10">
        <v>73093.036399999997</v>
      </c>
      <c r="G176" s="10">
        <v>0</v>
      </c>
      <c r="H176" s="16">
        <v>1.3720500000000001E-6</v>
      </c>
    </row>
    <row r="177" spans="1:8" ht="15">
      <c r="A177" s="3">
        <v>2018</v>
      </c>
      <c r="B177" s="14" t="s">
        <v>303</v>
      </c>
      <c r="C177" s="14" t="s">
        <v>304</v>
      </c>
      <c r="D177" s="14" t="s">
        <v>5</v>
      </c>
      <c r="E177" s="15" t="s">
        <v>525</v>
      </c>
      <c r="F177" s="10">
        <v>21004.775399999999</v>
      </c>
      <c r="G177" s="10">
        <v>0</v>
      </c>
      <c r="H177" s="16">
        <v>1.15048E-7</v>
      </c>
    </row>
    <row r="178" spans="1:8" ht="15">
      <c r="A178" s="3">
        <v>2018</v>
      </c>
      <c r="B178" s="14" t="s">
        <v>306</v>
      </c>
      <c r="C178" s="14" t="s">
        <v>307</v>
      </c>
      <c r="D178" s="14" t="s">
        <v>5</v>
      </c>
      <c r="E178" s="15" t="s">
        <v>526</v>
      </c>
      <c r="F178" s="10">
        <v>94679.065600000002</v>
      </c>
      <c r="G178" s="16">
        <v>1.44027E-7</v>
      </c>
      <c r="H178" s="16">
        <v>5.7428300000000001E-7</v>
      </c>
    </row>
    <row r="179" spans="1:8" ht="15">
      <c r="A179" s="3">
        <v>2018</v>
      </c>
      <c r="B179" s="14" t="s">
        <v>309</v>
      </c>
      <c r="C179" s="14" t="s">
        <v>310</v>
      </c>
      <c r="D179" s="14" t="s">
        <v>5</v>
      </c>
      <c r="E179" s="15" t="s">
        <v>527</v>
      </c>
      <c r="F179" s="10">
        <v>107962.6951</v>
      </c>
      <c r="G179" s="16">
        <v>6.3153100000000002E-8</v>
      </c>
      <c r="H179" s="16">
        <v>5.4838999999999995E-7</v>
      </c>
    </row>
    <row r="180" spans="1:8" ht="15">
      <c r="A180" s="3">
        <v>2018</v>
      </c>
      <c r="B180" s="14" t="s">
        <v>312</v>
      </c>
      <c r="C180" s="14" t="s">
        <v>313</v>
      </c>
      <c r="D180" s="14" t="s">
        <v>5</v>
      </c>
      <c r="E180" s="15" t="s">
        <v>528</v>
      </c>
      <c r="F180" s="10">
        <v>156612.59400000001</v>
      </c>
      <c r="G180" s="10">
        <v>0</v>
      </c>
      <c r="H180" s="16">
        <v>7.8693899999999995E-7</v>
      </c>
    </row>
    <row r="181" spans="1:8" ht="15">
      <c r="A181" s="3">
        <v>2018</v>
      </c>
      <c r="B181" s="14" t="s">
        <v>315</v>
      </c>
      <c r="C181" s="14" t="s">
        <v>316</v>
      </c>
      <c r="D181" s="14" t="s">
        <v>5</v>
      </c>
      <c r="E181" s="15" t="s">
        <v>529</v>
      </c>
      <c r="F181" s="10">
        <v>87940.992299999998</v>
      </c>
      <c r="G181" s="16">
        <v>7.7531299999999998E-8</v>
      </c>
      <c r="H181" s="16">
        <v>8.6559899999999999E-7</v>
      </c>
    </row>
    <row r="182" spans="1:8" ht="15">
      <c r="A182" s="3">
        <v>2018</v>
      </c>
      <c r="B182" s="14" t="s">
        <v>318</v>
      </c>
      <c r="C182" s="14" t="s">
        <v>319</v>
      </c>
      <c r="D182" s="14" t="s">
        <v>5</v>
      </c>
      <c r="E182" s="15" t="s">
        <v>530</v>
      </c>
      <c r="F182" s="10">
        <v>46761.008399999999</v>
      </c>
      <c r="G182" s="10">
        <v>0</v>
      </c>
      <c r="H182" s="16">
        <v>1.2919700000000001E-6</v>
      </c>
    </row>
    <row r="183" spans="1:8" ht="15">
      <c r="A183" s="3">
        <v>2018</v>
      </c>
      <c r="B183" s="14" t="s">
        <v>321</v>
      </c>
      <c r="C183" s="14" t="s">
        <v>322</v>
      </c>
      <c r="D183" s="14" t="s">
        <v>5</v>
      </c>
      <c r="E183" s="15" t="s">
        <v>531</v>
      </c>
      <c r="F183" s="10">
        <v>96025.274799999999</v>
      </c>
      <c r="G183" s="10">
        <v>0</v>
      </c>
      <c r="H183" s="16">
        <v>2.8940700000000002E-7</v>
      </c>
    </row>
    <row r="184" spans="1:8" ht="15">
      <c r="A184" s="3">
        <v>2018</v>
      </c>
      <c r="B184" s="14" t="s">
        <v>324</v>
      </c>
      <c r="C184" s="14" t="s">
        <v>325</v>
      </c>
      <c r="D184" s="14" t="s">
        <v>5</v>
      </c>
      <c r="E184" s="15" t="s">
        <v>532</v>
      </c>
      <c r="F184" s="10">
        <v>16637.8505</v>
      </c>
      <c r="G184" s="10">
        <v>0</v>
      </c>
      <c r="H184" s="16">
        <v>3.4132499999999999E-6</v>
      </c>
    </row>
    <row r="185" spans="1:8" ht="15">
      <c r="A185" s="3">
        <v>2018</v>
      </c>
      <c r="B185" s="14" t="s">
        <v>327</v>
      </c>
      <c r="C185" s="14" t="s">
        <v>328</v>
      </c>
      <c r="D185" s="14" t="s">
        <v>5</v>
      </c>
      <c r="E185" s="15" t="s">
        <v>533</v>
      </c>
      <c r="F185" s="10">
        <v>30205.651900000001</v>
      </c>
      <c r="G185" s="10">
        <v>0</v>
      </c>
      <c r="H185" s="16">
        <v>1.00404E-5</v>
      </c>
    </row>
    <row r="186" spans="1:8" ht="15">
      <c r="A186" s="3">
        <v>2018</v>
      </c>
      <c r="B186" s="14" t="s">
        <v>330</v>
      </c>
      <c r="C186" s="14" t="s">
        <v>331</v>
      </c>
      <c r="D186" s="14" t="s">
        <v>5</v>
      </c>
      <c r="E186" s="15" t="s">
        <v>534</v>
      </c>
      <c r="F186" s="10">
        <v>47487.610999999997</v>
      </c>
      <c r="G186" s="10">
        <v>0</v>
      </c>
      <c r="H186" s="16">
        <v>2.28997E-7</v>
      </c>
    </row>
    <row r="187" spans="1:8" ht="15">
      <c r="A187" s="3">
        <v>2018</v>
      </c>
      <c r="B187" s="14" t="s">
        <v>333</v>
      </c>
      <c r="C187" s="14" t="s">
        <v>334</v>
      </c>
      <c r="D187" s="14" t="s">
        <v>5</v>
      </c>
      <c r="E187" s="15" t="s">
        <v>535</v>
      </c>
      <c r="F187" s="10">
        <v>21230.782800000001</v>
      </c>
      <c r="G187" s="10">
        <v>0</v>
      </c>
      <c r="H187" s="10">
        <v>0</v>
      </c>
    </row>
    <row r="188" spans="1:8" ht="15">
      <c r="A188" s="3">
        <v>2018</v>
      </c>
      <c r="B188" s="14" t="s">
        <v>336</v>
      </c>
      <c r="C188" s="14" t="s">
        <v>337</v>
      </c>
      <c r="D188" s="14" t="s">
        <v>5</v>
      </c>
      <c r="E188" s="15" t="s">
        <v>536</v>
      </c>
      <c r="F188" s="10">
        <v>139388.36040000001</v>
      </c>
      <c r="G188" s="16">
        <v>2.44575E-7</v>
      </c>
      <c r="H188" s="16">
        <v>5.2877499999999997E-7</v>
      </c>
    </row>
    <row r="189" spans="1:8" ht="15">
      <c r="A189" s="3">
        <v>2018</v>
      </c>
      <c r="B189" s="14" t="s">
        <v>339</v>
      </c>
      <c r="C189" s="14" t="s">
        <v>340</v>
      </c>
      <c r="D189" s="14" t="s">
        <v>5</v>
      </c>
      <c r="E189" s="15" t="s">
        <v>537</v>
      </c>
      <c r="F189" s="10">
        <v>32827.246899999998</v>
      </c>
      <c r="G189" s="10">
        <v>0</v>
      </c>
      <c r="H189" s="16">
        <v>2.5765100000000001E-7</v>
      </c>
    </row>
    <row r="190" spans="1:8" ht="15">
      <c r="A190" s="3">
        <v>2018</v>
      </c>
      <c r="B190" s="14" t="s">
        <v>342</v>
      </c>
      <c r="C190" s="14" t="s">
        <v>343</v>
      </c>
      <c r="D190" s="14" t="s">
        <v>5</v>
      </c>
      <c r="E190" s="15" t="s">
        <v>538</v>
      </c>
      <c r="F190" s="10">
        <v>306357.86</v>
      </c>
      <c r="G190" s="16">
        <v>1.78045E-7</v>
      </c>
      <c r="H190" s="16">
        <v>3.8651300000000001E-7</v>
      </c>
    </row>
    <row r="191" spans="1:8" ht="15">
      <c r="A191" s="3">
        <v>2018</v>
      </c>
      <c r="B191" s="14" t="s">
        <v>345</v>
      </c>
      <c r="C191" s="14" t="s">
        <v>346</v>
      </c>
      <c r="D191" s="14" t="s">
        <v>5</v>
      </c>
      <c r="E191" s="15" t="s">
        <v>539</v>
      </c>
      <c r="F191" s="10">
        <v>162848.55069999999</v>
      </c>
      <c r="G191" s="16">
        <v>1.2560499999999999E-7</v>
      </c>
      <c r="H191" s="16">
        <v>7.4196499999999999E-8</v>
      </c>
    </row>
    <row r="192" spans="1:8" ht="15">
      <c r="A192" s="3">
        <v>2018</v>
      </c>
      <c r="B192" s="14" t="s">
        <v>348</v>
      </c>
      <c r="C192" s="14" t="s">
        <v>349</v>
      </c>
      <c r="D192" s="14" t="s">
        <v>5</v>
      </c>
      <c r="E192" s="15" t="s">
        <v>540</v>
      </c>
      <c r="F192" s="10">
        <v>11891.4282</v>
      </c>
      <c r="G192" s="10">
        <v>0</v>
      </c>
      <c r="H192" s="16">
        <v>2.0728299999999999E-5</v>
      </c>
    </row>
    <row r="193" spans="1:8" ht="15">
      <c r="A193" s="3">
        <v>2018</v>
      </c>
      <c r="B193" s="14" t="s">
        <v>351</v>
      </c>
      <c r="C193" s="14" t="s">
        <v>352</v>
      </c>
      <c r="D193" s="14" t="s">
        <v>5</v>
      </c>
      <c r="E193" s="15" t="s">
        <v>541</v>
      </c>
      <c r="F193" s="10">
        <v>183157.93919999999</v>
      </c>
      <c r="G193" s="10">
        <v>0</v>
      </c>
      <c r="H193" s="16">
        <v>4.2879999999999998E-7</v>
      </c>
    </row>
    <row r="194" spans="1:8" ht="15">
      <c r="A194" s="3">
        <v>2018</v>
      </c>
      <c r="B194" s="14" t="s">
        <v>354</v>
      </c>
      <c r="C194" s="14" t="s">
        <v>355</v>
      </c>
      <c r="D194" s="14" t="s">
        <v>5</v>
      </c>
      <c r="E194" s="15" t="s">
        <v>542</v>
      </c>
      <c r="F194" s="10">
        <v>61807.489399999999</v>
      </c>
      <c r="G194" s="10">
        <v>0</v>
      </c>
      <c r="H194" s="16">
        <v>3.5188299999999998E-7</v>
      </c>
    </row>
    <row r="195" spans="1:8" ht="15">
      <c r="A195" s="3">
        <v>2018</v>
      </c>
      <c r="B195" s="14" t="s">
        <v>357</v>
      </c>
      <c r="C195" s="14" t="s">
        <v>358</v>
      </c>
      <c r="D195" s="14" t="s">
        <v>5</v>
      </c>
      <c r="E195" s="15" t="s">
        <v>543</v>
      </c>
      <c r="F195" s="10">
        <v>65598.0861</v>
      </c>
      <c r="G195" s="16">
        <v>1.03939E-7</v>
      </c>
      <c r="H195" s="16">
        <v>3.6838899999999998E-8</v>
      </c>
    </row>
    <row r="196" spans="1:8" ht="15">
      <c r="A196" s="3">
        <v>2018</v>
      </c>
      <c r="B196" s="14" t="s">
        <v>360</v>
      </c>
      <c r="C196" s="14" t="s">
        <v>361</v>
      </c>
      <c r="D196" s="14" t="s">
        <v>5</v>
      </c>
      <c r="E196" s="15" t="s">
        <v>544</v>
      </c>
      <c r="F196" s="10">
        <v>200798.39170000001</v>
      </c>
      <c r="G196" s="10">
        <v>0</v>
      </c>
      <c r="H196" s="16">
        <v>7.8225900000000004E-7</v>
      </c>
    </row>
    <row r="197" spans="1:8" ht="15">
      <c r="A197" s="3">
        <v>2018</v>
      </c>
      <c r="B197" s="14" t="s">
        <v>363</v>
      </c>
      <c r="C197" s="14" t="s">
        <v>364</v>
      </c>
      <c r="D197" s="14" t="s">
        <v>5</v>
      </c>
      <c r="E197" s="15" t="s">
        <v>545</v>
      </c>
      <c r="F197" s="10">
        <v>16600.548599999998</v>
      </c>
      <c r="G197" s="10">
        <v>0</v>
      </c>
      <c r="H197" s="16">
        <v>7.27855E-8</v>
      </c>
    </row>
    <row r="198" spans="1:8" ht="15">
      <c r="A198" s="3">
        <v>2018</v>
      </c>
      <c r="B198" s="14" t="s">
        <v>366</v>
      </c>
      <c r="C198" s="14" t="s">
        <v>367</v>
      </c>
      <c r="D198" s="14" t="s">
        <v>5</v>
      </c>
      <c r="E198" s="15" t="s">
        <v>546</v>
      </c>
      <c r="F198" s="10">
        <v>79751.313800000004</v>
      </c>
      <c r="G198" s="10">
        <v>0</v>
      </c>
      <c r="H198" s="16">
        <v>2.2725900000000001E-7</v>
      </c>
    </row>
    <row r="199" spans="1:8" ht="15">
      <c r="A199" s="3">
        <v>2018</v>
      </c>
      <c r="B199" s="14" t="s">
        <v>369</v>
      </c>
      <c r="C199" s="14" t="s">
        <v>370</v>
      </c>
      <c r="D199" s="14" t="s">
        <v>5</v>
      </c>
      <c r="E199" s="15" t="s">
        <v>547</v>
      </c>
      <c r="F199" s="10">
        <v>13783.471600000001</v>
      </c>
      <c r="G199" s="10">
        <v>0</v>
      </c>
      <c r="H199" s="16">
        <v>1.4814799999999999E-5</v>
      </c>
    </row>
    <row r="200" spans="1:8" ht="15">
      <c r="A200" s="3">
        <v>2018</v>
      </c>
      <c r="B200" s="14" t="s">
        <v>372</v>
      </c>
      <c r="C200" s="14" t="s">
        <v>373</v>
      </c>
      <c r="D200" s="14" t="s">
        <v>5</v>
      </c>
      <c r="E200" s="15" t="s">
        <v>548</v>
      </c>
      <c r="F200" s="10">
        <v>106221.4592</v>
      </c>
      <c r="G200" s="10">
        <v>0</v>
      </c>
      <c r="H200" s="16">
        <v>1.3650100000000001E-7</v>
      </c>
    </row>
    <row r="201" spans="1:8" ht="15">
      <c r="A201" s="3">
        <v>2018</v>
      </c>
      <c r="B201" s="14" t="s">
        <v>375</v>
      </c>
      <c r="C201" s="14" t="s">
        <v>376</v>
      </c>
      <c r="D201" s="14" t="s">
        <v>5</v>
      </c>
      <c r="E201" s="15" t="s">
        <v>549</v>
      </c>
      <c r="F201" s="10">
        <v>449076.25319999998</v>
      </c>
      <c r="G201" s="16">
        <v>6.07307E-8</v>
      </c>
      <c r="H201" s="16">
        <v>3.92826E-7</v>
      </c>
    </row>
    <row r="202" spans="1:8" ht="15">
      <c r="A202" s="3">
        <v>2018</v>
      </c>
      <c r="B202" s="14" t="s">
        <v>378</v>
      </c>
      <c r="C202" s="14" t="s">
        <v>379</v>
      </c>
      <c r="D202" s="14" t="s">
        <v>5</v>
      </c>
      <c r="E202" s="15" t="s">
        <v>550</v>
      </c>
      <c r="F202" s="10">
        <v>49467.356200000002</v>
      </c>
      <c r="G202" s="16">
        <v>2.7566400000000003E-7</v>
      </c>
      <c r="H202" s="16">
        <v>2.68684E-7</v>
      </c>
    </row>
    <row r="203" spans="1:8" ht="15">
      <c r="A203" s="3">
        <v>2018</v>
      </c>
      <c r="B203" s="14" t="s">
        <v>381</v>
      </c>
      <c r="C203" s="14" t="s">
        <v>382</v>
      </c>
      <c r="D203" s="14" t="s">
        <v>5</v>
      </c>
      <c r="E203" s="15" t="s">
        <v>551</v>
      </c>
      <c r="F203" s="10">
        <v>9793.8322000000007</v>
      </c>
      <c r="G203" s="10">
        <v>0</v>
      </c>
      <c r="H203" s="16">
        <v>1.23371E-7</v>
      </c>
    </row>
    <row r="204" spans="1:8" ht="15">
      <c r="A204" s="3">
        <v>2018</v>
      </c>
      <c r="B204" s="14" t="s">
        <v>384</v>
      </c>
      <c r="C204" s="14" t="s">
        <v>385</v>
      </c>
      <c r="D204" s="14" t="s">
        <v>5</v>
      </c>
      <c r="E204" s="15" t="s">
        <v>552</v>
      </c>
      <c r="F204" s="10">
        <v>133353.25030000001</v>
      </c>
      <c r="G204" s="16">
        <v>5.1128699999999998E-8</v>
      </c>
      <c r="H204" s="16">
        <v>4.3491599999999998E-7</v>
      </c>
    </row>
    <row r="205" spans="1:8" ht="15">
      <c r="A205" s="3">
        <v>2018</v>
      </c>
      <c r="B205" s="14" t="s">
        <v>387</v>
      </c>
      <c r="C205" s="14" t="s">
        <v>388</v>
      </c>
      <c r="D205" s="14" t="s">
        <v>5</v>
      </c>
      <c r="E205" s="15" t="s">
        <v>553</v>
      </c>
      <c r="F205" s="10">
        <v>118021.2484</v>
      </c>
      <c r="G205" s="10">
        <v>0</v>
      </c>
      <c r="H205" s="16">
        <v>3.07134E-8</v>
      </c>
    </row>
    <row r="206" spans="1:8" ht="15">
      <c r="A206" s="3">
        <v>2018</v>
      </c>
      <c r="B206" s="14" t="s">
        <v>390</v>
      </c>
      <c r="C206" s="14" t="s">
        <v>391</v>
      </c>
      <c r="D206" s="14" t="s">
        <v>5</v>
      </c>
      <c r="E206" s="15" t="s">
        <v>554</v>
      </c>
      <c r="F206" s="10">
        <v>28302.5497</v>
      </c>
      <c r="G206" s="10">
        <v>0</v>
      </c>
      <c r="H206" s="16">
        <v>8.5383099999999996E-8</v>
      </c>
    </row>
    <row r="207" spans="1:8" ht="15">
      <c r="A207" s="3">
        <v>2018</v>
      </c>
      <c r="B207" s="14" t="s">
        <v>393</v>
      </c>
      <c r="C207" s="14" t="s">
        <v>394</v>
      </c>
      <c r="D207" s="14" t="s">
        <v>5</v>
      </c>
      <c r="E207" s="15" t="s">
        <v>555</v>
      </c>
      <c r="F207" s="10">
        <v>91096.390100000004</v>
      </c>
      <c r="G207" s="10">
        <v>0</v>
      </c>
      <c r="H207" s="16">
        <v>4.3770400000000001E-7</v>
      </c>
    </row>
    <row r="208" spans="1:8" ht="15">
      <c r="A208" s="3">
        <v>2018</v>
      </c>
      <c r="B208" s="14" t="s">
        <v>396</v>
      </c>
      <c r="C208" s="14" t="s">
        <v>397</v>
      </c>
      <c r="D208" s="14" t="s">
        <v>5</v>
      </c>
      <c r="E208" s="15" t="s">
        <v>556</v>
      </c>
      <c r="F208" s="10">
        <v>9060.3904999999995</v>
      </c>
      <c r="G208" s="10">
        <v>0</v>
      </c>
      <c r="H208" s="16">
        <v>5.3343400000000004E-7</v>
      </c>
    </row>
    <row r="209" spans="1:8" ht="15">
      <c r="A209" s="3">
        <v>2018</v>
      </c>
      <c r="B209" s="14" t="s">
        <v>399</v>
      </c>
      <c r="C209" s="14" t="s">
        <v>400</v>
      </c>
      <c r="D209" s="14" t="s">
        <v>5</v>
      </c>
      <c r="E209" s="15" t="s">
        <v>557</v>
      </c>
      <c r="F209" s="10">
        <v>39023</v>
      </c>
      <c r="G209" s="16">
        <v>4.5658899999999999E-6</v>
      </c>
      <c r="H209" s="10">
        <v>0</v>
      </c>
    </row>
    <row r="210" spans="1:8" ht="15">
      <c r="A210" s="3">
        <v>2017</v>
      </c>
      <c r="B210" s="14" t="s">
        <v>246</v>
      </c>
      <c r="C210" s="14" t="s">
        <v>247</v>
      </c>
      <c r="D210" s="14" t="s">
        <v>6</v>
      </c>
      <c r="E210" s="15" t="s">
        <v>558</v>
      </c>
      <c r="F210" s="10">
        <v>76862.815400000007</v>
      </c>
      <c r="G210" s="16">
        <v>5.8254600000000003E-7</v>
      </c>
      <c r="H210" s="16">
        <v>9.8167599999999998E-5</v>
      </c>
    </row>
    <row r="211" spans="1:8" ht="15">
      <c r="A211" s="3">
        <v>2017</v>
      </c>
      <c r="B211" s="14" t="s">
        <v>249</v>
      </c>
      <c r="C211" s="14" t="s">
        <v>250</v>
      </c>
      <c r="D211" s="14" t="s">
        <v>6</v>
      </c>
      <c r="E211" s="15" t="s">
        <v>559</v>
      </c>
      <c r="F211" s="10">
        <v>11663.880999999999</v>
      </c>
      <c r="G211" s="16">
        <v>2.5592500000000001E-6</v>
      </c>
      <c r="H211" s="10">
        <v>0</v>
      </c>
    </row>
    <row r="212" spans="1:8" ht="15">
      <c r="A212" s="3">
        <v>2017</v>
      </c>
      <c r="B212" s="14" t="s">
        <v>252</v>
      </c>
      <c r="C212" s="14" t="s">
        <v>253</v>
      </c>
      <c r="D212" s="14" t="s">
        <v>6</v>
      </c>
      <c r="E212" s="15" t="s">
        <v>560</v>
      </c>
      <c r="F212" s="10">
        <v>111072.693</v>
      </c>
      <c r="G212" s="16">
        <v>4.0312399999999998E-7</v>
      </c>
      <c r="H212" s="10">
        <v>1.2567500000000001E-4</v>
      </c>
    </row>
    <row r="213" spans="1:8" ht="15">
      <c r="A213" s="3">
        <v>2017</v>
      </c>
      <c r="B213" s="14" t="s">
        <v>255</v>
      </c>
      <c r="C213" s="14" t="s">
        <v>256</v>
      </c>
      <c r="D213" s="14" t="s">
        <v>6</v>
      </c>
      <c r="E213" s="15" t="s">
        <v>561</v>
      </c>
      <c r="F213" s="10">
        <v>47326.390299999999</v>
      </c>
      <c r="G213" s="10">
        <v>0</v>
      </c>
      <c r="H213" s="16">
        <v>4.7830200000000002E-5</v>
      </c>
    </row>
    <row r="214" spans="1:8" ht="15">
      <c r="A214" s="3">
        <v>2017</v>
      </c>
      <c r="B214" s="14" t="s">
        <v>258</v>
      </c>
      <c r="C214" s="14" t="s">
        <v>259</v>
      </c>
      <c r="D214" s="14" t="s">
        <v>6</v>
      </c>
      <c r="E214" s="15" t="s">
        <v>562</v>
      </c>
      <c r="F214" s="10">
        <v>620620.28509999998</v>
      </c>
      <c r="G214" s="16">
        <v>1.1784100000000001E-6</v>
      </c>
      <c r="H214" s="10">
        <v>1.12055E-4</v>
      </c>
    </row>
    <row r="215" spans="1:8" ht="15">
      <c r="A215" s="3">
        <v>2017</v>
      </c>
      <c r="B215" s="14" t="s">
        <v>261</v>
      </c>
      <c r="C215" s="14" t="s">
        <v>262</v>
      </c>
      <c r="D215" s="14" t="s">
        <v>6</v>
      </c>
      <c r="E215" s="15" t="s">
        <v>563</v>
      </c>
      <c r="F215" s="10">
        <v>88490.413400000005</v>
      </c>
      <c r="G215" s="16">
        <v>1.012E-6</v>
      </c>
      <c r="H215" s="16">
        <v>9.6637499999999998E-5</v>
      </c>
    </row>
    <row r="216" spans="1:8" ht="15">
      <c r="A216" s="3">
        <v>2017</v>
      </c>
      <c r="B216" s="14" t="s">
        <v>264</v>
      </c>
      <c r="C216" s="14" t="s">
        <v>265</v>
      </c>
      <c r="D216" s="14" t="s">
        <v>6</v>
      </c>
      <c r="E216" s="15" t="s">
        <v>564</v>
      </c>
      <c r="F216" s="10">
        <v>56345.154699999999</v>
      </c>
      <c r="G216" s="16">
        <v>2.1191300000000002E-6</v>
      </c>
      <c r="H216" s="16">
        <v>6.6957299999999997E-6</v>
      </c>
    </row>
    <row r="217" spans="1:8" ht="15">
      <c r="A217" s="3">
        <v>2017</v>
      </c>
      <c r="B217" s="14" t="s">
        <v>267</v>
      </c>
      <c r="C217" s="14" t="s">
        <v>268</v>
      </c>
      <c r="D217" s="14" t="s">
        <v>6</v>
      </c>
      <c r="E217" s="15" t="s">
        <v>565</v>
      </c>
      <c r="F217" s="10">
        <v>15087.562</v>
      </c>
      <c r="G217" s="10">
        <v>0</v>
      </c>
      <c r="H217" s="16">
        <v>8.33516E-6</v>
      </c>
    </row>
    <row r="218" spans="1:8" ht="15">
      <c r="A218" s="3">
        <v>2017</v>
      </c>
      <c r="B218" s="14" t="s">
        <v>270</v>
      </c>
      <c r="C218" s="14" t="s">
        <v>271</v>
      </c>
      <c r="D218" s="14" t="s">
        <v>6</v>
      </c>
      <c r="E218" s="15" t="s">
        <v>566</v>
      </c>
      <c r="F218" s="10">
        <v>10957.551600000001</v>
      </c>
      <c r="G218" s="16">
        <v>4.0863299999999997E-6</v>
      </c>
      <c r="H218" s="16">
        <v>4.59071E-5</v>
      </c>
    </row>
    <row r="219" spans="1:8" ht="15">
      <c r="A219" s="3">
        <v>2017</v>
      </c>
      <c r="B219" s="14" t="s">
        <v>273</v>
      </c>
      <c r="C219" s="14" t="s">
        <v>274</v>
      </c>
      <c r="D219" s="14" t="s">
        <v>6</v>
      </c>
      <c r="E219" s="15" t="s">
        <v>567</v>
      </c>
      <c r="F219" s="10">
        <v>330562.50790000003</v>
      </c>
      <c r="G219" s="16">
        <v>4.96666E-6</v>
      </c>
      <c r="H219" s="16">
        <v>1.90217E-6</v>
      </c>
    </row>
    <row r="220" spans="1:8" ht="15">
      <c r="A220" s="3">
        <v>2017</v>
      </c>
      <c r="B220" s="14" t="s">
        <v>276</v>
      </c>
      <c r="C220" s="14" t="s">
        <v>277</v>
      </c>
      <c r="D220" s="14" t="s">
        <v>6</v>
      </c>
      <c r="E220" s="15" t="s">
        <v>568</v>
      </c>
      <c r="F220" s="10">
        <v>164154.1844</v>
      </c>
      <c r="G220" s="16">
        <v>1.81846E-7</v>
      </c>
      <c r="H220" s="16">
        <v>3.67724E-5</v>
      </c>
    </row>
    <row r="221" spans="1:8" ht="15">
      <c r="A221" s="3">
        <v>2017</v>
      </c>
      <c r="B221" s="14" t="s">
        <v>279</v>
      </c>
      <c r="C221" s="14" t="s">
        <v>280</v>
      </c>
      <c r="D221" s="14" t="s">
        <v>6</v>
      </c>
      <c r="E221" s="15" t="s">
        <v>569</v>
      </c>
      <c r="F221" s="10">
        <v>22460.389899999998</v>
      </c>
      <c r="G221" s="16">
        <v>3.98712E-6</v>
      </c>
      <c r="H221" s="10">
        <v>0</v>
      </c>
    </row>
    <row r="222" spans="1:8" ht="15">
      <c r="A222" s="3">
        <v>2017</v>
      </c>
      <c r="B222" s="14" t="s">
        <v>282</v>
      </c>
      <c r="C222" s="14" t="s">
        <v>283</v>
      </c>
      <c r="D222" s="14" t="s">
        <v>6</v>
      </c>
      <c r="E222" s="15" t="s">
        <v>570</v>
      </c>
      <c r="F222" s="10">
        <v>27085.606800000001</v>
      </c>
      <c r="G222" s="10">
        <v>0</v>
      </c>
      <c r="H222" s="10">
        <v>1.16074E-4</v>
      </c>
    </row>
    <row r="223" spans="1:8" ht="15">
      <c r="A223" s="3">
        <v>2017</v>
      </c>
      <c r="B223" s="14" t="s">
        <v>285</v>
      </c>
      <c r="C223" s="14" t="s">
        <v>286</v>
      </c>
      <c r="D223" s="14" t="s">
        <v>6</v>
      </c>
      <c r="E223" s="15" t="s">
        <v>571</v>
      </c>
      <c r="F223" s="10">
        <v>201501.5938</v>
      </c>
      <c r="G223" s="16">
        <v>5.1849499999999996E-7</v>
      </c>
      <c r="H223" s="16">
        <v>5.6169099999999997E-5</v>
      </c>
    </row>
    <row r="224" spans="1:8" ht="15">
      <c r="A224" s="3">
        <v>2017</v>
      </c>
      <c r="B224" s="14" t="s">
        <v>288</v>
      </c>
      <c r="C224" s="14" t="s">
        <v>289</v>
      </c>
      <c r="D224" s="14" t="s">
        <v>6</v>
      </c>
      <c r="E224" s="15" t="s">
        <v>572</v>
      </c>
      <c r="F224" s="10">
        <v>104987.1967</v>
      </c>
      <c r="G224" s="16">
        <v>4.2649099999999998E-7</v>
      </c>
      <c r="H224" s="16">
        <v>3.1143699999999998E-5</v>
      </c>
    </row>
    <row r="225" spans="1:8" ht="15">
      <c r="A225" s="3">
        <v>2017</v>
      </c>
      <c r="B225" s="14" t="s">
        <v>291</v>
      </c>
      <c r="C225" s="14" t="s">
        <v>292</v>
      </c>
      <c r="D225" s="14" t="s">
        <v>6</v>
      </c>
      <c r="E225" s="15" t="s">
        <v>573</v>
      </c>
      <c r="F225" s="10">
        <v>49537.197899999999</v>
      </c>
      <c r="G225" s="16">
        <v>3.0129599999999997E-7</v>
      </c>
      <c r="H225" s="16">
        <v>3.0463700000000001E-5</v>
      </c>
    </row>
    <row r="226" spans="1:8" ht="15">
      <c r="A226" s="3">
        <v>2017</v>
      </c>
      <c r="B226" s="14" t="s">
        <v>294</v>
      </c>
      <c r="C226" s="14" t="s">
        <v>295</v>
      </c>
      <c r="D226" s="14" t="s">
        <v>6</v>
      </c>
      <c r="E226" s="15" t="s">
        <v>574</v>
      </c>
      <c r="F226" s="10">
        <v>45865.811300000001</v>
      </c>
      <c r="G226" s="16">
        <v>6.5082800000000001E-7</v>
      </c>
      <c r="H226" s="16">
        <v>7.4029999999999994E-5</v>
      </c>
    </row>
    <row r="227" spans="1:8" ht="15">
      <c r="A227" s="3">
        <v>2017</v>
      </c>
      <c r="B227" s="14" t="s">
        <v>297</v>
      </c>
      <c r="C227" s="14" t="s">
        <v>298</v>
      </c>
      <c r="D227" s="14" t="s">
        <v>6</v>
      </c>
      <c r="E227" s="15" t="s">
        <v>575</v>
      </c>
      <c r="F227" s="10">
        <v>70205.115699999995</v>
      </c>
      <c r="G227" s="16">
        <v>4.2519299999999999E-7</v>
      </c>
      <c r="H227" s="16">
        <v>1.7912799999999999E-5</v>
      </c>
    </row>
    <row r="228" spans="1:8" ht="15">
      <c r="A228" s="3">
        <v>2017</v>
      </c>
      <c r="B228" s="14" t="s">
        <v>300</v>
      </c>
      <c r="C228" s="14" t="s">
        <v>301</v>
      </c>
      <c r="D228" s="14" t="s">
        <v>6</v>
      </c>
      <c r="E228" s="15" t="s">
        <v>576</v>
      </c>
      <c r="F228" s="10">
        <v>73647.229900000006</v>
      </c>
      <c r="G228" s="16">
        <v>2.0265999999999999E-7</v>
      </c>
      <c r="H228" s="16">
        <v>9.0500800000000006E-5</v>
      </c>
    </row>
    <row r="229" spans="1:8" ht="15">
      <c r="A229" s="3">
        <v>2017</v>
      </c>
      <c r="B229" s="14" t="s">
        <v>303</v>
      </c>
      <c r="C229" s="14" t="s">
        <v>304</v>
      </c>
      <c r="D229" s="14" t="s">
        <v>6</v>
      </c>
      <c r="E229" s="15" t="s">
        <v>577</v>
      </c>
      <c r="F229" s="10">
        <v>21044.6878</v>
      </c>
      <c r="G229" s="16">
        <v>7.0922300000000002E-7</v>
      </c>
      <c r="H229" s="10">
        <v>0</v>
      </c>
    </row>
    <row r="230" spans="1:8" ht="15">
      <c r="A230" s="3">
        <v>2017</v>
      </c>
      <c r="B230" s="14" t="s">
        <v>306</v>
      </c>
      <c r="C230" s="14" t="s">
        <v>307</v>
      </c>
      <c r="D230" s="14" t="s">
        <v>6</v>
      </c>
      <c r="E230" s="15" t="s">
        <v>578</v>
      </c>
      <c r="F230" s="10">
        <v>94986.723599999998</v>
      </c>
      <c r="G230" s="16">
        <v>1.7284400000000001E-6</v>
      </c>
      <c r="H230" s="16">
        <v>7.9436800000000002E-6</v>
      </c>
    </row>
    <row r="231" spans="1:8" ht="15">
      <c r="A231" s="3">
        <v>2017</v>
      </c>
      <c r="B231" s="14" t="s">
        <v>309</v>
      </c>
      <c r="C231" s="14" t="s">
        <v>310</v>
      </c>
      <c r="D231" s="14" t="s">
        <v>6</v>
      </c>
      <c r="E231" s="15" t="s">
        <v>579</v>
      </c>
      <c r="F231" s="10">
        <v>108167.85520000001</v>
      </c>
      <c r="G231" s="16">
        <v>1.6558000000000001E-6</v>
      </c>
      <c r="H231" s="16">
        <v>6.9756700000000004E-6</v>
      </c>
    </row>
    <row r="232" spans="1:8" ht="15">
      <c r="A232" s="3">
        <v>2017</v>
      </c>
      <c r="B232" s="14" t="s">
        <v>312</v>
      </c>
      <c r="C232" s="14" t="s">
        <v>313</v>
      </c>
      <c r="D232" s="14" t="s">
        <v>6</v>
      </c>
      <c r="E232" s="15" t="s">
        <v>580</v>
      </c>
      <c r="F232" s="10">
        <v>157259.9902</v>
      </c>
      <c r="G232" s="16">
        <v>6.6436199999999995E-7</v>
      </c>
      <c r="H232" s="16">
        <v>3.1987099999999997E-5</v>
      </c>
    </row>
    <row r="233" spans="1:8" ht="15">
      <c r="A233" s="3">
        <v>2017</v>
      </c>
      <c r="B233" s="14" t="s">
        <v>315</v>
      </c>
      <c r="C233" s="14" t="s">
        <v>316</v>
      </c>
      <c r="D233" s="14" t="s">
        <v>6</v>
      </c>
      <c r="E233" s="15" t="s">
        <v>581</v>
      </c>
      <c r="F233" s="10">
        <v>87770.507299999997</v>
      </c>
      <c r="G233" s="16">
        <v>1.3603999999999999E-6</v>
      </c>
      <c r="H233" s="16">
        <v>4.29839E-5</v>
      </c>
    </row>
    <row r="234" spans="1:8" ht="15">
      <c r="A234" s="3">
        <v>2017</v>
      </c>
      <c r="B234" s="14" t="s">
        <v>318</v>
      </c>
      <c r="C234" s="14" t="s">
        <v>319</v>
      </c>
      <c r="D234" s="14" t="s">
        <v>6</v>
      </c>
      <c r="E234" s="15" t="s">
        <v>582</v>
      </c>
      <c r="F234" s="10">
        <v>47124.002899999999</v>
      </c>
      <c r="G234" s="16">
        <v>6.3345099999999997E-7</v>
      </c>
      <c r="H234" s="10">
        <v>1.6812500000000001E-4</v>
      </c>
    </row>
    <row r="235" spans="1:8" ht="15">
      <c r="A235" s="3">
        <v>2017</v>
      </c>
      <c r="B235" s="14" t="s">
        <v>321</v>
      </c>
      <c r="C235" s="14" t="s">
        <v>322</v>
      </c>
      <c r="D235" s="14" t="s">
        <v>6</v>
      </c>
      <c r="E235" s="15" t="s">
        <v>583</v>
      </c>
      <c r="F235" s="10">
        <v>96292.378200000006</v>
      </c>
      <c r="G235" s="16">
        <v>3.1000100000000002E-7</v>
      </c>
      <c r="H235" s="16">
        <v>2.48139E-5</v>
      </c>
    </row>
    <row r="236" spans="1:8" ht="15">
      <c r="A236" s="3">
        <v>2017</v>
      </c>
      <c r="B236" s="14" t="s">
        <v>324</v>
      </c>
      <c r="C236" s="14" t="s">
        <v>325</v>
      </c>
      <c r="D236" s="14" t="s">
        <v>6</v>
      </c>
      <c r="E236" s="15" t="s">
        <v>584</v>
      </c>
      <c r="F236" s="10">
        <v>16595.950799999999</v>
      </c>
      <c r="G236" s="10">
        <v>0</v>
      </c>
      <c r="H236" s="16">
        <v>8.3353499999999994E-5</v>
      </c>
    </row>
    <row r="237" spans="1:8" ht="15">
      <c r="A237" s="3">
        <v>2017</v>
      </c>
      <c r="B237" s="14" t="s">
        <v>327</v>
      </c>
      <c r="C237" s="14" t="s">
        <v>328</v>
      </c>
      <c r="D237" s="14" t="s">
        <v>6</v>
      </c>
      <c r="E237" s="15" t="s">
        <v>585</v>
      </c>
      <c r="F237" s="10">
        <v>30211.406999999999</v>
      </c>
      <c r="G237" s="16">
        <v>9.8806199999999992E-7</v>
      </c>
      <c r="H237" s="10">
        <v>2.8305499999999999E-4</v>
      </c>
    </row>
    <row r="238" spans="1:8" ht="15">
      <c r="A238" s="3">
        <v>2017</v>
      </c>
      <c r="B238" s="14" t="s">
        <v>330</v>
      </c>
      <c r="C238" s="14" t="s">
        <v>331</v>
      </c>
      <c r="D238" s="14" t="s">
        <v>6</v>
      </c>
      <c r="E238" s="15" t="s">
        <v>586</v>
      </c>
      <c r="F238" s="10">
        <v>46830.631999999998</v>
      </c>
      <c r="G238" s="16">
        <v>3.1871000000000003E-7</v>
      </c>
      <c r="H238" s="10">
        <v>1.7991900000000001E-4</v>
      </c>
    </row>
    <row r="239" spans="1:8" ht="15">
      <c r="A239" s="3">
        <v>2017</v>
      </c>
      <c r="B239" s="14" t="s">
        <v>333</v>
      </c>
      <c r="C239" s="14" t="s">
        <v>334</v>
      </c>
      <c r="D239" s="14" t="s">
        <v>6</v>
      </c>
      <c r="E239" s="15" t="s">
        <v>587</v>
      </c>
      <c r="F239" s="10">
        <v>21268.204699999998</v>
      </c>
      <c r="G239" s="10">
        <v>0</v>
      </c>
      <c r="H239" s="16">
        <v>5.9129200000000003E-6</v>
      </c>
    </row>
    <row r="240" spans="1:8" ht="15">
      <c r="A240" s="3">
        <v>2017</v>
      </c>
      <c r="B240" s="14" t="s">
        <v>336</v>
      </c>
      <c r="C240" s="14" t="s">
        <v>337</v>
      </c>
      <c r="D240" s="14" t="s">
        <v>6</v>
      </c>
      <c r="E240" s="15" t="s">
        <v>588</v>
      </c>
      <c r="F240" s="10">
        <v>140110.45850000001</v>
      </c>
      <c r="G240" s="16">
        <v>1.27831E-6</v>
      </c>
      <c r="H240" s="16">
        <v>7.1804699999999997E-6</v>
      </c>
    </row>
    <row r="241" spans="1:8" ht="15">
      <c r="A241" s="3">
        <v>2017</v>
      </c>
      <c r="B241" s="14" t="s">
        <v>339</v>
      </c>
      <c r="C241" s="14" t="s">
        <v>340</v>
      </c>
      <c r="D241" s="14" t="s">
        <v>6</v>
      </c>
      <c r="E241" s="15" t="s">
        <v>589</v>
      </c>
      <c r="F241" s="10">
        <v>32984.074099999998</v>
      </c>
      <c r="G241" s="10">
        <v>0</v>
      </c>
      <c r="H241" s="10">
        <v>1.2581800000000001E-4</v>
      </c>
    </row>
    <row r="242" spans="1:8" ht="15">
      <c r="A242" s="3">
        <v>2017</v>
      </c>
      <c r="B242" s="14" t="s">
        <v>342</v>
      </c>
      <c r="C242" s="14" t="s">
        <v>343</v>
      </c>
      <c r="D242" s="14" t="s">
        <v>6</v>
      </c>
      <c r="E242" s="15" t="s">
        <v>590</v>
      </c>
      <c r="F242" s="10">
        <v>308896.0882</v>
      </c>
      <c r="G242" s="16">
        <v>3.0923800000000001E-6</v>
      </c>
      <c r="H242" s="16">
        <v>2.0763000000000001E-5</v>
      </c>
    </row>
    <row r="243" spans="1:8" ht="15">
      <c r="A243" s="3">
        <v>2017</v>
      </c>
      <c r="B243" s="14" t="s">
        <v>345</v>
      </c>
      <c r="C243" s="14" t="s">
        <v>346</v>
      </c>
      <c r="D243" s="14" t="s">
        <v>6</v>
      </c>
      <c r="E243" s="15" t="s">
        <v>591</v>
      </c>
      <c r="F243" s="10">
        <v>161913.5429</v>
      </c>
      <c r="G243" s="16">
        <v>7.37449E-7</v>
      </c>
      <c r="H243" s="16">
        <v>6.21355E-6</v>
      </c>
    </row>
    <row r="244" spans="1:8" ht="15">
      <c r="A244" s="3">
        <v>2017</v>
      </c>
      <c r="B244" s="14" t="s">
        <v>348</v>
      </c>
      <c r="C244" s="14" t="s">
        <v>349</v>
      </c>
      <c r="D244" s="14" t="s">
        <v>6</v>
      </c>
      <c r="E244" s="15" t="s">
        <v>592</v>
      </c>
      <c r="F244" s="10">
        <v>11904.2228</v>
      </c>
      <c r="G244" s="10">
        <v>0</v>
      </c>
      <c r="H244" s="10">
        <v>6.5497400000000001E-4</v>
      </c>
    </row>
    <row r="245" spans="1:8" ht="15">
      <c r="A245" s="3">
        <v>2017</v>
      </c>
      <c r="B245" s="14" t="s">
        <v>351</v>
      </c>
      <c r="C245" s="14" t="s">
        <v>352</v>
      </c>
      <c r="D245" s="14" t="s">
        <v>6</v>
      </c>
      <c r="E245" s="15" t="s">
        <v>593</v>
      </c>
      <c r="F245" s="10">
        <v>183853.95430000001</v>
      </c>
      <c r="G245" s="16">
        <v>2.4354200000000002E-7</v>
      </c>
      <c r="H245" s="16">
        <v>2.3256199999999999E-5</v>
      </c>
    </row>
    <row r="246" spans="1:8" ht="15">
      <c r="A246" s="3">
        <v>2017</v>
      </c>
      <c r="B246" s="14" t="s">
        <v>354</v>
      </c>
      <c r="C246" s="14" t="s">
        <v>355</v>
      </c>
      <c r="D246" s="14" t="s">
        <v>6</v>
      </c>
      <c r="E246" s="15" t="s">
        <v>594</v>
      </c>
      <c r="F246" s="10">
        <v>61990.539299999997</v>
      </c>
      <c r="G246" s="16">
        <v>2.4076899999999998E-7</v>
      </c>
      <c r="H246" s="16">
        <v>8.5203400000000005E-5</v>
      </c>
    </row>
    <row r="247" spans="1:8" ht="15">
      <c r="A247" s="3">
        <v>2017</v>
      </c>
      <c r="B247" s="14" t="s">
        <v>357</v>
      </c>
      <c r="C247" s="14" t="s">
        <v>358</v>
      </c>
      <c r="D247" s="14" t="s">
        <v>6</v>
      </c>
      <c r="E247" s="15" t="s">
        <v>595</v>
      </c>
      <c r="F247" s="10">
        <v>65338.311300000001</v>
      </c>
      <c r="G247" s="16">
        <v>1.14216E-6</v>
      </c>
      <c r="H247" s="16">
        <v>1.1548299999999999E-5</v>
      </c>
    </row>
    <row r="248" spans="1:8" ht="15">
      <c r="A248" s="3">
        <v>2017</v>
      </c>
      <c r="B248" s="14" t="s">
        <v>360</v>
      </c>
      <c r="C248" s="14" t="s">
        <v>361</v>
      </c>
      <c r="D248" s="14" t="s">
        <v>6</v>
      </c>
      <c r="E248" s="15" t="s">
        <v>596</v>
      </c>
      <c r="F248" s="10">
        <v>201640.5607</v>
      </c>
      <c r="G248" s="16">
        <v>5.1813799999999995E-7</v>
      </c>
      <c r="H248" s="16">
        <v>1.24734E-5</v>
      </c>
    </row>
    <row r="249" spans="1:8" ht="15">
      <c r="A249" s="3">
        <v>2017</v>
      </c>
      <c r="B249" s="14" t="s">
        <v>363</v>
      </c>
      <c r="C249" s="14" t="s">
        <v>364</v>
      </c>
      <c r="D249" s="14" t="s">
        <v>6</v>
      </c>
      <c r="E249" s="15" t="s">
        <v>597</v>
      </c>
      <c r="F249" s="10">
        <v>16646.2677</v>
      </c>
      <c r="G249" s="16">
        <v>2.68986E-6</v>
      </c>
      <c r="H249" s="16">
        <v>1.51094E-5</v>
      </c>
    </row>
    <row r="250" spans="1:8" ht="15">
      <c r="A250" s="3">
        <v>2017</v>
      </c>
      <c r="B250" s="14" t="s">
        <v>366</v>
      </c>
      <c r="C250" s="14" t="s">
        <v>367</v>
      </c>
      <c r="D250" s="14" t="s">
        <v>6</v>
      </c>
      <c r="E250" s="15" t="s">
        <v>598</v>
      </c>
      <c r="F250" s="10">
        <v>79177.3318</v>
      </c>
      <c r="G250" s="16">
        <v>3.7701099999999999E-7</v>
      </c>
      <c r="H250" s="16">
        <v>2.8589400000000001E-5</v>
      </c>
    </row>
    <row r="251" spans="1:8" ht="15">
      <c r="A251" s="3">
        <v>2017</v>
      </c>
      <c r="B251" s="14" t="s">
        <v>369</v>
      </c>
      <c r="C251" s="14" t="s">
        <v>370</v>
      </c>
      <c r="D251" s="14" t="s">
        <v>6</v>
      </c>
      <c r="E251" s="15" t="s">
        <v>599</v>
      </c>
      <c r="F251" s="10">
        <v>13763.726500000001</v>
      </c>
      <c r="G251" s="10">
        <v>0</v>
      </c>
      <c r="H251" s="10">
        <v>6.6699100000000002E-4</v>
      </c>
    </row>
    <row r="252" spans="1:8" ht="15">
      <c r="A252" s="3">
        <v>2017</v>
      </c>
      <c r="B252" s="14" t="s">
        <v>372</v>
      </c>
      <c r="C252" s="14" t="s">
        <v>373</v>
      </c>
      <c r="D252" s="14" t="s">
        <v>6</v>
      </c>
      <c r="E252" s="15" t="s">
        <v>600</v>
      </c>
      <c r="F252" s="10">
        <v>105786.98540000001</v>
      </c>
      <c r="G252" s="16">
        <v>2.82178E-7</v>
      </c>
      <c r="H252" s="16">
        <v>3.5663400000000001E-5</v>
      </c>
    </row>
    <row r="253" spans="1:8" ht="15">
      <c r="A253" s="3">
        <v>2017</v>
      </c>
      <c r="B253" s="14" t="s">
        <v>375</v>
      </c>
      <c r="C253" s="14" t="s">
        <v>376</v>
      </c>
      <c r="D253" s="14" t="s">
        <v>6</v>
      </c>
      <c r="E253" s="15" t="s">
        <v>601</v>
      </c>
      <c r="F253" s="10">
        <v>446171.011</v>
      </c>
      <c r="G253" s="16">
        <v>1.8064200000000001E-6</v>
      </c>
      <c r="H253" s="16">
        <v>3.8050999999999999E-5</v>
      </c>
    </row>
    <row r="254" spans="1:8" ht="15">
      <c r="A254" s="3">
        <v>2017</v>
      </c>
      <c r="B254" s="14" t="s">
        <v>378</v>
      </c>
      <c r="C254" s="14" t="s">
        <v>379</v>
      </c>
      <c r="D254" s="14" t="s">
        <v>6</v>
      </c>
      <c r="E254" s="15" t="s">
        <v>602</v>
      </c>
      <c r="F254" s="10">
        <v>48898.451800000003</v>
      </c>
      <c r="G254" s="16">
        <v>1.22093E-6</v>
      </c>
      <c r="H254" s="10">
        <v>1.59452E-4</v>
      </c>
    </row>
    <row r="255" spans="1:8" ht="15">
      <c r="A255" s="3">
        <v>2017</v>
      </c>
      <c r="B255" s="14" t="s">
        <v>381</v>
      </c>
      <c r="C255" s="14" t="s">
        <v>382</v>
      </c>
      <c r="D255" s="14" t="s">
        <v>6</v>
      </c>
      <c r="E255" s="15" t="s">
        <v>603</v>
      </c>
      <c r="F255" s="10">
        <v>9844.9020999999993</v>
      </c>
      <c r="G255" s="16">
        <v>6.0642000000000003E-6</v>
      </c>
      <c r="H255" s="16">
        <v>3.8321500000000002E-5</v>
      </c>
    </row>
    <row r="256" spans="1:8" ht="15">
      <c r="A256" s="3">
        <v>2017</v>
      </c>
      <c r="B256" s="14" t="s">
        <v>384</v>
      </c>
      <c r="C256" s="14" t="s">
        <v>385</v>
      </c>
      <c r="D256" s="14" t="s">
        <v>6</v>
      </c>
      <c r="E256" s="15" t="s">
        <v>604</v>
      </c>
      <c r="F256" s="10">
        <v>133457.17389999999</v>
      </c>
      <c r="G256" s="16">
        <v>7.8285499999999998E-7</v>
      </c>
      <c r="H256" s="16">
        <v>1.225E-5</v>
      </c>
    </row>
    <row r="257" spans="1:8" ht="15">
      <c r="A257" s="3">
        <v>2017</v>
      </c>
      <c r="B257" s="14" t="s">
        <v>387</v>
      </c>
      <c r="C257" s="14" t="s">
        <v>388</v>
      </c>
      <c r="D257" s="14" t="s">
        <v>6</v>
      </c>
      <c r="E257" s="15" t="s">
        <v>605</v>
      </c>
      <c r="F257" s="10">
        <v>117054.4963</v>
      </c>
      <c r="G257" s="16">
        <v>1.9126199999999998E-6</v>
      </c>
      <c r="H257" s="16">
        <v>1.3966499999999999E-5</v>
      </c>
    </row>
    <row r="258" spans="1:8" ht="15">
      <c r="A258" s="3">
        <v>2017</v>
      </c>
      <c r="B258" s="14" t="s">
        <v>390</v>
      </c>
      <c r="C258" s="14" t="s">
        <v>391</v>
      </c>
      <c r="D258" s="14" t="s">
        <v>6</v>
      </c>
      <c r="E258" s="15" t="s">
        <v>606</v>
      </c>
      <c r="F258" s="10">
        <v>28651.234799999998</v>
      </c>
      <c r="G258" s="16">
        <v>5.2093300000000002E-7</v>
      </c>
      <c r="H258" s="16">
        <v>4.3892399999999997E-6</v>
      </c>
    </row>
    <row r="259" spans="1:8" ht="15">
      <c r="A259" s="3">
        <v>2017</v>
      </c>
      <c r="B259" s="14" t="s">
        <v>393</v>
      </c>
      <c r="C259" s="14" t="s">
        <v>394</v>
      </c>
      <c r="D259" s="14" t="s">
        <v>6</v>
      </c>
      <c r="E259" s="15" t="s">
        <v>607</v>
      </c>
      <c r="F259" s="10">
        <v>91301.933799999999</v>
      </c>
      <c r="G259" s="16">
        <v>6.5389099999999996E-7</v>
      </c>
      <c r="H259" s="16">
        <v>7.0246299999999999E-5</v>
      </c>
    </row>
    <row r="260" spans="1:8" ht="15">
      <c r="A260" s="3">
        <v>2017</v>
      </c>
      <c r="B260" s="14" t="s">
        <v>396</v>
      </c>
      <c r="C260" s="14" t="s">
        <v>397</v>
      </c>
      <c r="D260" s="14" t="s">
        <v>6</v>
      </c>
      <c r="E260" s="15" t="s">
        <v>608</v>
      </c>
      <c r="F260" s="10">
        <v>9128.8120999999992</v>
      </c>
      <c r="G260" s="16">
        <v>3.2699499999999999E-6</v>
      </c>
      <c r="H260" s="16">
        <v>9.6431100000000006E-5</v>
      </c>
    </row>
    <row r="261" spans="1:8" ht="15">
      <c r="A261" s="3">
        <v>2017</v>
      </c>
      <c r="B261" s="14" t="s">
        <v>399</v>
      </c>
      <c r="C261" s="14" t="s">
        <v>400</v>
      </c>
      <c r="D261" s="14" t="s">
        <v>6</v>
      </c>
      <c r="E261" s="15" t="s">
        <v>609</v>
      </c>
      <c r="F261" s="10">
        <v>39023</v>
      </c>
      <c r="G261" s="10">
        <v>4.3182600000000001E-4</v>
      </c>
      <c r="H261" s="10">
        <v>0</v>
      </c>
    </row>
    <row r="262" spans="1:8" ht="15">
      <c r="A262" s="3">
        <v>2017</v>
      </c>
      <c r="B262" s="14" t="s">
        <v>246</v>
      </c>
      <c r="C262" s="14" t="s">
        <v>247</v>
      </c>
      <c r="D262" s="14" t="s">
        <v>5</v>
      </c>
      <c r="E262" s="15" t="s">
        <v>610</v>
      </c>
      <c r="F262" s="10">
        <v>76862.815400000007</v>
      </c>
      <c r="G262" s="16">
        <v>5.8254600000000003E-7</v>
      </c>
      <c r="H262" s="16">
        <v>8.5132700000000001E-7</v>
      </c>
    </row>
    <row r="263" spans="1:8" ht="15">
      <c r="A263" s="3">
        <v>2017</v>
      </c>
      <c r="B263" s="14" t="s">
        <v>249</v>
      </c>
      <c r="C263" s="14" t="s">
        <v>250</v>
      </c>
      <c r="D263" s="14" t="s">
        <v>5</v>
      </c>
      <c r="E263" s="15" t="s">
        <v>611</v>
      </c>
      <c r="F263" s="10">
        <v>11663.880999999999</v>
      </c>
      <c r="G263" s="16">
        <v>2.5592500000000001E-6</v>
      </c>
      <c r="H263" s="10">
        <v>0</v>
      </c>
    </row>
    <row r="264" spans="1:8" ht="15">
      <c r="A264" s="3">
        <v>2017</v>
      </c>
      <c r="B264" s="14" t="s">
        <v>252</v>
      </c>
      <c r="C264" s="14" t="s">
        <v>253</v>
      </c>
      <c r="D264" s="14" t="s">
        <v>5</v>
      </c>
      <c r="E264" s="15" t="s">
        <v>612</v>
      </c>
      <c r="F264" s="10">
        <v>111072.693</v>
      </c>
      <c r="G264" s="16">
        <v>4.0312399999999998E-7</v>
      </c>
      <c r="H264" s="16">
        <v>1.08988E-6</v>
      </c>
    </row>
    <row r="265" spans="1:8" ht="15">
      <c r="A265" s="3">
        <v>2017</v>
      </c>
      <c r="B265" s="14" t="s">
        <v>255</v>
      </c>
      <c r="C265" s="14" t="s">
        <v>256</v>
      </c>
      <c r="D265" s="14" t="s">
        <v>5</v>
      </c>
      <c r="E265" s="15" t="s">
        <v>613</v>
      </c>
      <c r="F265" s="10">
        <v>47326.390299999999</v>
      </c>
      <c r="G265" s="10">
        <v>0</v>
      </c>
      <c r="H265" s="16">
        <v>4.1479200000000003E-7</v>
      </c>
    </row>
    <row r="266" spans="1:8" ht="15">
      <c r="A266" s="3">
        <v>2017</v>
      </c>
      <c r="B266" s="14" t="s">
        <v>258</v>
      </c>
      <c r="C266" s="14" t="s">
        <v>259</v>
      </c>
      <c r="D266" s="14" t="s">
        <v>5</v>
      </c>
      <c r="E266" s="15" t="s">
        <v>614</v>
      </c>
      <c r="F266" s="10">
        <v>620620.28509999998</v>
      </c>
      <c r="G266" s="16">
        <v>1.1784100000000001E-6</v>
      </c>
      <c r="H266" s="16">
        <v>9.7176400000000002E-7</v>
      </c>
    </row>
    <row r="267" spans="1:8" ht="15">
      <c r="A267" s="3">
        <v>2017</v>
      </c>
      <c r="B267" s="14" t="s">
        <v>261</v>
      </c>
      <c r="C267" s="14" t="s">
        <v>262</v>
      </c>
      <c r="D267" s="14" t="s">
        <v>5</v>
      </c>
      <c r="E267" s="15" t="s">
        <v>615</v>
      </c>
      <c r="F267" s="10">
        <v>88490.413400000005</v>
      </c>
      <c r="G267" s="16">
        <v>1.012E-6</v>
      </c>
      <c r="H267" s="16">
        <v>8.3805799999999997E-7</v>
      </c>
    </row>
    <row r="268" spans="1:8" ht="15">
      <c r="A268" s="3">
        <v>2017</v>
      </c>
      <c r="B268" s="14" t="s">
        <v>264</v>
      </c>
      <c r="C268" s="14" t="s">
        <v>265</v>
      </c>
      <c r="D268" s="14" t="s">
        <v>5</v>
      </c>
      <c r="E268" s="15" t="s">
        <v>616</v>
      </c>
      <c r="F268" s="10">
        <v>56345.154699999999</v>
      </c>
      <c r="G268" s="16">
        <v>2.1191300000000002E-6</v>
      </c>
      <c r="H268" s="16">
        <v>5.8066599999999998E-8</v>
      </c>
    </row>
    <row r="269" spans="1:8" ht="15">
      <c r="A269" s="3">
        <v>2017</v>
      </c>
      <c r="B269" s="14" t="s">
        <v>267</v>
      </c>
      <c r="C269" s="14" t="s">
        <v>268</v>
      </c>
      <c r="D269" s="14" t="s">
        <v>5</v>
      </c>
      <c r="E269" s="15" t="s">
        <v>617</v>
      </c>
      <c r="F269" s="10">
        <v>15087.562</v>
      </c>
      <c r="G269" s="10">
        <v>0</v>
      </c>
      <c r="H269" s="16">
        <v>7.2284100000000006E-8</v>
      </c>
    </row>
    <row r="270" spans="1:8" ht="15">
      <c r="A270" s="3">
        <v>2017</v>
      </c>
      <c r="B270" s="14" t="s">
        <v>270</v>
      </c>
      <c r="C270" s="14" t="s">
        <v>271</v>
      </c>
      <c r="D270" s="14" t="s">
        <v>5</v>
      </c>
      <c r="E270" s="15" t="s">
        <v>618</v>
      </c>
      <c r="F270" s="10">
        <v>10957.551600000001</v>
      </c>
      <c r="G270" s="16">
        <v>4.0863299999999997E-6</v>
      </c>
      <c r="H270" s="16">
        <v>3.9811499999999999E-7</v>
      </c>
    </row>
    <row r="271" spans="1:8" ht="15">
      <c r="A271" s="3">
        <v>2017</v>
      </c>
      <c r="B271" s="14" t="s">
        <v>273</v>
      </c>
      <c r="C271" s="14" t="s">
        <v>274</v>
      </c>
      <c r="D271" s="14" t="s">
        <v>5</v>
      </c>
      <c r="E271" s="15" t="s">
        <v>619</v>
      </c>
      <c r="F271" s="10">
        <v>330562.50790000003</v>
      </c>
      <c r="G271" s="16">
        <v>4.96666E-6</v>
      </c>
      <c r="H271" s="16">
        <v>1.6496000000000001E-8</v>
      </c>
    </row>
    <row r="272" spans="1:8" ht="15">
      <c r="A272" s="3">
        <v>2017</v>
      </c>
      <c r="B272" s="14" t="s">
        <v>276</v>
      </c>
      <c r="C272" s="14" t="s">
        <v>277</v>
      </c>
      <c r="D272" s="14" t="s">
        <v>5</v>
      </c>
      <c r="E272" s="15" t="s">
        <v>620</v>
      </c>
      <c r="F272" s="10">
        <v>164154.1844</v>
      </c>
      <c r="G272" s="16">
        <v>1.81846E-7</v>
      </c>
      <c r="H272" s="16">
        <v>3.18897E-7</v>
      </c>
    </row>
    <row r="273" spans="1:8" ht="15">
      <c r="A273" s="3">
        <v>2017</v>
      </c>
      <c r="B273" s="14" t="s">
        <v>279</v>
      </c>
      <c r="C273" s="14" t="s">
        <v>280</v>
      </c>
      <c r="D273" s="14" t="s">
        <v>5</v>
      </c>
      <c r="E273" s="15" t="s">
        <v>621</v>
      </c>
      <c r="F273" s="10">
        <v>22460.389899999998</v>
      </c>
      <c r="G273" s="16">
        <v>3.98712E-6</v>
      </c>
      <c r="H273" s="10">
        <v>0</v>
      </c>
    </row>
    <row r="274" spans="1:8" ht="15">
      <c r="A274" s="3">
        <v>2017</v>
      </c>
      <c r="B274" s="14" t="s">
        <v>282</v>
      </c>
      <c r="C274" s="14" t="s">
        <v>283</v>
      </c>
      <c r="D274" s="14" t="s">
        <v>5</v>
      </c>
      <c r="E274" s="15" t="s">
        <v>622</v>
      </c>
      <c r="F274" s="10">
        <v>27085.606800000001</v>
      </c>
      <c r="G274" s="10">
        <v>0</v>
      </c>
      <c r="H274" s="16">
        <v>1.0066100000000001E-6</v>
      </c>
    </row>
    <row r="275" spans="1:8" ht="15">
      <c r="A275" s="3">
        <v>2017</v>
      </c>
      <c r="B275" s="14" t="s">
        <v>285</v>
      </c>
      <c r="C275" s="14" t="s">
        <v>286</v>
      </c>
      <c r="D275" s="14" t="s">
        <v>5</v>
      </c>
      <c r="E275" s="15" t="s">
        <v>623</v>
      </c>
      <c r="F275" s="10">
        <v>201501.5938</v>
      </c>
      <c r="G275" s="16">
        <v>5.1849499999999996E-7</v>
      </c>
      <c r="H275" s="16">
        <v>4.8710799999999997E-7</v>
      </c>
    </row>
    <row r="276" spans="1:8" ht="15">
      <c r="A276" s="3">
        <v>2017</v>
      </c>
      <c r="B276" s="14" t="s">
        <v>288</v>
      </c>
      <c r="C276" s="14" t="s">
        <v>289</v>
      </c>
      <c r="D276" s="14" t="s">
        <v>5</v>
      </c>
      <c r="E276" s="15" t="s">
        <v>624</v>
      </c>
      <c r="F276" s="10">
        <v>104987.1967</v>
      </c>
      <c r="G276" s="16">
        <v>4.2649099999999998E-7</v>
      </c>
      <c r="H276" s="16">
        <v>2.70084E-7</v>
      </c>
    </row>
    <row r="277" spans="1:8" ht="15">
      <c r="A277" s="3">
        <v>2017</v>
      </c>
      <c r="B277" s="14" t="s">
        <v>291</v>
      </c>
      <c r="C277" s="14" t="s">
        <v>292</v>
      </c>
      <c r="D277" s="14" t="s">
        <v>5</v>
      </c>
      <c r="E277" s="15" t="s">
        <v>625</v>
      </c>
      <c r="F277" s="10">
        <v>49537.197899999999</v>
      </c>
      <c r="G277" s="16">
        <v>3.0129599999999997E-7</v>
      </c>
      <c r="H277" s="16">
        <v>2.6418700000000001E-7</v>
      </c>
    </row>
    <row r="278" spans="1:8" ht="15">
      <c r="A278" s="3">
        <v>2017</v>
      </c>
      <c r="B278" s="14" t="s">
        <v>294</v>
      </c>
      <c r="C278" s="14" t="s">
        <v>295</v>
      </c>
      <c r="D278" s="14" t="s">
        <v>5</v>
      </c>
      <c r="E278" s="15" t="s">
        <v>626</v>
      </c>
      <c r="F278" s="10">
        <v>45865.811300000001</v>
      </c>
      <c r="G278" s="16">
        <v>6.5082800000000001E-7</v>
      </c>
      <c r="H278" s="16">
        <v>6.4200200000000001E-7</v>
      </c>
    </row>
    <row r="279" spans="1:8" ht="15">
      <c r="A279" s="3">
        <v>2017</v>
      </c>
      <c r="B279" s="14" t="s">
        <v>297</v>
      </c>
      <c r="C279" s="14" t="s">
        <v>298</v>
      </c>
      <c r="D279" s="14" t="s">
        <v>5</v>
      </c>
      <c r="E279" s="15" t="s">
        <v>627</v>
      </c>
      <c r="F279" s="10">
        <v>70205.115699999995</v>
      </c>
      <c r="G279" s="16">
        <v>4.2519299999999999E-7</v>
      </c>
      <c r="H279" s="16">
        <v>1.5534299999999999E-7</v>
      </c>
    </row>
    <row r="280" spans="1:8" ht="15">
      <c r="A280" s="3">
        <v>2017</v>
      </c>
      <c r="B280" s="14" t="s">
        <v>300</v>
      </c>
      <c r="C280" s="14" t="s">
        <v>301</v>
      </c>
      <c r="D280" s="14" t="s">
        <v>5</v>
      </c>
      <c r="E280" s="15" t="s">
        <v>628</v>
      </c>
      <c r="F280" s="10">
        <v>73647.229900000006</v>
      </c>
      <c r="G280" s="16">
        <v>2.0265999999999999E-7</v>
      </c>
      <c r="H280" s="16">
        <v>7.8484000000000003E-7</v>
      </c>
    </row>
    <row r="281" spans="1:8" ht="15">
      <c r="A281" s="3">
        <v>2017</v>
      </c>
      <c r="B281" s="14" t="s">
        <v>303</v>
      </c>
      <c r="C281" s="14" t="s">
        <v>304</v>
      </c>
      <c r="D281" s="14" t="s">
        <v>5</v>
      </c>
      <c r="E281" s="15" t="s">
        <v>629</v>
      </c>
      <c r="F281" s="10">
        <v>21044.6878</v>
      </c>
      <c r="G281" s="16">
        <v>7.0922300000000002E-7</v>
      </c>
      <c r="H281" s="10">
        <v>0</v>
      </c>
    </row>
    <row r="282" spans="1:8" ht="15">
      <c r="A282" s="3">
        <v>2017</v>
      </c>
      <c r="B282" s="14" t="s">
        <v>306</v>
      </c>
      <c r="C282" s="14" t="s">
        <v>307</v>
      </c>
      <c r="D282" s="14" t="s">
        <v>5</v>
      </c>
      <c r="E282" s="15" t="s">
        <v>630</v>
      </c>
      <c r="F282" s="10">
        <v>94986.723599999998</v>
      </c>
      <c r="G282" s="16">
        <v>1.7284400000000001E-6</v>
      </c>
      <c r="H282" s="16">
        <v>6.8889000000000002E-8</v>
      </c>
    </row>
    <row r="283" spans="1:8" ht="15">
      <c r="A283" s="3">
        <v>2017</v>
      </c>
      <c r="B283" s="14" t="s">
        <v>309</v>
      </c>
      <c r="C283" s="14" t="s">
        <v>310</v>
      </c>
      <c r="D283" s="14" t="s">
        <v>5</v>
      </c>
      <c r="E283" s="15" t="s">
        <v>631</v>
      </c>
      <c r="F283" s="10">
        <v>108167.85520000001</v>
      </c>
      <c r="G283" s="16">
        <v>1.6558000000000001E-6</v>
      </c>
      <c r="H283" s="16">
        <v>6.0494300000000002E-8</v>
      </c>
    </row>
    <row r="284" spans="1:8" ht="15">
      <c r="A284" s="3">
        <v>2017</v>
      </c>
      <c r="B284" s="14" t="s">
        <v>312</v>
      </c>
      <c r="C284" s="14" t="s">
        <v>313</v>
      </c>
      <c r="D284" s="14" t="s">
        <v>5</v>
      </c>
      <c r="E284" s="15" t="s">
        <v>632</v>
      </c>
      <c r="F284" s="10">
        <v>157259.9902</v>
      </c>
      <c r="G284" s="16">
        <v>6.6436199999999995E-7</v>
      </c>
      <c r="H284" s="16">
        <v>2.7739799999999998E-7</v>
      </c>
    </row>
    <row r="285" spans="1:8" ht="15">
      <c r="A285" s="3">
        <v>2017</v>
      </c>
      <c r="B285" s="14" t="s">
        <v>315</v>
      </c>
      <c r="C285" s="14" t="s">
        <v>316</v>
      </c>
      <c r="D285" s="14" t="s">
        <v>5</v>
      </c>
      <c r="E285" s="15" t="s">
        <v>633</v>
      </c>
      <c r="F285" s="10">
        <v>87770.507299999997</v>
      </c>
      <c r="G285" s="16">
        <v>1.3603999999999999E-6</v>
      </c>
      <c r="H285" s="16">
        <v>3.7276400000000002E-7</v>
      </c>
    </row>
    <row r="286" spans="1:8" ht="15">
      <c r="A286" s="3">
        <v>2017</v>
      </c>
      <c r="B286" s="14" t="s">
        <v>318</v>
      </c>
      <c r="C286" s="14" t="s">
        <v>319</v>
      </c>
      <c r="D286" s="14" t="s">
        <v>5</v>
      </c>
      <c r="E286" s="15" t="s">
        <v>634</v>
      </c>
      <c r="F286" s="10">
        <v>47124.002899999999</v>
      </c>
      <c r="G286" s="16">
        <v>6.3345099999999997E-7</v>
      </c>
      <c r="H286" s="16">
        <v>1.4580099999999999E-6</v>
      </c>
    </row>
    <row r="287" spans="1:8" ht="15">
      <c r="A287" s="3">
        <v>2017</v>
      </c>
      <c r="B287" s="14" t="s">
        <v>321</v>
      </c>
      <c r="C287" s="14" t="s">
        <v>322</v>
      </c>
      <c r="D287" s="14" t="s">
        <v>5</v>
      </c>
      <c r="E287" s="15" t="s">
        <v>635</v>
      </c>
      <c r="F287" s="10">
        <v>96292.378200000006</v>
      </c>
      <c r="G287" s="16">
        <v>3.1000100000000002E-7</v>
      </c>
      <c r="H287" s="16">
        <v>2.1519100000000001E-7</v>
      </c>
    </row>
    <row r="288" spans="1:8" ht="15">
      <c r="A288" s="3">
        <v>2017</v>
      </c>
      <c r="B288" s="14" t="s">
        <v>324</v>
      </c>
      <c r="C288" s="14" t="s">
        <v>325</v>
      </c>
      <c r="D288" s="14" t="s">
        <v>5</v>
      </c>
      <c r="E288" s="15" t="s">
        <v>636</v>
      </c>
      <c r="F288" s="10">
        <v>16595.950799999999</v>
      </c>
      <c r="G288" s="10">
        <v>0</v>
      </c>
      <c r="H288" s="16">
        <v>7.2285699999999997E-7</v>
      </c>
    </row>
    <row r="289" spans="1:8" ht="15">
      <c r="A289" s="3">
        <v>2017</v>
      </c>
      <c r="B289" s="14" t="s">
        <v>327</v>
      </c>
      <c r="C289" s="14" t="s">
        <v>328</v>
      </c>
      <c r="D289" s="14" t="s">
        <v>5</v>
      </c>
      <c r="E289" s="15" t="s">
        <v>637</v>
      </c>
      <c r="F289" s="10">
        <v>30211.406999999999</v>
      </c>
      <c r="G289" s="16">
        <v>9.8806199999999992E-7</v>
      </c>
      <c r="H289" s="16">
        <v>2.4547099999999998E-6</v>
      </c>
    </row>
    <row r="290" spans="1:8" ht="15">
      <c r="A290" s="3">
        <v>2017</v>
      </c>
      <c r="B290" s="14" t="s">
        <v>330</v>
      </c>
      <c r="C290" s="14" t="s">
        <v>331</v>
      </c>
      <c r="D290" s="14" t="s">
        <v>5</v>
      </c>
      <c r="E290" s="15" t="s">
        <v>638</v>
      </c>
      <c r="F290" s="10">
        <v>46830.631999999998</v>
      </c>
      <c r="G290" s="16">
        <v>3.1871000000000003E-7</v>
      </c>
      <c r="H290" s="16">
        <v>1.5602900000000001E-6</v>
      </c>
    </row>
    <row r="291" spans="1:8" ht="15">
      <c r="A291" s="3">
        <v>2017</v>
      </c>
      <c r="B291" s="14" t="s">
        <v>333</v>
      </c>
      <c r="C291" s="14" t="s">
        <v>334</v>
      </c>
      <c r="D291" s="14" t="s">
        <v>5</v>
      </c>
      <c r="E291" s="15" t="s">
        <v>639</v>
      </c>
      <c r="F291" s="10">
        <v>21268.204699999998</v>
      </c>
      <c r="G291" s="10">
        <v>0</v>
      </c>
      <c r="H291" s="16">
        <v>5.1277999999999998E-8</v>
      </c>
    </row>
    <row r="292" spans="1:8" ht="15">
      <c r="A292" s="3">
        <v>2017</v>
      </c>
      <c r="B292" s="14" t="s">
        <v>336</v>
      </c>
      <c r="C292" s="14" t="s">
        <v>337</v>
      </c>
      <c r="D292" s="14" t="s">
        <v>5</v>
      </c>
      <c r="E292" s="15" t="s">
        <v>640</v>
      </c>
      <c r="F292" s="10">
        <v>140110.45850000001</v>
      </c>
      <c r="G292" s="16">
        <v>1.27831E-6</v>
      </c>
      <c r="H292" s="16">
        <v>6.2270300000000004E-8</v>
      </c>
    </row>
    <row r="293" spans="1:8" ht="15">
      <c r="A293" s="3">
        <v>2017</v>
      </c>
      <c r="B293" s="14" t="s">
        <v>339</v>
      </c>
      <c r="C293" s="14" t="s">
        <v>340</v>
      </c>
      <c r="D293" s="14" t="s">
        <v>5</v>
      </c>
      <c r="E293" s="15" t="s">
        <v>641</v>
      </c>
      <c r="F293" s="10">
        <v>32984.074099999998</v>
      </c>
      <c r="G293" s="10">
        <v>0</v>
      </c>
      <c r="H293" s="16">
        <v>1.0911199999999999E-6</v>
      </c>
    </row>
    <row r="294" spans="1:8" ht="15">
      <c r="A294" s="3">
        <v>2017</v>
      </c>
      <c r="B294" s="14" t="s">
        <v>342</v>
      </c>
      <c r="C294" s="14" t="s">
        <v>343</v>
      </c>
      <c r="D294" s="14" t="s">
        <v>5</v>
      </c>
      <c r="E294" s="15" t="s">
        <v>642</v>
      </c>
      <c r="F294" s="10">
        <v>308896.0882</v>
      </c>
      <c r="G294" s="16">
        <v>3.0923800000000001E-6</v>
      </c>
      <c r="H294" s="16">
        <v>1.8006099999999999E-7</v>
      </c>
    </row>
    <row r="295" spans="1:8" ht="15">
      <c r="A295" s="3">
        <v>2017</v>
      </c>
      <c r="B295" s="14" t="s">
        <v>345</v>
      </c>
      <c r="C295" s="14" t="s">
        <v>346</v>
      </c>
      <c r="D295" s="14" t="s">
        <v>5</v>
      </c>
      <c r="E295" s="15" t="s">
        <v>643</v>
      </c>
      <c r="F295" s="10">
        <v>161913.5429</v>
      </c>
      <c r="G295" s="16">
        <v>7.37449E-7</v>
      </c>
      <c r="H295" s="16">
        <v>5.3885100000000001E-8</v>
      </c>
    </row>
    <row r="296" spans="1:8" ht="15">
      <c r="A296" s="3">
        <v>2017</v>
      </c>
      <c r="B296" s="14" t="s">
        <v>348</v>
      </c>
      <c r="C296" s="14" t="s">
        <v>349</v>
      </c>
      <c r="D296" s="14" t="s">
        <v>5</v>
      </c>
      <c r="E296" s="15" t="s">
        <v>644</v>
      </c>
      <c r="F296" s="10">
        <v>11904.2228</v>
      </c>
      <c r="G296" s="10">
        <v>0</v>
      </c>
      <c r="H296" s="16">
        <v>5.6800499999999999E-6</v>
      </c>
    </row>
    <row r="297" spans="1:8" ht="15">
      <c r="A297" s="3">
        <v>2017</v>
      </c>
      <c r="B297" s="14" t="s">
        <v>351</v>
      </c>
      <c r="C297" s="14" t="s">
        <v>352</v>
      </c>
      <c r="D297" s="14" t="s">
        <v>5</v>
      </c>
      <c r="E297" s="15" t="s">
        <v>645</v>
      </c>
      <c r="F297" s="10">
        <v>183853.95430000001</v>
      </c>
      <c r="G297" s="16">
        <v>2.4354200000000002E-7</v>
      </c>
      <c r="H297" s="16">
        <v>2.0168199999999999E-7</v>
      </c>
    </row>
    <row r="298" spans="1:8" ht="15">
      <c r="A298" s="3">
        <v>2017</v>
      </c>
      <c r="B298" s="14" t="s">
        <v>354</v>
      </c>
      <c r="C298" s="14" t="s">
        <v>355</v>
      </c>
      <c r="D298" s="14" t="s">
        <v>5</v>
      </c>
      <c r="E298" s="15" t="s">
        <v>646</v>
      </c>
      <c r="F298" s="10">
        <v>61990.539299999997</v>
      </c>
      <c r="G298" s="16">
        <v>2.4076899999999998E-7</v>
      </c>
      <c r="H298" s="16">
        <v>7.3890000000000003E-7</v>
      </c>
    </row>
    <row r="299" spans="1:8" ht="15">
      <c r="A299" s="3">
        <v>2017</v>
      </c>
      <c r="B299" s="14" t="s">
        <v>357</v>
      </c>
      <c r="C299" s="14" t="s">
        <v>358</v>
      </c>
      <c r="D299" s="14" t="s">
        <v>5</v>
      </c>
      <c r="E299" s="15" t="s">
        <v>647</v>
      </c>
      <c r="F299" s="10">
        <v>65338.311300000001</v>
      </c>
      <c r="G299" s="16">
        <v>1.14216E-6</v>
      </c>
      <c r="H299" s="16">
        <v>1.0014900000000001E-7</v>
      </c>
    </row>
    <row r="300" spans="1:8" ht="15">
      <c r="A300" s="3">
        <v>2017</v>
      </c>
      <c r="B300" s="14" t="s">
        <v>360</v>
      </c>
      <c r="C300" s="14" t="s">
        <v>361</v>
      </c>
      <c r="D300" s="14" t="s">
        <v>5</v>
      </c>
      <c r="E300" s="15" t="s">
        <v>648</v>
      </c>
      <c r="F300" s="10">
        <v>201640.5607</v>
      </c>
      <c r="G300" s="16">
        <v>5.1813799999999995E-7</v>
      </c>
      <c r="H300" s="16">
        <v>1.08172E-7</v>
      </c>
    </row>
    <row r="301" spans="1:8" ht="15">
      <c r="A301" s="3">
        <v>2017</v>
      </c>
      <c r="B301" s="14" t="s">
        <v>363</v>
      </c>
      <c r="C301" s="14" t="s">
        <v>364</v>
      </c>
      <c r="D301" s="14" t="s">
        <v>5</v>
      </c>
      <c r="E301" s="15" t="s">
        <v>649</v>
      </c>
      <c r="F301" s="10">
        <v>16646.2677</v>
      </c>
      <c r="G301" s="16">
        <v>2.68986E-6</v>
      </c>
      <c r="H301" s="16">
        <v>1.31031E-7</v>
      </c>
    </row>
    <row r="302" spans="1:8" ht="15">
      <c r="A302" s="3">
        <v>2017</v>
      </c>
      <c r="B302" s="14" t="s">
        <v>366</v>
      </c>
      <c r="C302" s="14" t="s">
        <v>367</v>
      </c>
      <c r="D302" s="14" t="s">
        <v>5</v>
      </c>
      <c r="E302" s="15" t="s">
        <v>650</v>
      </c>
      <c r="F302" s="10">
        <v>79177.3318</v>
      </c>
      <c r="G302" s="16">
        <v>3.7701099999999999E-7</v>
      </c>
      <c r="H302" s="16">
        <v>2.4793200000000003E-7</v>
      </c>
    </row>
    <row r="303" spans="1:8" ht="15">
      <c r="A303" s="3">
        <v>2017</v>
      </c>
      <c r="B303" s="14" t="s">
        <v>369</v>
      </c>
      <c r="C303" s="14" t="s">
        <v>370</v>
      </c>
      <c r="D303" s="14" t="s">
        <v>5</v>
      </c>
      <c r="E303" s="15" t="s">
        <v>651</v>
      </c>
      <c r="F303" s="10">
        <v>13763.726500000001</v>
      </c>
      <c r="G303" s="10">
        <v>0</v>
      </c>
      <c r="H303" s="16">
        <v>5.7842700000000003E-6</v>
      </c>
    </row>
    <row r="304" spans="1:8" ht="15">
      <c r="A304" s="3">
        <v>2017</v>
      </c>
      <c r="B304" s="14" t="s">
        <v>372</v>
      </c>
      <c r="C304" s="14" t="s">
        <v>373</v>
      </c>
      <c r="D304" s="14" t="s">
        <v>5</v>
      </c>
      <c r="E304" s="15" t="s">
        <v>652</v>
      </c>
      <c r="F304" s="10">
        <v>105786.98540000001</v>
      </c>
      <c r="G304" s="16">
        <v>2.82178E-7</v>
      </c>
      <c r="H304" s="16">
        <v>3.09279E-7</v>
      </c>
    </row>
    <row r="305" spans="1:8" ht="15">
      <c r="A305" s="3">
        <v>2017</v>
      </c>
      <c r="B305" s="14" t="s">
        <v>375</v>
      </c>
      <c r="C305" s="14" t="s">
        <v>376</v>
      </c>
      <c r="D305" s="14" t="s">
        <v>5</v>
      </c>
      <c r="E305" s="15" t="s">
        <v>653</v>
      </c>
      <c r="F305" s="10">
        <v>446171.011</v>
      </c>
      <c r="G305" s="16">
        <v>1.8064200000000001E-6</v>
      </c>
      <c r="H305" s="16">
        <v>3.2998500000000003E-7</v>
      </c>
    </row>
    <row r="306" spans="1:8" ht="15">
      <c r="A306" s="3">
        <v>2017</v>
      </c>
      <c r="B306" s="14" t="s">
        <v>378</v>
      </c>
      <c r="C306" s="14" t="s">
        <v>379</v>
      </c>
      <c r="D306" s="14" t="s">
        <v>5</v>
      </c>
      <c r="E306" s="15" t="s">
        <v>654</v>
      </c>
      <c r="F306" s="10">
        <v>48898.451800000003</v>
      </c>
      <c r="G306" s="16">
        <v>1.22093E-6</v>
      </c>
      <c r="H306" s="16">
        <v>1.3827999999999999E-6</v>
      </c>
    </row>
    <row r="307" spans="1:8" ht="15">
      <c r="A307" s="3">
        <v>2017</v>
      </c>
      <c r="B307" s="14" t="s">
        <v>381</v>
      </c>
      <c r="C307" s="14" t="s">
        <v>382</v>
      </c>
      <c r="D307" s="14" t="s">
        <v>5</v>
      </c>
      <c r="E307" s="15" t="s">
        <v>655</v>
      </c>
      <c r="F307" s="10">
        <v>9844.9020999999993</v>
      </c>
      <c r="G307" s="16">
        <v>6.0642000000000003E-6</v>
      </c>
      <c r="H307" s="16">
        <v>3.3233099999999999E-7</v>
      </c>
    </row>
    <row r="308" spans="1:8" ht="15">
      <c r="A308" s="3">
        <v>2017</v>
      </c>
      <c r="B308" s="14" t="s">
        <v>384</v>
      </c>
      <c r="C308" s="14" t="s">
        <v>385</v>
      </c>
      <c r="D308" s="14" t="s">
        <v>5</v>
      </c>
      <c r="E308" s="15" t="s">
        <v>656</v>
      </c>
      <c r="F308" s="10">
        <v>133457.17389999999</v>
      </c>
      <c r="G308" s="16">
        <v>7.8285499999999998E-7</v>
      </c>
      <c r="H308" s="16">
        <v>1.06234E-7</v>
      </c>
    </row>
    <row r="309" spans="1:8" ht="15">
      <c r="A309" s="3">
        <v>2017</v>
      </c>
      <c r="B309" s="14" t="s">
        <v>387</v>
      </c>
      <c r="C309" s="14" t="s">
        <v>388</v>
      </c>
      <c r="D309" s="14" t="s">
        <v>5</v>
      </c>
      <c r="E309" s="15" t="s">
        <v>657</v>
      </c>
      <c r="F309" s="10">
        <v>117054.4963</v>
      </c>
      <c r="G309" s="16">
        <v>1.9126199999999998E-6</v>
      </c>
      <c r="H309" s="16">
        <v>1.2111999999999999E-7</v>
      </c>
    </row>
    <row r="310" spans="1:8" ht="15">
      <c r="A310" s="3">
        <v>2017</v>
      </c>
      <c r="B310" s="14" t="s">
        <v>390</v>
      </c>
      <c r="C310" s="14" t="s">
        <v>391</v>
      </c>
      <c r="D310" s="14" t="s">
        <v>5</v>
      </c>
      <c r="E310" s="15" t="s">
        <v>658</v>
      </c>
      <c r="F310" s="10">
        <v>28651.234799999998</v>
      </c>
      <c r="G310" s="16">
        <v>5.2093300000000002E-7</v>
      </c>
      <c r="H310" s="16">
        <v>3.8064299999999999E-8</v>
      </c>
    </row>
    <row r="311" spans="1:8" ht="15">
      <c r="A311" s="3">
        <v>2017</v>
      </c>
      <c r="B311" s="14" t="s">
        <v>393</v>
      </c>
      <c r="C311" s="14" t="s">
        <v>394</v>
      </c>
      <c r="D311" s="14" t="s">
        <v>5</v>
      </c>
      <c r="E311" s="15" t="s">
        <v>659</v>
      </c>
      <c r="F311" s="10">
        <v>91301.933799999999</v>
      </c>
      <c r="G311" s="16">
        <v>6.5389099999999996E-7</v>
      </c>
      <c r="H311" s="16">
        <v>6.0918900000000004E-7</v>
      </c>
    </row>
    <row r="312" spans="1:8" ht="15">
      <c r="A312" s="3">
        <v>2017</v>
      </c>
      <c r="B312" s="14" t="s">
        <v>396</v>
      </c>
      <c r="C312" s="14" t="s">
        <v>397</v>
      </c>
      <c r="D312" s="14" t="s">
        <v>5</v>
      </c>
      <c r="E312" s="15" t="s">
        <v>660</v>
      </c>
      <c r="F312" s="10">
        <v>9128.8120999999992</v>
      </c>
      <c r="G312" s="16">
        <v>3.2699499999999999E-6</v>
      </c>
      <c r="H312" s="16">
        <v>8.3626800000000001E-7</v>
      </c>
    </row>
    <row r="313" spans="1:8" ht="15">
      <c r="A313" s="3">
        <v>2017</v>
      </c>
      <c r="B313" s="14" t="s">
        <v>399</v>
      </c>
      <c r="C313" s="14" t="s">
        <v>400</v>
      </c>
      <c r="D313" s="14" t="s">
        <v>5</v>
      </c>
      <c r="E313" s="15" t="s">
        <v>661</v>
      </c>
      <c r="F313" s="10">
        <v>39023</v>
      </c>
      <c r="G313" s="16">
        <v>4.2444500000000003E-5</v>
      </c>
      <c r="H313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5"/>
  <sheetViews>
    <sheetView workbookViewId="0"/>
  </sheetViews>
  <sheetFormatPr defaultColWidth="14.42578125" defaultRowHeight="15.75" customHeight="1"/>
  <cols>
    <col min="1" max="1" width="45.85546875" customWidth="1"/>
  </cols>
  <sheetData>
    <row r="1" spans="1:2">
      <c r="A1" s="3" t="s">
        <v>17</v>
      </c>
      <c r="B1" s="3">
        <v>3</v>
      </c>
    </row>
    <row r="2" spans="1:2">
      <c r="A2" s="3" t="s">
        <v>203</v>
      </c>
      <c r="B2" s="3">
        <v>23</v>
      </c>
    </row>
    <row r="3" spans="1:2">
      <c r="A3" s="3" t="s">
        <v>225</v>
      </c>
      <c r="B3" s="3">
        <v>21</v>
      </c>
    </row>
    <row r="4" spans="1:2">
      <c r="A4" s="3" t="s">
        <v>132</v>
      </c>
      <c r="B4" s="3">
        <v>2</v>
      </c>
    </row>
    <row r="5" spans="1:2">
      <c r="A5" s="3" t="s">
        <v>25</v>
      </c>
      <c r="B5" s="3">
        <v>32</v>
      </c>
    </row>
    <row r="6" spans="1:2">
      <c r="A6" s="3" t="s">
        <v>56</v>
      </c>
      <c r="B6" s="3">
        <v>33</v>
      </c>
    </row>
    <row r="7" spans="1:2">
      <c r="A7" s="3" t="s">
        <v>121</v>
      </c>
      <c r="B7" s="3">
        <v>34</v>
      </c>
    </row>
    <row r="8" spans="1:2">
      <c r="A8" s="3" t="s">
        <v>77</v>
      </c>
      <c r="B8" s="3">
        <v>31</v>
      </c>
    </row>
    <row r="9" spans="1:2">
      <c r="A9" s="3" t="s">
        <v>199</v>
      </c>
      <c r="B9" s="3" t="s">
        <v>662</v>
      </c>
    </row>
    <row r="10" spans="1:2">
      <c r="A10" s="3" t="s">
        <v>204</v>
      </c>
      <c r="B10" s="3" t="s">
        <v>663</v>
      </c>
    </row>
    <row r="11" spans="1:2">
      <c r="A11" s="3" t="s">
        <v>206</v>
      </c>
      <c r="B11" s="3" t="s">
        <v>664</v>
      </c>
    </row>
    <row r="12" spans="1:2">
      <c r="A12" s="3" t="s">
        <v>230</v>
      </c>
      <c r="B12" s="3" t="s">
        <v>665</v>
      </c>
    </row>
    <row r="13" spans="1:2">
      <c r="A13" s="3" t="s">
        <v>666</v>
      </c>
    </row>
    <row r="14" spans="1:2">
      <c r="A14" s="3" t="s">
        <v>124</v>
      </c>
      <c r="B14" s="3">
        <v>0</v>
      </c>
    </row>
    <row r="15" spans="1:2">
      <c r="A15" s="3" t="s">
        <v>20</v>
      </c>
      <c r="B15" s="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wnv_nmc</vt:lpstr>
      <vt:lpstr>zikv_nmc</vt:lpstr>
      <vt:lpstr>params</vt:lpstr>
      <vt:lpstr>donor_groups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Alton Russell</cp:lastModifiedBy>
  <dcterms:created xsi:type="dcterms:W3CDTF">2020-11-11T14:49:15Z</dcterms:created>
  <dcterms:modified xsi:type="dcterms:W3CDTF">2020-12-13T19:40:52Z</dcterms:modified>
</cp:coreProperties>
</file>