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william_russell_mcgill_ca/Documents/Projects/epid-676/assignments/assign2/"/>
    </mc:Choice>
  </mc:AlternateContent>
  <xr:revisionPtr revIDLastSave="22" documentId="8_{2232317A-8042-AC45-A8F0-68118D90C2F0}" xr6:coauthVersionLast="47" xr6:coauthVersionMax="47" xr10:uidLastSave="{6FA76211-019C-754B-9CB1-AEECF0D65FFF}"/>
  <bookViews>
    <workbookView xWindow="-51200" yWindow="-6700" windowWidth="51200" windowHeight="28300" activeTab="1" xr2:uid="{ABCA7B1F-23B7-6747-A5AA-B8C3E20BF0DD}"/>
  </bookViews>
  <sheets>
    <sheet name="daly_params" sheetId="6" r:id="rId1"/>
    <sheet name="Microcost_params" sheetId="4" r:id="rId2"/>
    <sheet name="Markov_probs" sheetId="3" r:id="rId3"/>
    <sheet name="All_cause_mort" sheetId="2" r:id="rId4"/>
  </sheets>
  <definedNames>
    <definedName name="_xlnm._FilterDatabase" localSheetId="2" hidden="1">Markov_probs!$A$1:$O$62</definedName>
    <definedName name="_xlnm._FilterDatabase" localSheetId="1" hidden="1">Microcost_params!$A$1:$J$34</definedName>
    <definedName name="num_components">#REF!</definedName>
    <definedName name="PRT_co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6" l="1"/>
  <c r="D25" i="6"/>
  <c r="C25" i="6"/>
  <c r="E24" i="6"/>
  <c r="D24" i="6"/>
  <c r="C24" i="6"/>
  <c r="E23" i="6"/>
  <c r="D23" i="6"/>
  <c r="C23" i="6"/>
  <c r="E19" i="6"/>
  <c r="D19" i="6"/>
  <c r="C19" i="6"/>
  <c r="E18" i="6"/>
  <c r="D18" i="6"/>
  <c r="C18" i="6"/>
  <c r="E14" i="6"/>
  <c r="D14" i="6"/>
  <c r="C14" i="6"/>
  <c r="E13" i="6"/>
  <c r="D13" i="6"/>
  <c r="C13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C4" i="6" l="1"/>
  <c r="E12" i="6"/>
  <c r="C12" i="6"/>
  <c r="D12" i="6"/>
</calcChain>
</file>

<file path=xl/sharedStrings.xml><?xml version="1.0" encoding="utf-8"?>
<sst xmlns="http://schemas.openxmlformats.org/spreadsheetml/2006/main" count="982" uniqueCount="230">
  <si>
    <t>WHO Global Health Observatory indicator views</t>
  </si>
  <si>
    <t>Age Group</t>
  </si>
  <si>
    <t>mortality</t>
  </si>
  <si>
    <t>nMx - age-specific death rate between ages x and x+n</t>
  </si>
  <si>
    <t>&lt;1 year</t>
  </si>
  <si>
    <t>1-4 years</t>
  </si>
  <si>
    <t>5-9 years</t>
  </si>
  <si>
    <t>10-14 years</t>
  </si>
  <si>
    <t>15-19 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</si>
  <si>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</si>
  <si>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</si>
  <si>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</si>
  <si>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</si>
  <si>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</si>
  <si>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</si>
  <si>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</si>
  <si>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</si>
  <si>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</si>
  <si>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</si>
  <si>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</si>
  <si>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</si>
  <si>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</si>
  <si>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85-94  years</t>
  </si>
  <si>
    <t>95 years</t>
  </si>
  <si>
    <t>Disease</t>
  </si>
  <si>
    <t>Category</t>
  </si>
  <si>
    <t>Disease_Category</t>
  </si>
  <si>
    <t>Cohort</t>
  </si>
  <si>
    <t>From_disp</t>
  </si>
  <si>
    <t>To_disp</t>
  </si>
  <si>
    <t>From</t>
  </si>
  <si>
    <t>To</t>
  </si>
  <si>
    <t>Base case</t>
  </si>
  <si>
    <t>Low</t>
  </si>
  <si>
    <t>High</t>
  </si>
  <si>
    <t>Distn</t>
  </si>
  <si>
    <t>Param1</t>
  </si>
  <si>
    <t>Param2</t>
  </si>
  <si>
    <t>Source</t>
  </si>
  <si>
    <t>Natural history</t>
  </si>
  <si>
    <t>Both</t>
  </si>
  <si>
    <t>Acute subclinical</t>
  </si>
  <si>
    <t>acute_SC</t>
  </si>
  <si>
    <t>PERT</t>
  </si>
  <si>
    <t>Mafirakureva 2016 [44]</t>
  </si>
  <si>
    <t>No infection</t>
  </si>
  <si>
    <t>no_infection</t>
  </si>
  <si>
    <t>#</t>
  </si>
  <si>
    <t>Hepatocellular carcinoma</t>
  </si>
  <si>
    <t>HCC</t>
  </si>
  <si>
    <t>chronic_SC</t>
  </si>
  <si>
    <t>Compensated cirrhosis subclinical</t>
  </si>
  <si>
    <t>CC_SC</t>
  </si>
  <si>
    <t>Compensated cirrhosis on AVT</t>
  </si>
  <si>
    <t>CC_T</t>
  </si>
  <si>
    <t>Decompensated cirrhosis subclinical</t>
  </si>
  <si>
    <t>DCC_SC</t>
  </si>
  <si>
    <t>Treatment effectiveness</t>
  </si>
  <si>
    <t>chronic_T</t>
  </si>
  <si>
    <t>Decompensated cirrhosis on AVT</t>
  </si>
  <si>
    <t>DCC_T</t>
  </si>
  <si>
    <t>Treatment uptake</t>
  </si>
  <si>
    <t>Initiation</t>
  </si>
  <si>
    <t>init</t>
  </si>
  <si>
    <t>Estimated</t>
  </si>
  <si>
    <t>HCV</t>
  </si>
  <si>
    <t>Chronic HCV subclinical</t>
  </si>
  <si>
    <t>Fraser 2016 [39]</t>
  </si>
  <si>
    <t>Chronic HCV treatment failure</t>
  </si>
  <si>
    <t>Compensated cirrhosis treatment failure</t>
  </si>
  <si>
    <t>chronic_TF</t>
  </si>
  <si>
    <t>CC_TF</t>
  </si>
  <si>
    <t>Decompensated cirrhosis treatment failure</t>
  </si>
  <si>
    <t>DCC_TF</t>
  </si>
  <si>
    <t>HCV-related death</t>
  </si>
  <si>
    <t>HCV_death</t>
  </si>
  <si>
    <t>Acute on AVT</t>
  </si>
  <si>
    <t>No infection*</t>
  </si>
  <si>
    <t>acute_T</t>
  </si>
  <si>
    <t>Chronic HCV on AVT</t>
  </si>
  <si>
    <t>HIV</t>
  </si>
  <si>
    <t>HIV subclinical 1st year</t>
  </si>
  <si>
    <t>HIV subclinical 2nd year</t>
  </si>
  <si>
    <t>HIV_SC_1</t>
  </si>
  <si>
    <t>HIV_SC_2</t>
  </si>
  <si>
    <t>HIV subclinical 3+ years</t>
  </si>
  <si>
    <t>HIV_SC_3</t>
  </si>
  <si>
    <t>Pediatric</t>
  </si>
  <si>
    <t>AIDS (pediatric)</t>
  </si>
  <si>
    <t>AIDS_SC</t>
  </si>
  <si>
    <t>Morgan 2002 [45]</t>
  </si>
  <si>
    <t>Adult</t>
  </si>
  <si>
    <t>AIDS (adult)</t>
  </si>
  <si>
    <t>HIV-related death (pediatric)</t>
  </si>
  <si>
    <t>HIV_death</t>
  </si>
  <si>
    <t>HIV-related death (adult)</t>
  </si>
  <si>
    <t>AIDS subclinical</t>
  </si>
  <si>
    <t>HIV-related death</t>
  </si>
  <si>
    <t>AVT year 1</t>
  </si>
  <si>
    <t>ART_1</t>
  </si>
  <si>
    <t>HIV subclinical year 1</t>
  </si>
  <si>
    <t>HIV subclinical year 2</t>
  </si>
  <si>
    <t>HIV subclinical year 3+</t>
  </si>
  <si>
    <t>AIDS on AVT year 1</t>
  </si>
  <si>
    <t>AIDS_ART_1</t>
  </si>
  <si>
    <t>AVT year 2</t>
  </si>
  <si>
    <t>ART_2</t>
  </si>
  <si>
    <t>Assumed</t>
  </si>
  <si>
    <t>AVT year 3</t>
  </si>
  <si>
    <t>ART_3</t>
  </si>
  <si>
    <t>AVT year 4+</t>
  </si>
  <si>
    <t>ART_4</t>
  </si>
  <si>
    <t>AIDS on AVT year 2</t>
  </si>
  <si>
    <t>AIDS_ART_2</t>
  </si>
  <si>
    <t>Residual disability on AVT</t>
  </si>
  <si>
    <t>AIDS_RD</t>
  </si>
  <si>
    <t>Residual disability from AIDS on AVT</t>
  </si>
  <si>
    <t>Parameter</t>
  </si>
  <si>
    <t>rname</t>
  </si>
  <si>
    <t>Description</t>
  </si>
  <si>
    <t>General</t>
  </si>
  <si>
    <t>FNHTR</t>
  </si>
  <si>
    <t>Additional inpatient day</t>
  </si>
  <si>
    <t>c_IP_day</t>
  </si>
  <si>
    <t>Costs</t>
  </si>
  <si>
    <t>Liver function test</t>
  </si>
  <si>
    <t>hep_c_lft</t>
  </si>
  <si>
    <t>International normalized ratio test</t>
  </si>
  <si>
    <t>hep_c_INR</t>
  </si>
  <si>
    <t>Full blood count</t>
  </si>
  <si>
    <t>hep_c_FBC</t>
  </si>
  <si>
    <t>Blood urea nitrogen, creatinine, &amp; electrolytes</t>
  </si>
  <si>
    <t>hep_c_BUNCE</t>
  </si>
  <si>
    <t>Alpha fetoprotein</t>
  </si>
  <si>
    <t>hep_c_alphafeto</t>
  </si>
  <si>
    <t>Brief outpatient visit</t>
  </si>
  <si>
    <t>hep_c_OP_brief</t>
  </si>
  <si>
    <t>Extensive outpatient visit</t>
  </si>
  <si>
    <t>hep_c_OP_extensive</t>
  </si>
  <si>
    <t>Abdominal ultrasonography</t>
  </si>
  <si>
    <t>hep_c_ab_ultrasono</t>
  </si>
  <si>
    <t>Endoscopy with band ligation</t>
  </si>
  <si>
    <t>hep_c_band_lig</t>
  </si>
  <si>
    <t>Spironolactone</t>
  </si>
  <si>
    <t>hep_c_spiro</t>
  </si>
  <si>
    <t>Furosemide</t>
  </si>
  <si>
    <t>hep_c_fluro</t>
  </si>
  <si>
    <t>Transarterial chemoembolization</t>
  </si>
  <si>
    <t>hep_c_chemoembo</t>
  </si>
  <si>
    <t>Triphasic CT scan</t>
  </si>
  <si>
    <t>hep_c_triphas_CT</t>
  </si>
  <si>
    <t>Sorafenib (9-12 tablets)</t>
  </si>
  <si>
    <t>hep_c_sorafenib</t>
  </si>
  <si>
    <t>Consultation and medication</t>
  </si>
  <si>
    <t>ftr_c_meds</t>
  </si>
  <si>
    <t>Ab screen and confirmation</t>
  </si>
  <si>
    <t>hcv_c_screen</t>
  </si>
  <si>
    <t>RNA test</t>
  </si>
  <si>
    <t>hcv_c_rna_test</t>
  </si>
  <si>
    <t>Genotyping</t>
  </si>
  <si>
    <t>hcv_c_genotype</t>
  </si>
  <si>
    <t>Antiviral medication</t>
  </si>
  <si>
    <t>hcv_c_antivirals</t>
  </si>
  <si>
    <t>AVT for decompensated cirrhosis</t>
  </si>
  <si>
    <t>hcv_c_antiviral_dcc</t>
  </si>
  <si>
    <t>AIDS care first year on AVT</t>
  </si>
  <si>
    <t>hiv_cost_AIDS_ART_1</t>
  </si>
  <si>
    <t>AIDS care second year on AVT</t>
  </si>
  <si>
    <t>hiv_cost_AIDS_ART_2</t>
  </si>
  <si>
    <t>hiv_cost_RD</t>
  </si>
  <si>
    <t>AIDS care undetected</t>
  </si>
  <si>
    <t>hiv_cost_AIDS_SC</t>
  </si>
  <si>
    <t>Mikkelsen 2017 [42]</t>
  </si>
  <si>
    <t>HIV care first year on AVT</t>
  </si>
  <si>
    <t>hiv_cost_ART1</t>
  </si>
  <si>
    <t>HIV care second year on AVT</t>
  </si>
  <si>
    <t>hiv_cost_ART2</t>
  </si>
  <si>
    <t>HIV care third year on AVT</t>
  </si>
  <si>
    <t>hiv_cost_ART3</t>
  </si>
  <si>
    <t>HIV care annual cost after third year on AVT</t>
  </si>
  <si>
    <t>hiv_cost_ART4</t>
  </si>
  <si>
    <t>Quantity received</t>
  </si>
  <si>
    <t>Annual brief outpatient visits for compensated cirrhosis no AVT</t>
  </si>
  <si>
    <t>Annual brief outpatient visits for acute infection with AVT</t>
  </si>
  <si>
    <t>hcv_n_OP_acuteT</t>
  </si>
  <si>
    <t>Annual brief outpatient visits for chronic HCV without cirrhosis no AVT</t>
  </si>
  <si>
    <t>hcv_n_OP_chronic</t>
  </si>
  <si>
    <t>hcv_n_OP_cc</t>
  </si>
  <si>
    <t>Annual brief outpatient visits with decompensated cirrhosis no AVT</t>
  </si>
  <si>
    <t>hcv_n_OP_dcc</t>
  </si>
  <si>
    <t>format</t>
  </si>
  <si>
    <t>number</t>
  </si>
  <si>
    <t>rname_long</t>
  </si>
  <si>
    <t>GBD 2013 [38]</t>
  </si>
  <si>
    <t>HCV disability weights</t>
  </si>
  <si>
    <t>hcv_acute_SC</t>
  </si>
  <si>
    <t>hcv</t>
  </si>
  <si>
    <t>hcv_no_infection</t>
  </si>
  <si>
    <t>hcv_acute_T</t>
  </si>
  <si>
    <t>Stanaway 2016 [41], Fraser 2016 [39]</t>
  </si>
  <si>
    <t>hcv_chronic_SC</t>
  </si>
  <si>
    <t>hcv_chronic_T</t>
  </si>
  <si>
    <t>hcv_chronic_TF</t>
  </si>
  <si>
    <t>hcv_CC_SC</t>
  </si>
  <si>
    <t>hcv_CC_T</t>
  </si>
  <si>
    <t>hcv_CC_TF</t>
  </si>
  <si>
    <t>hcv_DCC_SC</t>
  </si>
  <si>
    <t>hcv_DCC_T</t>
  </si>
  <si>
    <t>hcv_DCC_TF</t>
  </si>
  <si>
    <t>hcv_HCC</t>
  </si>
  <si>
    <t>HIV disability weights</t>
  </si>
  <si>
    <t>HIV undetected year 1</t>
  </si>
  <si>
    <t>hiv_HIV_SC_1</t>
  </si>
  <si>
    <t>hiv</t>
  </si>
  <si>
    <t>HIV undetected year 2</t>
  </si>
  <si>
    <t>hiv_HIV_SC_2</t>
  </si>
  <si>
    <t>HIV undetected year 3+</t>
  </si>
  <si>
    <t>hiv_HIV_SC_3</t>
  </si>
  <si>
    <t>AIDS undetected</t>
  </si>
  <si>
    <t>hiv_AIDS_SC</t>
  </si>
  <si>
    <t>hiv_ART_1</t>
  </si>
  <si>
    <t>hiv_ART_2</t>
  </si>
  <si>
    <t>hiv_ART_3</t>
  </si>
  <si>
    <t>hiv_ART_4</t>
  </si>
  <si>
    <t>hiv_AIDS_ART_1</t>
  </si>
  <si>
    <t>hiv_AIDS_ART_2</t>
  </si>
  <si>
    <t>hiv_AIDS_RD</t>
  </si>
  <si>
    <t>Age_lower</t>
  </si>
  <si>
    <t>Male_2016</t>
  </si>
  <si>
    <t>Female_2016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</si>
</sst>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1" applyFont="1"/>
    <xf numFmtId="0" fontId="1" fillId="0" borderId="0" xfId="1"/>
    <xf numFmtId="0" fontId="2" fillId="2" borderId="1" xfId="1" applyFont="1" applyFill="1" applyBorder="1"/>
    <xf numFmtId="0" fontId="1" fillId="0" borderId="1" xfId="1" applyBorder="1"/>
    <xf numFmtId="0" fontId="1" fillId="3" borderId="1" xfId="1" applyFill="1" applyBorder="1"/>
    <xf numFmtId="0" fontId="1" fillId="4" borderId="1" xfId="1" applyFill="1" applyBorder="1"/>
    <xf numFmtId="0" fontId="3" fillId="3" borderId="1" xfId="1" applyFont="1" applyFill="1" applyBorder="1"/>
    <xf numFmtId="0" fontId="2" fillId="0" borderId="1" xfId="1" applyFont="1" applyBorder="1"/>
    <xf numFmtId="0" fontId="1" fillId="0" borderId="1" xfId="1" applyBorder="1" applyAlignment="1">
      <alignment wrapText="1"/>
    </xf>
    <xf numFmtId="6" fontId="1" fillId="0" borderId="1" xfId="1" applyNumberFormat="1" applyBorder="1"/>
    <xf numFmtId="2" fontId="1" fillId="0" borderId="1" xfId="1" applyNumberFormat="1" applyBorder="1"/>
    <xf numFmtId="0" fontId="1" fillId="0" borderId="1" xfId="1" quotePrefix="1" applyBorder="1"/>
    <xf numFmtId="0" fontId="2" fillId="2" borderId="2" xfId="1" applyFont="1" applyFill="1" applyBorder="1"/>
    <xf numFmtId="0" fontId="2" fillId="2" borderId="3" xfId="1" applyFont="1" applyFill="1" applyBorder="1"/>
    <xf numFmtId="0" fontId="2" fillId="2" borderId="4" xfId="1" applyFont="1" applyFill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165" fontId="1" fillId="0" borderId="1" xfId="1" applyNumberFormat="1" applyBorder="1"/>
    <xf numFmtId="0" fontId="1" fillId="0" borderId="11" xfId="1" applyBorder="1"/>
  </cellXfs>
  <cellStyles count="3">
    <cellStyle name="Normal" xfId="0" builtinId="0"/>
    <cellStyle name="Normal 2" xfId="1" xr:uid="{4822F3C2-0618-F24C-A996-EEDDFCC783B1}"/>
    <cellStyle name="Percent 2" xfId="2" xr:uid="{F05FDCB4-7DFD-3F43-9EB6-40F6DFC50F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69FB1-4D1D-0344-9A61-5F4BEF7C13C3}">
  <sheetPr>
    <tabColor rgb="FF00B050"/>
  </sheetPr>
  <dimension ref="A1:J25"/>
  <sheetViews>
    <sheetView zoomScale="115" zoomScaleNormal="115" workbookViewId="0">
      <pane ySplit="1" topLeftCell="A2" activePane="bottomLeft" state="frozen"/>
      <selection activeCell="I56" sqref="I56"/>
      <selection pane="bottomLeft" activeCell="A26" sqref="A26"/>
    </sheetView>
  </sheetViews>
  <sheetFormatPr baseColWidth="10" defaultColWidth="8.83203125" defaultRowHeight="15" x14ac:dyDescent="0.2"/>
  <cols>
    <col min="1" max="1" width="32.1640625" style="2" customWidth="1"/>
    <col min="2" max="2" width="45.1640625" style="2" bestFit="1" customWidth="1"/>
    <col min="3" max="4" width="12" style="2" customWidth="1"/>
    <col min="5" max="5" width="9.5" style="2" customWidth="1"/>
    <col min="6" max="7" width="22" style="2" customWidth="1"/>
    <col min="8" max="8" width="8" style="2" customWidth="1"/>
    <col min="9" max="9" width="23.33203125" style="2" customWidth="1"/>
    <col min="10" max="10" width="9.1640625" style="2" customWidth="1"/>
    <col min="11" max="16384" width="8.83203125" style="2"/>
  </cols>
  <sheetData>
    <row r="1" spans="1:10" ht="16" thickBot="1" x14ac:dyDescent="0.25">
      <c r="A1" s="13" t="s">
        <v>25</v>
      </c>
      <c r="B1" s="14" t="s">
        <v>119</v>
      </c>
      <c r="C1" s="14" t="s">
        <v>32</v>
      </c>
      <c r="D1" s="14" t="s">
        <v>33</v>
      </c>
      <c r="E1" s="14" t="s">
        <v>34</v>
      </c>
      <c r="F1" s="14" t="s">
        <v>118</v>
      </c>
      <c r="G1" s="14" t="s">
        <v>192</v>
      </c>
      <c r="H1" s="14" t="s">
        <v>190</v>
      </c>
      <c r="I1" s="14" t="s">
        <v>38</v>
      </c>
      <c r="J1" s="15" t="s">
        <v>24</v>
      </c>
    </row>
    <row r="2" spans="1:10" x14ac:dyDescent="0.2">
      <c r="A2" s="16" t="s">
        <v>194</v>
      </c>
      <c r="B2" s="17" t="s">
        <v>41</v>
      </c>
      <c r="C2" s="17">
        <v>0</v>
      </c>
      <c r="D2" s="17">
        <v>0</v>
      </c>
      <c r="E2" s="17">
        <v>0</v>
      </c>
      <c r="F2" s="17" t="s">
        <v>42</v>
      </c>
      <c r="G2" s="17" t="s">
        <v>195</v>
      </c>
      <c r="H2" s="17" t="s">
        <v>191</v>
      </c>
      <c r="I2" s="4" t="s">
        <v>107</v>
      </c>
      <c r="J2" s="4" t="s">
        <v>196</v>
      </c>
    </row>
    <row r="3" spans="1:10" x14ac:dyDescent="0.2">
      <c r="A3" s="18" t="s">
        <v>194</v>
      </c>
      <c r="B3" s="4" t="s">
        <v>45</v>
      </c>
      <c r="C3" s="4">
        <v>0</v>
      </c>
      <c r="D3" s="4">
        <v>0</v>
      </c>
      <c r="E3" s="4">
        <v>0</v>
      </c>
      <c r="F3" s="4" t="s">
        <v>46</v>
      </c>
      <c r="G3" s="4" t="s">
        <v>197</v>
      </c>
      <c r="H3" s="4" t="s">
        <v>191</v>
      </c>
      <c r="I3" s="4" t="s">
        <v>107</v>
      </c>
      <c r="J3" s="4" t="s">
        <v>196</v>
      </c>
    </row>
    <row r="4" spans="1:10" x14ac:dyDescent="0.2">
      <c r="A4" s="18" t="s">
        <v>194</v>
      </c>
      <c r="B4" s="4" t="s">
        <v>76</v>
      </c>
      <c r="C4" s="4">
        <f>(C6-C5)+0.054</f>
        <v>9.4000000000000028E-2</v>
      </c>
      <c r="D4" s="4">
        <v>0</v>
      </c>
      <c r="E4" s="4">
        <v>0.15</v>
      </c>
      <c r="F4" s="4" t="s">
        <v>78</v>
      </c>
      <c r="G4" s="4" t="s">
        <v>198</v>
      </c>
      <c r="H4" s="4" t="s">
        <v>191</v>
      </c>
      <c r="I4" s="4" t="s">
        <v>199</v>
      </c>
      <c r="J4" s="4" t="s">
        <v>196</v>
      </c>
    </row>
    <row r="5" spans="1:10" x14ac:dyDescent="0.2">
      <c r="A5" s="18" t="s">
        <v>194</v>
      </c>
      <c r="B5" s="4" t="s">
        <v>66</v>
      </c>
      <c r="C5" s="4">
        <f>1-0.79</f>
        <v>0.20999999999999996</v>
      </c>
      <c r="D5" s="4">
        <f>1-0.82</f>
        <v>0.18000000000000005</v>
      </c>
      <c r="E5" s="4">
        <f>1-0.74</f>
        <v>0.26</v>
      </c>
      <c r="F5" s="4" t="s">
        <v>50</v>
      </c>
      <c r="G5" s="4" t="s">
        <v>200</v>
      </c>
      <c r="H5" s="4" t="s">
        <v>191</v>
      </c>
      <c r="I5" s="12" t="s">
        <v>67</v>
      </c>
      <c r="J5" s="4" t="s">
        <v>196</v>
      </c>
    </row>
    <row r="6" spans="1:10" x14ac:dyDescent="0.2">
      <c r="A6" s="18" t="s">
        <v>194</v>
      </c>
      <c r="B6" s="4" t="s">
        <v>79</v>
      </c>
      <c r="C6" s="4">
        <f>1-0.75</f>
        <v>0.25</v>
      </c>
      <c r="D6" s="4">
        <f>1-0.91</f>
        <v>8.9999999999999969E-2</v>
      </c>
      <c r="E6" s="4">
        <f>1-0.59</f>
        <v>0.41000000000000003</v>
      </c>
      <c r="F6" s="4" t="s">
        <v>58</v>
      </c>
      <c r="G6" s="4" t="s">
        <v>201</v>
      </c>
      <c r="H6" s="4" t="s">
        <v>191</v>
      </c>
      <c r="I6" s="12" t="s">
        <v>67</v>
      </c>
      <c r="J6" s="4" t="s">
        <v>196</v>
      </c>
    </row>
    <row r="7" spans="1:10" x14ac:dyDescent="0.2">
      <c r="A7" s="18" t="s">
        <v>194</v>
      </c>
      <c r="B7" s="4" t="s">
        <v>68</v>
      </c>
      <c r="C7" s="4">
        <f>1-0.79</f>
        <v>0.20999999999999996</v>
      </c>
      <c r="D7" s="4">
        <f>1-0.82</f>
        <v>0.18000000000000005</v>
      </c>
      <c r="E7" s="4">
        <f>1-0.74</f>
        <v>0.26</v>
      </c>
      <c r="F7" s="4" t="s">
        <v>70</v>
      </c>
      <c r="G7" s="4" t="s">
        <v>202</v>
      </c>
      <c r="H7" s="4" t="s">
        <v>191</v>
      </c>
      <c r="I7" s="12" t="s">
        <v>67</v>
      </c>
      <c r="J7" s="4" t="s">
        <v>196</v>
      </c>
    </row>
    <row r="8" spans="1:10" x14ac:dyDescent="0.2">
      <c r="A8" s="18" t="s">
        <v>194</v>
      </c>
      <c r="B8" s="4" t="s">
        <v>51</v>
      </c>
      <c r="C8" s="4">
        <f>1-0.748</f>
        <v>0.252</v>
      </c>
      <c r="D8" s="4">
        <f>1-0.77</f>
        <v>0.22999999999999998</v>
      </c>
      <c r="E8" s="4">
        <f>1-0.74</f>
        <v>0.26</v>
      </c>
      <c r="F8" s="4" t="s">
        <v>52</v>
      </c>
      <c r="G8" s="4" t="s">
        <v>203</v>
      </c>
      <c r="H8" s="4" t="s">
        <v>191</v>
      </c>
      <c r="I8" s="12" t="s">
        <v>67</v>
      </c>
      <c r="J8" s="4" t="s">
        <v>196</v>
      </c>
    </row>
    <row r="9" spans="1:10" x14ac:dyDescent="0.2">
      <c r="A9" s="18" t="s">
        <v>194</v>
      </c>
      <c r="B9" s="4" t="s">
        <v>53</v>
      </c>
      <c r="C9" s="4">
        <f>1-0.701</f>
        <v>0.29900000000000004</v>
      </c>
      <c r="D9" s="4">
        <f>1-0.85</f>
        <v>0.15000000000000002</v>
      </c>
      <c r="E9" s="4">
        <f>1-0.55</f>
        <v>0.44999999999999996</v>
      </c>
      <c r="F9" s="4" t="s">
        <v>54</v>
      </c>
      <c r="G9" s="4" t="s">
        <v>204</v>
      </c>
      <c r="H9" s="4" t="s">
        <v>191</v>
      </c>
      <c r="I9" s="12" t="s">
        <v>67</v>
      </c>
      <c r="J9" s="4" t="s">
        <v>196</v>
      </c>
    </row>
    <row r="10" spans="1:10" x14ac:dyDescent="0.2">
      <c r="A10" s="21" t="s">
        <v>194</v>
      </c>
      <c r="B10" s="19" t="s">
        <v>69</v>
      </c>
      <c r="C10" s="19">
        <f>1-0.748</f>
        <v>0.252</v>
      </c>
      <c r="D10" s="19">
        <f>1-0.77</f>
        <v>0.22999999999999998</v>
      </c>
      <c r="E10" s="19">
        <f>1-0.74</f>
        <v>0.26</v>
      </c>
      <c r="F10" s="19" t="s">
        <v>71</v>
      </c>
      <c r="G10" s="19" t="s">
        <v>205</v>
      </c>
      <c r="H10" s="19" t="s">
        <v>191</v>
      </c>
      <c r="I10" s="12" t="s">
        <v>67</v>
      </c>
      <c r="J10" s="4" t="s">
        <v>196</v>
      </c>
    </row>
    <row r="11" spans="1:10" x14ac:dyDescent="0.2">
      <c r="A11" s="18" t="s">
        <v>194</v>
      </c>
      <c r="B11" s="4" t="s">
        <v>55</v>
      </c>
      <c r="C11" s="4">
        <f>1-0.672</f>
        <v>0.32799999999999996</v>
      </c>
      <c r="D11" s="4">
        <f>1-0.69</f>
        <v>0.31000000000000005</v>
      </c>
      <c r="E11" s="4">
        <f>1-0.6</f>
        <v>0.4</v>
      </c>
      <c r="F11" s="4" t="s">
        <v>56</v>
      </c>
      <c r="G11" s="4" t="s">
        <v>206</v>
      </c>
      <c r="H11" s="4" t="s">
        <v>191</v>
      </c>
      <c r="I11" s="12" t="s">
        <v>67</v>
      </c>
      <c r="J11" s="4" t="s">
        <v>196</v>
      </c>
    </row>
    <row r="12" spans="1:10" x14ac:dyDescent="0.2">
      <c r="A12" s="18" t="s">
        <v>194</v>
      </c>
      <c r="B12" s="4" t="s">
        <v>59</v>
      </c>
      <c r="C12" s="22">
        <f>C11*($C$9/$C$8)</f>
        <v>0.38917460317460317</v>
      </c>
      <c r="D12" s="22">
        <f>D11*($C$9/$C$8)</f>
        <v>0.36781746031746043</v>
      </c>
      <c r="E12" s="22">
        <f>E11*($C$9/$C$8)</f>
        <v>0.47460317460317469</v>
      </c>
      <c r="F12" s="4" t="s">
        <v>60</v>
      </c>
      <c r="G12" s="4" t="s">
        <v>207</v>
      </c>
      <c r="H12" s="4" t="s">
        <v>191</v>
      </c>
      <c r="I12" s="12" t="s">
        <v>67</v>
      </c>
      <c r="J12" s="4" t="s">
        <v>196</v>
      </c>
    </row>
    <row r="13" spans="1:10" x14ac:dyDescent="0.2">
      <c r="A13" s="18" t="s">
        <v>194</v>
      </c>
      <c r="B13" s="4" t="s">
        <v>72</v>
      </c>
      <c r="C13" s="4">
        <f>1-0.672</f>
        <v>0.32799999999999996</v>
      </c>
      <c r="D13" s="4">
        <f>1-0.69</f>
        <v>0.31000000000000005</v>
      </c>
      <c r="E13" s="4">
        <f>1-0.6</f>
        <v>0.4</v>
      </c>
      <c r="F13" s="4" t="s">
        <v>73</v>
      </c>
      <c r="G13" s="4" t="s">
        <v>208</v>
      </c>
      <c r="H13" s="4" t="s">
        <v>191</v>
      </c>
      <c r="I13" s="12" t="s">
        <v>67</v>
      </c>
      <c r="J13" s="4" t="s">
        <v>196</v>
      </c>
    </row>
    <row r="14" spans="1:10" x14ac:dyDescent="0.2">
      <c r="A14" s="23" t="s">
        <v>194</v>
      </c>
      <c r="B14" s="20" t="s">
        <v>48</v>
      </c>
      <c r="C14" s="20">
        <f>1-0.61</f>
        <v>0.39</v>
      </c>
      <c r="D14" s="20">
        <f>1-0.67</f>
        <v>0.32999999999999996</v>
      </c>
      <c r="E14" s="20">
        <f>1-0.2</f>
        <v>0.8</v>
      </c>
      <c r="F14" s="20" t="s">
        <v>49</v>
      </c>
      <c r="G14" s="20" t="s">
        <v>209</v>
      </c>
      <c r="H14" s="20" t="s">
        <v>191</v>
      </c>
      <c r="I14" s="12" t="s">
        <v>67</v>
      </c>
      <c r="J14" s="20" t="s">
        <v>196</v>
      </c>
    </row>
    <row r="15" spans="1:10" x14ac:dyDescent="0.2">
      <c r="A15" s="19" t="s">
        <v>210</v>
      </c>
      <c r="B15" s="19" t="s">
        <v>211</v>
      </c>
      <c r="C15" s="19">
        <v>0</v>
      </c>
      <c r="D15" s="19">
        <v>0</v>
      </c>
      <c r="E15" s="19">
        <v>0</v>
      </c>
      <c r="F15" s="19" t="s">
        <v>83</v>
      </c>
      <c r="G15" s="19" t="s">
        <v>212</v>
      </c>
      <c r="H15" s="19" t="s">
        <v>191</v>
      </c>
      <c r="I15" s="19" t="s">
        <v>107</v>
      </c>
      <c r="J15" s="19" t="s">
        <v>213</v>
      </c>
    </row>
    <row r="16" spans="1:10" x14ac:dyDescent="0.2">
      <c r="A16" s="4" t="s">
        <v>210</v>
      </c>
      <c r="B16" s="4" t="s">
        <v>214</v>
      </c>
      <c r="C16" s="4">
        <v>0</v>
      </c>
      <c r="D16" s="4">
        <v>0</v>
      </c>
      <c r="E16" s="4">
        <v>0</v>
      </c>
      <c r="F16" s="4" t="s">
        <v>84</v>
      </c>
      <c r="G16" s="4" t="s">
        <v>215</v>
      </c>
      <c r="H16" s="4" t="s">
        <v>191</v>
      </c>
      <c r="I16" s="4" t="s">
        <v>107</v>
      </c>
      <c r="J16" s="4" t="s">
        <v>213</v>
      </c>
    </row>
    <row r="17" spans="1:10" x14ac:dyDescent="0.2">
      <c r="A17" s="4" t="s">
        <v>210</v>
      </c>
      <c r="B17" s="4" t="s">
        <v>216</v>
      </c>
      <c r="C17" s="4">
        <v>0</v>
      </c>
      <c r="D17" s="4">
        <v>0</v>
      </c>
      <c r="E17" s="4">
        <v>0</v>
      </c>
      <c r="F17" s="4" t="s">
        <v>86</v>
      </c>
      <c r="G17" s="4" t="s">
        <v>217</v>
      </c>
      <c r="H17" s="4" t="s">
        <v>191</v>
      </c>
      <c r="I17" s="4" t="s">
        <v>107</v>
      </c>
      <c r="J17" s="4" t="s">
        <v>213</v>
      </c>
    </row>
    <row r="18" spans="1:10" x14ac:dyDescent="0.2">
      <c r="A18" s="4" t="s">
        <v>210</v>
      </c>
      <c r="B18" s="4" t="s">
        <v>218</v>
      </c>
      <c r="C18" s="4">
        <f>0.5*0.274</f>
        <v>0.13700000000000001</v>
      </c>
      <c r="D18" s="4">
        <f>0.5*0.184</f>
        <v>9.1999999999999998E-2</v>
      </c>
      <c r="E18" s="4">
        <f>0.5*0.377</f>
        <v>0.1885</v>
      </c>
      <c r="F18" s="4" t="s">
        <v>89</v>
      </c>
      <c r="G18" s="4" t="s">
        <v>219</v>
      </c>
      <c r="H18" s="4" t="s">
        <v>191</v>
      </c>
      <c r="I18" s="4" t="s">
        <v>64</v>
      </c>
      <c r="J18" s="4" t="s">
        <v>213</v>
      </c>
    </row>
    <row r="19" spans="1:10" x14ac:dyDescent="0.2">
      <c r="A19" s="4" t="s">
        <v>210</v>
      </c>
      <c r="B19" s="4" t="s">
        <v>98</v>
      </c>
      <c r="C19" s="4">
        <f>0.25*0.274+0.75*0.078</f>
        <v>0.127</v>
      </c>
      <c r="D19" s="4">
        <f>0.75*0.052+0.25*0.184</f>
        <v>8.4999999999999992E-2</v>
      </c>
      <c r="E19" s="4">
        <f>0.75*0.111+0.25*0.377</f>
        <v>0.17749999999999999</v>
      </c>
      <c r="F19" s="4" t="s">
        <v>99</v>
      </c>
      <c r="G19" s="4" t="s">
        <v>220</v>
      </c>
      <c r="H19" s="4" t="s">
        <v>191</v>
      </c>
      <c r="I19" s="12" t="s">
        <v>193</v>
      </c>
      <c r="J19" s="4" t="s">
        <v>213</v>
      </c>
    </row>
    <row r="20" spans="1:10" x14ac:dyDescent="0.2">
      <c r="A20" s="4" t="s">
        <v>210</v>
      </c>
      <c r="B20" s="4" t="s">
        <v>105</v>
      </c>
      <c r="C20" s="4">
        <v>7.8E-2</v>
      </c>
      <c r="D20" s="4">
        <v>5.1999999999999998E-2</v>
      </c>
      <c r="E20" s="4">
        <v>0.111</v>
      </c>
      <c r="F20" s="4" t="s">
        <v>106</v>
      </c>
      <c r="G20" s="4" t="s">
        <v>221</v>
      </c>
      <c r="H20" s="4" t="s">
        <v>191</v>
      </c>
      <c r="I20" s="12" t="s">
        <v>193</v>
      </c>
      <c r="J20" s="4" t="s">
        <v>213</v>
      </c>
    </row>
    <row r="21" spans="1:10" x14ac:dyDescent="0.2">
      <c r="A21" s="4" t="s">
        <v>210</v>
      </c>
      <c r="B21" s="4" t="s">
        <v>108</v>
      </c>
      <c r="C21" s="4">
        <v>7.8E-2</v>
      </c>
      <c r="D21" s="4">
        <v>5.1999999999999998E-2</v>
      </c>
      <c r="E21" s="4">
        <v>0.111</v>
      </c>
      <c r="F21" s="4" t="s">
        <v>109</v>
      </c>
      <c r="G21" s="4" t="s">
        <v>222</v>
      </c>
      <c r="H21" s="4" t="s">
        <v>191</v>
      </c>
      <c r="I21" s="12" t="s">
        <v>193</v>
      </c>
      <c r="J21" s="4" t="s">
        <v>213</v>
      </c>
    </row>
    <row r="22" spans="1:10" x14ac:dyDescent="0.2">
      <c r="A22" s="4" t="s">
        <v>210</v>
      </c>
      <c r="B22" s="4" t="s">
        <v>110</v>
      </c>
      <c r="C22" s="4">
        <v>7.8E-2</v>
      </c>
      <c r="D22" s="4">
        <v>5.1999999999999998E-2</v>
      </c>
      <c r="E22" s="4">
        <v>0.111</v>
      </c>
      <c r="F22" s="4" t="s">
        <v>111</v>
      </c>
      <c r="G22" s="4" t="s">
        <v>223</v>
      </c>
      <c r="H22" s="4" t="s">
        <v>191</v>
      </c>
      <c r="I22" s="12" t="s">
        <v>193</v>
      </c>
      <c r="J22" s="4" t="s">
        <v>213</v>
      </c>
    </row>
    <row r="23" spans="1:10" x14ac:dyDescent="0.2">
      <c r="A23" s="4" t="s">
        <v>210</v>
      </c>
      <c r="B23" s="4" t="s">
        <v>103</v>
      </c>
      <c r="C23" s="4">
        <f>0.5*0.582+0.5*0.078</f>
        <v>0.32999999999999996</v>
      </c>
      <c r="D23" s="4">
        <f>0.5*0.052+0.5*0.406</f>
        <v>0.22900000000000001</v>
      </c>
      <c r="E23" s="4">
        <f>0.5*0.111+0.5*0.743</f>
        <v>0.42699999999999999</v>
      </c>
      <c r="F23" s="4" t="s">
        <v>104</v>
      </c>
      <c r="G23" s="4" t="s">
        <v>224</v>
      </c>
      <c r="H23" s="4" t="s">
        <v>191</v>
      </c>
      <c r="I23" s="12" t="s">
        <v>193</v>
      </c>
      <c r="J23" s="4" t="s">
        <v>213</v>
      </c>
    </row>
    <row r="24" spans="1:10" x14ac:dyDescent="0.2">
      <c r="A24" s="4" t="s">
        <v>210</v>
      </c>
      <c r="B24" s="4" t="s">
        <v>112</v>
      </c>
      <c r="C24" s="4">
        <f>0.75*0.078+0.25*0.582</f>
        <v>0.20399999999999999</v>
      </c>
      <c r="D24" s="4">
        <f>0.75*0.052+0.25*0.406</f>
        <v>0.14050000000000001</v>
      </c>
      <c r="E24" s="4">
        <f>0.75*0.111+0.25*0.743</f>
        <v>0.26900000000000002</v>
      </c>
      <c r="F24" s="4" t="s">
        <v>113</v>
      </c>
      <c r="G24" s="4" t="s">
        <v>225</v>
      </c>
      <c r="H24" s="4" t="s">
        <v>191</v>
      </c>
      <c r="I24" s="12" t="s">
        <v>193</v>
      </c>
      <c r="J24" s="4" t="s">
        <v>213</v>
      </c>
    </row>
    <row r="25" spans="1:10" x14ac:dyDescent="0.2">
      <c r="A25" s="4" t="s">
        <v>210</v>
      </c>
      <c r="B25" s="2" t="s">
        <v>116</v>
      </c>
      <c r="C25" s="4">
        <f>0.75*0.078+0.25*0.582</f>
        <v>0.20399999999999999</v>
      </c>
      <c r="D25" s="4">
        <f>0.75*0.052+0.25*0.406</f>
        <v>0.14050000000000001</v>
      </c>
      <c r="E25" s="4">
        <f>0.75*0.111+0.25*0.743</f>
        <v>0.26900000000000002</v>
      </c>
      <c r="F25" s="4" t="s">
        <v>115</v>
      </c>
      <c r="G25" s="4" t="s">
        <v>226</v>
      </c>
      <c r="H25" s="4" t="s">
        <v>191</v>
      </c>
      <c r="I25" s="12" t="s">
        <v>193</v>
      </c>
      <c r="J25" s="4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C218-EAC6-DE43-9BA4-FFF29DE2E4F3}">
  <sheetPr>
    <tabColor rgb="FF00B050"/>
  </sheetPr>
  <dimension ref="A1:J34"/>
  <sheetViews>
    <sheetView tabSelected="1" zoomScaleNormal="100" workbookViewId="0">
      <selection activeCell="D31" sqref="D31"/>
    </sheetView>
  </sheetViews>
  <sheetFormatPr baseColWidth="10" defaultColWidth="8.83203125" defaultRowHeight="15" x14ac:dyDescent="0.2"/>
  <cols>
    <col min="1" max="1" width="14.83203125" style="2" customWidth="1"/>
    <col min="2" max="2" width="36.6640625" style="2" customWidth="1"/>
    <col min="3" max="5" width="8.83203125" style="2"/>
    <col min="6" max="6" width="31.33203125" style="2" customWidth="1"/>
    <col min="7" max="7" width="85.6640625" style="2" bestFit="1" customWidth="1"/>
    <col min="8" max="8" width="30.5" style="2" customWidth="1"/>
    <col min="9" max="9" width="17.5" style="2" customWidth="1"/>
    <col min="10" max="16384" width="8.83203125" style="2"/>
  </cols>
  <sheetData>
    <row r="1" spans="1:10" x14ac:dyDescent="0.2">
      <c r="A1" s="8" t="s">
        <v>24</v>
      </c>
      <c r="B1" s="8" t="s">
        <v>117</v>
      </c>
      <c r="C1" s="8" t="s">
        <v>32</v>
      </c>
      <c r="D1" s="8" t="s">
        <v>33</v>
      </c>
      <c r="E1" s="8" t="s">
        <v>34</v>
      </c>
      <c r="F1" s="8" t="s">
        <v>118</v>
      </c>
      <c r="G1" s="1" t="s">
        <v>119</v>
      </c>
      <c r="H1" s="1" t="s">
        <v>25</v>
      </c>
      <c r="I1" s="1" t="s">
        <v>38</v>
      </c>
      <c r="J1" s="3" t="s">
        <v>35</v>
      </c>
    </row>
    <row r="2" spans="1:10" x14ac:dyDescent="0.2">
      <c r="A2" s="4" t="s">
        <v>120</v>
      </c>
      <c r="B2" s="4" t="s">
        <v>122</v>
      </c>
      <c r="C2" s="10">
        <v>60</v>
      </c>
      <c r="D2" s="10">
        <v>40</v>
      </c>
      <c r="E2" s="10">
        <v>80</v>
      </c>
      <c r="F2" s="4" t="s">
        <v>123</v>
      </c>
      <c r="G2" s="2" t="str">
        <f t="shared" ref="G2:G34" si="0">IF(A2&lt;&gt;"General",B2&amp;", "&amp;A2,B2)</f>
        <v>Additional inpatient day</v>
      </c>
      <c r="H2" s="2" t="s">
        <v>124</v>
      </c>
      <c r="I2" s="2" t="s">
        <v>64</v>
      </c>
      <c r="J2" s="4" t="s">
        <v>43</v>
      </c>
    </row>
    <row r="3" spans="1:10" ht="16" x14ac:dyDescent="0.2">
      <c r="A3" s="4" t="s">
        <v>120</v>
      </c>
      <c r="B3" s="9" t="s">
        <v>125</v>
      </c>
      <c r="C3" s="4">
        <v>13</v>
      </c>
      <c r="D3" s="4">
        <v>11</v>
      </c>
      <c r="E3" s="4">
        <v>15</v>
      </c>
      <c r="F3" s="4" t="s">
        <v>126</v>
      </c>
      <c r="G3" s="2" t="str">
        <f t="shared" si="0"/>
        <v>Liver function test</v>
      </c>
      <c r="H3" s="2" t="s">
        <v>124</v>
      </c>
      <c r="I3" s="2" t="s">
        <v>64</v>
      </c>
      <c r="J3" s="4" t="s">
        <v>43</v>
      </c>
    </row>
    <row r="4" spans="1:10" ht="16" x14ac:dyDescent="0.2">
      <c r="A4" s="4" t="s">
        <v>120</v>
      </c>
      <c r="B4" s="9" t="s">
        <v>127</v>
      </c>
      <c r="C4" s="4">
        <v>7.7</v>
      </c>
      <c r="D4" s="4">
        <v>6.3</v>
      </c>
      <c r="E4" s="4">
        <v>9</v>
      </c>
      <c r="F4" s="4" t="s">
        <v>128</v>
      </c>
      <c r="G4" s="2" t="str">
        <f t="shared" si="0"/>
        <v>International normalized ratio test</v>
      </c>
      <c r="H4" s="2" t="s">
        <v>124</v>
      </c>
      <c r="I4" s="2" t="s">
        <v>64</v>
      </c>
      <c r="J4" s="4" t="s">
        <v>43</v>
      </c>
    </row>
    <row r="5" spans="1:10" ht="16" x14ac:dyDescent="0.2">
      <c r="A5" s="4" t="s">
        <v>120</v>
      </c>
      <c r="B5" s="9" t="s">
        <v>129</v>
      </c>
      <c r="C5" s="4">
        <v>6.4</v>
      </c>
      <c r="D5" s="4">
        <v>5.5</v>
      </c>
      <c r="E5" s="4">
        <v>7.3</v>
      </c>
      <c r="F5" s="4" t="s">
        <v>130</v>
      </c>
      <c r="G5" s="2" t="str">
        <f t="shared" si="0"/>
        <v>Full blood count</v>
      </c>
      <c r="H5" s="2" t="s">
        <v>124</v>
      </c>
      <c r="I5" s="2" t="s">
        <v>64</v>
      </c>
      <c r="J5" s="4" t="s">
        <v>43</v>
      </c>
    </row>
    <row r="6" spans="1:10" ht="16" x14ac:dyDescent="0.2">
      <c r="A6" s="4" t="s">
        <v>120</v>
      </c>
      <c r="B6" s="9" t="s">
        <v>131</v>
      </c>
      <c r="C6" s="4">
        <v>11.5</v>
      </c>
      <c r="D6" s="4">
        <v>10</v>
      </c>
      <c r="E6" s="4">
        <v>13</v>
      </c>
      <c r="F6" s="4" t="s">
        <v>132</v>
      </c>
      <c r="G6" s="2" t="str">
        <f t="shared" si="0"/>
        <v>Blood urea nitrogen, creatinine, &amp; electrolytes</v>
      </c>
      <c r="H6" s="2" t="s">
        <v>124</v>
      </c>
      <c r="I6" s="2" t="s">
        <v>64</v>
      </c>
      <c r="J6" s="4" t="s">
        <v>43</v>
      </c>
    </row>
    <row r="7" spans="1:10" ht="16" x14ac:dyDescent="0.2">
      <c r="A7" s="4" t="s">
        <v>120</v>
      </c>
      <c r="B7" s="9" t="s">
        <v>133</v>
      </c>
      <c r="C7" s="4">
        <v>11.5</v>
      </c>
      <c r="D7" s="4">
        <v>11</v>
      </c>
      <c r="E7" s="4">
        <v>12</v>
      </c>
      <c r="F7" s="4" t="s">
        <v>134</v>
      </c>
      <c r="G7" s="2" t="str">
        <f t="shared" si="0"/>
        <v>Alpha fetoprotein</v>
      </c>
      <c r="H7" s="2" t="s">
        <v>124</v>
      </c>
      <c r="I7" s="2" t="s">
        <v>64</v>
      </c>
      <c r="J7" s="4" t="s">
        <v>43</v>
      </c>
    </row>
    <row r="8" spans="1:10" ht="16" x14ac:dyDescent="0.2">
      <c r="A8" s="4" t="s">
        <v>120</v>
      </c>
      <c r="B8" s="9" t="s">
        <v>135</v>
      </c>
      <c r="C8" s="4">
        <v>6</v>
      </c>
      <c r="D8" s="4">
        <v>4</v>
      </c>
      <c r="E8" s="4">
        <v>8</v>
      </c>
      <c r="F8" s="4" t="s">
        <v>136</v>
      </c>
      <c r="G8" s="2" t="str">
        <f t="shared" si="0"/>
        <v>Brief outpatient visit</v>
      </c>
      <c r="H8" s="2" t="s">
        <v>124</v>
      </c>
      <c r="I8" s="2" t="s">
        <v>64</v>
      </c>
      <c r="J8" s="4" t="s">
        <v>43</v>
      </c>
    </row>
    <row r="9" spans="1:10" ht="16" x14ac:dyDescent="0.2">
      <c r="A9" s="4" t="s">
        <v>120</v>
      </c>
      <c r="B9" s="9" t="s">
        <v>137</v>
      </c>
      <c r="C9" s="4">
        <v>12</v>
      </c>
      <c r="D9" s="4">
        <v>8</v>
      </c>
      <c r="E9" s="4">
        <v>16</v>
      </c>
      <c r="F9" s="4" t="s">
        <v>138</v>
      </c>
      <c r="G9" s="2" t="str">
        <f t="shared" si="0"/>
        <v>Extensive outpatient visit</v>
      </c>
      <c r="H9" s="2" t="s">
        <v>124</v>
      </c>
      <c r="I9" s="2" t="s">
        <v>64</v>
      </c>
      <c r="J9" s="4" t="s">
        <v>43</v>
      </c>
    </row>
    <row r="10" spans="1:10" ht="16" x14ac:dyDescent="0.2">
      <c r="A10" s="4" t="s">
        <v>120</v>
      </c>
      <c r="B10" s="9" t="s">
        <v>139</v>
      </c>
      <c r="C10" s="4">
        <v>10</v>
      </c>
      <c r="D10" s="4">
        <v>8</v>
      </c>
      <c r="E10" s="4">
        <v>12</v>
      </c>
      <c r="F10" s="4" t="s">
        <v>140</v>
      </c>
      <c r="G10" s="2" t="str">
        <f t="shared" si="0"/>
        <v>Abdominal ultrasonography</v>
      </c>
      <c r="H10" s="2" t="s">
        <v>124</v>
      </c>
      <c r="I10" s="2" t="s">
        <v>64</v>
      </c>
      <c r="J10" s="4" t="s">
        <v>43</v>
      </c>
    </row>
    <row r="11" spans="1:10" ht="16" x14ac:dyDescent="0.2">
      <c r="A11" s="4" t="s">
        <v>120</v>
      </c>
      <c r="B11" s="9" t="s">
        <v>141</v>
      </c>
      <c r="C11" s="4">
        <v>271.5</v>
      </c>
      <c r="D11" s="4">
        <v>245</v>
      </c>
      <c r="E11" s="4">
        <v>350</v>
      </c>
      <c r="F11" s="4" t="s">
        <v>142</v>
      </c>
      <c r="G11" s="2" t="str">
        <f t="shared" si="0"/>
        <v>Endoscopy with band ligation</v>
      </c>
      <c r="H11" s="2" t="s">
        <v>124</v>
      </c>
      <c r="I11" s="2" t="s">
        <v>64</v>
      </c>
      <c r="J11" s="4" t="s">
        <v>43</v>
      </c>
    </row>
    <row r="12" spans="1:10" ht="16" x14ac:dyDescent="0.2">
      <c r="A12" s="4" t="s">
        <v>120</v>
      </c>
      <c r="B12" s="9" t="s">
        <v>143</v>
      </c>
      <c r="C12" s="4">
        <v>350</v>
      </c>
      <c r="D12" s="4">
        <v>182.5</v>
      </c>
      <c r="E12" s="4">
        <v>782</v>
      </c>
      <c r="F12" s="4" t="s">
        <v>144</v>
      </c>
      <c r="G12" s="2" t="str">
        <f t="shared" si="0"/>
        <v>Spironolactone</v>
      </c>
      <c r="H12" s="2" t="s">
        <v>124</v>
      </c>
      <c r="I12" s="2" t="s">
        <v>64</v>
      </c>
      <c r="J12" s="4" t="s">
        <v>43</v>
      </c>
    </row>
    <row r="13" spans="1:10" ht="16" x14ac:dyDescent="0.2">
      <c r="A13" s="4" t="s">
        <v>120</v>
      </c>
      <c r="B13" s="9" t="s">
        <v>145</v>
      </c>
      <c r="C13" s="4">
        <v>60.8</v>
      </c>
      <c r="D13" s="4">
        <v>55</v>
      </c>
      <c r="E13" s="4">
        <v>66</v>
      </c>
      <c r="F13" s="4" t="s">
        <v>146</v>
      </c>
      <c r="G13" s="2" t="str">
        <f t="shared" si="0"/>
        <v>Furosemide</v>
      </c>
      <c r="H13" s="2" t="s">
        <v>124</v>
      </c>
      <c r="I13" s="2" t="s">
        <v>64</v>
      </c>
      <c r="J13" s="4" t="s">
        <v>43</v>
      </c>
    </row>
    <row r="14" spans="1:10" ht="16" x14ac:dyDescent="0.2">
      <c r="A14" s="4" t="s">
        <v>120</v>
      </c>
      <c r="B14" s="9" t="s">
        <v>147</v>
      </c>
      <c r="C14" s="4">
        <v>1811</v>
      </c>
      <c r="D14" s="4">
        <v>1400</v>
      </c>
      <c r="E14" s="4">
        <v>2200</v>
      </c>
      <c r="F14" s="4" t="s">
        <v>148</v>
      </c>
      <c r="G14" s="2" t="str">
        <f t="shared" si="0"/>
        <v>Transarterial chemoembolization</v>
      </c>
      <c r="H14" s="2" t="s">
        <v>124</v>
      </c>
      <c r="I14" s="2" t="s">
        <v>64</v>
      </c>
      <c r="J14" s="4" t="s">
        <v>43</v>
      </c>
    </row>
    <row r="15" spans="1:10" ht="16" x14ac:dyDescent="0.2">
      <c r="A15" s="4" t="s">
        <v>120</v>
      </c>
      <c r="B15" s="9" t="s">
        <v>149</v>
      </c>
      <c r="C15" s="4">
        <v>173</v>
      </c>
      <c r="D15" s="4">
        <v>150</v>
      </c>
      <c r="E15" s="4">
        <v>196</v>
      </c>
      <c r="F15" s="4" t="s">
        <v>150</v>
      </c>
      <c r="G15" s="2" t="str">
        <f t="shared" si="0"/>
        <v>Triphasic CT scan</v>
      </c>
      <c r="H15" s="2" t="s">
        <v>124</v>
      </c>
      <c r="I15" s="2" t="s">
        <v>64</v>
      </c>
      <c r="J15" s="4" t="s">
        <v>43</v>
      </c>
    </row>
    <row r="16" spans="1:10" ht="16" x14ac:dyDescent="0.2">
      <c r="A16" s="4" t="s">
        <v>120</v>
      </c>
      <c r="B16" s="9" t="s">
        <v>151</v>
      </c>
      <c r="C16" s="4">
        <v>1916.5</v>
      </c>
      <c r="D16" s="4">
        <v>1643</v>
      </c>
      <c r="E16" s="4">
        <v>2190</v>
      </c>
      <c r="F16" s="4" t="s">
        <v>152</v>
      </c>
      <c r="G16" s="2" t="str">
        <f t="shared" si="0"/>
        <v>Sorafenib (9-12 tablets)</v>
      </c>
      <c r="H16" s="2" t="s">
        <v>124</v>
      </c>
      <c r="I16" s="2" t="s">
        <v>64</v>
      </c>
      <c r="J16" s="4" t="s">
        <v>43</v>
      </c>
    </row>
    <row r="17" spans="1:10" ht="16" x14ac:dyDescent="0.2">
      <c r="A17" s="4" t="s">
        <v>121</v>
      </c>
      <c r="B17" s="9" t="s">
        <v>153</v>
      </c>
      <c r="C17" s="4">
        <v>25</v>
      </c>
      <c r="D17" s="4">
        <v>20</v>
      </c>
      <c r="E17" s="4">
        <v>30</v>
      </c>
      <c r="F17" s="4" t="s">
        <v>154</v>
      </c>
      <c r="G17" s="2" t="str">
        <f t="shared" si="0"/>
        <v>Consultation and medication, FNHTR</v>
      </c>
      <c r="H17" s="2" t="s">
        <v>124</v>
      </c>
      <c r="I17" s="2" t="s">
        <v>64</v>
      </c>
      <c r="J17" s="4" t="s">
        <v>43</v>
      </c>
    </row>
    <row r="18" spans="1:10" ht="16" x14ac:dyDescent="0.2">
      <c r="A18" s="4" t="s">
        <v>65</v>
      </c>
      <c r="B18" s="9" t="s">
        <v>155</v>
      </c>
      <c r="C18" s="4">
        <v>9</v>
      </c>
      <c r="D18" s="4">
        <v>7</v>
      </c>
      <c r="E18" s="4">
        <v>13</v>
      </c>
      <c r="F18" s="4" t="s">
        <v>156</v>
      </c>
      <c r="G18" s="2" t="str">
        <f t="shared" si="0"/>
        <v>Ab screen and confirmation, HCV</v>
      </c>
      <c r="H18" s="2" t="s">
        <v>124</v>
      </c>
      <c r="I18" s="2" t="s">
        <v>64</v>
      </c>
      <c r="J18" s="4" t="s">
        <v>43</v>
      </c>
    </row>
    <row r="19" spans="1:10" ht="16" x14ac:dyDescent="0.2">
      <c r="A19" s="4" t="s">
        <v>65</v>
      </c>
      <c r="B19" s="9" t="s">
        <v>157</v>
      </c>
      <c r="C19" s="4">
        <v>145</v>
      </c>
      <c r="D19" s="4">
        <v>120</v>
      </c>
      <c r="E19" s="4">
        <v>170</v>
      </c>
      <c r="F19" s="4" t="s">
        <v>158</v>
      </c>
      <c r="G19" s="2" t="str">
        <f t="shared" si="0"/>
        <v>RNA test, HCV</v>
      </c>
      <c r="H19" s="2" t="s">
        <v>124</v>
      </c>
      <c r="I19" s="2" t="s">
        <v>64</v>
      </c>
      <c r="J19" s="4" t="s">
        <v>43</v>
      </c>
    </row>
    <row r="20" spans="1:10" ht="16" x14ac:dyDescent="0.2">
      <c r="A20" s="4" t="s">
        <v>65</v>
      </c>
      <c r="B20" s="9" t="s">
        <v>159</v>
      </c>
      <c r="C20" s="4">
        <v>163</v>
      </c>
      <c r="D20" s="4">
        <v>140</v>
      </c>
      <c r="E20" s="4">
        <v>186</v>
      </c>
      <c r="F20" s="4" t="s">
        <v>160</v>
      </c>
      <c r="G20" s="2" t="str">
        <f t="shared" si="0"/>
        <v>Genotyping, HCV</v>
      </c>
      <c r="H20" s="2" t="s">
        <v>124</v>
      </c>
      <c r="I20" s="2" t="s">
        <v>64</v>
      </c>
      <c r="J20" s="4" t="s">
        <v>43</v>
      </c>
    </row>
    <row r="21" spans="1:10" ht="16" x14ac:dyDescent="0.2">
      <c r="A21" s="4" t="s">
        <v>65</v>
      </c>
      <c r="B21" s="9" t="s">
        <v>161</v>
      </c>
      <c r="C21" s="4">
        <v>650</v>
      </c>
      <c r="D21" s="4">
        <v>547.5</v>
      </c>
      <c r="E21" s="4">
        <v>1087</v>
      </c>
      <c r="F21" s="4" t="s">
        <v>162</v>
      </c>
      <c r="G21" s="2" t="str">
        <f t="shared" si="0"/>
        <v>Antiviral medication, HCV</v>
      </c>
      <c r="H21" s="2" t="s">
        <v>124</v>
      </c>
      <c r="I21" s="2" t="s">
        <v>64</v>
      </c>
      <c r="J21" s="4" t="s">
        <v>43</v>
      </c>
    </row>
    <row r="22" spans="1:10" ht="16" x14ac:dyDescent="0.2">
      <c r="A22" s="4" t="s">
        <v>65</v>
      </c>
      <c r="B22" s="9" t="s">
        <v>163</v>
      </c>
      <c r="C22" s="4">
        <v>1634</v>
      </c>
      <c r="D22" s="4">
        <v>1095</v>
      </c>
      <c r="E22" s="4">
        <v>2173</v>
      </c>
      <c r="F22" s="4" t="s">
        <v>164</v>
      </c>
      <c r="G22" s="2" t="str">
        <f t="shared" si="0"/>
        <v>AVT for decompensated cirrhosis, HCV</v>
      </c>
      <c r="H22" s="2" t="s">
        <v>124</v>
      </c>
      <c r="I22" s="2" t="s">
        <v>64</v>
      </c>
      <c r="J22" s="4" t="s">
        <v>43</v>
      </c>
    </row>
    <row r="23" spans="1:10" ht="16" x14ac:dyDescent="0.2">
      <c r="A23" s="4" t="s">
        <v>80</v>
      </c>
      <c r="B23" s="9" t="s">
        <v>165</v>
      </c>
      <c r="C23" s="11">
        <v>584.55999999999995</v>
      </c>
      <c r="D23" s="11">
        <v>436.30000000000007</v>
      </c>
      <c r="E23" s="11">
        <v>732.82</v>
      </c>
      <c r="F23" s="4" t="s">
        <v>166</v>
      </c>
      <c r="G23" s="2" t="str">
        <f t="shared" si="0"/>
        <v>AIDS care first year on AVT, HIV</v>
      </c>
      <c r="H23" s="2" t="s">
        <v>124</v>
      </c>
      <c r="I23" s="2" t="s">
        <v>64</v>
      </c>
      <c r="J23" s="4" t="s">
        <v>43</v>
      </c>
    </row>
    <row r="24" spans="1:10" ht="16" x14ac:dyDescent="0.2">
      <c r="A24" s="4" t="s">
        <v>80</v>
      </c>
      <c r="B24" s="9" t="s">
        <v>167</v>
      </c>
      <c r="C24" s="11">
        <v>329.56</v>
      </c>
      <c r="D24" s="11">
        <v>266.3</v>
      </c>
      <c r="E24" s="11">
        <v>392.82</v>
      </c>
      <c r="F24" s="4" t="s">
        <v>168</v>
      </c>
      <c r="G24" s="2" t="str">
        <f t="shared" si="0"/>
        <v>AIDS care second year on AVT, HIV</v>
      </c>
      <c r="H24" s="2" t="s">
        <v>124</v>
      </c>
      <c r="I24" s="2" t="s">
        <v>64</v>
      </c>
      <c r="J24" s="4" t="s">
        <v>43</v>
      </c>
    </row>
    <row r="25" spans="1:10" ht="16" x14ac:dyDescent="0.2">
      <c r="A25" s="4" t="s">
        <v>80</v>
      </c>
      <c r="B25" s="9" t="s">
        <v>116</v>
      </c>
      <c r="C25" s="11">
        <v>1150</v>
      </c>
      <c r="D25" s="11">
        <v>1000</v>
      </c>
      <c r="E25" s="11">
        <v>1500</v>
      </c>
      <c r="F25" s="4" t="s">
        <v>169</v>
      </c>
      <c r="G25" s="2" t="str">
        <f t="shared" si="0"/>
        <v>Residual disability from AIDS on AVT, HIV</v>
      </c>
      <c r="H25" s="2" t="s">
        <v>124</v>
      </c>
      <c r="I25" s="2" t="s">
        <v>64</v>
      </c>
      <c r="J25" s="4" t="s">
        <v>43</v>
      </c>
    </row>
    <row r="26" spans="1:10" ht="16" x14ac:dyDescent="0.2">
      <c r="A26" s="4" t="s">
        <v>80</v>
      </c>
      <c r="B26" s="9" t="s">
        <v>170</v>
      </c>
      <c r="C26" s="11">
        <v>150</v>
      </c>
      <c r="D26" s="11">
        <v>600</v>
      </c>
      <c r="E26" s="11">
        <v>50</v>
      </c>
      <c r="F26" s="4" t="s">
        <v>171</v>
      </c>
      <c r="G26" s="2" t="str">
        <f t="shared" si="0"/>
        <v>AIDS care undetected, HIV</v>
      </c>
      <c r="H26" s="2" t="s">
        <v>124</v>
      </c>
      <c r="I26" s="2" t="s">
        <v>172</v>
      </c>
      <c r="J26" s="4" t="s">
        <v>43</v>
      </c>
    </row>
    <row r="27" spans="1:10" ht="16" x14ac:dyDescent="0.2">
      <c r="A27" s="4" t="s">
        <v>80</v>
      </c>
      <c r="B27" s="9" t="s">
        <v>173</v>
      </c>
      <c r="C27" s="11">
        <v>186.7</v>
      </c>
      <c r="D27" s="11">
        <v>149.35999999999999</v>
      </c>
      <c r="E27" s="11">
        <v>224.04</v>
      </c>
      <c r="F27" s="4" t="s">
        <v>174</v>
      </c>
      <c r="G27" s="2" t="str">
        <f t="shared" si="0"/>
        <v>HIV care first year on AVT, HIV</v>
      </c>
      <c r="H27" s="2" t="s">
        <v>124</v>
      </c>
      <c r="I27" s="2" t="s">
        <v>172</v>
      </c>
      <c r="J27" s="4" t="s">
        <v>43</v>
      </c>
    </row>
    <row r="28" spans="1:10" ht="16" x14ac:dyDescent="0.2">
      <c r="A28" s="4" t="s">
        <v>80</v>
      </c>
      <c r="B28" s="9" t="s">
        <v>175</v>
      </c>
      <c r="C28" s="11">
        <v>64.521795064417915</v>
      </c>
      <c r="D28" s="11">
        <v>51.617436051534334</v>
      </c>
      <c r="E28" s="11">
        <v>77.42615407730149</v>
      </c>
      <c r="F28" s="4" t="s">
        <v>176</v>
      </c>
      <c r="G28" s="2" t="str">
        <f t="shared" si="0"/>
        <v>HIV care second year on AVT, HIV</v>
      </c>
      <c r="H28" s="2" t="s">
        <v>124</v>
      </c>
      <c r="I28" s="2" t="s">
        <v>172</v>
      </c>
      <c r="J28" s="4" t="s">
        <v>43</v>
      </c>
    </row>
    <row r="29" spans="1:10" ht="16" x14ac:dyDescent="0.2">
      <c r="A29" s="4" t="s">
        <v>80</v>
      </c>
      <c r="B29" s="9" t="s">
        <v>177</v>
      </c>
      <c r="C29" s="11">
        <v>57.015127896931176</v>
      </c>
      <c r="D29" s="11">
        <v>45.612102317544945</v>
      </c>
      <c r="E29" s="11">
        <v>68.418153476317414</v>
      </c>
      <c r="F29" s="4" t="s">
        <v>178</v>
      </c>
      <c r="G29" s="2" t="str">
        <f t="shared" si="0"/>
        <v>HIV care third year on AVT, HIV</v>
      </c>
      <c r="H29" s="2" t="s">
        <v>124</v>
      </c>
      <c r="I29" s="2" t="s">
        <v>172</v>
      </c>
      <c r="J29" s="4" t="s">
        <v>43</v>
      </c>
    </row>
    <row r="30" spans="1:10" ht="16" x14ac:dyDescent="0.2">
      <c r="A30" s="4" t="s">
        <v>80</v>
      </c>
      <c r="B30" s="9" t="s">
        <v>179</v>
      </c>
      <c r="C30" s="11">
        <v>46.35</v>
      </c>
      <c r="D30" s="11">
        <v>37.08</v>
      </c>
      <c r="E30" s="11">
        <v>55.62</v>
      </c>
      <c r="F30" s="4" t="s">
        <v>180</v>
      </c>
      <c r="G30" s="2" t="str">
        <f t="shared" si="0"/>
        <v>HIV care annual cost after third year on AVT, HIV</v>
      </c>
      <c r="H30" s="2" t="s">
        <v>124</v>
      </c>
      <c r="I30" s="2" t="s">
        <v>172</v>
      </c>
      <c r="J30" s="4" t="s">
        <v>43</v>
      </c>
    </row>
    <row r="31" spans="1:10" ht="32" x14ac:dyDescent="0.2">
      <c r="A31" s="4" t="s">
        <v>65</v>
      </c>
      <c r="B31" s="9" t="s">
        <v>183</v>
      </c>
      <c r="C31" s="4">
        <v>3</v>
      </c>
      <c r="D31" s="4">
        <v>2</v>
      </c>
      <c r="E31" s="4">
        <v>4</v>
      </c>
      <c r="F31" s="4" t="s">
        <v>184</v>
      </c>
      <c r="G31" s="2" t="str">
        <f t="shared" si="0"/>
        <v>Annual brief outpatient visits for acute infection with AVT, HCV</v>
      </c>
      <c r="H31" s="2" t="s">
        <v>181</v>
      </c>
      <c r="I31" s="2" t="s">
        <v>64</v>
      </c>
      <c r="J31" s="4" t="s">
        <v>43</v>
      </c>
    </row>
    <row r="32" spans="1:10" ht="32" x14ac:dyDescent="0.2">
      <c r="A32" s="4" t="s">
        <v>65</v>
      </c>
      <c r="B32" s="9" t="s">
        <v>185</v>
      </c>
      <c r="C32" s="4">
        <v>3</v>
      </c>
      <c r="D32" s="4">
        <v>2</v>
      </c>
      <c r="E32" s="4">
        <v>4</v>
      </c>
      <c r="F32" s="4" t="s">
        <v>186</v>
      </c>
      <c r="G32" s="2" t="str">
        <f t="shared" si="0"/>
        <v>Annual brief outpatient visits for chronic HCV without cirrhosis no AVT, HCV</v>
      </c>
      <c r="H32" s="2" t="s">
        <v>181</v>
      </c>
      <c r="I32" s="2" t="s">
        <v>64</v>
      </c>
      <c r="J32" s="4" t="s">
        <v>43</v>
      </c>
    </row>
    <row r="33" spans="1:10" ht="32" x14ac:dyDescent="0.2">
      <c r="A33" s="4" t="s">
        <v>65</v>
      </c>
      <c r="B33" s="9" t="s">
        <v>182</v>
      </c>
      <c r="C33" s="4">
        <v>4</v>
      </c>
      <c r="D33" s="4">
        <v>2</v>
      </c>
      <c r="E33" s="4">
        <v>6</v>
      </c>
      <c r="F33" s="4" t="s">
        <v>187</v>
      </c>
      <c r="G33" s="2" t="str">
        <f t="shared" si="0"/>
        <v>Annual brief outpatient visits for compensated cirrhosis no AVT, HCV</v>
      </c>
      <c r="H33" s="2" t="s">
        <v>181</v>
      </c>
      <c r="I33" s="2" t="s">
        <v>64</v>
      </c>
      <c r="J33" s="4" t="s">
        <v>43</v>
      </c>
    </row>
    <row r="34" spans="1:10" ht="32" x14ac:dyDescent="0.2">
      <c r="A34" s="4" t="s">
        <v>65</v>
      </c>
      <c r="B34" s="9" t="s">
        <v>188</v>
      </c>
      <c r="C34" s="4">
        <v>4</v>
      </c>
      <c r="D34" s="4">
        <v>2</v>
      </c>
      <c r="E34" s="4">
        <v>6</v>
      </c>
      <c r="F34" s="4" t="s">
        <v>189</v>
      </c>
      <c r="G34" s="2" t="str">
        <f t="shared" si="0"/>
        <v>Annual brief outpatient visits with decompensated cirrhosis no AVT, HCV</v>
      </c>
      <c r="H34" s="2" t="s">
        <v>181</v>
      </c>
      <c r="I34" s="2" t="s">
        <v>64</v>
      </c>
      <c r="J34" s="4" t="s">
        <v>43</v>
      </c>
    </row>
  </sheetData>
  <autoFilter ref="A1:J34" xr:uid="{7C28F1B7-3548-41D6-B54C-173C6DD891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C7C3-AC95-0E40-8F2E-9E2C09FF170F}">
  <sheetPr>
    <tabColor rgb="FF00B050"/>
  </sheetPr>
  <dimension ref="A1:O64"/>
  <sheetViews>
    <sheetView zoomScaleNormal="100" workbookViewId="0">
      <pane ySplit="1" topLeftCell="A2" activePane="bottomLeft" state="frozen"/>
      <selection activeCell="P14" sqref="P14"/>
      <selection pane="bottomLeft" activeCell="C32" sqref="C32"/>
    </sheetView>
  </sheetViews>
  <sheetFormatPr baseColWidth="10" defaultColWidth="8.83203125" defaultRowHeight="15" x14ac:dyDescent="0.2"/>
  <cols>
    <col min="1" max="1" width="12.6640625" style="2" customWidth="1"/>
    <col min="2" max="3" width="25.5" style="2" customWidth="1"/>
    <col min="4" max="4" width="12.6640625" style="2" customWidth="1"/>
    <col min="5" max="6" width="40" style="2" bestFit="1" customWidth="1"/>
    <col min="7" max="7" width="14.5" style="2" bestFit="1" customWidth="1"/>
    <col min="8" max="14" width="12.6640625" style="2" customWidth="1"/>
    <col min="15" max="15" width="27" style="2" bestFit="1" customWidth="1"/>
    <col min="16" max="16384" width="8.83203125" style="2"/>
  </cols>
  <sheetData>
    <row r="1" spans="1:15" x14ac:dyDescent="0.2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</row>
    <row r="2" spans="1:15" x14ac:dyDescent="0.2">
      <c r="A2" s="4" t="s">
        <v>65</v>
      </c>
      <c r="B2" s="4" t="s">
        <v>39</v>
      </c>
      <c r="C2" s="4" t="str">
        <f t="shared" ref="C2:C16" si="0">A2&amp;" "&amp;LOWER(B2)</f>
        <v>HCV natural history</v>
      </c>
      <c r="D2" s="4" t="s">
        <v>40</v>
      </c>
      <c r="E2" s="4" t="s">
        <v>41</v>
      </c>
      <c r="F2" s="4" t="s">
        <v>45</v>
      </c>
      <c r="G2" s="4" t="s">
        <v>42</v>
      </c>
      <c r="H2" s="4" t="s">
        <v>46</v>
      </c>
      <c r="I2" s="4">
        <v>0.31</v>
      </c>
      <c r="J2" s="4">
        <v>0.15</v>
      </c>
      <c r="K2" s="4">
        <v>0.4</v>
      </c>
      <c r="L2" s="4" t="s">
        <v>43</v>
      </c>
      <c r="M2" s="4"/>
      <c r="N2" s="4"/>
      <c r="O2" s="4" t="s">
        <v>44</v>
      </c>
    </row>
    <row r="3" spans="1:15" x14ac:dyDescent="0.2">
      <c r="A3" s="4" t="s">
        <v>65</v>
      </c>
      <c r="B3" s="4" t="s">
        <v>39</v>
      </c>
      <c r="C3" s="4" t="str">
        <f t="shared" si="0"/>
        <v>HCV natural history</v>
      </c>
      <c r="D3" s="4" t="s">
        <v>40</v>
      </c>
      <c r="E3" s="4" t="s">
        <v>41</v>
      </c>
      <c r="F3" s="4" t="s">
        <v>66</v>
      </c>
      <c r="G3" s="4" t="s">
        <v>42</v>
      </c>
      <c r="H3" s="4" t="s">
        <v>50</v>
      </c>
      <c r="I3" s="4" t="s">
        <v>47</v>
      </c>
      <c r="J3" s="4"/>
      <c r="K3" s="4"/>
      <c r="L3" s="4"/>
      <c r="M3" s="4"/>
      <c r="N3" s="4"/>
      <c r="O3" s="4"/>
    </row>
    <row r="4" spans="1:15" x14ac:dyDescent="0.2">
      <c r="A4" s="4" t="s">
        <v>65</v>
      </c>
      <c r="B4" s="4" t="s">
        <v>39</v>
      </c>
      <c r="C4" s="4" t="str">
        <f t="shared" si="0"/>
        <v>HCV natural history</v>
      </c>
      <c r="D4" s="4" t="s">
        <v>40</v>
      </c>
      <c r="E4" s="4" t="s">
        <v>45</v>
      </c>
      <c r="F4" s="4" t="s">
        <v>45</v>
      </c>
      <c r="G4" s="4" t="s">
        <v>46</v>
      </c>
      <c r="H4" s="4" t="s">
        <v>46</v>
      </c>
      <c r="I4" s="4">
        <v>1</v>
      </c>
      <c r="J4" s="4"/>
      <c r="K4" s="4"/>
      <c r="L4" s="4"/>
      <c r="M4" s="4"/>
      <c r="N4" s="4"/>
      <c r="O4" s="4"/>
    </row>
    <row r="5" spans="1:15" x14ac:dyDescent="0.2">
      <c r="A5" s="4" t="s">
        <v>65</v>
      </c>
      <c r="B5" s="4" t="s">
        <v>39</v>
      </c>
      <c r="C5" s="4" t="str">
        <f t="shared" si="0"/>
        <v>HCV natural history</v>
      </c>
      <c r="D5" s="4" t="s">
        <v>40</v>
      </c>
      <c r="E5" s="4" t="s">
        <v>66</v>
      </c>
      <c r="F5" s="4" t="s">
        <v>51</v>
      </c>
      <c r="G5" s="4" t="s">
        <v>50</v>
      </c>
      <c r="H5" s="4" t="s">
        <v>52</v>
      </c>
      <c r="I5" s="4">
        <v>1.0999999999999999E-2</v>
      </c>
      <c r="J5" s="4">
        <v>5.0000000000000001E-3</v>
      </c>
      <c r="K5" s="4">
        <v>1.7999999999999999E-2</v>
      </c>
      <c r="L5" s="4" t="s">
        <v>43</v>
      </c>
      <c r="M5" s="4"/>
      <c r="N5" s="4"/>
      <c r="O5" s="4" t="s">
        <v>67</v>
      </c>
    </row>
    <row r="6" spans="1:15" x14ac:dyDescent="0.2">
      <c r="A6" s="4" t="s">
        <v>65</v>
      </c>
      <c r="B6" s="4" t="s">
        <v>39</v>
      </c>
      <c r="C6" s="4" t="str">
        <f t="shared" si="0"/>
        <v>HCV natural history</v>
      </c>
      <c r="D6" s="4" t="s">
        <v>40</v>
      </c>
      <c r="E6" s="4" t="s">
        <v>66</v>
      </c>
      <c r="F6" s="4" t="s">
        <v>66</v>
      </c>
      <c r="G6" s="4" t="s">
        <v>50</v>
      </c>
      <c r="H6" s="4" t="s">
        <v>50</v>
      </c>
      <c r="I6" s="4" t="s">
        <v>47</v>
      </c>
      <c r="J6" s="4"/>
      <c r="K6" s="4"/>
      <c r="L6" s="4"/>
      <c r="M6" s="4"/>
      <c r="N6" s="4"/>
      <c r="O6" s="4"/>
    </row>
    <row r="7" spans="1:15" x14ac:dyDescent="0.2">
      <c r="A7" s="4" t="s">
        <v>65</v>
      </c>
      <c r="B7" s="4" t="s">
        <v>39</v>
      </c>
      <c r="C7" s="4" t="str">
        <f t="shared" si="0"/>
        <v>HCV natural history</v>
      </c>
      <c r="D7" s="4" t="s">
        <v>40</v>
      </c>
      <c r="E7" s="4" t="s">
        <v>68</v>
      </c>
      <c r="F7" s="4" t="s">
        <v>69</v>
      </c>
      <c r="G7" s="4" t="s">
        <v>70</v>
      </c>
      <c r="H7" s="4" t="s">
        <v>71</v>
      </c>
      <c r="I7" s="4">
        <v>1.0999999999999999E-2</v>
      </c>
      <c r="J7" s="4">
        <v>5.0000000000000001E-3</v>
      </c>
      <c r="K7" s="4">
        <v>1.7999999999999999E-2</v>
      </c>
      <c r="L7" s="4" t="s">
        <v>43</v>
      </c>
      <c r="M7" s="4"/>
      <c r="N7" s="4"/>
      <c r="O7" s="4" t="s">
        <v>67</v>
      </c>
    </row>
    <row r="8" spans="1:15" x14ac:dyDescent="0.2">
      <c r="A8" s="4" t="s">
        <v>65</v>
      </c>
      <c r="B8" s="4" t="s">
        <v>39</v>
      </c>
      <c r="C8" s="4" t="str">
        <f t="shared" si="0"/>
        <v>HCV natural history</v>
      </c>
      <c r="D8" s="4" t="s">
        <v>40</v>
      </c>
      <c r="E8" s="4" t="s">
        <v>68</v>
      </c>
      <c r="F8" s="4" t="s">
        <v>68</v>
      </c>
      <c r="G8" s="4" t="s">
        <v>70</v>
      </c>
      <c r="H8" s="4" t="s">
        <v>70</v>
      </c>
      <c r="I8" s="4" t="s">
        <v>47</v>
      </c>
      <c r="J8" s="4"/>
      <c r="K8" s="4"/>
      <c r="L8" s="4"/>
      <c r="M8" s="4"/>
      <c r="N8" s="4"/>
      <c r="O8" s="4"/>
    </row>
    <row r="9" spans="1:15" x14ac:dyDescent="0.2">
      <c r="A9" s="4" t="s">
        <v>65</v>
      </c>
      <c r="B9" s="4" t="s">
        <v>39</v>
      </c>
      <c r="C9" s="4" t="str">
        <f t="shared" si="0"/>
        <v>HCV natural history</v>
      </c>
      <c r="D9" s="4" t="s">
        <v>40</v>
      </c>
      <c r="E9" s="4" t="s">
        <v>51</v>
      </c>
      <c r="F9" s="4" t="s">
        <v>55</v>
      </c>
      <c r="G9" s="4" t="s">
        <v>52</v>
      </c>
      <c r="H9" s="4" t="s">
        <v>56</v>
      </c>
      <c r="I9" s="4">
        <v>6.4000000000000001E-2</v>
      </c>
      <c r="J9" s="4">
        <v>0.03</v>
      </c>
      <c r="K9" s="4">
        <v>7.0000000000000007E-2</v>
      </c>
      <c r="L9" s="4" t="s">
        <v>43</v>
      </c>
      <c r="M9" s="4"/>
      <c r="N9" s="4"/>
      <c r="O9" s="4" t="s">
        <v>67</v>
      </c>
    </row>
    <row r="10" spans="1:15" x14ac:dyDescent="0.2">
      <c r="A10" s="4" t="s">
        <v>65</v>
      </c>
      <c r="B10" s="4" t="s">
        <v>39</v>
      </c>
      <c r="C10" s="4" t="str">
        <f t="shared" si="0"/>
        <v>HCV natural history</v>
      </c>
      <c r="D10" s="4" t="s">
        <v>40</v>
      </c>
      <c r="E10" s="4" t="s">
        <v>51</v>
      </c>
      <c r="F10" s="4" t="s">
        <v>48</v>
      </c>
      <c r="G10" s="4" t="s">
        <v>52</v>
      </c>
      <c r="H10" s="4" t="s">
        <v>49</v>
      </c>
      <c r="I10" s="4">
        <v>3.5999999999999997E-2</v>
      </c>
      <c r="J10" s="4">
        <v>1.4999999999999999E-2</v>
      </c>
      <c r="K10" s="4">
        <v>0.04</v>
      </c>
      <c r="L10" s="4" t="s">
        <v>43</v>
      </c>
      <c r="M10" s="4"/>
      <c r="N10" s="4"/>
      <c r="O10" s="4" t="s">
        <v>67</v>
      </c>
    </row>
    <row r="11" spans="1:15" x14ac:dyDescent="0.2">
      <c r="A11" s="4" t="s">
        <v>65</v>
      </c>
      <c r="B11" s="4" t="s">
        <v>39</v>
      </c>
      <c r="C11" s="4" t="str">
        <f t="shared" si="0"/>
        <v>HCV natural history</v>
      </c>
      <c r="D11" s="4" t="s">
        <v>40</v>
      </c>
      <c r="E11" s="4" t="s">
        <v>51</v>
      </c>
      <c r="F11" s="4" t="s">
        <v>51</v>
      </c>
      <c r="G11" s="4" t="s">
        <v>52</v>
      </c>
      <c r="H11" s="4" t="s">
        <v>52</v>
      </c>
      <c r="I11" s="4" t="s">
        <v>47</v>
      </c>
      <c r="J11" s="4"/>
      <c r="K11" s="4"/>
      <c r="L11" s="4"/>
      <c r="M11" s="4"/>
      <c r="N11" s="4"/>
      <c r="O11" s="4"/>
    </row>
    <row r="12" spans="1:15" x14ac:dyDescent="0.2">
      <c r="A12" s="4" t="s">
        <v>65</v>
      </c>
      <c r="B12" s="4" t="s">
        <v>39</v>
      </c>
      <c r="C12" s="4" t="str">
        <f t="shared" si="0"/>
        <v>HCV natural history</v>
      </c>
      <c r="D12" s="4" t="s">
        <v>40</v>
      </c>
      <c r="E12" s="4" t="s">
        <v>69</v>
      </c>
      <c r="F12" s="4" t="s">
        <v>72</v>
      </c>
      <c r="G12" s="4" t="s">
        <v>71</v>
      </c>
      <c r="H12" s="4" t="s">
        <v>73</v>
      </c>
      <c r="I12" s="4">
        <v>6.4000000000000001E-2</v>
      </c>
      <c r="J12" s="4">
        <v>0.03</v>
      </c>
      <c r="K12" s="4">
        <v>7.0000000000000007E-2</v>
      </c>
      <c r="L12" s="4" t="s">
        <v>43</v>
      </c>
      <c r="M12" s="4"/>
      <c r="N12" s="4"/>
      <c r="O12" s="4" t="s">
        <v>67</v>
      </c>
    </row>
    <row r="13" spans="1:15" x14ac:dyDescent="0.2">
      <c r="A13" s="4" t="s">
        <v>65</v>
      </c>
      <c r="B13" s="4" t="s">
        <v>39</v>
      </c>
      <c r="C13" s="4" t="str">
        <f t="shared" si="0"/>
        <v>HCV natural history</v>
      </c>
      <c r="D13" s="4" t="s">
        <v>40</v>
      </c>
      <c r="E13" s="4" t="s">
        <v>69</v>
      </c>
      <c r="F13" s="4" t="s">
        <v>48</v>
      </c>
      <c r="G13" s="4" t="s">
        <v>71</v>
      </c>
      <c r="H13" s="4" t="s">
        <v>49</v>
      </c>
      <c r="I13" s="4">
        <v>3.5999999999999997E-2</v>
      </c>
      <c r="J13" s="4">
        <v>1.4999999999999999E-2</v>
      </c>
      <c r="K13" s="4">
        <v>0.04</v>
      </c>
      <c r="L13" s="4" t="s">
        <v>43</v>
      </c>
      <c r="M13" s="4"/>
      <c r="N13" s="4"/>
      <c r="O13" s="4" t="s">
        <v>67</v>
      </c>
    </row>
    <row r="14" spans="1:15" x14ac:dyDescent="0.2">
      <c r="A14" s="4" t="s">
        <v>65</v>
      </c>
      <c r="B14" s="4" t="s">
        <v>39</v>
      </c>
      <c r="C14" s="4" t="str">
        <f t="shared" si="0"/>
        <v>HCV natural history</v>
      </c>
      <c r="D14" s="4" t="s">
        <v>40</v>
      </c>
      <c r="E14" s="4" t="s">
        <v>69</v>
      </c>
      <c r="F14" s="4" t="s">
        <v>69</v>
      </c>
      <c r="G14" s="4" t="s">
        <v>71</v>
      </c>
      <c r="H14" s="4" t="s">
        <v>71</v>
      </c>
      <c r="I14" s="4" t="s">
        <v>47</v>
      </c>
      <c r="J14" s="4"/>
      <c r="K14" s="4"/>
      <c r="L14" s="4"/>
      <c r="M14" s="4"/>
      <c r="N14" s="4"/>
      <c r="O14" s="4"/>
    </row>
    <row r="15" spans="1:15" x14ac:dyDescent="0.2">
      <c r="A15" s="4" t="s">
        <v>65</v>
      </c>
      <c r="B15" s="4" t="s">
        <v>39</v>
      </c>
      <c r="C15" s="4" t="str">
        <f t="shared" si="0"/>
        <v>HCV natural history</v>
      </c>
      <c r="D15" s="4" t="s">
        <v>40</v>
      </c>
      <c r="E15" s="4" t="s">
        <v>55</v>
      </c>
      <c r="F15" s="4" t="s">
        <v>48</v>
      </c>
      <c r="G15" s="4" t="s">
        <v>56</v>
      </c>
      <c r="H15" s="4" t="s">
        <v>49</v>
      </c>
      <c r="I15" s="4">
        <v>6.8000000000000005E-2</v>
      </c>
      <c r="J15" s="4">
        <v>4.1000000000000002E-2</v>
      </c>
      <c r="K15" s="4">
        <v>9.9000000000000005E-2</v>
      </c>
      <c r="L15" s="4" t="s">
        <v>43</v>
      </c>
      <c r="M15" s="4"/>
      <c r="N15" s="4"/>
      <c r="O15" s="4" t="s">
        <v>67</v>
      </c>
    </row>
    <row r="16" spans="1:15" x14ac:dyDescent="0.2">
      <c r="A16" s="4" t="s">
        <v>65</v>
      </c>
      <c r="B16" s="4" t="s">
        <v>39</v>
      </c>
      <c r="C16" s="4" t="str">
        <f t="shared" si="0"/>
        <v>HCV natural history</v>
      </c>
      <c r="D16" s="4" t="s">
        <v>40</v>
      </c>
      <c r="E16" s="4" t="s">
        <v>55</v>
      </c>
      <c r="F16" s="4" t="s">
        <v>74</v>
      </c>
      <c r="G16" s="4" t="s">
        <v>56</v>
      </c>
      <c r="H16" s="4" t="s">
        <v>75</v>
      </c>
      <c r="I16" s="4">
        <v>0.16800000000000001</v>
      </c>
      <c r="J16" s="4">
        <v>0.12</v>
      </c>
      <c r="K16" s="4">
        <v>0.4</v>
      </c>
      <c r="L16" s="4" t="s">
        <v>43</v>
      </c>
      <c r="M16" s="4"/>
      <c r="N16" s="4"/>
      <c r="O16" s="4" t="s">
        <v>67</v>
      </c>
    </row>
    <row r="17" spans="1:15" x14ac:dyDescent="0.2">
      <c r="A17" s="4" t="s">
        <v>65</v>
      </c>
      <c r="B17" s="4" t="s">
        <v>39</v>
      </c>
      <c r="C17" s="4" t="str">
        <f t="shared" ref="C17:C19" si="1">A17&amp;" "&amp;LOWER(B17)</f>
        <v>HCV natural history</v>
      </c>
      <c r="D17" s="4" t="s">
        <v>40</v>
      </c>
      <c r="E17" s="4" t="s">
        <v>55</v>
      </c>
      <c r="F17" s="4" t="s">
        <v>55</v>
      </c>
      <c r="G17" s="4" t="s">
        <v>56</v>
      </c>
      <c r="H17" s="4" t="s">
        <v>56</v>
      </c>
      <c r="I17" s="4" t="s">
        <v>47</v>
      </c>
      <c r="J17" s="4"/>
      <c r="K17" s="4"/>
      <c r="L17" s="4"/>
      <c r="M17" s="4"/>
      <c r="N17" s="4"/>
      <c r="O17" s="4"/>
    </row>
    <row r="18" spans="1:15" x14ac:dyDescent="0.2">
      <c r="A18" s="4" t="s">
        <v>65</v>
      </c>
      <c r="B18" s="4" t="s">
        <v>39</v>
      </c>
      <c r="C18" s="4" t="str">
        <f t="shared" si="1"/>
        <v>HCV natural history</v>
      </c>
      <c r="D18" s="4" t="s">
        <v>40</v>
      </c>
      <c r="E18" s="4" t="s">
        <v>72</v>
      </c>
      <c r="F18" s="4" t="s">
        <v>48</v>
      </c>
      <c r="G18" s="4" t="s">
        <v>73</v>
      </c>
      <c r="H18" s="4" t="s">
        <v>49</v>
      </c>
      <c r="I18" s="4">
        <v>6.8000000000000005E-2</v>
      </c>
      <c r="J18" s="4">
        <v>4.1000000000000002E-2</v>
      </c>
      <c r="K18" s="4">
        <v>9.9000000000000005E-2</v>
      </c>
      <c r="L18" s="4" t="s">
        <v>43</v>
      </c>
      <c r="M18" s="4"/>
      <c r="N18" s="4"/>
      <c r="O18" s="4" t="s">
        <v>67</v>
      </c>
    </row>
    <row r="19" spans="1:15" x14ac:dyDescent="0.2">
      <c r="A19" s="4" t="s">
        <v>65</v>
      </c>
      <c r="B19" s="4" t="s">
        <v>39</v>
      </c>
      <c r="C19" s="4" t="str">
        <f t="shared" si="1"/>
        <v>HCV natural history</v>
      </c>
      <c r="D19" s="4" t="s">
        <v>40</v>
      </c>
      <c r="E19" s="4" t="s">
        <v>72</v>
      </c>
      <c r="F19" s="4" t="s">
        <v>74</v>
      </c>
      <c r="G19" s="4" t="s">
        <v>73</v>
      </c>
      <c r="H19" s="4" t="s">
        <v>75</v>
      </c>
      <c r="I19" s="4">
        <v>0.16800000000000001</v>
      </c>
      <c r="J19" s="4">
        <v>0.12</v>
      </c>
      <c r="K19" s="4">
        <v>0.4</v>
      </c>
      <c r="L19" s="4" t="s">
        <v>43</v>
      </c>
      <c r="M19" s="4"/>
      <c r="N19" s="4"/>
      <c r="O19" s="4" t="s">
        <v>67</v>
      </c>
    </row>
    <row r="20" spans="1:15" x14ac:dyDescent="0.2">
      <c r="A20" s="4" t="s">
        <v>65</v>
      </c>
      <c r="B20" s="4" t="s">
        <v>39</v>
      </c>
      <c r="C20" s="4" t="str">
        <f>A20&amp;" "&amp;LOWER(B20)</f>
        <v>HCV natural history</v>
      </c>
      <c r="D20" s="4" t="s">
        <v>40</v>
      </c>
      <c r="E20" s="4" t="s">
        <v>72</v>
      </c>
      <c r="F20" s="4" t="s">
        <v>72</v>
      </c>
      <c r="G20" s="4" t="s">
        <v>73</v>
      </c>
      <c r="H20" s="4" t="s">
        <v>73</v>
      </c>
      <c r="I20" s="4" t="s">
        <v>47</v>
      </c>
      <c r="J20" s="4"/>
      <c r="K20" s="4"/>
      <c r="L20" s="4"/>
      <c r="M20" s="4"/>
      <c r="N20" s="4"/>
      <c r="O20" s="4"/>
    </row>
    <row r="21" spans="1:15" x14ac:dyDescent="0.2">
      <c r="A21" s="4" t="s">
        <v>65</v>
      </c>
      <c r="B21" s="4" t="s">
        <v>39</v>
      </c>
      <c r="C21" s="4" t="str">
        <f>A21&amp;" "&amp;LOWER(B21)</f>
        <v>HCV natural history</v>
      </c>
      <c r="D21" s="4" t="s">
        <v>40</v>
      </c>
      <c r="E21" s="4" t="s">
        <v>48</v>
      </c>
      <c r="F21" s="4" t="s">
        <v>74</v>
      </c>
      <c r="G21" s="4" t="s">
        <v>49</v>
      </c>
      <c r="H21" s="4" t="s">
        <v>75</v>
      </c>
      <c r="I21" s="4">
        <v>0.60499999999999998</v>
      </c>
      <c r="J21" s="4">
        <v>0.3</v>
      </c>
      <c r="K21" s="4">
        <v>0.8</v>
      </c>
      <c r="L21" s="4" t="s">
        <v>43</v>
      </c>
      <c r="M21" s="4"/>
      <c r="N21" s="4"/>
      <c r="O21" s="4" t="s">
        <v>67</v>
      </c>
    </row>
    <row r="22" spans="1:15" x14ac:dyDescent="0.2">
      <c r="A22" s="4" t="s">
        <v>65</v>
      </c>
      <c r="B22" s="4" t="s">
        <v>39</v>
      </c>
      <c r="C22" s="4" t="str">
        <f>A22&amp;" "&amp;LOWER(B22)</f>
        <v>HCV natural history</v>
      </c>
      <c r="D22" s="4" t="s">
        <v>40</v>
      </c>
      <c r="E22" s="4" t="s">
        <v>48</v>
      </c>
      <c r="F22" s="4" t="s">
        <v>48</v>
      </c>
      <c r="G22" s="4" t="s">
        <v>49</v>
      </c>
      <c r="H22" s="4" t="s">
        <v>49</v>
      </c>
      <c r="I22" s="4" t="s">
        <v>47</v>
      </c>
      <c r="J22" s="4"/>
      <c r="K22" s="4"/>
      <c r="L22" s="4"/>
      <c r="M22" s="4"/>
      <c r="N22" s="4"/>
      <c r="O22" s="4"/>
    </row>
    <row r="23" spans="1:15" x14ac:dyDescent="0.2">
      <c r="A23" s="4" t="s">
        <v>65</v>
      </c>
      <c r="B23" s="4" t="s">
        <v>39</v>
      </c>
      <c r="C23" s="4" t="str">
        <f>A23&amp;" "&amp;LOWER(B23)</f>
        <v>HCV natural history</v>
      </c>
      <c r="D23" s="4" t="s">
        <v>40</v>
      </c>
      <c r="E23" s="4" t="s">
        <v>74</v>
      </c>
      <c r="F23" s="4" t="s">
        <v>74</v>
      </c>
      <c r="G23" s="4" t="s">
        <v>75</v>
      </c>
      <c r="H23" s="4" t="s">
        <v>75</v>
      </c>
      <c r="I23" s="4">
        <v>1</v>
      </c>
      <c r="J23" s="4"/>
      <c r="K23" s="4"/>
      <c r="L23" s="4"/>
      <c r="M23" s="4"/>
      <c r="N23" s="4"/>
      <c r="O23" s="4" t="s">
        <v>67</v>
      </c>
    </row>
    <row r="24" spans="1:15" x14ac:dyDescent="0.2">
      <c r="A24" s="7" t="s">
        <v>65</v>
      </c>
      <c r="B24" s="7" t="s">
        <v>57</v>
      </c>
      <c r="C24" s="7" t="str">
        <f t="shared" ref="C24:C36" si="2">A24&amp;" "&amp;LOWER(B24)</f>
        <v>HCV treatment effectiveness</v>
      </c>
      <c r="D24" s="7" t="s">
        <v>40</v>
      </c>
      <c r="E24" s="7" t="s">
        <v>76</v>
      </c>
      <c r="F24" s="7" t="s">
        <v>77</v>
      </c>
      <c r="G24" s="7" t="s">
        <v>78</v>
      </c>
      <c r="H24" s="7" t="s">
        <v>46</v>
      </c>
      <c r="I24" s="7">
        <v>0.95</v>
      </c>
      <c r="J24" s="7">
        <v>0.9</v>
      </c>
      <c r="K24" s="7">
        <v>0.99</v>
      </c>
      <c r="L24" s="7" t="s">
        <v>43</v>
      </c>
      <c r="M24" s="7"/>
      <c r="N24" s="7"/>
      <c r="O24" s="7" t="s">
        <v>67</v>
      </c>
    </row>
    <row r="25" spans="1:15" x14ac:dyDescent="0.2">
      <c r="A25" s="5" t="s">
        <v>65</v>
      </c>
      <c r="B25" s="5" t="s">
        <v>57</v>
      </c>
      <c r="C25" s="5" t="str">
        <f t="shared" si="2"/>
        <v>HCV treatment effectiveness</v>
      </c>
      <c r="D25" s="5" t="s">
        <v>40</v>
      </c>
      <c r="E25" s="5" t="s">
        <v>76</v>
      </c>
      <c r="F25" s="5" t="s">
        <v>68</v>
      </c>
      <c r="G25" s="5" t="s">
        <v>78</v>
      </c>
      <c r="H25" s="5" t="s">
        <v>70</v>
      </c>
      <c r="I25" s="5" t="s">
        <v>47</v>
      </c>
      <c r="J25" s="5"/>
      <c r="K25" s="5"/>
      <c r="L25" s="5"/>
      <c r="M25" s="5"/>
      <c r="N25" s="5"/>
      <c r="O25" s="5"/>
    </row>
    <row r="26" spans="1:15" x14ac:dyDescent="0.2">
      <c r="A26" s="5" t="s">
        <v>65</v>
      </c>
      <c r="B26" s="5" t="s">
        <v>57</v>
      </c>
      <c r="C26" s="5" t="str">
        <f t="shared" si="2"/>
        <v>HCV treatment effectiveness</v>
      </c>
      <c r="D26" s="5" t="s">
        <v>40</v>
      </c>
      <c r="E26" s="5" t="s">
        <v>79</v>
      </c>
      <c r="F26" s="5" t="s">
        <v>45</v>
      </c>
      <c r="G26" s="5" t="s">
        <v>58</v>
      </c>
      <c r="H26" s="5" t="s">
        <v>46</v>
      </c>
      <c r="I26" s="5">
        <v>0.95</v>
      </c>
      <c r="J26" s="5">
        <v>0.9</v>
      </c>
      <c r="K26" s="5">
        <v>0.99</v>
      </c>
      <c r="L26" s="5" t="s">
        <v>43</v>
      </c>
      <c r="M26" s="5"/>
      <c r="N26" s="5"/>
      <c r="O26" s="5" t="s">
        <v>67</v>
      </c>
    </row>
    <row r="27" spans="1:15" x14ac:dyDescent="0.2">
      <c r="A27" s="5" t="s">
        <v>65</v>
      </c>
      <c r="B27" s="5" t="s">
        <v>57</v>
      </c>
      <c r="C27" s="5" t="str">
        <f t="shared" si="2"/>
        <v>HCV treatment effectiveness</v>
      </c>
      <c r="D27" s="5" t="s">
        <v>40</v>
      </c>
      <c r="E27" s="5" t="s">
        <v>79</v>
      </c>
      <c r="F27" s="5" t="s">
        <v>68</v>
      </c>
      <c r="G27" s="5" t="s">
        <v>58</v>
      </c>
      <c r="H27" s="5" t="s">
        <v>70</v>
      </c>
      <c r="I27" s="5" t="s">
        <v>47</v>
      </c>
      <c r="J27" s="5"/>
      <c r="K27" s="5"/>
      <c r="L27" s="5"/>
      <c r="M27" s="5"/>
      <c r="N27" s="5"/>
      <c r="O27" s="5"/>
    </row>
    <row r="28" spans="1:15" x14ac:dyDescent="0.2">
      <c r="A28" s="5" t="s">
        <v>65</v>
      </c>
      <c r="B28" s="5" t="s">
        <v>57</v>
      </c>
      <c r="C28" s="5" t="str">
        <f t="shared" si="2"/>
        <v>HCV treatment effectiveness</v>
      </c>
      <c r="D28" s="5" t="s">
        <v>40</v>
      </c>
      <c r="E28" s="5" t="s">
        <v>53</v>
      </c>
      <c r="F28" s="5" t="s">
        <v>45</v>
      </c>
      <c r="G28" s="5" t="s">
        <v>54</v>
      </c>
      <c r="H28" s="5" t="s">
        <v>46</v>
      </c>
      <c r="I28" s="5">
        <v>0.95</v>
      </c>
      <c r="J28" s="5">
        <v>0.9</v>
      </c>
      <c r="K28" s="5">
        <v>0.99</v>
      </c>
      <c r="L28" s="5" t="s">
        <v>43</v>
      </c>
      <c r="M28" s="5"/>
      <c r="N28" s="5"/>
      <c r="O28" s="5" t="s">
        <v>67</v>
      </c>
    </row>
    <row r="29" spans="1:15" x14ac:dyDescent="0.2">
      <c r="A29" s="5" t="s">
        <v>65</v>
      </c>
      <c r="B29" s="5" t="s">
        <v>57</v>
      </c>
      <c r="C29" s="5" t="str">
        <f t="shared" si="2"/>
        <v>HCV treatment effectiveness</v>
      </c>
      <c r="D29" s="5" t="s">
        <v>40</v>
      </c>
      <c r="E29" s="5" t="s">
        <v>53</v>
      </c>
      <c r="F29" s="5" t="s">
        <v>69</v>
      </c>
      <c r="G29" s="5" t="s">
        <v>54</v>
      </c>
      <c r="H29" s="5" t="s">
        <v>71</v>
      </c>
      <c r="I29" s="5" t="s">
        <v>47</v>
      </c>
      <c r="J29" s="5"/>
      <c r="K29" s="5"/>
      <c r="L29" s="5"/>
      <c r="M29" s="5"/>
      <c r="N29" s="5"/>
      <c r="O29" s="5"/>
    </row>
    <row r="30" spans="1:15" x14ac:dyDescent="0.2">
      <c r="A30" s="5" t="s">
        <v>65</v>
      </c>
      <c r="B30" s="5" t="s">
        <v>57</v>
      </c>
      <c r="C30" s="5" t="str">
        <f t="shared" si="2"/>
        <v>HCV treatment effectiveness</v>
      </c>
      <c r="D30" s="5" t="s">
        <v>40</v>
      </c>
      <c r="E30" s="5" t="s">
        <v>59</v>
      </c>
      <c r="F30" s="5" t="s">
        <v>45</v>
      </c>
      <c r="G30" s="5" t="s">
        <v>60</v>
      </c>
      <c r="H30" s="5" t="s">
        <v>46</v>
      </c>
      <c r="I30" s="5">
        <v>0.95</v>
      </c>
      <c r="J30" s="5">
        <v>0.9</v>
      </c>
      <c r="K30" s="5">
        <v>0.99</v>
      </c>
      <c r="L30" s="5" t="s">
        <v>43</v>
      </c>
      <c r="M30" s="5"/>
      <c r="N30" s="5"/>
      <c r="O30" s="5" t="s">
        <v>67</v>
      </c>
    </row>
    <row r="31" spans="1:15" x14ac:dyDescent="0.2">
      <c r="A31" s="5" t="s">
        <v>65</v>
      </c>
      <c r="B31" s="5" t="s">
        <v>57</v>
      </c>
      <c r="C31" s="5" t="str">
        <f t="shared" si="2"/>
        <v>HCV treatment effectiveness</v>
      </c>
      <c r="D31" s="5" t="s">
        <v>40</v>
      </c>
      <c r="E31" s="5" t="s">
        <v>59</v>
      </c>
      <c r="F31" s="5" t="s">
        <v>72</v>
      </c>
      <c r="G31" s="5" t="s">
        <v>60</v>
      </c>
      <c r="H31" s="5" t="s">
        <v>73</v>
      </c>
      <c r="I31" s="5" t="s">
        <v>47</v>
      </c>
      <c r="J31" s="5"/>
      <c r="K31" s="5"/>
      <c r="L31" s="5"/>
      <c r="M31" s="5"/>
      <c r="N31" s="5"/>
      <c r="O31" s="5"/>
    </row>
    <row r="32" spans="1:15" x14ac:dyDescent="0.2">
      <c r="A32" s="6" t="s">
        <v>65</v>
      </c>
      <c r="B32" s="6" t="s">
        <v>61</v>
      </c>
      <c r="C32" s="6" t="str">
        <f>A32&amp;" "&amp;LOWER(B32)</f>
        <v>HCV treatment uptake</v>
      </c>
      <c r="D32" s="6" t="s">
        <v>40</v>
      </c>
      <c r="E32" s="6" t="s">
        <v>62</v>
      </c>
      <c r="F32" s="6" t="s">
        <v>76</v>
      </c>
      <c r="G32" s="6" t="s">
        <v>63</v>
      </c>
      <c r="H32" s="6" t="s">
        <v>78</v>
      </c>
      <c r="I32" s="6">
        <v>0.1</v>
      </c>
      <c r="J32" s="6">
        <v>0</v>
      </c>
      <c r="K32" s="6">
        <v>0.25</v>
      </c>
      <c r="L32" s="6" t="s">
        <v>43</v>
      </c>
      <c r="M32" s="6"/>
      <c r="N32" s="6"/>
      <c r="O32" s="6" t="s">
        <v>64</v>
      </c>
    </row>
    <row r="33" spans="1:15" x14ac:dyDescent="0.2">
      <c r="A33" s="6" t="s">
        <v>65</v>
      </c>
      <c r="B33" s="6" t="s">
        <v>61</v>
      </c>
      <c r="C33" s="6" t="str">
        <f>A33&amp;" "&amp;LOWER(B33)</f>
        <v>HCV treatment uptake</v>
      </c>
      <c r="D33" s="6" t="s">
        <v>40</v>
      </c>
      <c r="E33" s="6" t="s">
        <v>62</v>
      </c>
      <c r="F33" s="6" t="s">
        <v>41</v>
      </c>
      <c r="G33" s="6" t="s">
        <v>63</v>
      </c>
      <c r="H33" s="6" t="s">
        <v>42</v>
      </c>
      <c r="I33" s="6" t="s">
        <v>47</v>
      </c>
      <c r="J33" s="6"/>
      <c r="K33" s="6"/>
      <c r="L33" s="6"/>
      <c r="M33" s="6"/>
      <c r="N33" s="6"/>
      <c r="O33" s="6"/>
    </row>
    <row r="34" spans="1:15" x14ac:dyDescent="0.2">
      <c r="A34" s="6" t="s">
        <v>65</v>
      </c>
      <c r="B34" s="6" t="s">
        <v>61</v>
      </c>
      <c r="C34" s="6" t="str">
        <f t="shared" si="2"/>
        <v>HCV treatment uptake</v>
      </c>
      <c r="D34" s="6" t="s">
        <v>40</v>
      </c>
      <c r="E34" s="6" t="s">
        <v>66</v>
      </c>
      <c r="F34" s="6" t="s">
        <v>79</v>
      </c>
      <c r="G34" s="6" t="s">
        <v>50</v>
      </c>
      <c r="H34" s="6" t="s">
        <v>58</v>
      </c>
      <c r="I34" s="6">
        <v>0.1</v>
      </c>
      <c r="J34" s="6">
        <v>0.05</v>
      </c>
      <c r="K34" s="6">
        <v>0.3</v>
      </c>
      <c r="L34" s="6" t="s">
        <v>43</v>
      </c>
      <c r="M34" s="6"/>
      <c r="N34" s="6"/>
      <c r="O34" s="6" t="s">
        <v>64</v>
      </c>
    </row>
    <row r="35" spans="1:15" x14ac:dyDescent="0.2">
      <c r="A35" s="6" t="s">
        <v>65</v>
      </c>
      <c r="B35" s="6" t="s">
        <v>61</v>
      </c>
      <c r="C35" s="6" t="str">
        <f t="shared" si="2"/>
        <v>HCV treatment uptake</v>
      </c>
      <c r="D35" s="6" t="s">
        <v>40</v>
      </c>
      <c r="E35" s="6" t="s">
        <v>51</v>
      </c>
      <c r="F35" s="6" t="s">
        <v>53</v>
      </c>
      <c r="G35" s="6" t="s">
        <v>52</v>
      </c>
      <c r="H35" s="6" t="s">
        <v>54</v>
      </c>
      <c r="I35" s="6">
        <v>0.3</v>
      </c>
      <c r="J35" s="6">
        <v>0.1</v>
      </c>
      <c r="K35" s="6">
        <v>0.4</v>
      </c>
      <c r="L35" s="6" t="s">
        <v>43</v>
      </c>
      <c r="M35" s="6"/>
      <c r="N35" s="6"/>
      <c r="O35" s="6" t="s">
        <v>64</v>
      </c>
    </row>
    <row r="36" spans="1:15" x14ac:dyDescent="0.2">
      <c r="A36" s="6" t="s">
        <v>65</v>
      </c>
      <c r="B36" s="6" t="s">
        <v>61</v>
      </c>
      <c r="C36" s="6" t="str">
        <f t="shared" si="2"/>
        <v>HCV treatment uptake</v>
      </c>
      <c r="D36" s="6" t="s">
        <v>40</v>
      </c>
      <c r="E36" s="6" t="s">
        <v>55</v>
      </c>
      <c r="F36" s="6" t="s">
        <v>59</v>
      </c>
      <c r="G36" s="6" t="s">
        <v>56</v>
      </c>
      <c r="H36" s="6" t="s">
        <v>60</v>
      </c>
      <c r="I36" s="6">
        <v>0.7</v>
      </c>
      <c r="J36" s="6">
        <v>0.5</v>
      </c>
      <c r="K36" s="6">
        <v>0.9</v>
      </c>
      <c r="L36" s="6" t="s">
        <v>43</v>
      </c>
      <c r="M36" s="6"/>
      <c r="N36" s="6"/>
      <c r="O36" s="6" t="s">
        <v>64</v>
      </c>
    </row>
    <row r="37" spans="1:15" x14ac:dyDescent="0.2">
      <c r="A37" s="4" t="s">
        <v>80</v>
      </c>
      <c r="B37" s="4" t="s">
        <v>39</v>
      </c>
      <c r="C37" s="4" t="str">
        <f>A37&amp;" "&amp;LOWER(B37)</f>
        <v>HIV natural history</v>
      </c>
      <c r="D37" s="4" t="s">
        <v>40</v>
      </c>
      <c r="E37" s="4" t="s">
        <v>81</v>
      </c>
      <c r="F37" s="4" t="s">
        <v>82</v>
      </c>
      <c r="G37" s="4" t="s">
        <v>83</v>
      </c>
      <c r="H37" s="4" t="s">
        <v>84</v>
      </c>
      <c r="I37" s="4">
        <v>1</v>
      </c>
      <c r="J37" s="4"/>
      <c r="K37" s="4"/>
      <c r="L37" s="4"/>
      <c r="M37" s="4"/>
      <c r="N37" s="4"/>
      <c r="O37" s="4"/>
    </row>
    <row r="38" spans="1:15" x14ac:dyDescent="0.2">
      <c r="A38" s="4" t="s">
        <v>80</v>
      </c>
      <c r="B38" s="4" t="s">
        <v>39</v>
      </c>
      <c r="C38" s="4" t="str">
        <f>A38&amp;" "&amp;LOWER(B38)</f>
        <v>HIV natural history</v>
      </c>
      <c r="D38" s="4" t="s">
        <v>40</v>
      </c>
      <c r="E38" s="4" t="s">
        <v>82</v>
      </c>
      <c r="F38" s="4" t="s">
        <v>85</v>
      </c>
      <c r="G38" s="4" t="s">
        <v>84</v>
      </c>
      <c r="H38" s="4" t="s">
        <v>86</v>
      </c>
      <c r="I38" s="4">
        <v>1</v>
      </c>
      <c r="J38" s="4"/>
      <c r="K38" s="4"/>
      <c r="L38" s="4"/>
      <c r="M38" s="4"/>
      <c r="N38" s="4"/>
      <c r="O38" s="4"/>
    </row>
    <row r="39" spans="1:15" x14ac:dyDescent="0.2">
      <c r="A39" s="4" t="s">
        <v>80</v>
      </c>
      <c r="B39" s="4" t="s">
        <v>39</v>
      </c>
      <c r="C39" s="4" t="str">
        <f t="shared" ref="C39:C64" si="3">A39&amp;" "&amp;LOWER(B39)</f>
        <v>HIV natural history</v>
      </c>
      <c r="D39" s="4" t="s">
        <v>87</v>
      </c>
      <c r="E39" s="4" t="s">
        <v>85</v>
      </c>
      <c r="F39" s="4" t="s">
        <v>88</v>
      </c>
      <c r="G39" s="4" t="s">
        <v>86</v>
      </c>
      <c r="H39" s="4" t="s">
        <v>89</v>
      </c>
      <c r="I39" s="4">
        <v>4.2099999999999999E-2</v>
      </c>
      <c r="J39" s="4">
        <v>3.0700000000000002E-2</v>
      </c>
      <c r="K39" s="4">
        <v>5.62E-2</v>
      </c>
      <c r="L39" s="4" t="s">
        <v>43</v>
      </c>
      <c r="M39" s="4"/>
      <c r="N39" s="4"/>
      <c r="O39" s="4" t="s">
        <v>90</v>
      </c>
    </row>
    <row r="40" spans="1:15" x14ac:dyDescent="0.2">
      <c r="A40" s="4" t="s">
        <v>80</v>
      </c>
      <c r="B40" s="4" t="s">
        <v>39</v>
      </c>
      <c r="C40" s="4" t="str">
        <f t="shared" si="3"/>
        <v>HIV natural history</v>
      </c>
      <c r="D40" s="4" t="s">
        <v>91</v>
      </c>
      <c r="E40" s="4" t="s">
        <v>85</v>
      </c>
      <c r="F40" s="4" t="s">
        <v>92</v>
      </c>
      <c r="G40" s="4" t="s">
        <v>86</v>
      </c>
      <c r="H40" s="4" t="s">
        <v>89</v>
      </c>
      <c r="I40" s="4">
        <v>0.15</v>
      </c>
      <c r="J40" s="4">
        <v>0.1012</v>
      </c>
      <c r="K40" s="4">
        <v>0.2258</v>
      </c>
      <c r="L40" s="4" t="s">
        <v>43</v>
      </c>
      <c r="M40" s="4"/>
      <c r="N40" s="4"/>
      <c r="O40" s="4" t="s">
        <v>90</v>
      </c>
    </row>
    <row r="41" spans="1:15" x14ac:dyDescent="0.2">
      <c r="A41" s="4" t="s">
        <v>80</v>
      </c>
      <c r="B41" s="4" t="s">
        <v>39</v>
      </c>
      <c r="C41" s="4" t="str">
        <f t="shared" si="3"/>
        <v>HIV natural history</v>
      </c>
      <c r="D41" s="4" t="s">
        <v>87</v>
      </c>
      <c r="E41" s="4" t="s">
        <v>85</v>
      </c>
      <c r="F41" s="4" t="s">
        <v>93</v>
      </c>
      <c r="G41" s="4" t="s">
        <v>86</v>
      </c>
      <c r="H41" s="4" t="s">
        <v>94</v>
      </c>
      <c r="I41" s="4">
        <v>1.4999999999999999E-2</v>
      </c>
      <c r="J41" s="4">
        <v>0</v>
      </c>
      <c r="K41" s="4">
        <v>6.9000000000000006E-2</v>
      </c>
      <c r="L41" s="4" t="s">
        <v>43</v>
      </c>
      <c r="M41" s="4"/>
      <c r="N41" s="4"/>
      <c r="O41" s="4" t="s">
        <v>90</v>
      </c>
    </row>
    <row r="42" spans="1:15" x14ac:dyDescent="0.2">
      <c r="A42" s="4" t="s">
        <v>80</v>
      </c>
      <c r="B42" s="4" t="s">
        <v>39</v>
      </c>
      <c r="C42" s="4" t="str">
        <f t="shared" si="3"/>
        <v>HIV natural history</v>
      </c>
      <c r="D42" s="4" t="s">
        <v>91</v>
      </c>
      <c r="E42" s="4" t="s">
        <v>85</v>
      </c>
      <c r="F42" s="4" t="s">
        <v>95</v>
      </c>
      <c r="G42" s="4" t="s">
        <v>86</v>
      </c>
      <c r="H42" s="4" t="s">
        <v>94</v>
      </c>
      <c r="I42" s="4">
        <v>0</v>
      </c>
      <c r="J42" s="4">
        <v>0</v>
      </c>
      <c r="K42" s="4">
        <v>5.5E-2</v>
      </c>
      <c r="L42" s="4" t="s">
        <v>43</v>
      </c>
      <c r="M42" s="4"/>
      <c r="N42" s="4"/>
      <c r="O42" s="4" t="s">
        <v>90</v>
      </c>
    </row>
    <row r="43" spans="1:15" x14ac:dyDescent="0.2">
      <c r="A43" s="4" t="s">
        <v>80</v>
      </c>
      <c r="B43" s="4" t="s">
        <v>39</v>
      </c>
      <c r="C43" s="4" t="str">
        <f t="shared" si="3"/>
        <v>HIV natural history</v>
      </c>
      <c r="D43" s="4" t="s">
        <v>40</v>
      </c>
      <c r="E43" s="4" t="s">
        <v>85</v>
      </c>
      <c r="F43" s="4" t="s">
        <v>85</v>
      </c>
      <c r="G43" s="4" t="s">
        <v>86</v>
      </c>
      <c r="H43" s="4" t="s">
        <v>86</v>
      </c>
      <c r="I43" s="4" t="s">
        <v>47</v>
      </c>
      <c r="J43" s="4"/>
      <c r="K43" s="4"/>
      <c r="L43" s="4"/>
      <c r="M43" s="4"/>
      <c r="N43" s="4"/>
      <c r="O43" s="4"/>
    </row>
    <row r="44" spans="1:15" x14ac:dyDescent="0.2">
      <c r="A44" s="4" t="s">
        <v>80</v>
      </c>
      <c r="B44" s="4" t="s">
        <v>39</v>
      </c>
      <c r="C44" s="4" t="str">
        <f t="shared" si="3"/>
        <v>HIV natural history</v>
      </c>
      <c r="D44" s="4" t="s">
        <v>87</v>
      </c>
      <c r="E44" s="4" t="s">
        <v>96</v>
      </c>
      <c r="F44" s="4" t="s">
        <v>93</v>
      </c>
      <c r="G44" s="4" t="s">
        <v>89</v>
      </c>
      <c r="H44" s="4" t="s">
        <v>94</v>
      </c>
      <c r="I44" s="4">
        <v>0.60199999999999998</v>
      </c>
      <c r="J44" s="4">
        <v>0.32400000000000001</v>
      </c>
      <c r="K44" s="4">
        <v>0.7</v>
      </c>
      <c r="L44" s="4" t="s">
        <v>43</v>
      </c>
      <c r="M44" s="4"/>
      <c r="N44" s="4"/>
      <c r="O44" s="4" t="s">
        <v>90</v>
      </c>
    </row>
    <row r="45" spans="1:15" x14ac:dyDescent="0.2">
      <c r="A45" s="4" t="s">
        <v>80</v>
      </c>
      <c r="B45" s="4" t="s">
        <v>39</v>
      </c>
      <c r="C45" s="4" t="str">
        <f t="shared" si="3"/>
        <v>HIV natural history</v>
      </c>
      <c r="D45" s="4" t="s">
        <v>91</v>
      </c>
      <c r="E45" s="4" t="s">
        <v>96</v>
      </c>
      <c r="F45" s="4" t="s">
        <v>95</v>
      </c>
      <c r="G45" s="4" t="s">
        <v>89</v>
      </c>
      <c r="H45" s="4" t="s">
        <v>94</v>
      </c>
      <c r="I45" s="4">
        <v>0.61499999999999999</v>
      </c>
      <c r="J45" s="4">
        <v>0.28599999999999998</v>
      </c>
      <c r="K45" s="4">
        <v>0.7</v>
      </c>
      <c r="L45" s="4" t="s">
        <v>43</v>
      </c>
      <c r="M45" s="4"/>
      <c r="N45" s="4"/>
      <c r="O45" s="4" t="s">
        <v>90</v>
      </c>
    </row>
    <row r="46" spans="1:15" x14ac:dyDescent="0.2">
      <c r="A46" s="4" t="s">
        <v>80</v>
      </c>
      <c r="B46" s="4" t="s">
        <v>39</v>
      </c>
      <c r="C46" s="4" t="str">
        <f t="shared" si="3"/>
        <v>HIV natural history</v>
      </c>
      <c r="D46" s="4" t="s">
        <v>40</v>
      </c>
      <c r="E46" s="4" t="s">
        <v>96</v>
      </c>
      <c r="F46" s="4" t="s">
        <v>96</v>
      </c>
      <c r="G46" s="4" t="s">
        <v>89</v>
      </c>
      <c r="H46" s="4" t="s">
        <v>89</v>
      </c>
      <c r="I46" s="4" t="s">
        <v>47</v>
      </c>
      <c r="J46" s="4"/>
      <c r="K46" s="4"/>
      <c r="L46" s="4"/>
      <c r="M46" s="4"/>
      <c r="N46" s="4"/>
      <c r="O46" s="4"/>
    </row>
    <row r="47" spans="1:15" x14ac:dyDescent="0.2">
      <c r="A47" s="4" t="s">
        <v>80</v>
      </c>
      <c r="B47" s="4" t="s">
        <v>39</v>
      </c>
      <c r="C47" s="4" t="str">
        <f t="shared" si="3"/>
        <v>HIV natural history</v>
      </c>
      <c r="D47" s="4" t="s">
        <v>40</v>
      </c>
      <c r="E47" s="4" t="s">
        <v>97</v>
      </c>
      <c r="F47" s="4" t="s">
        <v>97</v>
      </c>
      <c r="G47" s="4" t="s">
        <v>94</v>
      </c>
      <c r="H47" s="4" t="s">
        <v>94</v>
      </c>
      <c r="I47" s="4">
        <v>1</v>
      </c>
      <c r="J47" s="4"/>
      <c r="K47" s="4"/>
      <c r="L47" s="4"/>
      <c r="M47" s="4"/>
      <c r="N47" s="4"/>
      <c r="O47" s="4" t="s">
        <v>90</v>
      </c>
    </row>
    <row r="48" spans="1:15" x14ac:dyDescent="0.2">
      <c r="A48" s="6" t="s">
        <v>80</v>
      </c>
      <c r="B48" s="6" t="s">
        <v>61</v>
      </c>
      <c r="C48" s="6" t="str">
        <f>A48&amp;" "&amp;LOWER(B48)</f>
        <v>HIV treatment uptake</v>
      </c>
      <c r="D48" s="6" t="s">
        <v>40</v>
      </c>
      <c r="E48" s="6" t="s">
        <v>62</v>
      </c>
      <c r="F48" s="6" t="s">
        <v>98</v>
      </c>
      <c r="G48" s="6" t="s">
        <v>63</v>
      </c>
      <c r="H48" s="6" t="s">
        <v>99</v>
      </c>
      <c r="I48" s="6">
        <v>7.4999999999999997E-2</v>
      </c>
      <c r="J48" s="6">
        <v>0</v>
      </c>
      <c r="K48" s="6">
        <v>0.15</v>
      </c>
      <c r="L48" s="6" t="s">
        <v>43</v>
      </c>
      <c r="M48" s="6"/>
      <c r="N48" s="6"/>
      <c r="O48" s="6" t="s">
        <v>64</v>
      </c>
    </row>
    <row r="49" spans="1:15" x14ac:dyDescent="0.2">
      <c r="A49" s="6" t="s">
        <v>80</v>
      </c>
      <c r="B49" s="6" t="s">
        <v>61</v>
      </c>
      <c r="C49" s="6" t="str">
        <f>A49&amp;" "&amp;LOWER(B49)</f>
        <v>HIV treatment uptake</v>
      </c>
      <c r="D49" s="6" t="s">
        <v>40</v>
      </c>
      <c r="E49" s="6" t="s">
        <v>62</v>
      </c>
      <c r="F49" s="6" t="s">
        <v>100</v>
      </c>
      <c r="G49" s="6" t="s">
        <v>63</v>
      </c>
      <c r="H49" s="6" t="s">
        <v>83</v>
      </c>
      <c r="I49" s="6" t="s">
        <v>47</v>
      </c>
      <c r="J49" s="6"/>
      <c r="K49" s="6"/>
      <c r="L49" s="6"/>
      <c r="M49" s="6"/>
      <c r="N49" s="6"/>
      <c r="O49" s="6"/>
    </row>
    <row r="50" spans="1:15" x14ac:dyDescent="0.2">
      <c r="A50" s="6" t="s">
        <v>80</v>
      </c>
      <c r="B50" s="6" t="s">
        <v>61</v>
      </c>
      <c r="C50" s="6" t="str">
        <f t="shared" si="3"/>
        <v>HIV treatment uptake</v>
      </c>
      <c r="D50" s="6" t="s">
        <v>40</v>
      </c>
      <c r="E50" s="6" t="s">
        <v>100</v>
      </c>
      <c r="F50" s="6" t="s">
        <v>98</v>
      </c>
      <c r="G50" s="6" t="s">
        <v>83</v>
      </c>
      <c r="H50" s="6" t="s">
        <v>99</v>
      </c>
      <c r="I50" s="6">
        <v>7.0999999999999994E-2</v>
      </c>
      <c r="J50" s="6">
        <v>0</v>
      </c>
      <c r="K50" s="6">
        <v>0.13</v>
      </c>
      <c r="L50" s="6" t="s">
        <v>43</v>
      </c>
      <c r="M50" s="6"/>
      <c r="N50" s="6"/>
      <c r="O50" s="6" t="s">
        <v>64</v>
      </c>
    </row>
    <row r="51" spans="1:15" x14ac:dyDescent="0.2">
      <c r="A51" s="6" t="s">
        <v>80</v>
      </c>
      <c r="B51" s="6" t="s">
        <v>61</v>
      </c>
      <c r="C51" s="6" t="str">
        <f t="shared" si="3"/>
        <v>HIV treatment uptake</v>
      </c>
      <c r="D51" s="6" t="s">
        <v>40</v>
      </c>
      <c r="E51" s="6" t="s">
        <v>101</v>
      </c>
      <c r="F51" s="6" t="s">
        <v>98</v>
      </c>
      <c r="G51" s="6" t="s">
        <v>84</v>
      </c>
      <c r="H51" s="6" t="s">
        <v>99</v>
      </c>
      <c r="I51" s="6">
        <v>0.186</v>
      </c>
      <c r="J51" s="6">
        <v>7.0000000000000007E-2</v>
      </c>
      <c r="K51" s="6">
        <v>0.31</v>
      </c>
      <c r="L51" s="6" t="s">
        <v>43</v>
      </c>
      <c r="M51" s="6"/>
      <c r="N51" s="6"/>
      <c r="O51" s="6" t="s">
        <v>64</v>
      </c>
    </row>
    <row r="52" spans="1:15" x14ac:dyDescent="0.2">
      <c r="A52" s="6" t="s">
        <v>80</v>
      </c>
      <c r="B52" s="6" t="s">
        <v>61</v>
      </c>
      <c r="C52" s="6" t="str">
        <f t="shared" si="3"/>
        <v>HIV treatment uptake</v>
      </c>
      <c r="D52" s="6" t="s">
        <v>40</v>
      </c>
      <c r="E52" s="6" t="s">
        <v>102</v>
      </c>
      <c r="F52" s="6" t="s">
        <v>98</v>
      </c>
      <c r="G52" s="6" t="s">
        <v>86</v>
      </c>
      <c r="H52" s="6" t="s">
        <v>99</v>
      </c>
      <c r="I52" s="6">
        <v>0.3</v>
      </c>
      <c r="J52" s="6">
        <v>0.14000000000000001</v>
      </c>
      <c r="K52" s="6">
        <v>0.47</v>
      </c>
      <c r="L52" s="6" t="s">
        <v>43</v>
      </c>
      <c r="M52" s="6"/>
      <c r="N52" s="6"/>
      <c r="O52" s="6" t="s">
        <v>64</v>
      </c>
    </row>
    <row r="53" spans="1:15" x14ac:dyDescent="0.2">
      <c r="A53" s="6" t="s">
        <v>80</v>
      </c>
      <c r="B53" s="6" t="s">
        <v>61</v>
      </c>
      <c r="C53" s="6" t="str">
        <f>A53&amp;" "&amp;LOWER(B53)</f>
        <v>HIV treatment uptake</v>
      </c>
      <c r="D53" s="6" t="s">
        <v>40</v>
      </c>
      <c r="E53" s="6" t="s">
        <v>96</v>
      </c>
      <c r="F53" s="6" t="s">
        <v>103</v>
      </c>
      <c r="G53" s="6" t="s">
        <v>89</v>
      </c>
      <c r="H53" s="6" t="s">
        <v>104</v>
      </c>
      <c r="I53" s="6">
        <v>0.5</v>
      </c>
      <c r="J53" s="6">
        <v>0.3</v>
      </c>
      <c r="K53" s="6">
        <v>0.7</v>
      </c>
      <c r="L53" s="6" t="s">
        <v>43</v>
      </c>
      <c r="M53" s="6"/>
      <c r="N53" s="6"/>
      <c r="O53" s="6" t="s">
        <v>64</v>
      </c>
    </row>
    <row r="54" spans="1:15" x14ac:dyDescent="0.2">
      <c r="A54" s="5" t="s">
        <v>80</v>
      </c>
      <c r="B54" s="5" t="s">
        <v>57</v>
      </c>
      <c r="C54" s="5" t="str">
        <f t="shared" si="3"/>
        <v>HIV treatment effectiveness</v>
      </c>
      <c r="D54" s="5" t="s">
        <v>40</v>
      </c>
      <c r="E54" s="5" t="s">
        <v>98</v>
      </c>
      <c r="F54" s="5" t="s">
        <v>105</v>
      </c>
      <c r="G54" s="5" t="s">
        <v>99</v>
      </c>
      <c r="H54" s="5" t="s">
        <v>106</v>
      </c>
      <c r="I54" s="5">
        <v>1</v>
      </c>
      <c r="J54" s="5"/>
      <c r="K54" s="5"/>
      <c r="L54" s="5"/>
      <c r="M54" s="5"/>
      <c r="N54" s="5"/>
      <c r="O54" s="5" t="s">
        <v>107</v>
      </c>
    </row>
    <row r="55" spans="1:15" x14ac:dyDescent="0.2">
      <c r="A55" s="5" t="s">
        <v>80</v>
      </c>
      <c r="B55" s="5" t="s">
        <v>57</v>
      </c>
      <c r="C55" s="5" t="str">
        <f t="shared" si="3"/>
        <v>HIV treatment effectiveness</v>
      </c>
      <c r="D55" s="5" t="s">
        <v>40</v>
      </c>
      <c r="E55" s="5" t="s">
        <v>105</v>
      </c>
      <c r="F55" s="5" t="s">
        <v>108</v>
      </c>
      <c r="G55" s="5" t="s">
        <v>106</v>
      </c>
      <c r="H55" s="5" t="s">
        <v>109</v>
      </c>
      <c r="I55" s="5">
        <v>1</v>
      </c>
      <c r="J55" s="5"/>
      <c r="K55" s="5"/>
      <c r="L55" s="5"/>
      <c r="M55" s="5"/>
      <c r="N55" s="5"/>
      <c r="O55" s="5" t="s">
        <v>107</v>
      </c>
    </row>
    <row r="56" spans="1:15" x14ac:dyDescent="0.2">
      <c r="A56" s="5" t="s">
        <v>80</v>
      </c>
      <c r="B56" s="5" t="s">
        <v>57</v>
      </c>
      <c r="C56" s="5" t="str">
        <f t="shared" si="3"/>
        <v>HIV treatment effectiveness</v>
      </c>
      <c r="D56" s="5" t="s">
        <v>40</v>
      </c>
      <c r="E56" s="5" t="s">
        <v>108</v>
      </c>
      <c r="F56" s="5" t="s">
        <v>110</v>
      </c>
      <c r="G56" s="5" t="s">
        <v>109</v>
      </c>
      <c r="H56" s="5" t="s">
        <v>111</v>
      </c>
      <c r="I56" s="5">
        <v>1</v>
      </c>
      <c r="J56" s="5"/>
      <c r="K56" s="5"/>
      <c r="L56" s="5"/>
      <c r="M56" s="5"/>
      <c r="N56" s="5"/>
      <c r="O56" s="5" t="s">
        <v>107</v>
      </c>
    </row>
    <row r="57" spans="1:15" x14ac:dyDescent="0.2">
      <c r="A57" s="5" t="s">
        <v>80</v>
      </c>
      <c r="B57" s="5" t="s">
        <v>57</v>
      </c>
      <c r="C57" s="5" t="str">
        <f t="shared" si="3"/>
        <v>HIV treatment effectiveness</v>
      </c>
      <c r="D57" s="5" t="s">
        <v>40</v>
      </c>
      <c r="E57" s="5" t="s">
        <v>110</v>
      </c>
      <c r="F57" s="5" t="s">
        <v>110</v>
      </c>
      <c r="G57" s="5" t="s">
        <v>111</v>
      </c>
      <c r="H57" s="5" t="s">
        <v>111</v>
      </c>
      <c r="I57" s="5">
        <v>1</v>
      </c>
      <c r="J57" s="5"/>
      <c r="K57" s="5"/>
      <c r="L57" s="5"/>
      <c r="M57" s="5"/>
      <c r="N57" s="5"/>
      <c r="O57" s="5" t="s">
        <v>107</v>
      </c>
    </row>
    <row r="58" spans="1:15" x14ac:dyDescent="0.2">
      <c r="A58" s="5" t="s">
        <v>80</v>
      </c>
      <c r="B58" s="5" t="s">
        <v>57</v>
      </c>
      <c r="C58" s="5" t="str">
        <f t="shared" si="3"/>
        <v>HIV treatment effectiveness</v>
      </c>
      <c r="D58" s="5" t="s">
        <v>40</v>
      </c>
      <c r="E58" s="5" t="s">
        <v>103</v>
      </c>
      <c r="F58" s="5" t="s">
        <v>97</v>
      </c>
      <c r="G58" s="5" t="s">
        <v>104</v>
      </c>
      <c r="H58" s="5" t="s">
        <v>94</v>
      </c>
      <c r="I58" s="5">
        <v>0.3</v>
      </c>
      <c r="J58" s="5">
        <v>0.15</v>
      </c>
      <c r="K58" s="5">
        <v>0.4</v>
      </c>
      <c r="L58" s="5" t="s">
        <v>43</v>
      </c>
      <c r="M58" s="5"/>
      <c r="N58" s="5"/>
      <c r="O58" s="5" t="s">
        <v>64</v>
      </c>
    </row>
    <row r="59" spans="1:15" x14ac:dyDescent="0.2">
      <c r="A59" s="5" t="s">
        <v>80</v>
      </c>
      <c r="B59" s="5" t="s">
        <v>57</v>
      </c>
      <c r="C59" s="5" t="str">
        <f t="shared" si="3"/>
        <v>HIV treatment effectiveness</v>
      </c>
      <c r="D59" s="5" t="s">
        <v>40</v>
      </c>
      <c r="E59" s="5" t="s">
        <v>103</v>
      </c>
      <c r="F59" s="5" t="s">
        <v>112</v>
      </c>
      <c r="G59" s="5" t="s">
        <v>104</v>
      </c>
      <c r="H59" s="5" t="s">
        <v>113</v>
      </c>
      <c r="I59" s="5" t="s">
        <v>47</v>
      </c>
      <c r="J59" s="5"/>
      <c r="K59" s="5"/>
      <c r="L59" s="5"/>
      <c r="M59" s="5"/>
      <c r="N59" s="5"/>
      <c r="O59" s="5"/>
    </row>
    <row r="60" spans="1:15" x14ac:dyDescent="0.2">
      <c r="A60" s="5" t="s">
        <v>80</v>
      </c>
      <c r="B60" s="5" t="s">
        <v>57</v>
      </c>
      <c r="C60" s="5" t="str">
        <f t="shared" si="3"/>
        <v>HIV treatment effectiveness</v>
      </c>
      <c r="D60" s="5" t="s">
        <v>40</v>
      </c>
      <c r="E60" s="5" t="s">
        <v>112</v>
      </c>
      <c r="F60" s="5" t="s">
        <v>97</v>
      </c>
      <c r="G60" s="5" t="s">
        <v>113</v>
      </c>
      <c r="H60" s="5" t="s">
        <v>94</v>
      </c>
      <c r="I60" s="5">
        <v>0.15</v>
      </c>
      <c r="J60" s="5">
        <v>0</v>
      </c>
      <c r="K60" s="5">
        <v>0.3</v>
      </c>
      <c r="L60" s="5" t="s">
        <v>43</v>
      </c>
      <c r="M60" s="5"/>
      <c r="N60" s="5"/>
      <c r="O60" s="5" t="s">
        <v>64</v>
      </c>
    </row>
    <row r="61" spans="1:15" x14ac:dyDescent="0.2">
      <c r="A61" s="5" t="s">
        <v>80</v>
      </c>
      <c r="B61" s="5" t="s">
        <v>57</v>
      </c>
      <c r="C61" s="5" t="str">
        <f>A61&amp;" "&amp;LOWER(B61)</f>
        <v>HIV treatment effectiveness</v>
      </c>
      <c r="D61" s="5" t="s">
        <v>40</v>
      </c>
      <c r="E61" s="5" t="s">
        <v>112</v>
      </c>
      <c r="F61" s="5" t="s">
        <v>114</v>
      </c>
      <c r="G61" s="5" t="s">
        <v>113</v>
      </c>
      <c r="H61" s="5" t="s">
        <v>115</v>
      </c>
      <c r="I61" s="5">
        <v>0.35</v>
      </c>
      <c r="J61" s="5">
        <v>0.15</v>
      </c>
      <c r="K61" s="5">
        <v>0.55000000000000004</v>
      </c>
      <c r="L61" s="5" t="s">
        <v>43</v>
      </c>
      <c r="M61" s="5"/>
      <c r="N61" s="5"/>
      <c r="O61" s="5" t="s">
        <v>64</v>
      </c>
    </row>
    <row r="62" spans="1:15" x14ac:dyDescent="0.2">
      <c r="A62" s="5" t="s">
        <v>80</v>
      </c>
      <c r="B62" s="5" t="s">
        <v>57</v>
      </c>
      <c r="C62" s="5" t="str">
        <f t="shared" si="3"/>
        <v>HIV treatment effectiveness</v>
      </c>
      <c r="D62" s="5" t="s">
        <v>40</v>
      </c>
      <c r="E62" s="5" t="s">
        <v>112</v>
      </c>
      <c r="F62" s="5" t="s">
        <v>108</v>
      </c>
      <c r="G62" s="5" t="s">
        <v>113</v>
      </c>
      <c r="H62" s="5" t="s">
        <v>109</v>
      </c>
      <c r="I62" s="5" t="s">
        <v>47</v>
      </c>
      <c r="J62" s="5"/>
      <c r="K62" s="5"/>
      <c r="L62" s="5"/>
      <c r="M62" s="5"/>
      <c r="N62" s="5"/>
      <c r="O62" s="5"/>
    </row>
    <row r="63" spans="1:15" x14ac:dyDescent="0.2">
      <c r="A63" s="5" t="s">
        <v>80</v>
      </c>
      <c r="B63" s="5" t="s">
        <v>57</v>
      </c>
      <c r="C63" s="5" t="str">
        <f t="shared" si="3"/>
        <v>HIV treatment effectiveness</v>
      </c>
      <c r="D63" s="5" t="s">
        <v>40</v>
      </c>
      <c r="E63" s="5" t="s">
        <v>116</v>
      </c>
      <c r="F63" s="5" t="s">
        <v>97</v>
      </c>
      <c r="G63" s="5" t="s">
        <v>115</v>
      </c>
      <c r="H63" s="5" t="s">
        <v>94</v>
      </c>
      <c r="I63" s="5">
        <v>0.15</v>
      </c>
      <c r="J63" s="5">
        <v>0</v>
      </c>
      <c r="K63" s="5">
        <v>0.3</v>
      </c>
      <c r="L63" s="5" t="s">
        <v>43</v>
      </c>
      <c r="M63" s="5"/>
      <c r="N63" s="5"/>
      <c r="O63" s="5" t="s">
        <v>64</v>
      </c>
    </row>
    <row r="64" spans="1:15" x14ac:dyDescent="0.2">
      <c r="A64" s="5" t="s">
        <v>80</v>
      </c>
      <c r="B64" s="5" t="s">
        <v>57</v>
      </c>
      <c r="C64" s="5" t="str">
        <f t="shared" si="3"/>
        <v>HIV treatment effectiveness</v>
      </c>
      <c r="D64" s="5" t="s">
        <v>40</v>
      </c>
      <c r="E64" s="5" t="s">
        <v>116</v>
      </c>
      <c r="F64" s="5" t="s">
        <v>116</v>
      </c>
      <c r="G64" s="5" t="s">
        <v>115</v>
      </c>
      <c r="H64" s="5" t="s">
        <v>115</v>
      </c>
      <c r="I64" s="5" t="s">
        <v>47</v>
      </c>
      <c r="J64" s="5"/>
      <c r="K64" s="5"/>
      <c r="L64" s="5"/>
      <c r="M64" s="5"/>
      <c r="N64" s="5"/>
      <c r="O64" s="5"/>
    </row>
  </sheetData>
  <autoFilter ref="A1:O62" xr:uid="{C20ACE74-B0B1-4FE2-A082-3DFADF6547F6}"/>
  <conditionalFormatting sqref="P2:P6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{6C65C0DB-FF33-6F42-9E6D-2E1E3501622B}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65C0DB-FF33-6F42-9E6D-2E1E35016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P2:P60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B502-AC08-B248-8098-B0A18D0CEA73}">
  <sheetPr>
    <tabColor rgb="FF00B050"/>
  </sheetPr>
  <dimension ref="A1:F21"/>
  <sheetViews>
    <sheetView zoomScale="160" zoomScaleNormal="160" workbookViewId="0">
      <selection activeCell="F2" sqref="F2"/>
    </sheetView>
  </sheetViews>
  <sheetFormatPr baseColWidth="10" defaultColWidth="8.83203125" defaultRowHeight="15" x14ac:dyDescent="0.2"/>
  <cols>
    <col min="1" max="1" width="58.1640625" style="2" customWidth="1"/>
    <col min="2" max="2" width="11.33203125" style="2" bestFit="1" customWidth="1"/>
    <col min="3" max="3" width="6" style="2" customWidth="1"/>
    <col min="4" max="5" width="7.5" style="2" customWidth="1"/>
    <col min="6" max="16384" width="8.83203125" style="2"/>
  </cols>
  <sheetData>
    <row r="1" spans="1:6" x14ac:dyDescent="0.2">
      <c r="A1" s="1" t="s">
        <v>0</v>
      </c>
      <c r="B1" s="2" t="s">
        <v>1</v>
      </c>
      <c r="C1" s="2" t="s">
        <v>228</v>
      </c>
      <c r="D1" s="2" t="s">
        <v>229</v>
      </c>
      <c r="E1" s="2" t="s">
        <v>227</v>
      </c>
      <c r="F1" s="2" t="s">
        <v>2</v>
      </c>
    </row>
    <row r="2" spans="1:6" x14ac:dyDescent="0.2">
      <c r="A2" s="2" t="s">
        <v>3</v>
      </c>
      <c r="B2" s="2" t="s">
        <v>4</v>
      </c>
      <c r="C2" s="2">
        <v>4.5999999999999999E-2</v>
      </c>
      <c r="D2" s="2">
        <v>3.9E-2</v>
      </c>
      <c r="E2" s="2">
        <v>0</v>
      </c>
      <c r="F2" s="2">
        <f>AVERAGE(C2:D2)</f>
        <v>4.2499999999999996E-2</v>
      </c>
    </row>
    <row r="3" spans="1:6" x14ac:dyDescent="0.2">
      <c r="A3" s="2" t="s">
        <v>3</v>
      </c>
      <c r="B3" s="2" t="s">
        <v>5</v>
      </c>
      <c r="C3" s="2">
        <v>5.0000000000000001E-3</v>
      </c>
      <c r="D3" s="2">
        <v>4.0000000000000001E-3</v>
      </c>
      <c r="E3" s="2">
        <v>1</v>
      </c>
      <c r="F3" s="2">
        <f t="shared" ref="F3:F20" si="0">AVERAGE(C3:D3)</f>
        <v>4.5000000000000005E-3</v>
      </c>
    </row>
    <row r="4" spans="1:6" x14ac:dyDescent="0.2">
      <c r="A4" s="2" t="s">
        <v>3</v>
      </c>
      <c r="B4" s="2" t="s">
        <v>6</v>
      </c>
      <c r="C4" s="2">
        <v>2E-3</v>
      </c>
      <c r="D4" s="2">
        <v>2E-3</v>
      </c>
      <c r="E4" s="2">
        <v>5</v>
      </c>
      <c r="F4" s="2">
        <f t="shared" si="0"/>
        <v>2E-3</v>
      </c>
    </row>
    <row r="5" spans="1:6" x14ac:dyDescent="0.2">
      <c r="A5" s="2" t="s">
        <v>3</v>
      </c>
      <c r="B5" s="2" t="s">
        <v>7</v>
      </c>
      <c r="C5" s="2">
        <v>1E-3</v>
      </c>
      <c r="D5" s="2">
        <v>1E-3</v>
      </c>
      <c r="E5" s="2">
        <v>10</v>
      </c>
      <c r="F5" s="2">
        <f t="shared" si="0"/>
        <v>1E-3</v>
      </c>
    </row>
    <row r="6" spans="1:6" x14ac:dyDescent="0.2">
      <c r="A6" s="2" t="s">
        <v>3</v>
      </c>
      <c r="B6" s="2" t="s">
        <v>8</v>
      </c>
      <c r="C6" s="2">
        <v>2E-3</v>
      </c>
      <c r="D6" s="2">
        <v>2E-3</v>
      </c>
      <c r="E6" s="2">
        <v>15</v>
      </c>
      <c r="F6" s="2">
        <f t="shared" si="0"/>
        <v>2E-3</v>
      </c>
    </row>
    <row r="7" spans="1:6" x14ac:dyDescent="0.2">
      <c r="A7" s="2" t="s">
        <v>3</v>
      </c>
      <c r="B7" s="2" t="s">
        <v>9</v>
      </c>
      <c r="C7" s="2">
        <v>3.0000000000000001E-3</v>
      </c>
      <c r="D7" s="2">
        <v>3.0000000000000001E-3</v>
      </c>
      <c r="E7" s="2">
        <v>20</v>
      </c>
      <c r="F7" s="2">
        <f t="shared" si="0"/>
        <v>3.0000000000000001E-3</v>
      </c>
    </row>
    <row r="8" spans="1:6" x14ac:dyDescent="0.2">
      <c r="A8" s="2" t="s">
        <v>3</v>
      </c>
      <c r="B8" s="2" t="s">
        <v>10</v>
      </c>
      <c r="C8" s="2">
        <v>3.0000000000000001E-3</v>
      </c>
      <c r="D8" s="2">
        <v>3.0000000000000001E-3</v>
      </c>
      <c r="E8" s="2">
        <v>25</v>
      </c>
      <c r="F8" s="2">
        <f t="shared" si="0"/>
        <v>3.0000000000000001E-3</v>
      </c>
    </row>
    <row r="9" spans="1:6" x14ac:dyDescent="0.2">
      <c r="A9" s="2" t="s">
        <v>3</v>
      </c>
      <c r="B9" s="2" t="s">
        <v>11</v>
      </c>
      <c r="C9" s="2">
        <v>4.0000000000000001E-3</v>
      </c>
      <c r="D9" s="2">
        <v>4.0000000000000001E-3</v>
      </c>
      <c r="E9" s="2">
        <v>30</v>
      </c>
      <c r="F9" s="2">
        <f t="shared" si="0"/>
        <v>4.0000000000000001E-3</v>
      </c>
    </row>
    <row r="10" spans="1:6" x14ac:dyDescent="0.2">
      <c r="A10" s="2" t="s">
        <v>3</v>
      </c>
      <c r="B10" s="2" t="s">
        <v>12</v>
      </c>
      <c r="C10" s="2">
        <v>5.0000000000000001E-3</v>
      </c>
      <c r="D10" s="2">
        <v>5.0000000000000001E-3</v>
      </c>
      <c r="E10" s="2">
        <v>35</v>
      </c>
      <c r="F10" s="2">
        <f t="shared" si="0"/>
        <v>5.0000000000000001E-3</v>
      </c>
    </row>
    <row r="11" spans="1:6" x14ac:dyDescent="0.2">
      <c r="A11" s="2" t="s">
        <v>3</v>
      </c>
      <c r="B11" s="2" t="s">
        <v>13</v>
      </c>
      <c r="C11" s="2">
        <v>7.0000000000000001E-3</v>
      </c>
      <c r="D11" s="2">
        <v>6.0000000000000001E-3</v>
      </c>
      <c r="E11" s="2">
        <v>40</v>
      </c>
      <c r="F11" s="2">
        <f t="shared" si="0"/>
        <v>6.5000000000000006E-3</v>
      </c>
    </row>
    <row r="12" spans="1:6" x14ac:dyDescent="0.2">
      <c r="A12" s="2" t="s">
        <v>3</v>
      </c>
      <c r="B12" s="2" t="s">
        <v>14</v>
      </c>
      <c r="C12" s="2">
        <v>8.9999999999999993E-3</v>
      </c>
      <c r="D12" s="2">
        <v>7.0000000000000001E-3</v>
      </c>
      <c r="E12" s="2">
        <v>45</v>
      </c>
      <c r="F12" s="2">
        <f t="shared" si="0"/>
        <v>8.0000000000000002E-3</v>
      </c>
    </row>
    <row r="13" spans="1:6" x14ac:dyDescent="0.2">
      <c r="A13" s="2" t="s">
        <v>3</v>
      </c>
      <c r="B13" s="2" t="s">
        <v>15</v>
      </c>
      <c r="C13" s="2">
        <v>1.2E-2</v>
      </c>
      <c r="D13" s="2">
        <v>8.9999999999999993E-3</v>
      </c>
      <c r="E13" s="2">
        <v>50</v>
      </c>
      <c r="F13" s="2">
        <f t="shared" si="0"/>
        <v>1.0499999999999999E-2</v>
      </c>
    </row>
    <row r="14" spans="1:6" x14ac:dyDescent="0.2">
      <c r="A14" s="2" t="s">
        <v>3</v>
      </c>
      <c r="B14" s="2" t="s">
        <v>16</v>
      </c>
      <c r="C14" s="2">
        <v>1.7000000000000001E-2</v>
      </c>
      <c r="D14" s="2">
        <v>1.0999999999999999E-2</v>
      </c>
      <c r="E14" s="2">
        <v>55</v>
      </c>
      <c r="F14" s="2">
        <f t="shared" si="0"/>
        <v>1.4E-2</v>
      </c>
    </row>
    <row r="15" spans="1:6" x14ac:dyDescent="0.2">
      <c r="A15" s="2" t="s">
        <v>3</v>
      </c>
      <c r="B15" s="2" t="s">
        <v>17</v>
      </c>
      <c r="C15" s="2">
        <v>2.5999999999999999E-2</v>
      </c>
      <c r="D15" s="2">
        <v>2.1000000000000001E-2</v>
      </c>
      <c r="E15" s="2">
        <v>60</v>
      </c>
      <c r="F15" s="2">
        <f t="shared" si="0"/>
        <v>2.35E-2</v>
      </c>
    </row>
    <row r="16" spans="1:6" x14ac:dyDescent="0.2">
      <c r="A16" s="2" t="s">
        <v>3</v>
      </c>
      <c r="B16" s="2" t="s">
        <v>18</v>
      </c>
      <c r="C16" s="2">
        <v>0.04</v>
      </c>
      <c r="D16" s="2">
        <v>3.4000000000000002E-2</v>
      </c>
      <c r="E16" s="2">
        <v>65</v>
      </c>
      <c r="F16" s="2">
        <f t="shared" si="0"/>
        <v>3.7000000000000005E-2</v>
      </c>
    </row>
    <row r="17" spans="1:6" x14ac:dyDescent="0.2">
      <c r="A17" s="2" t="s">
        <v>3</v>
      </c>
      <c r="B17" s="2" t="s">
        <v>19</v>
      </c>
      <c r="C17" s="2">
        <v>6.6000000000000003E-2</v>
      </c>
      <c r="D17" s="2">
        <v>5.8999999999999997E-2</v>
      </c>
      <c r="E17" s="2">
        <v>70</v>
      </c>
      <c r="F17" s="2">
        <f t="shared" si="0"/>
        <v>6.25E-2</v>
      </c>
    </row>
    <row r="18" spans="1:6" x14ac:dyDescent="0.2">
      <c r="A18" s="2" t="s">
        <v>3</v>
      </c>
      <c r="B18" s="2" t="s">
        <v>20</v>
      </c>
      <c r="C18" s="2">
        <v>0.111</v>
      </c>
      <c r="D18" s="2">
        <v>0.10100000000000001</v>
      </c>
      <c r="E18" s="2">
        <v>75</v>
      </c>
      <c r="F18" s="2">
        <f t="shared" si="0"/>
        <v>0.10600000000000001</v>
      </c>
    </row>
    <row r="19" spans="1:6" x14ac:dyDescent="0.2">
      <c r="A19" s="2" t="s">
        <v>3</v>
      </c>
      <c r="B19" s="2" t="s">
        <v>21</v>
      </c>
      <c r="C19" s="2">
        <v>0.17599999999999999</v>
      </c>
      <c r="D19" s="2">
        <v>0.16300000000000001</v>
      </c>
      <c r="E19" s="2">
        <v>80</v>
      </c>
      <c r="F19" s="2">
        <f t="shared" si="0"/>
        <v>0.16949999999999998</v>
      </c>
    </row>
    <row r="20" spans="1:6" x14ac:dyDescent="0.2">
      <c r="A20" s="2" t="s">
        <v>3</v>
      </c>
      <c r="B20" s="2" t="s">
        <v>22</v>
      </c>
      <c r="C20" s="2">
        <v>0.28599999999999998</v>
      </c>
      <c r="D20" s="2">
        <v>0.27300000000000002</v>
      </c>
      <c r="E20" s="2">
        <v>85</v>
      </c>
      <c r="F20" s="2">
        <f t="shared" si="0"/>
        <v>0.27949999999999997</v>
      </c>
    </row>
    <row r="21" spans="1:6" x14ac:dyDescent="0.2">
      <c r="B21" s="2" t="s">
        <v>23</v>
      </c>
      <c r="E21" s="2">
        <v>95</v>
      </c>
      <c r="F2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daly_params</vt:lpstr>
      <vt:lpstr>Microcost_params</vt:lpstr>
      <vt:lpstr>Markov_probs</vt:lpstr>
      <vt:lpstr>All_cause_mort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Alton Russell, Prof.</cp:lastModifiedBy>
  <dcterms:created xsi:type="dcterms:W3CDTF">2023-01-16T00:47:22Z</dcterms:created>
  <dcterms:modified xsi:type="dcterms:W3CDTF">2023-01-18T14:26:06Z</dcterms:modified>
</cp:coreProperties>
</file>