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heets/sheet1.xml" ContentType="application/vnd.openxmlformats-officedocument.spreadsheetml.chart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hidePivotFieldList="1" defaultThemeVersion="166925"/>
  <mc:AlternateContent xmlns:mc="http://schemas.openxmlformats.org/markup-compatibility/2006">
    <mc:Choice Requires="x15">
      <x15ac:absPath xmlns:x15ac="http://schemas.microsoft.com/office/spreadsheetml/2010/11/ac" url="G:\My Drive\Projects\ghana_hea\data\"/>
    </mc:Choice>
  </mc:AlternateContent>
  <xr:revisionPtr revIDLastSave="0" documentId="13_ncr:1_{1B63020B-F76B-475C-BF62-042F01CB08B4}" xr6:coauthVersionLast="46" xr6:coauthVersionMax="46" xr10:uidLastSave="{00000000-0000-0000-0000-000000000000}"/>
  <bookViews>
    <workbookView xWindow="28680" yWindow="-5520" windowWidth="29040" windowHeight="15990" tabRatio="955" firstSheet="1" activeTab="10" xr2:uid="{00000000-000D-0000-FFFF-FFFF00000000}"/>
  </bookViews>
  <sheets>
    <sheet name="All_cause_mort" sheetId="1" r:id="rId1"/>
    <sheet name="Markov_probs" sheetId="3" r:id="rId2"/>
    <sheet name="chronic_state_lookup" sheetId="14" r:id="rId3"/>
    <sheet name="Microcost_params" sheetId="10" r:id="rId4"/>
    <sheet name="riskmod_params" sheetId="9" r:id="rId5"/>
    <sheet name="daly_params" sheetId="13" r:id="rId6"/>
    <sheet name="Microcost_eqns" sheetId="11" r:id="rId7"/>
    <sheet name="daly_viz_data" sheetId="18" r:id="rId8"/>
    <sheet name="daly_viz" sheetId="19" r:id="rId9"/>
    <sheet name="IP mortality" sheetId="17" r:id="rId10"/>
    <sheet name="matrices" sheetId="5" r:id="rId11"/>
    <sheet name="HIVcosting" sheetId="2" r:id="rId12"/>
    <sheet name="sepsis" sheetId="20" r:id="rId13"/>
    <sheet name="Microcosting" sheetId="7" state="hidden" r:id="rId14"/>
    <sheet name="HIV calib targets" sheetId="8" r:id="rId15"/>
    <sheet name="Malaria trans" sheetId="15" r:id="rId16"/>
    <sheet name="HBV clinical risk" sheetId="16" r:id="rId17"/>
  </sheets>
  <definedNames>
    <definedName name="_xlnm._FilterDatabase" localSheetId="2" hidden="1">chronic_state_lookup!$A$1:$D$44</definedName>
    <definedName name="_xlnm._FilterDatabase" localSheetId="7" hidden="1">daly_viz_data!$A$1:$E$37</definedName>
    <definedName name="_xlnm._FilterDatabase" localSheetId="16" hidden="1">'HBV clinical risk'!#REF!</definedName>
    <definedName name="_xlnm._FilterDatabase" localSheetId="1" hidden="1">Markov_probs!$A$1:$O$111</definedName>
    <definedName name="_xlnm._FilterDatabase" localSheetId="3" hidden="1">Microcost_params!$A$1:$J$62</definedName>
    <definedName name="_xlnm._FilterDatabase" localSheetId="12" hidden="1">sepsis!$A$2:$D$7</definedName>
    <definedName name="num_components">riskmod_params!$K$4</definedName>
    <definedName name="PRT_cost">riskmod_params!$K$9</definedName>
  </definedNames>
  <calcPr calcId="191029"/>
  <pivotCaches>
    <pivotCache cacheId="0" r:id="rId1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7" i="13" l="1"/>
  <c r="C16" i="13"/>
  <c r="C17" i="20"/>
  <c r="D5" i="20"/>
  <c r="D6" i="20"/>
  <c r="D4" i="20"/>
  <c r="D3" i="20"/>
  <c r="C8" i="20"/>
  <c r="B8" i="20"/>
  <c r="D8" i="20" s="1"/>
  <c r="D7" i="20"/>
  <c r="C113" i="3"/>
  <c r="G28" i="13"/>
  <c r="G29" i="13"/>
  <c r="G30" i="13"/>
  <c r="G31" i="13"/>
  <c r="G32" i="13"/>
  <c r="G33" i="13"/>
  <c r="G34" i="13"/>
  <c r="G35" i="13"/>
  <c r="G36" i="13"/>
  <c r="G37" i="13"/>
  <c r="G38" i="13"/>
  <c r="G39" i="13"/>
  <c r="G40" i="13"/>
  <c r="G41" i="13"/>
  <c r="G42" i="13"/>
  <c r="G43" i="13"/>
  <c r="G27" i="13"/>
  <c r="E31" i="13"/>
  <c r="D31" i="13"/>
  <c r="C31" i="13"/>
  <c r="E30" i="13"/>
  <c r="D30" i="13"/>
  <c r="C30" i="13"/>
  <c r="E29" i="13"/>
  <c r="D29" i="13"/>
  <c r="C29" i="13"/>
  <c r="E28" i="13"/>
  <c r="C28" i="13"/>
  <c r="E27" i="13"/>
  <c r="C27" i="13"/>
  <c r="E25" i="13"/>
  <c r="D25" i="13"/>
  <c r="C25" i="13"/>
  <c r="E23" i="13"/>
  <c r="D23" i="13"/>
  <c r="C10" i="13"/>
  <c r="D10" i="13"/>
  <c r="E10" i="13"/>
  <c r="D47" i="14"/>
  <c r="C110" i="3"/>
  <c r="C112" i="3"/>
  <c r="G37" i="10"/>
  <c r="E54" i="13"/>
  <c r="D54" i="13"/>
  <c r="C54" i="13"/>
  <c r="E48" i="13"/>
  <c r="D48" i="13"/>
  <c r="C48" i="13"/>
  <c r="E47" i="13"/>
  <c r="D47" i="13"/>
  <c r="C47" i="13"/>
  <c r="C53" i="13"/>
  <c r="C52" i="13"/>
  <c r="G2" i="10"/>
  <c r="E2" i="10"/>
  <c r="D2" i="10"/>
  <c r="E43" i="13"/>
  <c r="E53" i="13"/>
  <c r="D53" i="13"/>
  <c r="E52" i="13"/>
  <c r="D52" i="13"/>
  <c r="D38" i="13"/>
  <c r="E38" i="13"/>
  <c r="E37" i="13"/>
  <c r="D36" i="13"/>
  <c r="E36" i="13"/>
  <c r="D32" i="13"/>
  <c r="E32" i="13"/>
  <c r="D33" i="13"/>
  <c r="E33" i="13"/>
  <c r="D34" i="13"/>
  <c r="E34" i="13"/>
  <c r="D35" i="13"/>
  <c r="E35" i="13"/>
  <c r="D17" i="13"/>
  <c r="E26" i="13"/>
  <c r="D26" i="13"/>
  <c r="C26" i="13"/>
  <c r="C23" i="13" l="1"/>
  <c r="E22" i="13"/>
  <c r="D22" i="13"/>
  <c r="C22" i="13"/>
  <c r="E21" i="13"/>
  <c r="D21" i="13"/>
  <c r="C21" i="13"/>
  <c r="E20" i="13"/>
  <c r="D20" i="13"/>
  <c r="C20" i="13"/>
  <c r="E19" i="13"/>
  <c r="D19" i="13"/>
  <c r="C19" i="13"/>
  <c r="E18" i="13"/>
  <c r="D18" i="13"/>
  <c r="C18" i="13"/>
  <c r="E17" i="13"/>
  <c r="C17" i="13"/>
  <c r="E9" i="13"/>
  <c r="D9" i="13"/>
  <c r="C9" i="13"/>
  <c r="G3" i="10"/>
  <c r="G9" i="10"/>
  <c r="G10" i="10"/>
  <c r="G11" i="10"/>
  <c r="H6" i="17"/>
  <c r="H4" i="17"/>
  <c r="H5" i="17"/>
  <c r="C6" i="17"/>
  <c r="C7" i="17"/>
  <c r="C5" i="17"/>
  <c r="C73" i="2"/>
  <c r="D73" i="2"/>
  <c r="D75" i="2" s="1"/>
  <c r="B73" i="2"/>
  <c r="B72" i="2"/>
  <c r="C72" i="2"/>
  <c r="C75" i="2" s="1"/>
  <c r="D72" i="2"/>
  <c r="B75" i="2"/>
  <c r="C71" i="2"/>
  <c r="D71" i="2"/>
  <c r="B71" i="2"/>
  <c r="D74" i="2"/>
  <c r="C74" i="2"/>
  <c r="C68" i="2"/>
  <c r="D68" i="2"/>
  <c r="B68" i="2"/>
  <c r="B66" i="2"/>
  <c r="D67" i="2"/>
  <c r="C67" i="2"/>
  <c r="C64" i="2"/>
  <c r="D66" i="2"/>
  <c r="C66" i="2"/>
  <c r="D65" i="2"/>
  <c r="C65" i="2"/>
  <c r="B65" i="2"/>
  <c r="D64" i="2"/>
  <c r="B64" i="2"/>
  <c r="B57" i="2"/>
  <c r="E24" i="13" l="1"/>
  <c r="C24" i="13"/>
  <c r="D24" i="13"/>
  <c r="H51" i="2"/>
  <c r="H52" i="2"/>
  <c r="H50" i="2"/>
  <c r="B3" i="16" l="1"/>
  <c r="B1" i="16"/>
  <c r="B2" i="16"/>
  <c r="C24" i="15"/>
  <c r="B24" i="15"/>
  <c r="C19" i="15"/>
  <c r="B18" i="15"/>
  <c r="B17" i="15"/>
  <c r="B13" i="15"/>
  <c r="B12" i="15"/>
  <c r="B11" i="15"/>
  <c r="B10" i="15"/>
  <c r="C8" i="15"/>
  <c r="B8" i="15"/>
  <c r="D7" i="15"/>
  <c r="D6" i="15"/>
  <c r="D5" i="15"/>
  <c r="D4" i="15"/>
  <c r="D3" i="15"/>
  <c r="B14" i="15" s="1"/>
  <c r="B20" i="15" s="1"/>
  <c r="C20" i="15" s="1"/>
  <c r="B5" i="16" l="1"/>
  <c r="B6" i="16" s="1"/>
  <c r="B21" i="15"/>
  <c r="C18" i="15"/>
  <c r="C21" i="15" s="1"/>
  <c r="B22" i="15" l="1"/>
  <c r="C23" i="15" l="1"/>
  <c r="B23" i="15"/>
  <c r="D46" i="14" l="1"/>
  <c r="D48" i="14"/>
  <c r="D49" i="14"/>
  <c r="D50" i="14"/>
  <c r="D45" i="14"/>
  <c r="C111" i="3"/>
  <c r="C109" i="3"/>
  <c r="C98" i="3"/>
  <c r="C97" i="3"/>
  <c r="C108" i="3"/>
  <c r="C107" i="3"/>
  <c r="C102" i="3"/>
  <c r="G35" i="10"/>
  <c r="G36" i="10"/>
  <c r="D3" i="14" l="1"/>
  <c r="D2" i="14"/>
  <c r="D20" i="14"/>
  <c r="D18" i="14"/>
  <c r="D17" i="14"/>
  <c r="D5" i="14"/>
  <c r="D4" i="14"/>
  <c r="D15" i="14"/>
  <c r="D9" i="14"/>
  <c r="D8" i="14"/>
  <c r="D6" i="14"/>
  <c r="D11" i="14"/>
  <c r="D14" i="14"/>
  <c r="D13" i="14"/>
  <c r="D16" i="14"/>
  <c r="D10" i="14"/>
  <c r="D7" i="14"/>
  <c r="D12" i="14"/>
  <c r="D34" i="14"/>
  <c r="D35" i="14"/>
  <c r="D26" i="14"/>
  <c r="D28" i="14"/>
  <c r="D23" i="14"/>
  <c r="D25" i="14"/>
  <c r="D29" i="14"/>
  <c r="D31" i="14"/>
  <c r="D32" i="14"/>
  <c r="D33" i="14"/>
  <c r="D27" i="14"/>
  <c r="D24" i="14"/>
  <c r="D30" i="14"/>
  <c r="D42" i="14"/>
  <c r="D43" i="14"/>
  <c r="D44" i="14"/>
  <c r="D36" i="14"/>
  <c r="D41" i="14"/>
  <c r="D37" i="14"/>
  <c r="D38" i="14"/>
  <c r="D39" i="14"/>
  <c r="D40" i="14"/>
  <c r="D22" i="14"/>
  <c r="D21" i="14"/>
  <c r="D19" i="14"/>
  <c r="G44" i="10" l="1"/>
  <c r="C34" i="2" l="1"/>
  <c r="D34" i="2"/>
  <c r="E34" i="2"/>
  <c r="B34" i="2"/>
  <c r="E25" i="2"/>
  <c r="E26" i="2"/>
  <c r="E27" i="2"/>
  <c r="E24" i="2"/>
  <c r="C26" i="3"/>
  <c r="C6" i="3"/>
  <c r="C95" i="3"/>
  <c r="C92" i="3"/>
  <c r="C86" i="3"/>
  <c r="C87" i="3"/>
  <c r="C96" i="3"/>
  <c r="C38" i="3"/>
  <c r="C72" i="3"/>
  <c r="C106" i="3"/>
  <c r="C105" i="3"/>
  <c r="C104" i="3"/>
  <c r="C103" i="3"/>
  <c r="C71" i="3"/>
  <c r="C70" i="3"/>
  <c r="C69" i="3"/>
  <c r="C68" i="3"/>
  <c r="C67" i="3"/>
  <c r="C66" i="3"/>
  <c r="C65" i="3"/>
  <c r="C64" i="3"/>
  <c r="C73" i="3"/>
  <c r="C74" i="3"/>
  <c r="C62" i="3"/>
  <c r="C59" i="3"/>
  <c r="C63" i="3"/>
  <c r="C61" i="3"/>
  <c r="C60" i="3"/>
  <c r="C58" i="3"/>
  <c r="C57" i="3"/>
  <c r="C56" i="3"/>
  <c r="C80" i="3"/>
  <c r="C79" i="3"/>
  <c r="C78" i="3"/>
  <c r="C77" i="3"/>
  <c r="C76" i="3"/>
  <c r="C75" i="3"/>
  <c r="C55" i="3"/>
  <c r="C54" i="3"/>
  <c r="C53" i="3"/>
  <c r="C52" i="3"/>
  <c r="C51" i="3"/>
  <c r="C82" i="3"/>
  <c r="C81" i="3"/>
  <c r="C37" i="3"/>
  <c r="C36" i="3"/>
  <c r="C35" i="3"/>
  <c r="C34" i="3"/>
  <c r="C33" i="3"/>
  <c r="C48" i="3"/>
  <c r="C44" i="3"/>
  <c r="C42" i="3"/>
  <c r="C40" i="3"/>
  <c r="C32" i="3"/>
  <c r="C45" i="3"/>
  <c r="C46" i="3"/>
  <c r="C39" i="3"/>
  <c r="C31" i="3"/>
  <c r="C30" i="3"/>
  <c r="C29" i="3"/>
  <c r="C28" i="3"/>
  <c r="C27" i="3"/>
  <c r="C25" i="3"/>
  <c r="C20" i="3"/>
  <c r="C22" i="3"/>
  <c r="C18" i="3"/>
  <c r="C15" i="3"/>
  <c r="C17" i="3"/>
  <c r="C16" i="3"/>
  <c r="C14" i="3"/>
  <c r="C13" i="3"/>
  <c r="C12" i="3"/>
  <c r="C11" i="3"/>
  <c r="C10" i="3"/>
  <c r="C9" i="3"/>
  <c r="C5" i="3"/>
  <c r="C3" i="3"/>
  <c r="C4" i="3"/>
  <c r="B37" i="2" l="1"/>
  <c r="F27" i="2"/>
  <c r="F26" i="2"/>
  <c r="F25" i="2"/>
  <c r="F24" i="2"/>
  <c r="C7" i="3"/>
  <c r="C8" i="3"/>
  <c r="C19" i="3"/>
  <c r="C21" i="3"/>
  <c r="C23" i="3"/>
  <c r="C24" i="3"/>
  <c r="C41" i="3"/>
  <c r="C43" i="3"/>
  <c r="C47" i="3"/>
  <c r="C49" i="3"/>
  <c r="C50" i="3"/>
  <c r="C83" i="3"/>
  <c r="C84" i="3"/>
  <c r="C85" i="3"/>
  <c r="C88" i="3"/>
  <c r="C89" i="3"/>
  <c r="C90" i="3"/>
  <c r="C91" i="3"/>
  <c r="C93" i="3"/>
  <c r="C94" i="3"/>
  <c r="C99" i="3"/>
  <c r="C100" i="3"/>
  <c r="C101" i="3"/>
  <c r="C2" i="3"/>
  <c r="G62" i="10"/>
  <c r="G7" i="10"/>
  <c r="G41" i="10"/>
  <c r="G5" i="10"/>
  <c r="G60" i="10"/>
  <c r="G6" i="10"/>
  <c r="G61" i="10"/>
  <c r="G38" i="10"/>
  <c r="G39" i="10"/>
  <c r="G40" i="10"/>
  <c r="G24" i="10"/>
  <c r="G4" i="10"/>
  <c r="G49" i="10"/>
  <c r="G8" i="10"/>
  <c r="G42" i="10"/>
  <c r="G43" i="10"/>
  <c r="G12" i="10"/>
  <c r="G13" i="10"/>
  <c r="G14" i="10"/>
  <c r="G15" i="10"/>
  <c r="G16" i="10"/>
  <c r="G17" i="10"/>
  <c r="G18" i="10"/>
  <c r="G19" i="10"/>
  <c r="G20" i="10"/>
  <c r="G21" i="10"/>
  <c r="G22" i="10"/>
  <c r="G23" i="10"/>
  <c r="G30" i="10"/>
  <c r="G31" i="10"/>
  <c r="G32" i="10"/>
  <c r="G33" i="10"/>
  <c r="G34" i="10"/>
  <c r="G56" i="10"/>
  <c r="G57" i="10"/>
  <c r="G58" i="10"/>
  <c r="G59" i="10"/>
  <c r="G25" i="10"/>
  <c r="G26" i="10"/>
  <c r="G27" i="10"/>
  <c r="G28" i="10"/>
  <c r="G29" i="10"/>
  <c r="G50" i="10"/>
  <c r="G51" i="10"/>
  <c r="G52" i="10"/>
  <c r="G53" i="10"/>
  <c r="G54" i="10"/>
  <c r="G55" i="10"/>
  <c r="G45" i="10"/>
  <c r="G46" i="10"/>
  <c r="G47" i="10"/>
  <c r="G48" i="10"/>
  <c r="E8" i="2" l="1"/>
  <c r="O38" i="7" l="1"/>
  <c r="C189" i="7" l="1"/>
  <c r="D188" i="7"/>
  <c r="D191" i="7" s="1"/>
  <c r="E188" i="7"/>
  <c r="E191" i="7" s="1"/>
  <c r="C188" i="7"/>
  <c r="E174" i="7"/>
  <c r="E181" i="7" s="1"/>
  <c r="D174" i="7"/>
  <c r="D181" i="7" s="1"/>
  <c r="C174" i="7"/>
  <c r="C181" i="7" s="1"/>
  <c r="D119" i="7"/>
  <c r="D160" i="7" s="1"/>
  <c r="D166" i="7" s="1"/>
  <c r="E119" i="7"/>
  <c r="E160" i="7" s="1"/>
  <c r="E166" i="7" s="1"/>
  <c r="C119" i="7"/>
  <c r="C160" i="7" s="1"/>
  <c r="C166" i="7" s="1"/>
  <c r="C129" i="7"/>
  <c r="J137" i="7"/>
  <c r="E128" i="7"/>
  <c r="E129" i="7" s="1"/>
  <c r="D128" i="7"/>
  <c r="D129" i="7" s="1"/>
  <c r="E109" i="7"/>
  <c r="D109" i="7"/>
  <c r="C106" i="7"/>
  <c r="C101" i="7"/>
  <c r="C98" i="7"/>
  <c r="C97" i="7"/>
  <c r="C96" i="7"/>
  <c r="C137" i="7" s="1"/>
  <c r="C140" i="7" s="1"/>
  <c r="D96" i="7"/>
  <c r="D137" i="7" s="1"/>
  <c r="D140" i="7" s="1"/>
  <c r="E96" i="7"/>
  <c r="E137" i="7" s="1"/>
  <c r="E140" i="7" s="1"/>
  <c r="C95" i="7"/>
  <c r="D95" i="7"/>
  <c r="E95" i="7"/>
  <c r="C94" i="7"/>
  <c r="C102" i="7" s="1"/>
  <c r="E94" i="7"/>
  <c r="E102" i="7" s="1"/>
  <c r="D94" i="7"/>
  <c r="D102" i="7" s="1"/>
  <c r="D43" i="8"/>
  <c r="B43" i="8"/>
  <c r="C43" i="8"/>
  <c r="C42" i="8"/>
  <c r="D42" i="8"/>
  <c r="B42" i="8"/>
  <c r="C49" i="8"/>
  <c r="D49" i="8"/>
  <c r="C50" i="8"/>
  <c r="D50" i="8"/>
  <c r="B50" i="8"/>
  <c r="B49" i="8"/>
  <c r="C36" i="8"/>
  <c r="D36" i="8"/>
  <c r="C37" i="8"/>
  <c r="D37" i="8"/>
  <c r="B37" i="8"/>
  <c r="B36" i="8"/>
  <c r="C191" i="7" l="1"/>
  <c r="C99" i="7"/>
  <c r="C107" i="7" s="1"/>
  <c r="C148" i="7" s="1"/>
  <c r="C152" i="7" s="1"/>
  <c r="B18" i="8"/>
  <c r="D44" i="8"/>
  <c r="C32" i="8"/>
  <c r="D32" i="8"/>
  <c r="B32" i="8"/>
  <c r="C31" i="8"/>
  <c r="D31" i="8"/>
  <c r="B31" i="8"/>
  <c r="B9" i="8"/>
  <c r="E32" i="8"/>
  <c r="E31" i="8"/>
  <c r="B26" i="8"/>
  <c r="F26" i="8" s="1"/>
  <c r="B25" i="8"/>
  <c r="B24" i="8"/>
  <c r="F25" i="8"/>
  <c r="F24" i="8"/>
  <c r="E26" i="8"/>
  <c r="C17" i="8"/>
  <c r="D17" i="8"/>
  <c r="C18" i="8"/>
  <c r="D18" i="8"/>
  <c r="B17" i="8"/>
  <c r="K14" i="8"/>
  <c r="Q4" i="8"/>
  <c r="R4" i="8"/>
  <c r="S4" i="8"/>
  <c r="T4" i="8"/>
  <c r="U4" i="8"/>
  <c r="Q5" i="8"/>
  <c r="Q7" i="8" s="1"/>
  <c r="R5" i="8"/>
  <c r="R7" i="8" s="1"/>
  <c r="S5" i="8"/>
  <c r="S7" i="8" s="1"/>
  <c r="T5" i="8"/>
  <c r="U5" i="8"/>
  <c r="Q6" i="8"/>
  <c r="R6" i="8"/>
  <c r="S6" i="8"/>
  <c r="T6" i="8"/>
  <c r="T7" i="8" s="1"/>
  <c r="U6" i="8"/>
  <c r="V4" i="8"/>
  <c r="V7" i="8" s="1"/>
  <c r="V5" i="8"/>
  <c r="V6" i="8"/>
  <c r="O3" i="8"/>
  <c r="P3" i="8"/>
  <c r="C9" i="8"/>
  <c r="D9" i="8"/>
  <c r="E9" i="8"/>
  <c r="E5" i="8"/>
  <c r="E10" i="8" s="1"/>
  <c r="C110" i="7" l="1"/>
  <c r="U7" i="8"/>
  <c r="D10" i="8"/>
  <c r="B10" i="8"/>
  <c r="B12" i="8"/>
  <c r="N3" i="8"/>
  <c r="C10" i="8"/>
  <c r="H8" i="7"/>
  <c r="I8" i="7"/>
  <c r="H18" i="7"/>
  <c r="I18" i="7"/>
  <c r="G8" i="7"/>
  <c r="E104" i="7"/>
  <c r="D104" i="7"/>
  <c r="C104" i="7"/>
  <c r="G18" i="7"/>
  <c r="D99" i="7"/>
  <c r="D107" i="7" s="1"/>
  <c r="D148" i="7" s="1"/>
  <c r="D152" i="7" s="1"/>
  <c r="E99" i="7"/>
  <c r="E107" i="7" s="1"/>
  <c r="C90" i="7"/>
  <c r="D89" i="7"/>
  <c r="D92" i="7" s="1"/>
  <c r="E89" i="7"/>
  <c r="E92" i="7" s="1"/>
  <c r="C89" i="7"/>
  <c r="D72" i="7"/>
  <c r="D78" i="7" s="1"/>
  <c r="D80" i="7" s="1"/>
  <c r="E72" i="7"/>
  <c r="E78" i="7" s="1"/>
  <c r="E80" i="7" s="1"/>
  <c r="C72" i="7"/>
  <c r="C78" i="7" s="1"/>
  <c r="C80" i="7" s="1"/>
  <c r="D57" i="7"/>
  <c r="D60" i="7" s="1"/>
  <c r="D62" i="7" s="1"/>
  <c r="E57" i="7"/>
  <c r="E60" i="7" s="1"/>
  <c r="E62" i="7" s="1"/>
  <c r="C57" i="7"/>
  <c r="C60" i="7" s="1"/>
  <c r="C62" i="7" s="1"/>
  <c r="D63" i="7"/>
  <c r="D81" i="7" s="1"/>
  <c r="E63" i="7"/>
  <c r="E81" i="7" s="1"/>
  <c r="C63" i="7"/>
  <c r="C81" i="7" s="1"/>
  <c r="D47" i="7"/>
  <c r="D49" i="7" s="1"/>
  <c r="E47" i="7"/>
  <c r="E49" i="7" s="1"/>
  <c r="C47" i="7"/>
  <c r="C49" i="7" s="1"/>
  <c r="H45" i="7"/>
  <c r="I45" i="7"/>
  <c r="G45" i="7"/>
  <c r="H36" i="7"/>
  <c r="I36" i="7"/>
  <c r="G36" i="7"/>
  <c r="H26" i="7"/>
  <c r="I26" i="7"/>
  <c r="G26" i="7"/>
  <c r="H8" i="2"/>
  <c r="E4" i="2"/>
  <c r="E5" i="2"/>
  <c r="E6" i="2"/>
  <c r="E7" i="2"/>
  <c r="E9" i="2"/>
  <c r="H5" i="2" s="1"/>
  <c r="E10" i="2"/>
  <c r="E11" i="2"/>
  <c r="E12" i="2"/>
  <c r="H7" i="2" s="1"/>
  <c r="E13" i="2"/>
  <c r="E14" i="2"/>
  <c r="E15" i="2"/>
  <c r="E3" i="2"/>
  <c r="F4" i="1"/>
  <c r="F5" i="1"/>
  <c r="F6" i="1"/>
  <c r="F7" i="1"/>
  <c r="F8" i="1"/>
  <c r="F9" i="1"/>
  <c r="F10" i="1"/>
  <c r="F11" i="1"/>
  <c r="F12" i="1"/>
  <c r="F13" i="1"/>
  <c r="F14" i="1"/>
  <c r="F15" i="1"/>
  <c r="F16" i="1"/>
  <c r="F17" i="1"/>
  <c r="F18" i="1"/>
  <c r="F19" i="1"/>
  <c r="F20" i="1"/>
  <c r="F21" i="1"/>
  <c r="F3" i="1"/>
  <c r="H6" i="2" l="1"/>
  <c r="I6" i="2"/>
  <c r="I7" i="2"/>
  <c r="J7" i="2"/>
  <c r="I8" i="2"/>
  <c r="J8" i="2"/>
  <c r="J5" i="2"/>
  <c r="I5" i="2"/>
  <c r="C92" i="7"/>
  <c r="D110" i="7"/>
  <c r="E110" i="7"/>
  <c r="E148" i="7"/>
  <c r="E152" i="7" s="1"/>
  <c r="C64" i="7"/>
  <c r="E82" i="7"/>
  <c r="E64" i="7"/>
  <c r="D82" i="7"/>
  <c r="C82" i="7"/>
  <c r="D64" i="7"/>
  <c r="J6" i="2" l="1"/>
</calcChain>
</file>

<file path=xl/sharedStrings.xml><?xml version="1.0" encoding="utf-8"?>
<sst xmlns="http://schemas.openxmlformats.org/spreadsheetml/2006/main" count="3062" uniqueCount="794">
  <si>
    <t>Indicator</t>
  </si>
  <si>
    <t>Age Group</t>
  </si>
  <si>
    <t>Male</t>
  </si>
  <si>
    <t>Female</t>
  </si>
  <si>
    <t>nMx - age-specific death rate between ages x and x+n</t>
  </si>
  <si>
    <t>&lt;1 year</t>
  </si>
  <si>
    <t>1-4 years</t>
  </si>
  <si>
    <t>5-9 years</t>
  </si>
  <si>
    <t>10-14 years</t>
  </si>
  <si>
    <t>15-19  years</t>
  </si>
  <si>
    <t>20-24 years</t>
  </si>
  <si>
    <t>25-29 years</t>
  </si>
  <si>
    <t>30-34 years</t>
  </si>
  <si>
    <t>35-39 years</t>
  </si>
  <si>
    <t>40-44 years</t>
  </si>
  <si>
    <t>45-49 years</t>
  </si>
  <si>
    <t>50-54 years</t>
  </si>
  <si>
    <t>55-59 years</t>
  </si>
  <si>
    <t>60-64 years</t>
  </si>
  <si>
    <t>65-69 years</t>
  </si>
  <si>
    <t>70-74 years</t>
  </si>
  <si>
    <t>75-79 years</t>
  </si>
  <si>
    <t>80-84 years</t>
  </si>
  <si>
    <t>Initiation</t>
  </si>
  <si>
    <t>In text</t>
  </si>
  <si>
    <t>Periods start relative to ART initiation</t>
  </si>
  <si>
    <t>Low</t>
  </si>
  <si>
    <t>High</t>
  </si>
  <si>
    <t>HIV</t>
  </si>
  <si>
    <t>WHO Global Health Observatory indicator views</t>
  </si>
  <si>
    <t xml:space="preserve">Cost </t>
  </si>
  <si>
    <t>HCC</t>
  </si>
  <si>
    <t>From</t>
  </si>
  <si>
    <t>To</t>
  </si>
  <si>
    <t>Line plot WebPlotDigitizer</t>
  </si>
  <si>
    <t>Col plot WebPlotDigitizer</t>
  </si>
  <si>
    <t>Bar0, 17.27848101265822</t>
  </si>
  <si>
    <t>Bar1, 28.481012658227844</t>
  </si>
  <si>
    <t>Bar2, 54.68354430379747</t>
  </si>
  <si>
    <t>Bar3, 37.78481012658227</t>
  </si>
  <si>
    <t>Bar4, 27.72151898734177</t>
  </si>
  <si>
    <t>Bar5, 112.7848101265823</t>
  </si>
  <si>
    <t>Bar6, 74.0506329113924</t>
  </si>
  <si>
    <t>Bar7, 64.55696202531645</t>
  </si>
  <si>
    <t>Bar8, 64.74683544303798</t>
  </si>
  <si>
    <t>Bar9, 60.56962025316456</t>
  </si>
  <si>
    <t>Bar10, 53.544303797468366</t>
  </si>
  <si>
    <t>Bar11, 58.860759493670884</t>
  </si>
  <si>
    <t>Bar12, 33.797468354430386</t>
  </si>
  <si>
    <t>ART year 1</t>
  </si>
  <si>
    <t>ART year 2</t>
  </si>
  <si>
    <t>ART year 3</t>
  </si>
  <si>
    <t>ART year 4+</t>
  </si>
  <si>
    <t>Cost by Markov state</t>
  </si>
  <si>
    <t>AIDS</t>
  </si>
  <si>
    <t>death</t>
  </si>
  <si>
    <t>ART_1</t>
  </si>
  <si>
    <t>ART_2</t>
  </si>
  <si>
    <t>ART_3</t>
  </si>
  <si>
    <t>ART_4</t>
  </si>
  <si>
    <t>#</t>
  </si>
  <si>
    <t>chronic_T</t>
  </si>
  <si>
    <t>CC_T</t>
  </si>
  <si>
    <t>HCV_death</t>
  </si>
  <si>
    <t>no_infection</t>
  </si>
  <si>
    <t>HIV transition matrix</t>
  </si>
  <si>
    <t>HCV transition matrix</t>
  </si>
  <si>
    <t>HBV transition matrix</t>
  </si>
  <si>
    <t>HBV_death</t>
  </si>
  <si>
    <t>imm_react_T</t>
  </si>
  <si>
    <t>DCC_T</t>
  </si>
  <si>
    <t>Disease</t>
  </si>
  <si>
    <t>Source</t>
  </si>
  <si>
    <t>init</t>
  </si>
  <si>
    <t>95 years</t>
  </si>
  <si>
    <t>mortality</t>
  </si>
  <si>
    <t>85-94  years</t>
  </si>
  <si>
    <t>HCV</t>
  </si>
  <si>
    <t>HBV</t>
  </si>
  <si>
    <t>Param1</t>
  </si>
  <si>
    <t>Param2</t>
  </si>
  <si>
    <t>Cost of Ab screen and confirmation</t>
  </si>
  <si>
    <t xml:space="preserve">Cost of genotyping </t>
  </si>
  <si>
    <t>Disease state</t>
  </si>
  <si>
    <t xml:space="preserve">    Parameter</t>
  </si>
  <si>
    <t>Point estimate</t>
  </si>
  <si>
    <t>Min</t>
  </si>
  <si>
    <t>Max</t>
  </si>
  <si>
    <t>Sepsis</t>
  </si>
  <si>
    <t>Cost of additional hospitalization days</t>
  </si>
  <si>
    <t>Probability of receiving additional hospitalization days</t>
  </si>
  <si>
    <t>Number of additional hospitalization days received</t>
  </si>
  <si>
    <t>Cost of medication</t>
  </si>
  <si>
    <t>Average total cost</t>
  </si>
  <si>
    <t>Malaria</t>
  </si>
  <si>
    <t>Cost of 3-day medication course</t>
  </si>
  <si>
    <t>Cost of outpatient visit</t>
  </si>
  <si>
    <t>Probability of receiving outpatient care</t>
  </si>
  <si>
    <t>Number of outpatient visits per patient</t>
  </si>
  <si>
    <t>Cost of diagnosis (RDT + microscopy)</t>
  </si>
  <si>
    <t>FNHTR</t>
  </si>
  <si>
    <t>Additional inpatient costs (medication and consults)</t>
  </si>
  <si>
    <t>Probability of diagnosis</t>
  </si>
  <si>
    <t>Cost of diagnosis (TP/RPR + molecular PCR if needed)</t>
  </si>
  <si>
    <t xml:space="preserve">Cost of medication </t>
  </si>
  <si>
    <t>HCV – acute</t>
  </si>
  <si>
    <t>HCV – chronic, no cirrhosis</t>
  </si>
  <si>
    <t>Cost of LFT</t>
  </si>
  <si>
    <t>Cost of BUN, creatinine, electrolytes</t>
  </si>
  <si>
    <t>Cost of full blood count</t>
  </si>
  <si>
    <t>Cost of alpha fetoprotein</t>
  </si>
  <si>
    <t>Cost of abdominal ultrasonography</t>
  </si>
  <si>
    <t>Number of outpatient visits</t>
  </si>
  <si>
    <t>Cost of initial clinic visit</t>
  </si>
  <si>
    <t>Cost of follow-up clinic visit</t>
  </si>
  <si>
    <t>HCV – treatment, no cirrhosis</t>
  </si>
  <si>
    <t>50% of chronic HCV costs</t>
  </si>
  <si>
    <t>Cost of antiviral medication</t>
  </si>
  <si>
    <t>HCV – compensated cirrhosis</t>
  </si>
  <si>
    <t>Cost of alpha fetoprotein (twice per year)</t>
  </si>
  <si>
    <t>Cost of abdominal ultrasonography (twice per year)</t>
  </si>
  <si>
    <t>HCV – treatment, compensated cirrhosis</t>
  </si>
  <si>
    <t>Cost of International normalized ratio test</t>
  </si>
  <si>
    <t>HCV – decompensated cirrhosis</t>
  </si>
  <si>
    <t>Cost of HCV RNA testing (twice per year)</t>
  </si>
  <si>
    <t>Cost of endoscopy with band ligation</t>
  </si>
  <si>
    <t>Cost of HCV RNA testing (three times per year)</t>
  </si>
  <si>
    <t>Cost of spironolactone</t>
  </si>
  <si>
    <t>Cost of furosemide</t>
  </si>
  <si>
    <t>HCV – treatment, decompensated cirrhosis</t>
  </si>
  <si>
    <t>50% of compensated cirrhosis costs</t>
  </si>
  <si>
    <t>50% of decompensated cirrhosis costs</t>
  </si>
  <si>
    <t>HCV – hepatocellular carcinoma</t>
  </si>
  <si>
    <t>Cost of endoscopy with band ligation (twice per year)</t>
  </si>
  <si>
    <t>Cost of triphasic CT scan</t>
  </si>
  <si>
    <t>Cost of transarterial chemoembolization</t>
  </si>
  <si>
    <t>Cost of sorafenib (9-12 tablets)</t>
  </si>
  <si>
    <t>HBV – acute</t>
  </si>
  <si>
    <t>HBV – chronic HBeAg-negative infection</t>
  </si>
  <si>
    <t>HBV – immune tolerant on treatment</t>
  </si>
  <si>
    <t>HBV – immune tolerant or immune reactive without treatment</t>
  </si>
  <si>
    <t>HBV – chronic HBeAg-negative infection with treatment</t>
  </si>
  <si>
    <t>HBV – compensated cirrhosis</t>
  </si>
  <si>
    <t>HBV – compensated cirrhosis with treatment</t>
  </si>
  <si>
    <t>HBV – decompensated cirrhosis</t>
  </si>
  <si>
    <t>HBV – decompensated cirrhosis with treatment</t>
  </si>
  <si>
    <t>HBV – hepatocellular carcinoma</t>
  </si>
  <si>
    <t>Beta</t>
  </si>
  <si>
    <t>Nayagam 2016</t>
  </si>
  <si>
    <t>Cohort</t>
  </si>
  <si>
    <t>Both</t>
  </si>
  <si>
    <t>Progression to AIDS target (Begtrup 1997)</t>
  </si>
  <si>
    <t>mo</t>
  </si>
  <si>
    <t>Peds</t>
  </si>
  <si>
    <t>Adult</t>
  </si>
  <si>
    <t>Overall</t>
  </si>
  <si>
    <t>&lt;25</t>
  </si>
  <si>
    <t>25-39</t>
  </si>
  <si>
    <t>&gt;40</t>
  </si>
  <si>
    <t>7-year survival</t>
  </si>
  <si>
    <t>BC</t>
  </si>
  <si>
    <t>LB</t>
  </si>
  <si>
    <t>UB</t>
  </si>
  <si>
    <t>N</t>
  </si>
  <si>
    <t>7-year survival regrouped</t>
  </si>
  <si>
    <t>Ped</t>
  </si>
  <si>
    <t>RR_mort_ped</t>
  </si>
  <si>
    <t>Peds BC</t>
  </si>
  <si>
    <t>Peds LB</t>
  </si>
  <si>
    <t>Peds UB</t>
  </si>
  <si>
    <t>Adult BC</t>
  </si>
  <si>
    <t>Adult LB</t>
  </si>
  <si>
    <t>Adult UB</t>
  </si>
  <si>
    <t>AIDS 5 years</t>
  </si>
  <si>
    <t>AIDS 7 years</t>
  </si>
  <si>
    <t>AIDS 9 years</t>
  </si>
  <si>
    <t>7-year mortality regrouped</t>
  </si>
  <si>
    <t>MORT</t>
  </si>
  <si>
    <t>Prop</t>
  </si>
  <si>
    <t>4-year survival from webplotdigitizer</t>
  </si>
  <si>
    <t>4-year survival regrouped</t>
  </si>
  <si>
    <t>Survival</t>
  </si>
  <si>
    <t>Mort</t>
  </si>
  <si>
    <t>4-year mortality regrouped</t>
  </si>
  <si>
    <t>Cost of HBsAg (initial and confirmatory)</t>
  </si>
  <si>
    <t>Cost of Hepatitis B profile</t>
  </si>
  <si>
    <t>Cost of HBV DNA test</t>
  </si>
  <si>
    <t>Cost of subsequent clinic visit</t>
  </si>
  <si>
    <t>Cost of annual clinic visit</t>
  </si>
  <si>
    <t>Cost of HBsAg</t>
  </si>
  <si>
    <t>Cost of HBV DNA test (twice per year)</t>
  </si>
  <si>
    <t>Pediatric</t>
  </si>
  <si>
    <t>HIV_death</t>
  </si>
  <si>
    <r>
      <t>Syphilis</t>
    </r>
    <r>
      <rPr>
        <sz val="9"/>
        <color theme="1"/>
        <rFont val="Arial"/>
        <family val="2"/>
      </rPr>
      <t> </t>
    </r>
  </si>
  <si>
    <t>Cost of RNA test (before and after treatment</t>
  </si>
  <si>
    <t>General</t>
  </si>
  <si>
    <t>Parameter</t>
  </si>
  <si>
    <t>rname</t>
  </si>
  <si>
    <t>Base case</t>
  </si>
  <si>
    <t>c_IP_day</t>
  </si>
  <si>
    <t>sep_d_IP_days</t>
  </si>
  <si>
    <t>RDT + Microscopy</t>
  </si>
  <si>
    <t>sep_c_meds</t>
  </si>
  <si>
    <t>mal_c_meds</t>
  </si>
  <si>
    <t>mal_p_IP_days</t>
  </si>
  <si>
    <t>mal_d_IP_days</t>
  </si>
  <si>
    <t>mal_p_OP</t>
  </si>
  <si>
    <t>mal_n_OP</t>
  </si>
  <si>
    <t>mal_c_OP</t>
  </si>
  <si>
    <t>mal_c_diag</t>
  </si>
  <si>
    <t>sep_p_meds</t>
  </si>
  <si>
    <t>ftr_c_meds</t>
  </si>
  <si>
    <t>ftr_p_IP_days</t>
  </si>
  <si>
    <t>ftr_n_IP_days</t>
  </si>
  <si>
    <t>Syphilis</t>
  </si>
  <si>
    <t>syp_p_diag</t>
  </si>
  <si>
    <t>syp_c_diag</t>
  </si>
  <si>
    <t>syp_c_meds</t>
  </si>
  <si>
    <t>hcv_c_screen</t>
  </si>
  <si>
    <t>hcv_c_rna_test</t>
  </si>
  <si>
    <t>hcv_c_genotype</t>
  </si>
  <si>
    <t>hep_c_lft</t>
  </si>
  <si>
    <t>hep_c_INR</t>
  </si>
  <si>
    <t>hep_c_FBC</t>
  </si>
  <si>
    <t>hep_c_BUNCE</t>
  </si>
  <si>
    <t>hep_c_alphafeto</t>
  </si>
  <si>
    <t>hep_c_OP_brief</t>
  </si>
  <si>
    <t>hep_c_OP_extensive</t>
  </si>
  <si>
    <t>hep_c_ab_ultrasono</t>
  </si>
  <si>
    <t>hep_c_band_lig</t>
  </si>
  <si>
    <t>hep_c_spiro</t>
  </si>
  <si>
    <t>hep_c_fluro</t>
  </si>
  <si>
    <t>hep_c_triphas_CT</t>
  </si>
  <si>
    <t>hep_c_sorafenib</t>
  </si>
  <si>
    <t>hcv_c_antivirals</t>
  </si>
  <si>
    <t>hcv_n_OP_chronic</t>
  </si>
  <si>
    <t>hcv_n_OP_cc</t>
  </si>
  <si>
    <t>hcv_n_OP_dcc</t>
  </si>
  <si>
    <t>hbv_c_HBsAg</t>
  </si>
  <si>
    <t>hbv_c_profile</t>
  </si>
  <si>
    <t>hbv_c_DNAtest</t>
  </si>
  <si>
    <t>hbv_c_antivirals</t>
  </si>
  <si>
    <t>hbv_c_antiviralsCirrhosis</t>
  </si>
  <si>
    <t>hbv_n_OP_chronic</t>
  </si>
  <si>
    <t>hbv_n_OP_chronicT</t>
  </si>
  <si>
    <t>hbv_n_OP_CC</t>
  </si>
  <si>
    <t>hbv_n_OP_CCT</t>
  </si>
  <si>
    <t>hbv_n_OP_DCC</t>
  </si>
  <si>
    <t>hbv_n_OP_DCCT</t>
  </si>
  <si>
    <t>hiv_cost_ART1</t>
  </si>
  <si>
    <t>hiv_cost_ART2</t>
  </si>
  <si>
    <t>hiv_cost_ART3</t>
  </si>
  <si>
    <t>hiv_cost_ART4</t>
  </si>
  <si>
    <t>hep_c_chemoembo</t>
  </si>
  <si>
    <t>hcv_n_OP_acuteT</t>
  </si>
  <si>
    <t>acute_T</t>
  </si>
  <si>
    <t>hcv_c_antiviral_dcc</t>
  </si>
  <si>
    <t>Category</t>
  </si>
  <si>
    <t>Treatment uptake</t>
  </si>
  <si>
    <t>Natural history</t>
  </si>
  <si>
    <t>Treatment effectiveness</t>
  </si>
  <si>
    <t>PERT</t>
  </si>
  <si>
    <t>Number of components transfused</t>
  </si>
  <si>
    <t>Percent of donations not transfused</t>
  </si>
  <si>
    <t>Percent recipeints who are pediatric</t>
  </si>
  <si>
    <t>Baseline risk</t>
  </si>
  <si>
    <t>Symptomatic outcome risk</t>
  </si>
  <si>
    <t>p_peds</t>
  </si>
  <si>
    <t>n_comp</t>
  </si>
  <si>
    <t>p_waste</t>
  </si>
  <si>
    <t>bl_hiv</t>
  </si>
  <si>
    <t>bl_hcv</t>
  </si>
  <si>
    <t>bl_hbv</t>
  </si>
  <si>
    <t>bl_sep</t>
  </si>
  <si>
    <t>bl_syp</t>
  </si>
  <si>
    <t>bl_mal</t>
  </si>
  <si>
    <t>bl_ftr</t>
  </si>
  <si>
    <t>p_clin_hiv</t>
  </si>
  <si>
    <t>p_clin_hcv</t>
  </si>
  <si>
    <t>p_clin_hbv</t>
  </si>
  <si>
    <t>p_clin_sep</t>
  </si>
  <si>
    <t>p_clin_syp</t>
  </si>
  <si>
    <t>p_clin_mal</t>
  </si>
  <si>
    <t>p_clin_ftr</t>
  </si>
  <si>
    <t>rred_hiv</t>
  </si>
  <si>
    <t>rred_hcv</t>
  </si>
  <si>
    <t>rred_hbv</t>
  </si>
  <si>
    <t>rred_sep</t>
  </si>
  <si>
    <t>rred_syp</t>
  </si>
  <si>
    <t>rred_mal</t>
  </si>
  <si>
    <t>rred_ftr</t>
  </si>
  <si>
    <t>Distn</t>
  </si>
  <si>
    <t>percent</t>
  </si>
  <si>
    <t>Additional inpatient day</t>
  </si>
  <si>
    <t>Quantity received</t>
  </si>
  <si>
    <t>Description</t>
  </si>
  <si>
    <t>Percent recipients who are pediatric</t>
  </si>
  <si>
    <t>format</t>
  </si>
  <si>
    <t>number</t>
  </si>
  <si>
    <t>integer</t>
  </si>
  <si>
    <t>dollar</t>
  </si>
  <si>
    <t>Medication</t>
  </si>
  <si>
    <t>Outpatient clinic visit</t>
  </si>
  <si>
    <t>Consultation and medication</t>
  </si>
  <si>
    <t>Diagnosis</t>
  </si>
  <si>
    <t>Treatment</t>
  </si>
  <si>
    <t>Liver function test</t>
  </si>
  <si>
    <t>International normalized ratio test</t>
  </si>
  <si>
    <t>Full blood count</t>
  </si>
  <si>
    <t>Blood urea nitrogen, creatinine, &amp; electrolytes</t>
  </si>
  <si>
    <t>Diagnosis &amp; treatment</t>
  </si>
  <si>
    <t>Alpha fetoprotein</t>
  </si>
  <si>
    <t>Extensive outpatient visit</t>
  </si>
  <si>
    <t>Abdominal ultrasonography</t>
  </si>
  <si>
    <t>Endoscopy with band ligation</t>
  </si>
  <si>
    <t>Spironolactone</t>
  </si>
  <si>
    <t>Furosemide</t>
  </si>
  <si>
    <t>Transarterial chemoembolization</t>
  </si>
  <si>
    <t>Triphasic CT scan</t>
  </si>
  <si>
    <t>Sorafenib (9-12 tablets)</t>
  </si>
  <si>
    <t>Ab screen and confirmation</t>
  </si>
  <si>
    <t>RNA test</t>
  </si>
  <si>
    <t>Antiviral medication</t>
  </si>
  <si>
    <t>HBsAg test</t>
  </si>
  <si>
    <t>HBV DNA test</t>
  </si>
  <si>
    <t>HBV profile test</t>
  </si>
  <si>
    <t>Components transfused in year</t>
  </si>
  <si>
    <t>Hepatocellular carcinoma</t>
  </si>
  <si>
    <t>No infection</t>
  </si>
  <si>
    <t>HBV-related death</t>
  </si>
  <si>
    <t>HCV-related death</t>
  </si>
  <si>
    <t>From_disp</t>
  </si>
  <si>
    <t>To_disp</t>
  </si>
  <si>
    <t>Disease_Category</t>
  </si>
  <si>
    <t>β</t>
  </si>
  <si>
    <t>System parameters</t>
  </si>
  <si>
    <t>Costs</t>
  </si>
  <si>
    <t>AIDS (pediatric)</t>
  </si>
  <si>
    <t>AIDS (adult)</t>
  </si>
  <si>
    <t>HIV-related death (pediatric)</t>
  </si>
  <si>
    <t>HIV-related death (adult)</t>
  </si>
  <si>
    <t>Microcosting calculation</t>
  </si>
  <si>
    <t>HBV acute subclinical</t>
  </si>
  <si>
    <t>HBV hepatocellular carcinoma</t>
  </si>
  <si>
    <t>HBV no infection</t>
  </si>
  <si>
    <t>HBV related death or other-cause death</t>
  </si>
  <si>
    <t>HCV acute subclinical</t>
  </si>
  <si>
    <t>HCV no infection</t>
  </si>
  <si>
    <t>HCV hepatocellular carcinoma</t>
  </si>
  <si>
    <t>HCV related death or other-cause death</t>
  </si>
  <si>
    <t>(cost × quantity) additional inpatient days +
(proportion × cost) medication</t>
  </si>
  <si>
    <t>(cost × quantity × proportion) additional inpatient days +
(cost × quantity × proportion) outpatient clinic visits +
(cost) diagnosis + 
(cost) medication</t>
  </si>
  <si>
    <t>(cost) medication and consult +
(cost × quantity × proportion) additional inpatient days</t>
  </si>
  <si>
    <t>(cost × proportion) diagnosis + 
(cost × proportion) medications</t>
  </si>
  <si>
    <t>(2 × cost) HBsAg test + 
(cost) HBV profile +
(cost) HBV DNA test +
(cost) extensive outpatient clinic visit +
(cost) brief outpatient clinic visit</t>
  </si>
  <si>
    <t>(cost) extensive outpatient clinic visit +
(cost) HBsAg test +
(cost) HBV profile +
(cost) HBV DNA test +
(cost) liver function test</t>
  </si>
  <si>
    <t>(cost) liver function test +
(cost) international normalized ratio test +
(2 × cost) HBV DNA test +
(cost) blood urea nitrogen, creatinine, &amp; electrolytes +
(cost) full blood count +
(2 × cost) alpha fetoprotein test +
(2 × cost) abdominal ultrasonography +
(cost × quantity) brief outpatient visit</t>
  </si>
  <si>
    <t>cost) extensive outpatient clinic visit +
(cost) HBsAg test +
(cost) HBV profile +
(cost) HBV DNA test +
(cost) liver function test +
(cost) HBV antivirals for non-cirrhotic patients</t>
  </si>
  <si>
    <t>(cost) liver function test +
(cost) HBV profile +
(cost) HBV DNA test +
(cost) blood urea nitrogen, creatinine, &amp; electrolytes +
(cost) full blood count +
(cost) alpha fetoprotein test +
(cost) abdominal ultrasonography +
(cost × quantity) brief outpatient visit +
(cost) HBV antivirals for non-cirrhotic patients</t>
  </si>
  <si>
    <t>(cost) liver function test +
(cost) international normalized ratio test +
(2 × cost) HBV DNA test +
(cost) blood urea nitrogen, creatinine, &amp; electrolytes +
(cost) full blood count +
(2 × cost) alpha fetoprotein test +
(2 × cost) abdominal ultrasonography +
(cost × quantity) brief outpatient visit +
(cost) HBV antivirals for patients with cirrhosis</t>
  </si>
  <si>
    <t>(cost) Ab screen and confirmation +
(2 × cost) HCV RNA test +
(cost) HCV genotyping +
(cost) liver function test +
(cost) Blood urea nitrogen, creatinine, &amp; electrolytes +
(cost × quantity) brief outpatient visit +
(cost) HCV antivirals</t>
  </si>
  <si>
    <t>(cost) liver function test +
(cost) Blood urea nitrogen, creatinine, &amp; electrolytes +
(cost) Full blood count +
(cost) alpha fetoprotein test +
(cost) abdominal ultrasonography +
(cost) HCV genotyping +
(2 × cost) HCV RNA test +
(cost × quantity) brief outpatient visit</t>
  </si>
  <si>
    <t>(cost) liver function test +
(cost) international normalized ratio test +
(cost) Blood urea nitrogen, creatinine, &amp; electrolytes +
(cost) Full blood count +
(2 × cost) alpha fetoprotein test +
(2 × cost) abdominal ultrasonography +
(cost) HCV genotyping +
(2 × cost) HCV RNA test +
(cost × quantity) brief outpatient visit</t>
  </si>
  <si>
    <t>(cost) liver function test +
(cost) international normalized ratio test +
(cost) Blood urea nitrogen, creatinine, &amp; electrolytes +
(cost) Full blood count +
(2 × cost) alpha fetoprotein test +
(2 × cost) abdominal ultrasonography +
(cost) HCV genotyping +
(3 × cost) HCV RNA test +
(2 × cost) endoscopy with band ligation +
(cost) spironolactone +
(cost) furosemide +
(cost × quantity) brief outpatient visit</t>
  </si>
  <si>
    <t>chronic_TF</t>
  </si>
  <si>
    <t>CC_TF</t>
  </si>
  <si>
    <t>CC_SC</t>
  </si>
  <si>
    <t>DCC_SC</t>
  </si>
  <si>
    <t>chronic_SC</t>
  </si>
  <si>
    <t>acute_SC</t>
  </si>
  <si>
    <t>DCC_TF</t>
  </si>
  <si>
    <t>Acute subclinical</t>
  </si>
  <si>
    <t>Immune tolerant subclinical</t>
  </si>
  <si>
    <t>acute_CM</t>
  </si>
  <si>
    <t>imm_tol_SC</t>
  </si>
  <si>
    <t>imm_tol_CM</t>
  </si>
  <si>
    <t>Immune reactive subclinical</t>
  </si>
  <si>
    <t>imm_react_SC</t>
  </si>
  <si>
    <t>Immune reactive on AVT</t>
  </si>
  <si>
    <t>carrier_SC</t>
  </si>
  <si>
    <t>Carrier subclinical</t>
  </si>
  <si>
    <t>Chronic HBeAG- subclinical</t>
  </si>
  <si>
    <t>Carrier clinically managed</t>
  </si>
  <si>
    <t>Chronic HBeAG- clinically managed</t>
  </si>
  <si>
    <t>carrier_CM</t>
  </si>
  <si>
    <t>chronic_CM</t>
  </si>
  <si>
    <t>Immune tolerant clinically managed</t>
  </si>
  <si>
    <t>Compensated cirrhosis subclinical</t>
  </si>
  <si>
    <t>Compensated cirrhosis on AVT</t>
  </si>
  <si>
    <t>Acute clinically managed</t>
  </si>
  <si>
    <t>Assumed</t>
  </si>
  <si>
    <t>Decompensated cirrhosis subclinical</t>
  </si>
  <si>
    <t>Chronic HBeAG- on AVT</t>
  </si>
  <si>
    <t>Decompensated cirrhosis on AVT</t>
  </si>
  <si>
    <t>Acute on AVT</t>
  </si>
  <si>
    <t>Chronic HCV subclinical</t>
  </si>
  <si>
    <t>Chronic HCV treatment failure</t>
  </si>
  <si>
    <t>No infection*</t>
  </si>
  <si>
    <t>Chronic HCV on AVT</t>
  </si>
  <si>
    <t>Decompensated cirrhosis treatment failure</t>
  </si>
  <si>
    <t>Compensated cirrhosis treatment failure</t>
  </si>
  <si>
    <t>NH</t>
  </si>
  <si>
    <t>TU</t>
  </si>
  <si>
    <t>TE</t>
  </si>
  <si>
    <t>HIV-related death</t>
  </si>
  <si>
    <r>
      <t>CD4</t>
    </r>
    <r>
      <rPr>
        <vertAlign val="superscript"/>
        <sz val="11"/>
        <color rgb="FF000000"/>
        <rFont val="Times New Roman"/>
        <family val="1"/>
      </rPr>
      <t>+</t>
    </r>
    <r>
      <rPr>
        <sz val="9.3000000000000007"/>
        <color rgb="FF000000"/>
        <rFont val="Times New Roman"/>
        <family val="1"/>
      </rPr>
      <t> cell count at treatment initiation (by year of ART initiation)</t>
    </r>
  </si>
  <si>
    <t>  ≤50 cells/μl</t>
  </si>
  <si>
    <t>  51–100 cells/μl</t>
  </si>
  <si>
    <t>  101–150 cells/μl</t>
  </si>
  <si>
    <t>  151–200 cells/μl</t>
  </si>
  <si>
    <t>Sum</t>
  </si>
  <si>
    <t>% of AIDS</t>
  </si>
  <si>
    <t>&lt;=50</t>
  </si>
  <si>
    <t>51-100</t>
  </si>
  <si>
    <t>101-150</t>
  </si>
  <si>
    <t>151-200</t>
  </si>
  <si>
    <t>CD4:</t>
  </si>
  <si>
    <t>-18 to -13</t>
  </si>
  <si>
    <t>-12 to -7</t>
  </si>
  <si>
    <t>% of AIDS patients</t>
  </si>
  <si>
    <t>1-year cost</t>
  </si>
  <si>
    <t>HBV acute clinically managed</t>
  </si>
  <si>
    <t>HBV immune tolerant clinically managed</t>
  </si>
  <si>
    <t>HBV immune tolerant subclinical</t>
  </si>
  <si>
    <t>HBV carrier subclinical</t>
  </si>
  <si>
    <t>HBV carrier clinically managed</t>
  </si>
  <si>
    <t>HBV immune reactive on AVT</t>
  </si>
  <si>
    <t>HCV acute with AVT</t>
  </si>
  <si>
    <t>HCV chronic with AVT</t>
  </si>
  <si>
    <t>HCV compensated cirrhosis with AVT</t>
  </si>
  <si>
    <t>HCV decompensated cirrhosis with AVT</t>
  </si>
  <si>
    <t>HBV immune reactive subclinical</t>
  </si>
  <si>
    <t>HBV chronic HBeAg- on AVT</t>
  </si>
  <si>
    <t>HBV chronic HBeAg- subclinical</t>
  </si>
  <si>
    <t>HBV compensated cirrhosis on AVT</t>
  </si>
  <si>
    <t>HBV compensated cirrhosis subclinical</t>
  </si>
  <si>
    <t>HBV decompensated cirrhosis on AVT</t>
  </si>
  <si>
    <t>HBV decompensated cirrhosis subclinical</t>
  </si>
  <si>
    <t>(cost) liver function test +
(cost) HBV profile +
(cost) HBV DNA test +
(cost) blood urea nitrogen, creatinine, &amp; electrolytes +
(cost) full blood count +
(cost) alpha fetoprotein test +
(cost) abdominal ultrasonography +
(cost × quantity) brief outpatient visit</t>
  </si>
  <si>
    <t>HBV chronic HBeAg- clinically managed</t>
  </si>
  <si>
    <t>HCV chronic subclinical</t>
  </si>
  <si>
    <t>HCV compensated cirrhosis subclinical</t>
  </si>
  <si>
    <t>HCV decompensated cirrhosis subclinical</t>
  </si>
  <si>
    <t>(cost) liver function test +
(cost) Blood urea nitrogen, creatinine, &amp; electrolytes +
(cost) Full blood count +
(cost) alpha fetoprotein test +
(cost) abdominal ultrasonography +
(cost) HCV genotyping +
(2 × cost) HCV RNA test +
(cost × quantity) brief outpatient visit
(cost) HCV antivirals</t>
  </si>
  <si>
    <t>(cost) liver function test +
(cost) international normalized ratio test +
(cost) Blood urea nitrogen, creatinine, &amp; electrolytes +
(cost) Full blood count +
(2 × cost) alpha fetoprotein test +
(2 × cost) abdominal ultrasonography +
(cost) HCV genotyping +
(2 × cost) HCV RNA test +
(cost × quantity) brief outpatient visit
(cost) HCV antivirals</t>
  </si>
  <si>
    <t>(cost) liver function test +
(cost) international normalized ratio test +
(cost) Blood urea nitrogen, creatinine, &amp; electrolytes +
(cost) Full blood count +
(2 × cost) alpha fetoprotein test +
(2 × cost) abdominal ultrasonography +
(cost) HCV genotyping +
(3 × cost) HCV RNA test +
(2 × cost) endoscopy with band ligation +
(cost) spironolactone +
(cost) furosemide +
(cost × quantity) brief outpatient visit
(cost) HCV antivirals</t>
  </si>
  <si>
    <t>HCV chronic treatment failure</t>
  </si>
  <si>
    <t>HCV compensated cirrhosis treatment failure</t>
  </si>
  <si>
    <t>HCV decompensated cirrhosis treatment failure</t>
  </si>
  <si>
    <t>OCM</t>
  </si>
  <si>
    <t>state_disp</t>
  </si>
  <si>
    <t>concat</t>
  </si>
  <si>
    <t>Other-cause death</t>
  </si>
  <si>
    <t>c_PI</t>
  </si>
  <si>
    <t>Brief outpatient visit</t>
  </si>
  <si>
    <t>Genotyping</t>
  </si>
  <si>
    <t>Mikkelsen 2017</t>
  </si>
  <si>
    <t>Estimated</t>
  </si>
  <si>
    <t>Mafirakureva 2016</t>
  </si>
  <si>
    <t>Morgan 2002</t>
  </si>
  <si>
    <t>WHO 2017</t>
  </si>
  <si>
    <t>Personal communication</t>
  </si>
  <si>
    <t>Jayaraman 2010</t>
  </si>
  <si>
    <t>Allain 2016</t>
  </si>
  <si>
    <t>Calculated</t>
  </si>
  <si>
    <t>WHO 2019</t>
  </si>
  <si>
    <t>Owusu-Ofori 2012</t>
  </si>
  <si>
    <t>Agapova 2015</t>
  </si>
  <si>
    <t>Owusu-Ofori 2011</t>
  </si>
  <si>
    <t>HIV_SC_1</t>
  </si>
  <si>
    <t>HIV_SC_2</t>
  </si>
  <si>
    <t>HIV_SC_3</t>
  </si>
  <si>
    <t>AIDS_SC</t>
  </si>
  <si>
    <t>AIDS_ART_1</t>
  </si>
  <si>
    <t>AIDS_ART_2</t>
  </si>
  <si>
    <t>hiv_cost_AIDS_SC</t>
  </si>
  <si>
    <t>AIDS care first year on AVT</t>
  </si>
  <si>
    <t>AVT for non-cirrhotic patients</t>
  </si>
  <si>
    <t>AVT with cirrhosis</t>
  </si>
  <si>
    <t>AVT for decompensated cirrhosis</t>
  </si>
  <si>
    <t>HIV care first year on AVT</t>
  </si>
  <si>
    <t>HIV care second year on AVT</t>
  </si>
  <si>
    <t>HIV care third year on AVT</t>
  </si>
  <si>
    <t>HIV care annual cost after third year on AVT</t>
  </si>
  <si>
    <t>Annual brief outpatient visits for chronic HBeAg-negative infection no AVT</t>
  </si>
  <si>
    <t>Annual brief outpatient visits for chronic HBeAg-negative infection with AVT</t>
  </si>
  <si>
    <t>Annual brief outpatient visits for compensated cirrhosis no AVT</t>
  </si>
  <si>
    <t>Annual brief outpatient visits for compensated cirrhosis with AVT</t>
  </si>
  <si>
    <t>Annual brief outpatient visits for decompensated cirrhosis no AVT</t>
  </si>
  <si>
    <t>Annual brief outpatient visits for decompensated cirrhosis with AVT</t>
  </si>
  <si>
    <t>Annual brief outpatient visits for acute infection with AVT</t>
  </si>
  <si>
    <t>Annual brief outpatient visits for chronic HCV without cirrhosis no AVT</t>
  </si>
  <si>
    <t>Annual brief outpatient visits with decompensated cirrhosis no AVT</t>
  </si>
  <si>
    <t>AIDS care second year on AVT</t>
  </si>
  <si>
    <t>hiv_cost_AIDS_ART_1</t>
  </si>
  <si>
    <t>hiv_cost_AIDS_ART_2</t>
  </si>
  <si>
    <t>HIV subclinical year 1</t>
  </si>
  <si>
    <t>HIV subclinical year 2</t>
  </si>
  <si>
    <t>HIV subclinical year 3+</t>
  </si>
  <si>
    <t>AIDS subclinical</t>
  </si>
  <si>
    <t>AIDS on ART year 1</t>
  </si>
  <si>
    <t>AIDS on ART year 2</t>
  </si>
  <si>
    <t>Subclinical AIDS</t>
  </si>
  <si>
    <t>Subclinical HIV year 1</t>
  </si>
  <si>
    <t>Subclinical HIV year 2</t>
  </si>
  <si>
    <t>Subclinical HIV year 3+</t>
  </si>
  <si>
    <t>Malaria transmissibility estimation</t>
  </si>
  <si>
    <t>Malaria species</t>
  </si>
  <si>
    <t>Donors</t>
  </si>
  <si>
    <t>Recipients</t>
  </si>
  <si>
    <t>% malaria + recipients</t>
  </si>
  <si>
    <t>P falciparum</t>
  </si>
  <si>
    <t>P malariae</t>
  </si>
  <si>
    <t>P ovale</t>
  </si>
  <si>
    <t>P falciparum and P malariae</t>
  </si>
  <si>
    <t>P falciparum, P malariae, and P ovale</t>
  </si>
  <si>
    <t>No malaria</t>
  </si>
  <si>
    <t>Probability donation has non-falciparum species given that it has malaria</t>
  </si>
  <si>
    <t>Probability donation has non-malariae species given that it has malaria</t>
  </si>
  <si>
    <t>Probability donation has non-ovale species given that it has malaria</t>
  </si>
  <si>
    <t xml:space="preserve"> Probability donation has neither P falciparum nor P malariae given that it has malaria</t>
  </si>
  <si>
    <t>Probability malaria transmissible species</t>
  </si>
  <si>
    <t>Quantity</t>
  </si>
  <si>
    <t>Adult recipient</t>
  </si>
  <si>
    <t>Child recipient</t>
  </si>
  <si>
    <t>Note</t>
  </si>
  <si>
    <t>Proportion of recipients</t>
  </si>
  <si>
    <t>Based on 2010 data from SOO's presentation. Of 16,264 units in 2010, ~2815 went to pediatrics. Bar height was estimated using WebPlotDigitizer</t>
  </si>
  <si>
    <t>Probability recipient parasitaemic</t>
  </si>
  <si>
    <t>50/217 from Allain et al 2016, which was only adult recipients. Set children to same as adults</t>
  </si>
  <si>
    <t>Transmissibility assuming non-parasitaemic</t>
  </si>
  <si>
    <t>8 out of 37 from Allain et al 2016 (95%CI 9.8% - 38.2%). Assuming transmissibility the same in childen (for now)</t>
  </si>
  <si>
    <t>Transmissibility parasitaemic</t>
  </si>
  <si>
    <t>Multiplying probability malaria is a transmissible species (calculated above from Allain 2016 data) by transmissibility among the non-parasitaemic</t>
  </si>
  <si>
    <t>Mean transmissibility in age group</t>
  </si>
  <si>
    <t>Overall mean transmissibility</t>
  </si>
  <si>
    <t>Confidence interval range</t>
  </si>
  <si>
    <t>0-4</t>
  </si>
  <si>
    <t>% vaccinated</t>
  </si>
  <si>
    <t>Clinical outcome risk</t>
  </si>
  <si>
    <t>WHO/UNICEF 2020</t>
  </si>
  <si>
    <t>United Nations</t>
  </si>
  <si>
    <t>Population Division</t>
  </si>
  <si>
    <t>Department of Economic and Social Affairs</t>
  </si>
  <si>
    <t>World Population Prospects 2019</t>
  </si>
  <si>
    <t>File POP/8-1: Total population (both sexes combined) by broad age group, region, subregion and country, 1950-2100 (thousands)</t>
  </si>
  <si>
    <t>Estimates, 1950 - 2020</t>
  </si>
  <si>
    <t>POP/DB/WPP/Rev.2019/POP/F08-1</t>
  </si>
  <si>
    <t>© August 2019 by United Nations, made available under a Creative Commons license CC BY 3.0 IGO: http://creativecommons.org/licenses/by/3.0/igo/</t>
  </si>
  <si>
    <t>Suggested citation: United Nations, Department of Economic and Social Affairs, Population Division (2019). World Population Prospects 2019, Online Edition. Rev. 1.</t>
  </si>
  <si>
    <t>Total population, both sexes combined, by broad age group (thousands)</t>
  </si>
  <si>
    <t>Index</t>
  </si>
  <si>
    <t>Variant</t>
  </si>
  <si>
    <t>Region, subregion, country or area *</t>
  </si>
  <si>
    <t>Notes</t>
  </si>
  <si>
    <t>Country code</t>
  </si>
  <si>
    <t>Type</t>
  </si>
  <si>
    <t>Parent code</t>
  </si>
  <si>
    <t>Reference date (as of 1 July)</t>
  </si>
  <si>
    <t>Total</t>
  </si>
  <si>
    <t>0-1</t>
  </si>
  <si>
    <t>0-14</t>
  </si>
  <si>
    <t>0-17</t>
  </si>
  <si>
    <t>0-19</t>
  </si>
  <si>
    <t>0-24</t>
  </si>
  <si>
    <t>3-4</t>
  </si>
  <si>
    <t>3-5</t>
  </si>
  <si>
    <t>3-6</t>
  </si>
  <si>
    <t>4-5</t>
  </si>
  <si>
    <t>4-6</t>
  </si>
  <si>
    <t>5-10</t>
  </si>
  <si>
    <t>5-11</t>
  </si>
  <si>
    <t>5-14</t>
  </si>
  <si>
    <t>6-9</t>
  </si>
  <si>
    <t>6-10</t>
  </si>
  <si>
    <t>6-11</t>
  </si>
  <si>
    <t>6-12</t>
  </si>
  <si>
    <t>7-10</t>
  </si>
  <si>
    <t>7-12</t>
  </si>
  <si>
    <t>11-16</t>
  </si>
  <si>
    <t>11-17</t>
  </si>
  <si>
    <t>11-18</t>
  </si>
  <si>
    <t>12-14</t>
  </si>
  <si>
    <t>12-16</t>
  </si>
  <si>
    <t>12-17</t>
  </si>
  <si>
    <t>12-18</t>
  </si>
  <si>
    <t>13-17</t>
  </si>
  <si>
    <t>13-18</t>
  </si>
  <si>
    <t>13-19</t>
  </si>
  <si>
    <t>15+</t>
  </si>
  <si>
    <t>15-17</t>
  </si>
  <si>
    <t>15-24</t>
  </si>
  <si>
    <t>15-49</t>
  </si>
  <si>
    <t>15-59</t>
  </si>
  <si>
    <t>15-64</t>
  </si>
  <si>
    <t>16+</t>
  </si>
  <si>
    <t>17+</t>
  </si>
  <si>
    <t>18+</t>
  </si>
  <si>
    <t>18-23</t>
  </si>
  <si>
    <t>20+</t>
  </si>
  <si>
    <t>20-64</t>
  </si>
  <si>
    <t>20-69</t>
  </si>
  <si>
    <t>21+</t>
  </si>
  <si>
    <t>25+</t>
  </si>
  <si>
    <t>25-49</t>
  </si>
  <si>
    <t>25-64</t>
  </si>
  <si>
    <t>25-69</t>
  </si>
  <si>
    <t>50+</t>
  </si>
  <si>
    <t>60+</t>
  </si>
  <si>
    <t>65+</t>
  </si>
  <si>
    <t>70+</t>
  </si>
  <si>
    <t>75+</t>
  </si>
  <si>
    <t>80+</t>
  </si>
  <si>
    <t>85+</t>
  </si>
  <si>
    <t>90+</t>
  </si>
  <si>
    <t>Estimates</t>
  </si>
  <si>
    <t>Ghana</t>
  </si>
  <si>
    <t>Country/Area</t>
  </si>
  <si>
    <t>Total population</t>
  </si>
  <si>
    <t>% under 24</t>
  </si>
  <si>
    <t>Vaccine rate for under 24</t>
  </si>
  <si>
    <t>Population under 25</t>
  </si>
  <si>
    <t>% with clinical outcome risk</t>
  </si>
  <si>
    <t>From:</t>
  </si>
  <si>
    <t>https://www.who.int/immunization/monitoring_surveillance/data/gha.pdf</t>
  </si>
  <si>
    <t>Fraser 2016</t>
  </si>
  <si>
    <t>Weighted annual aids cost not on ART</t>
  </si>
  <si>
    <t>Cost for subclinical AIDS</t>
  </si>
  <si>
    <t>Costs while on AVT by year from initiation</t>
  </si>
  <si>
    <t>Cost for ART initiation by year</t>
  </si>
  <si>
    <t>Cost of Baseline Laboratory investigations (Cedis)</t>
  </si>
  <si>
    <t xml:space="preserve">Cost of lab Investigations (BU and E, CBC) for minimum of 4 follow-up visits during the first year in (Cedis) </t>
  </si>
  <si>
    <t xml:space="preserve">Additional investigations and treatment </t>
  </si>
  <si>
    <t>Usually none</t>
  </si>
  <si>
    <t>Symptomatic HIV (Not AIDS)</t>
  </si>
  <si>
    <t>Patients characteristics</t>
  </si>
  <si>
    <t>HIV Asymptomatic Including Asymptomatic AIDS diagnosed by CD4 count</t>
  </si>
  <si>
    <t>LFTs, antibiotics, antifungals etc. 250-550</t>
  </si>
  <si>
    <t>LFTs, biopsy, Imaging, Antibiotics, Antifungals, Antivirals etc.  1500-3000</t>
  </si>
  <si>
    <t>AVT first year (USD, from Mikkelson)</t>
  </si>
  <si>
    <t>Total, low (excl. ART) in Cedi</t>
  </si>
  <si>
    <t>Total, high (excl. ART) in Cedi</t>
  </si>
  <si>
    <t>Cedi to USD</t>
  </si>
  <si>
    <t>Estimates for first year from Dr. Norman:</t>
  </si>
  <si>
    <t>AIDS first year:</t>
  </si>
  <si>
    <t>AIDS second year</t>
  </si>
  <si>
    <t>About second year costs:</t>
  </si>
  <si>
    <t>In terms of ART the cost remains the same for all patients irrespective of stage of the infection cos we use the same drugs and it doesn't change over the years except there is treatment failure. </t>
  </si>
  <si>
    <t>What may vary the cost will be the need to treat confections and other diseases that developed due to immunosuppression and associated  investigations. </t>
  </si>
  <si>
    <r>
      <t xml:space="preserve">It is expected that the cost would be much less than the year one  </t>
    </r>
    <r>
      <rPr>
        <b/>
        <sz val="11"/>
        <color theme="1"/>
        <rFont val="Calibri"/>
        <family val="2"/>
        <scheme val="minor"/>
      </rPr>
      <t>about a third of the cost of additional investigations a d treatment for year one</t>
    </r>
  </si>
  <si>
    <t>Baseline laboratory investigations</t>
  </si>
  <si>
    <t>Year 1 on ART from AIDS costs ($US)</t>
  </si>
  <si>
    <t>Follow-up labs</t>
  </si>
  <si>
    <t>Additional investigations and treatments</t>
  </si>
  <si>
    <t>ART</t>
  </si>
  <si>
    <t>Total:</t>
  </si>
  <si>
    <t>Year 2 on ART from AIDS costs ($US)</t>
  </si>
  <si>
    <t>from vanhulst 2008</t>
  </si>
  <si>
    <t>Age category</t>
  </si>
  <si>
    <t>&lt;2</t>
  </si>
  <si>
    <t>&gt;=12</t>
  </si>
  <si>
    <t>2-12</t>
  </si>
  <si>
    <t>% units transfused (unnormalized)</t>
  </si>
  <si>
    <t>% units transfused (normalized)</t>
  </si>
  <si>
    <t>IP Mort</t>
  </si>
  <si>
    <t>Ped cohort</t>
  </si>
  <si>
    <t>Adult cohort</t>
  </si>
  <si>
    <t>van Hulst 2008</t>
  </si>
  <si>
    <t>p_acute_c_mort</t>
  </si>
  <si>
    <t>p_IPmort</t>
  </si>
  <si>
    <t>Probability of post-hospitalization sequelae</t>
  </si>
  <si>
    <t>Duration post-hospitalization sequelae (days)</t>
  </si>
  <si>
    <t>Sepsis DALY calculation parameters</t>
  </si>
  <si>
    <t>FNHTR DALY calculation parameters</t>
  </si>
  <si>
    <t>Syphilis DALY calculation parameters</t>
  </si>
  <si>
    <t>HIV disability weights</t>
  </si>
  <si>
    <t>Inpatient disability weight</t>
  </si>
  <si>
    <t>HCV disability weights</t>
  </si>
  <si>
    <t>HBV disability weights</t>
  </si>
  <si>
    <t>HIV subclinical 1st year</t>
  </si>
  <si>
    <t>HIV subclinical 2nd year</t>
  </si>
  <si>
    <t>HIV subclinical 3+ years</t>
  </si>
  <si>
    <t>Malaria DALY calculation parameters</t>
  </si>
  <si>
    <t>Disability weight</t>
  </si>
  <si>
    <t>Disability duration (days)</t>
  </si>
  <si>
    <t>sep_dw_ip</t>
  </si>
  <si>
    <t>sep_p_death</t>
  </si>
  <si>
    <t>sep_p_sequelae</t>
  </si>
  <si>
    <t>sep_dw_sequelae</t>
  </si>
  <si>
    <t>sep_dur_sequelae</t>
  </si>
  <si>
    <t>syp_dw_yr1</t>
  </si>
  <si>
    <t>mal_dw</t>
  </si>
  <si>
    <t>mal_dur_dw</t>
  </si>
  <si>
    <t>Probability of mortality due to sepsis</t>
  </si>
  <si>
    <t>Disability weight for post-hospitalization sequelae</t>
  </si>
  <si>
    <t>Inpatient mortality (no adverse event)</t>
  </si>
  <si>
    <t>Probability or proportion receiving</t>
  </si>
  <si>
    <t>ftr_dw</t>
  </si>
  <si>
    <t>ftr_dur_dw</t>
  </si>
  <si>
    <t>hcv</t>
  </si>
  <si>
    <t>hbv</t>
  </si>
  <si>
    <t>hiv</t>
  </si>
  <si>
    <t>acute</t>
  </si>
  <si>
    <t>rname_long</t>
  </si>
  <si>
    <t>hcv_acute_SC</t>
  </si>
  <si>
    <t>hcv_no_infection</t>
  </si>
  <si>
    <t>hcv_acute_T</t>
  </si>
  <si>
    <t>hcv_chronic_SC</t>
  </si>
  <si>
    <t>hcv_chronic_T</t>
  </si>
  <si>
    <t>hcv_chronic_TF</t>
  </si>
  <si>
    <t>hcv_CC_SC</t>
  </si>
  <si>
    <t>hcv_CC_T</t>
  </si>
  <si>
    <t>hcv_CC_TF</t>
  </si>
  <si>
    <t>hcv_DCC_SC</t>
  </si>
  <si>
    <t>hcv_DCC_T</t>
  </si>
  <si>
    <t>hcv_DCC_TF</t>
  </si>
  <si>
    <t>hcv_HCC</t>
  </si>
  <si>
    <t>hiv_AIDS_SC</t>
  </si>
  <si>
    <t>hiv_HIV_SC_1</t>
  </si>
  <si>
    <t>hiv_HIV_SC_2</t>
  </si>
  <si>
    <t>hiv_HIV_SC_3</t>
  </si>
  <si>
    <t>hiv_ART_1</t>
  </si>
  <si>
    <t>hiv_ART_2</t>
  </si>
  <si>
    <t>hiv_ART_3</t>
  </si>
  <si>
    <t>hiv_ART_4</t>
  </si>
  <si>
    <t>hiv_AIDS_ART_1</t>
  </si>
  <si>
    <t>hiv_AIDS_ART_2</t>
  </si>
  <si>
    <t>Average of Disability weight</t>
  </si>
  <si>
    <t>Row Labels</t>
  </si>
  <si>
    <t>Grand Total</t>
  </si>
  <si>
    <t>Average of LB</t>
  </si>
  <si>
    <t>Average of UB</t>
  </si>
  <si>
    <t>FNHTR (7-30d)</t>
  </si>
  <si>
    <t>Malaria (7-20d)</t>
  </si>
  <si>
    <t>Acute</t>
  </si>
  <si>
    <t>Sepsis inpatient</t>
  </si>
  <si>
    <t>Syphilis 1-year disability</t>
  </si>
  <si>
    <t>Sepsis sequelae (20-60d)</t>
  </si>
  <si>
    <t>AIDS undetected</t>
  </si>
  <si>
    <t>HIV undetected year 1</t>
  </si>
  <si>
    <t>HIV undetected year 2</t>
  </si>
  <si>
    <t>HIV undetected year 3+</t>
  </si>
  <si>
    <t>AIDS_RD</t>
  </si>
  <si>
    <t>hiv_AIDS_RD</t>
  </si>
  <si>
    <t>AIDS care undetected</t>
  </si>
  <si>
    <t>hiv_cost_RD</t>
  </si>
  <si>
    <t>AVT year 1</t>
  </si>
  <si>
    <t>AIDS on AVT year 1</t>
  </si>
  <si>
    <t>AVT year 2</t>
  </si>
  <si>
    <t>AVT year 3</t>
  </si>
  <si>
    <t>AVT year 4+</t>
  </si>
  <si>
    <t>AIDS on AVT year 2</t>
  </si>
  <si>
    <t>Residual disability on AVT</t>
  </si>
  <si>
    <t>Residual disability from AIDS on AVT</t>
  </si>
  <si>
    <t>Second year on AVT with AIDS</t>
  </si>
  <si>
    <t>AVT initiation with AIDS</t>
  </si>
  <si>
    <t>(cost) AVT costs (year 1) + 
(cost) treatment of AIDS-related illness</t>
  </si>
  <si>
    <t>(cost) AVT costs (year 2) + 
(cost) treatment of AIDS-related illness</t>
  </si>
  <si>
    <t>(cost) AVT costs (year 4+) + 
(cost) treatment of residual disability</t>
  </si>
  <si>
    <t>Probability of mortality in pediatric cohort</t>
  </si>
  <si>
    <t>syp_dw</t>
  </si>
  <si>
    <t>syp_dur_dw</t>
  </si>
  <si>
    <t>mal_peds_p_death</t>
  </si>
  <si>
    <t>Custer 2010</t>
  </si>
  <si>
    <t>Lewis 2019</t>
  </si>
  <si>
    <t>GBD 2013</t>
  </si>
  <si>
    <t>%</t>
  </si>
  <si>
    <t>Boye 2016</t>
  </si>
  <si>
    <t>Opuku-Okrah 2009</t>
  </si>
  <si>
    <t>Adjeu 2009</t>
  </si>
  <si>
    <t>Allotey 2019</t>
  </si>
  <si>
    <t xml:space="preserve">Positive </t>
  </si>
  <si>
    <t>Tot</t>
  </si>
  <si>
    <t>Bacteria contamination</t>
  </si>
  <si>
    <t>Beta(86, 483)</t>
  </si>
  <si>
    <t>Pooled analysis</t>
  </si>
  <si>
    <t>Fold reduction of WBPI</t>
  </si>
  <si>
    <t>Cost of WBPI per treatment (in $)</t>
  </si>
  <si>
    <t>Dist</t>
  </si>
  <si>
    <t>Pooled</t>
  </si>
  <si>
    <t>Study</t>
  </si>
  <si>
    <t>Sepsis (bacterial contamination)</t>
  </si>
  <si>
    <t>Mafirakureva 2015</t>
  </si>
  <si>
    <t>Estimated rate of symptomatic outcome risk:</t>
  </si>
  <si>
    <t>Neither</t>
  </si>
  <si>
    <t>Possible case</t>
  </si>
  <si>
    <t>Probable case</t>
  </si>
  <si>
    <t>Probability unit cause clinical illness</t>
  </si>
  <si>
    <t>Number of units</t>
  </si>
  <si>
    <t>Classification</t>
  </si>
  <si>
    <t>Stanaway 2016</t>
  </si>
  <si>
    <t>Stanaway 2016, Fraser 2016</t>
  </si>
  <si>
    <t>Acute adverse event costs incurred if inpatient mortality</t>
  </si>
  <si>
    <t>(cost) liver function test +
(cost) international normalized ratio test +
(cost) Full blood count +
(cost) alpha fetoprotein test +
(cost) triphasic CT scan +
(cost) endoscopy with band ligation +
(cost) sorafenib +
(cost) transarterial chemoembolization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</si>
</sst>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8" formatCode="&quot;$&quot;#,##0.00_);[Red]\(&quot;$&quot;#,##0.00\)"/>
    <numFmt numFmtId="44" formatCode="_(&quot;$&quot;* #,##0.00_);_(&quot;$&quot;* \(#,##0.00\);_(&quot;$&quot;* &quot;-&quot;??_);_(@_)"/>
    <numFmt numFmtId="43" formatCode="_(* #,##0.00_);_(* \(#,##0.00\);_(* &quot;-&quot;??_);_(@_)"/>
    <numFmt numFmtId="164" formatCode="&quot;$&quot;#,##0.00"/>
    <numFmt numFmtId="165" formatCode="0.0000"/>
    <numFmt numFmtId="166" formatCode="0.000"/>
    <numFmt numFmtId="167" formatCode="_(&quot;$&quot;* #,##0_);_(&quot;$&quot;* \(#,##0\);_(&quot;$&quot;* &quot;-&quot;??_);_(@_)"/>
    <numFmt numFmtId="168" formatCode="0.0%"/>
    <numFmt numFmtId="169" formatCode="#\ ###\ ###\ ##0;\-#\ ###\ ###\ ##0;0"/>
  </numFmts>
  <fonts count="3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2"/>
      <color theme="1"/>
      <name val="Calibri"/>
      <family val="2"/>
      <scheme val="minor"/>
    </font>
    <font>
      <sz val="9"/>
      <color rgb="FF000000"/>
      <name val="Arial"/>
      <family val="2"/>
    </font>
    <font>
      <b/>
      <sz val="9"/>
      <color rgb="FF000000"/>
      <name val="Arial"/>
      <family val="2"/>
    </font>
    <font>
      <sz val="9"/>
      <color theme="1"/>
      <name val="Arial"/>
      <family val="2"/>
    </font>
    <font>
      <sz val="9.3000000000000007"/>
      <color rgb="FF000000"/>
      <name val="Times New Roman"/>
      <family val="1"/>
    </font>
    <font>
      <vertAlign val="superscript"/>
      <sz val="11"/>
      <color rgb="FF000000"/>
      <name val="Times New Roman"/>
      <family val="1"/>
    </font>
    <font>
      <sz val="8"/>
      <color theme="1"/>
      <name val="Calibri"/>
      <family val="2"/>
      <scheme val="minor"/>
    </font>
    <font>
      <b/>
      <sz val="9"/>
      <color theme="1"/>
      <name val="Arial"/>
      <family val="2"/>
    </font>
    <font>
      <b/>
      <sz val="12"/>
      <color theme="1"/>
      <name val="Arial"/>
      <family val="2"/>
    </font>
    <font>
      <b/>
      <sz val="10"/>
      <color theme="1"/>
      <name val="Arial"/>
      <family val="2"/>
    </font>
    <font>
      <b/>
      <i/>
      <sz val="10"/>
      <color theme="1"/>
      <name val="Arial"/>
      <family val="2"/>
    </font>
    <font>
      <i/>
      <sz val="8"/>
      <color theme="1"/>
      <name val="Arial"/>
      <family val="2"/>
    </font>
    <font>
      <sz val="12"/>
      <color theme="1"/>
      <name val="Calibri"/>
      <family val="2"/>
      <scheme val="minor"/>
    </font>
    <font>
      <b/>
      <u/>
      <sz val="14"/>
      <color theme="1"/>
      <name val="Calibri"/>
      <family val="2"/>
      <scheme val="minor"/>
    </font>
    <font>
      <sz val="14"/>
      <color theme="1"/>
      <name val="Calibri"/>
      <family val="2"/>
      <scheme val="minor"/>
    </font>
    <font>
      <b/>
      <u/>
      <sz val="11"/>
      <color theme="1"/>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7" tint="0.79998168889431442"/>
        <bgColor indexed="64"/>
      </patternFill>
    </fill>
    <fill>
      <patternFill patternType="solid">
        <fgColor rgb="FFF2F2F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FFCF0"/>
        <bgColor indexed="64"/>
      </patternFill>
    </fill>
    <fill>
      <patternFill patternType="solid">
        <fgColor indexed="41"/>
        <bgColor indexed="64"/>
      </patternFill>
    </fill>
    <fill>
      <patternFill patternType="solid">
        <fgColor indexed="44"/>
        <bgColor indexed="64"/>
      </patternFill>
    </fill>
    <fill>
      <patternFill patternType="solid">
        <fgColor theme="5" tint="0.79998168889431442"/>
        <bgColor indexed="64"/>
      </patternFill>
    </fill>
  </fills>
  <borders count="4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bottom/>
      <diagonal/>
    </border>
    <border>
      <left/>
      <right/>
      <top style="medium">
        <color rgb="FF000000"/>
      </top>
      <bottom/>
      <diagonal/>
    </border>
    <border>
      <left/>
      <right/>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25" fillId="0" borderId="0"/>
  </cellStyleXfs>
  <cellXfs count="177">
    <xf numFmtId="0" fontId="0" fillId="0" borderId="0" xfId="0"/>
    <xf numFmtId="164" fontId="0" fillId="0" borderId="0" xfId="0" applyNumberFormat="1"/>
    <xf numFmtId="0" fontId="16" fillId="0" borderId="0" xfId="0" applyFont="1"/>
    <xf numFmtId="0" fontId="0" fillId="0" borderId="0" xfId="0" applyAlignment="1">
      <alignment horizontal="center"/>
    </xf>
    <xf numFmtId="0" fontId="0" fillId="0" borderId="10" xfId="0" applyBorder="1"/>
    <xf numFmtId="0" fontId="0" fillId="33" borderId="10" xfId="0" applyFill="1" applyBorder="1"/>
    <xf numFmtId="0" fontId="0" fillId="33" borderId="10" xfId="0" applyFill="1" applyBorder="1" applyAlignment="1">
      <alignment horizontal="center"/>
    </xf>
    <xf numFmtId="0" fontId="0" fillId="0" borderId="10" xfId="0" applyBorder="1" applyAlignment="1">
      <alignment horizontal="center"/>
    </xf>
    <xf numFmtId="0" fontId="0" fillId="34" borderId="10" xfId="0" applyFill="1" applyBorder="1"/>
    <xf numFmtId="6" fontId="0" fillId="0" borderId="0" xfId="0" applyNumberFormat="1"/>
    <xf numFmtId="8" fontId="0" fillId="0" borderId="0" xfId="0" applyNumberFormat="1"/>
    <xf numFmtId="164" fontId="21" fillId="0" borderId="15" xfId="42" applyNumberFormat="1" applyFont="1" applyBorder="1" applyAlignment="1">
      <alignment horizontal="center" vertical="center"/>
    </xf>
    <xf numFmtId="164" fontId="20" fillId="0" borderId="0" xfId="42" applyNumberFormat="1" applyFont="1" applyBorder="1" applyAlignment="1">
      <alignment horizontal="center" vertical="center"/>
    </xf>
    <xf numFmtId="9" fontId="20" fillId="0" borderId="0" xfId="43" applyFont="1" applyBorder="1" applyAlignment="1">
      <alignment horizontal="center" vertical="center"/>
    </xf>
    <xf numFmtId="164" fontId="21" fillId="0" borderId="0" xfId="42" applyNumberFormat="1" applyFont="1" applyBorder="1" applyAlignment="1">
      <alignment horizontal="center" vertical="center"/>
    </xf>
    <xf numFmtId="0" fontId="21" fillId="35" borderId="19" xfId="0" applyFont="1" applyFill="1" applyBorder="1" applyAlignment="1">
      <alignment vertical="center"/>
    </xf>
    <xf numFmtId="164" fontId="20" fillId="0" borderId="14" xfId="42" applyNumberFormat="1" applyFont="1" applyBorder="1" applyAlignment="1">
      <alignment horizontal="left" vertical="center" indent="2"/>
    </xf>
    <xf numFmtId="164" fontId="20" fillId="0" borderId="21" xfId="42" applyNumberFormat="1" applyFont="1" applyBorder="1" applyAlignment="1">
      <alignment horizontal="center" vertical="center"/>
    </xf>
    <xf numFmtId="9" fontId="20" fillId="0" borderId="21" xfId="43" applyFont="1" applyBorder="1" applyAlignment="1">
      <alignment horizontal="center" vertical="center"/>
    </xf>
    <xf numFmtId="164" fontId="21" fillId="0" borderId="14" xfId="42" applyNumberFormat="1" applyFont="1" applyBorder="1" applyAlignment="1">
      <alignment horizontal="left" vertical="center" indent="2"/>
    </xf>
    <xf numFmtId="164" fontId="21" fillId="0" borderId="21" xfId="42" applyNumberFormat="1" applyFont="1" applyBorder="1" applyAlignment="1">
      <alignment horizontal="center" vertical="center"/>
    </xf>
    <xf numFmtId="164" fontId="21" fillId="0" borderId="17" xfId="42" applyNumberFormat="1" applyFont="1" applyBorder="1" applyAlignment="1">
      <alignment horizontal="left" vertical="center" indent="2"/>
    </xf>
    <xf numFmtId="164" fontId="21" fillId="0" borderId="18" xfId="42" applyNumberFormat="1" applyFont="1" applyBorder="1" applyAlignment="1">
      <alignment horizontal="center" vertical="center"/>
    </xf>
    <xf numFmtId="0" fontId="0" fillId="0" borderId="10" xfId="0" applyFill="1" applyBorder="1"/>
    <xf numFmtId="0" fontId="0" fillId="0" borderId="0" xfId="0" applyFill="1"/>
    <xf numFmtId="164" fontId="21" fillId="0" borderId="14" xfId="42" applyNumberFormat="1" applyFont="1" applyBorder="1" applyAlignment="1">
      <alignment vertical="center"/>
    </xf>
    <xf numFmtId="2" fontId="0" fillId="0" borderId="0" xfId="0" applyNumberFormat="1"/>
    <xf numFmtId="0" fontId="0" fillId="0" borderId="0" xfId="0" applyNumberFormat="1"/>
    <xf numFmtId="165" fontId="0" fillId="0" borderId="0" xfId="0" applyNumberFormat="1"/>
    <xf numFmtId="166" fontId="0" fillId="0" borderId="0" xfId="0" applyNumberFormat="1"/>
    <xf numFmtId="43" fontId="0" fillId="0" borderId="0" xfId="44" applyFont="1"/>
    <xf numFmtId="2" fontId="0" fillId="0" borderId="0" xfId="0" applyNumberFormat="1" applyFill="1"/>
    <xf numFmtId="166" fontId="0" fillId="0" borderId="0" xfId="0" applyNumberFormat="1" applyFill="1"/>
    <xf numFmtId="0" fontId="20" fillId="0" borderId="0" xfId="42" applyNumberFormat="1" applyFont="1" applyBorder="1" applyAlignment="1">
      <alignment horizontal="center" vertical="center"/>
    </xf>
    <xf numFmtId="0" fontId="20" fillId="0" borderId="21" xfId="42" applyNumberFormat="1" applyFont="1" applyBorder="1" applyAlignment="1">
      <alignment horizontal="center" vertical="center"/>
    </xf>
    <xf numFmtId="8" fontId="20" fillId="0" borderId="0" xfId="42" applyNumberFormat="1" applyFont="1" applyBorder="1" applyAlignment="1">
      <alignment horizontal="center" vertical="center"/>
    </xf>
    <xf numFmtId="8" fontId="20" fillId="0" borderId="21" xfId="42" applyNumberFormat="1" applyFont="1" applyBorder="1" applyAlignment="1">
      <alignment horizontal="center" vertical="center"/>
    </xf>
    <xf numFmtId="164" fontId="0" fillId="0" borderId="0" xfId="42" applyNumberFormat="1" applyFont="1"/>
    <xf numFmtId="0" fontId="16" fillId="33" borderId="10" xfId="0" applyFont="1" applyFill="1" applyBorder="1"/>
    <xf numFmtId="0" fontId="21" fillId="35" borderId="17" xfId="0" applyFont="1" applyFill="1" applyBorder="1" applyAlignment="1">
      <alignment vertical="center"/>
    </xf>
    <xf numFmtId="2" fontId="0" fillId="0" borderId="10" xfId="0" applyNumberFormat="1" applyBorder="1"/>
    <xf numFmtId="0" fontId="0" fillId="0" borderId="10" xfId="0" applyBorder="1" applyAlignment="1">
      <alignment wrapText="1"/>
    </xf>
    <xf numFmtId="6" fontId="0" fillId="0" borderId="10" xfId="0" applyNumberFormat="1" applyBorder="1"/>
    <xf numFmtId="0" fontId="16" fillId="0" borderId="10" xfId="0" applyFont="1" applyBorder="1"/>
    <xf numFmtId="0" fontId="0" fillId="36" borderId="10" xfId="0" applyFill="1" applyBorder="1"/>
    <xf numFmtId="0" fontId="0" fillId="37" borderId="10" xfId="0" applyFill="1" applyBorder="1"/>
    <xf numFmtId="0" fontId="16" fillId="0" borderId="0" xfId="0" applyFont="1" applyFill="1" applyBorder="1"/>
    <xf numFmtId="0" fontId="0" fillId="0" borderId="0" xfId="0" applyAlignment="1">
      <alignment vertical="top"/>
    </xf>
    <xf numFmtId="0" fontId="0" fillId="0" borderId="10" xfId="0" applyFont="1" applyFill="1" applyBorder="1"/>
    <xf numFmtId="0" fontId="0" fillId="0" borderId="0" xfId="0" applyFont="1" applyFill="1"/>
    <xf numFmtId="0" fontId="0" fillId="38" borderId="10" xfId="0" applyFill="1" applyBorder="1"/>
    <xf numFmtId="0" fontId="0" fillId="39" borderId="10" xfId="0" applyFill="1" applyBorder="1" applyAlignment="1">
      <alignment horizontal="center"/>
    </xf>
    <xf numFmtId="0" fontId="0" fillId="40" borderId="10" xfId="0" applyFill="1" applyBorder="1" applyAlignment="1">
      <alignment horizontal="center"/>
    </xf>
    <xf numFmtId="0" fontId="0" fillId="41" borderId="10" xfId="0" applyFill="1" applyBorder="1" applyAlignment="1">
      <alignment horizontal="center"/>
    </xf>
    <xf numFmtId="0" fontId="0" fillId="42" borderId="10" xfId="0" applyFill="1" applyBorder="1" applyAlignment="1">
      <alignment horizontal="center"/>
    </xf>
    <xf numFmtId="0" fontId="14" fillId="38" borderId="10" xfId="0" applyFont="1" applyFill="1" applyBorder="1"/>
    <xf numFmtId="0" fontId="23" fillId="43" borderId="0" xfId="0" applyFont="1" applyFill="1" applyAlignment="1">
      <alignment vertical="top" wrapText="1"/>
    </xf>
    <xf numFmtId="0" fontId="23" fillId="43" borderId="22" xfId="0" applyFont="1" applyFill="1" applyBorder="1" applyAlignment="1">
      <alignment vertical="top" wrapText="1"/>
    </xf>
    <xf numFmtId="0" fontId="23" fillId="43" borderId="23" xfId="0" applyFont="1" applyFill="1" applyBorder="1" applyAlignment="1">
      <alignment vertical="top" wrapText="1"/>
    </xf>
    <xf numFmtId="9" fontId="0" fillId="0" borderId="0" xfId="43" applyFont="1"/>
    <xf numFmtId="0" fontId="0" fillId="0" borderId="0" xfId="0" quotePrefix="1"/>
    <xf numFmtId="167" fontId="0" fillId="0" borderId="0" xfId="42" applyNumberFormat="1" applyFont="1"/>
    <xf numFmtId="44" fontId="0" fillId="0" borderId="0" xfId="42" applyNumberFormat="1" applyFont="1"/>
    <xf numFmtId="0" fontId="16" fillId="0" borderId="10" xfId="0" applyFont="1" applyBorder="1" applyAlignment="1">
      <alignment vertical="center" wrapText="1"/>
    </xf>
    <xf numFmtId="0" fontId="0" fillId="0" borderId="10" xfId="0" applyBorder="1" applyAlignment="1">
      <alignment vertical="center" wrapText="1"/>
    </xf>
    <xf numFmtId="0" fontId="0" fillId="34" borderId="10" xfId="0" applyFont="1" applyFill="1" applyBorder="1"/>
    <xf numFmtId="9" fontId="0" fillId="0" borderId="10" xfId="43" applyFont="1" applyBorder="1"/>
    <xf numFmtId="10" fontId="0" fillId="0" borderId="10" xfId="43" applyNumberFormat="1" applyFont="1" applyBorder="1"/>
    <xf numFmtId="0" fontId="16" fillId="0" borderId="10" xfId="0" applyFont="1" applyBorder="1" applyAlignment="1">
      <alignment wrapText="1"/>
    </xf>
    <xf numFmtId="10" fontId="0" fillId="0" borderId="10" xfId="0" applyNumberFormat="1" applyBorder="1"/>
    <xf numFmtId="0" fontId="25" fillId="0" borderId="10" xfId="0" applyFont="1" applyBorder="1" applyAlignment="1">
      <alignment wrapText="1"/>
    </xf>
    <xf numFmtId="9" fontId="0" fillId="0" borderId="10" xfId="0" applyNumberFormat="1" applyBorder="1"/>
    <xf numFmtId="10" fontId="14" fillId="0" borderId="10" xfId="0" applyNumberFormat="1" applyFont="1" applyBorder="1"/>
    <xf numFmtId="10" fontId="0" fillId="0" borderId="10" xfId="0" applyNumberFormat="1" applyBorder="1" applyAlignment="1">
      <alignment wrapText="1"/>
    </xf>
    <xf numFmtId="168" fontId="14" fillId="0" borderId="10" xfId="43" applyNumberFormat="1" applyFont="1" applyBorder="1" applyAlignment="1">
      <alignment wrapText="1"/>
    </xf>
    <xf numFmtId="168" fontId="14" fillId="0" borderId="10" xfId="0" applyNumberFormat="1" applyFont="1" applyBorder="1"/>
    <xf numFmtId="166" fontId="0" fillId="0" borderId="10" xfId="0" applyNumberFormat="1" applyBorder="1"/>
    <xf numFmtId="166" fontId="0" fillId="0" borderId="10" xfId="43" applyNumberFormat="1" applyFont="1" applyBorder="1"/>
    <xf numFmtId="0" fontId="25" fillId="0" borderId="0" xfId="45"/>
    <xf numFmtId="0" fontId="26" fillId="44" borderId="0" xfId="0" applyFont="1" applyFill="1"/>
    <xf numFmtId="0" fontId="26" fillId="45" borderId="27" xfId="0" applyFont="1" applyFill="1" applyBorder="1" applyAlignment="1">
      <alignment horizontal="center" vertical="center"/>
    </xf>
    <xf numFmtId="0" fontId="26" fillId="45" borderId="24" xfId="0" applyFont="1" applyFill="1" applyBorder="1" applyAlignment="1">
      <alignment horizontal="left"/>
    </xf>
    <xf numFmtId="0" fontId="26" fillId="45" borderId="28" xfId="0" applyFont="1" applyFill="1" applyBorder="1" applyAlignment="1">
      <alignment horizontal="left"/>
    </xf>
    <xf numFmtId="0" fontId="26" fillId="45" borderId="25" xfId="0" applyFont="1" applyFill="1" applyBorder="1" applyAlignment="1">
      <alignment horizontal="left"/>
    </xf>
    <xf numFmtId="0" fontId="26" fillId="45" borderId="29" xfId="0" applyFont="1" applyFill="1" applyBorder="1" applyAlignment="1">
      <alignment horizontal="center" vertical="center"/>
    </xf>
    <xf numFmtId="0" fontId="26" fillId="45" borderId="29" xfId="0" quotePrefix="1" applyFont="1" applyFill="1" applyBorder="1" applyAlignment="1">
      <alignment horizontal="center" vertical="center"/>
    </xf>
    <xf numFmtId="0" fontId="26" fillId="45" borderId="29" xfId="0" quotePrefix="1" applyFont="1" applyFill="1" applyBorder="1" applyAlignment="1">
      <alignment horizontal="center" vertical="center" wrapText="1"/>
    </xf>
    <xf numFmtId="0" fontId="26" fillId="45" borderId="10" xfId="0" quotePrefix="1" applyFont="1" applyFill="1" applyBorder="1" applyAlignment="1">
      <alignment horizontal="center" vertical="center"/>
    </xf>
    <xf numFmtId="0" fontId="22" fillId="0" borderId="0" xfId="0" applyFont="1" applyAlignment="1">
      <alignment horizontal="right"/>
    </xf>
    <xf numFmtId="0" fontId="22" fillId="0" borderId="0" xfId="0" applyFont="1" applyAlignment="1">
      <alignment horizontal="left"/>
    </xf>
    <xf numFmtId="0" fontId="22" fillId="0" borderId="0" xfId="0" applyFont="1" applyAlignment="1">
      <alignment horizontal="left" wrapText="1" indent="5"/>
    </xf>
    <xf numFmtId="0" fontId="22" fillId="0" borderId="0" xfId="0" applyFont="1" applyAlignment="1">
      <alignment horizontal="center"/>
    </xf>
    <xf numFmtId="169" fontId="22" fillId="0" borderId="0" xfId="0" applyNumberFormat="1" applyFont="1" applyAlignment="1">
      <alignment horizontal="right"/>
    </xf>
    <xf numFmtId="0" fontId="31" fillId="0" borderId="0" xfId="45" applyFont="1"/>
    <xf numFmtId="169" fontId="31" fillId="0" borderId="0" xfId="45" applyNumberFormat="1" applyFont="1"/>
    <xf numFmtId="9" fontId="31" fillId="0" borderId="0" xfId="45" applyNumberFormat="1" applyFont="1"/>
    <xf numFmtId="9" fontId="31" fillId="0" borderId="0" xfId="43" applyFont="1"/>
    <xf numFmtId="0" fontId="33" fillId="0" borderId="10" xfId="0" applyFont="1" applyBorder="1" applyAlignment="1">
      <alignment vertical="center" wrapText="1"/>
    </xf>
    <xf numFmtId="0" fontId="33" fillId="0" borderId="10" xfId="0" applyFont="1" applyFill="1" applyBorder="1" applyAlignment="1">
      <alignment vertical="center" wrapText="1"/>
    </xf>
    <xf numFmtId="44" fontId="0" fillId="0" borderId="10" xfId="42" applyFont="1" applyBorder="1"/>
    <xf numFmtId="0" fontId="33" fillId="0" borderId="0" xfId="0" applyFont="1" applyFill="1" applyBorder="1" applyAlignment="1">
      <alignment vertical="center" wrapText="1"/>
    </xf>
    <xf numFmtId="0" fontId="0" fillId="0" borderId="0" xfId="0" applyAlignment="1">
      <alignment vertical="center"/>
    </xf>
    <xf numFmtId="16" fontId="0" fillId="0" borderId="0" xfId="0" quotePrefix="1" applyNumberFormat="1"/>
    <xf numFmtId="168" fontId="0" fillId="0" borderId="0" xfId="43" applyNumberFormat="1" applyFont="1"/>
    <xf numFmtId="10" fontId="0" fillId="0" borderId="0" xfId="0" applyNumberFormat="1"/>
    <xf numFmtId="10" fontId="0" fillId="0" borderId="0" xfId="43" applyNumberFormat="1" applyFont="1"/>
    <xf numFmtId="165" fontId="0" fillId="0" borderId="10" xfId="0" applyNumberFormat="1" applyBorder="1"/>
    <xf numFmtId="0" fontId="0" fillId="0" borderId="10" xfId="0" applyNumberFormat="1" applyBorder="1"/>
    <xf numFmtId="0" fontId="0" fillId="0" borderId="30" xfId="0" applyBorder="1"/>
    <xf numFmtId="0" fontId="0" fillId="0" borderId="31" xfId="0" applyBorder="1"/>
    <xf numFmtId="0" fontId="0" fillId="0" borderId="31" xfId="0" applyNumberFormat="1" applyBorder="1"/>
    <xf numFmtId="0" fontId="0" fillId="0" borderId="32" xfId="0" applyBorder="1"/>
    <xf numFmtId="0" fontId="0" fillId="0" borderId="33" xfId="0" applyBorder="1"/>
    <xf numFmtId="0" fontId="0" fillId="0" borderId="34" xfId="0" applyBorder="1"/>
    <xf numFmtId="0" fontId="0" fillId="0" borderId="34" xfId="0" applyNumberFormat="1" applyBorder="1"/>
    <xf numFmtId="0" fontId="0" fillId="0" borderId="0" xfId="0" pivotButton="1"/>
    <xf numFmtId="0" fontId="0" fillId="0" borderId="0" xfId="0" applyAlignment="1">
      <alignment horizontal="left"/>
    </xf>
    <xf numFmtId="0" fontId="0" fillId="0" borderId="0" xfId="0" applyAlignment="1">
      <alignment horizontal="left" indent="1"/>
    </xf>
    <xf numFmtId="168" fontId="0" fillId="0" borderId="0" xfId="0" applyNumberFormat="1"/>
    <xf numFmtId="0" fontId="0" fillId="0" borderId="35" xfId="0" applyBorder="1"/>
    <xf numFmtId="0" fontId="0" fillId="0" borderId="27" xfId="0" applyBorder="1"/>
    <xf numFmtId="0" fontId="0" fillId="0" borderId="27" xfId="0" applyNumberFormat="1" applyBorder="1"/>
    <xf numFmtId="0" fontId="0" fillId="0" borderId="10" xfId="0" applyFill="1" applyBorder="1" applyAlignment="1">
      <alignment vertical="center" wrapText="1"/>
    </xf>
    <xf numFmtId="0" fontId="0" fillId="0" borderId="10" xfId="0" applyBorder="1" applyAlignment="1">
      <alignment vertical="top" wrapText="1"/>
    </xf>
    <xf numFmtId="0" fontId="0" fillId="0" borderId="36" xfId="0" applyBorder="1"/>
    <xf numFmtId="0" fontId="0" fillId="0" borderId="29" xfId="0" applyBorder="1"/>
    <xf numFmtId="0" fontId="0" fillId="0" borderId="29" xfId="0" applyNumberFormat="1" applyBorder="1"/>
    <xf numFmtId="10" fontId="0" fillId="0" borderId="27" xfId="0" applyNumberFormat="1" applyBorder="1"/>
    <xf numFmtId="9" fontId="0" fillId="0" borderId="27" xfId="0" applyNumberFormat="1" applyBorder="1"/>
    <xf numFmtId="0" fontId="0" fillId="0" borderId="10" xfId="0" quotePrefix="1" applyBorder="1"/>
    <xf numFmtId="0" fontId="0" fillId="0" borderId="31" xfId="0" quotePrefix="1" applyBorder="1"/>
    <xf numFmtId="0" fontId="0" fillId="0" borderId="37" xfId="0" applyBorder="1"/>
    <xf numFmtId="0" fontId="0" fillId="0" borderId="38" xfId="0" applyBorder="1"/>
    <xf numFmtId="0" fontId="0" fillId="0" borderId="34" xfId="0" quotePrefix="1" applyBorder="1"/>
    <xf numFmtId="0" fontId="0" fillId="0" borderId="39" xfId="0" applyBorder="1"/>
    <xf numFmtId="0" fontId="16" fillId="33" borderId="40" xfId="0" applyFont="1" applyFill="1" applyBorder="1"/>
    <xf numFmtId="0" fontId="16" fillId="33" borderId="41" xfId="0" applyFont="1" applyFill="1" applyBorder="1"/>
    <xf numFmtId="0" fontId="16" fillId="33" borderId="42" xfId="0" applyFont="1" applyFill="1" applyBorder="1"/>
    <xf numFmtId="0" fontId="0" fillId="0" borderId="27" xfId="0" quotePrefix="1" applyBorder="1"/>
    <xf numFmtId="9" fontId="0" fillId="0" borderId="0" xfId="0" applyNumberFormat="1"/>
    <xf numFmtId="10" fontId="0" fillId="46" borderId="0" xfId="0" applyNumberFormat="1" applyFill="1"/>
    <xf numFmtId="0" fontId="34" fillId="0" borderId="0" xfId="0" applyFont="1"/>
    <xf numFmtId="9" fontId="0" fillId="46" borderId="10" xfId="43" applyFont="1" applyFill="1" applyBorder="1"/>
    <xf numFmtId="168" fontId="0" fillId="33" borderId="10" xfId="43" applyNumberFormat="1" applyFont="1" applyFill="1" applyBorder="1"/>
    <xf numFmtId="0" fontId="19" fillId="38" borderId="11" xfId="0" applyFont="1" applyFill="1" applyBorder="1" applyAlignment="1">
      <alignment horizontal="center"/>
    </xf>
    <xf numFmtId="0" fontId="19" fillId="38" borderId="12" xfId="0" applyFont="1" applyFill="1" applyBorder="1" applyAlignment="1">
      <alignment horizontal="center"/>
    </xf>
    <xf numFmtId="0" fontId="19" fillId="38" borderId="13" xfId="0" applyFont="1" applyFill="1" applyBorder="1" applyAlignment="1">
      <alignment horizontal="center"/>
    </xf>
    <xf numFmtId="0" fontId="19" fillId="38" borderId="14" xfId="0" applyFont="1" applyFill="1" applyBorder="1" applyAlignment="1">
      <alignment horizontal="center"/>
    </xf>
    <xf numFmtId="0" fontId="19" fillId="38" borderId="0" xfId="0" applyFont="1" applyFill="1" applyBorder="1" applyAlignment="1">
      <alignment horizontal="center"/>
    </xf>
    <xf numFmtId="0" fontId="16" fillId="0" borderId="0" xfId="0" applyFont="1" applyAlignment="1">
      <alignment horizontal="center"/>
    </xf>
    <xf numFmtId="0" fontId="32" fillId="0" borderId="11" xfId="0" applyFont="1" applyBorder="1" applyAlignment="1">
      <alignment horizontal="center"/>
    </xf>
    <xf numFmtId="0" fontId="32" fillId="0" borderId="12" xfId="0" applyFont="1" applyBorder="1" applyAlignment="1">
      <alignment horizontal="center"/>
    </xf>
    <xf numFmtId="0" fontId="32" fillId="0" borderId="13" xfId="0" applyFont="1" applyBorder="1" applyAlignment="1">
      <alignment horizontal="center"/>
    </xf>
    <xf numFmtId="0" fontId="32" fillId="0" borderId="0" xfId="0" applyFont="1" applyAlignment="1">
      <alignment horizontal="center"/>
    </xf>
    <xf numFmtId="0" fontId="0" fillId="33" borderId="10" xfId="0" applyFill="1" applyBorder="1" applyAlignment="1">
      <alignment horizontal="center" wrapText="1"/>
    </xf>
    <xf numFmtId="164" fontId="21" fillId="0" borderId="14" xfId="42" applyNumberFormat="1" applyFont="1" applyBorder="1" applyAlignment="1">
      <alignment vertical="center"/>
    </xf>
    <xf numFmtId="164" fontId="21" fillId="0" borderId="0" xfId="42" applyNumberFormat="1" applyFont="1" applyBorder="1" applyAlignment="1">
      <alignment vertical="center"/>
    </xf>
    <xf numFmtId="164" fontId="21" fillId="0" borderId="21" xfId="42" applyNumberFormat="1" applyFont="1" applyBorder="1" applyAlignment="1">
      <alignment vertical="center"/>
    </xf>
    <xf numFmtId="0" fontId="21" fillId="35" borderId="20" xfId="0" applyFont="1" applyFill="1" applyBorder="1" applyAlignment="1">
      <alignment horizontal="center" vertical="center"/>
    </xf>
    <xf numFmtId="0" fontId="21" fillId="35" borderId="18" xfId="0" applyFont="1" applyFill="1" applyBorder="1" applyAlignment="1">
      <alignment horizontal="center" vertical="center"/>
    </xf>
    <xf numFmtId="0" fontId="21" fillId="35" borderId="16" xfId="0" applyFont="1" applyFill="1" applyBorder="1" applyAlignment="1">
      <alignment horizontal="center" vertical="center"/>
    </xf>
    <xf numFmtId="0" fontId="21" fillId="35" borderId="15" xfId="0" applyFont="1" applyFill="1" applyBorder="1" applyAlignment="1">
      <alignment horizontal="center" vertical="center"/>
    </xf>
    <xf numFmtId="0" fontId="21" fillId="0" borderId="19" xfId="0" applyFont="1" applyBorder="1" applyAlignment="1">
      <alignment vertical="center"/>
    </xf>
    <xf numFmtId="0" fontId="21" fillId="0" borderId="20" xfId="0" applyFont="1" applyBorder="1" applyAlignment="1">
      <alignment vertical="center"/>
    </xf>
    <xf numFmtId="0" fontId="21" fillId="0" borderId="16" xfId="0" applyFont="1" applyBorder="1" applyAlignment="1">
      <alignment vertical="center"/>
    </xf>
    <xf numFmtId="0" fontId="0" fillId="36" borderId="10" xfId="0" applyFill="1" applyBorder="1" applyAlignment="1">
      <alignment horizontal="center"/>
    </xf>
    <xf numFmtId="166" fontId="0" fillId="0" borderId="24" xfId="0" applyNumberFormat="1" applyBorder="1" applyAlignment="1">
      <alignment horizontal="center"/>
    </xf>
    <xf numFmtId="166" fontId="0" fillId="0" borderId="25" xfId="0" applyNumberFormat="1" applyBorder="1" applyAlignment="1">
      <alignment horizontal="center"/>
    </xf>
    <xf numFmtId="0" fontId="22" fillId="44" borderId="0" xfId="0" quotePrefix="1" applyFont="1" applyFill="1" applyAlignment="1">
      <alignment horizontal="center"/>
    </xf>
    <xf numFmtId="0" fontId="30" fillId="44" borderId="0" xfId="0" applyFont="1" applyFill="1" applyAlignment="1">
      <alignment horizontal="center"/>
    </xf>
    <xf numFmtId="0" fontId="26" fillId="44" borderId="26" xfId="0" applyFont="1" applyFill="1" applyBorder="1"/>
    <xf numFmtId="0" fontId="28" fillId="44" borderId="0" xfId="0" applyFont="1" applyFill="1" applyAlignment="1">
      <alignment horizontal="center"/>
    </xf>
    <xf numFmtId="0" fontId="26" fillId="44" borderId="0" xfId="0" applyFont="1" applyFill="1"/>
    <xf numFmtId="0" fontId="29" fillId="44" borderId="0" xfId="0" applyFont="1" applyFill="1" applyAlignment="1">
      <alignment horizontal="center"/>
    </xf>
    <xf numFmtId="0" fontId="26" fillId="44" borderId="0" xfId="0" applyFont="1" applyFill="1" applyAlignment="1">
      <alignment horizontal="center"/>
    </xf>
    <xf numFmtId="0" fontId="22" fillId="44" borderId="0" xfId="0" applyFont="1" applyFill="1" applyAlignment="1">
      <alignment horizontal="center"/>
    </xf>
    <xf numFmtId="0" fontId="27" fillId="44" borderId="0" xfId="0" applyFont="1" applyFill="1" applyAlignment="1">
      <alignment horizontal="center"/>
    </xf>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4" builtinId="3"/>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5" xr:uid="{ED006672-F39E-454C-A99E-6259D9A384D7}"/>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
    <dxf>
      <numFmt numFmtId="168" formatCode="0.0%"/>
    </dxf>
  </dxfs>
  <tableStyles count="0" defaultTableStyle="TableStyleMedium2" defaultPivotStyle="PivotStyleLight16"/>
  <colors>
    <mruColors>
      <color rgb="FFC9A4E4"/>
      <color rgb="FF8C3F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2.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1.xml"/><Relationship Id="rId17" Type="http://schemas.openxmlformats.org/officeDocument/2006/relationships/worksheet" Target="worksheets/sheet16.xml"/><Relationship Id="rId2" Type="http://schemas.openxmlformats.org/officeDocument/2006/relationships/worksheet" Target="worksheets/sheet2.xml"/><Relationship Id="rId16" Type="http://schemas.openxmlformats.org/officeDocument/2006/relationships/worksheet" Target="worksheets/sheet15.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worksheet" Target="worksheets/sheet14.xml"/><Relationship Id="rId10" Type="http://schemas.openxmlformats.org/officeDocument/2006/relationships/worksheet" Target="worksheets/sheet9.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hartsheet" Target="chartsheets/sheet1.xml"/><Relationship Id="rId14" Type="http://schemas.openxmlformats.org/officeDocument/2006/relationships/worksheet" Target="worksheets/sheet13.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[Ghana_hea_parameters.xlsx]daly_viz_data!PivotTable21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Disability weights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daly_viz_data!$B$53</c:f>
              <c:strCache>
                <c:ptCount val="1"/>
                <c:pt idx="0">
                  <c:v>Average of UB</c:v>
                </c:pt>
              </c:strCache>
            </c:strRef>
          </c:tx>
          <c:spPr>
            <a:solidFill>
              <a:schemeClr val="accent1">
                <a:lumMod val="60000"/>
                <a:lumOff val="40000"/>
              </a:schemeClr>
            </a:solidFill>
            <a:ln>
              <a:noFill/>
            </a:ln>
            <a:effectLst/>
          </c:spPr>
          <c:invertIfNegative val="0"/>
          <c:cat>
            <c:multiLvlStrRef>
              <c:f>daly_viz_data!$A$54:$A$101</c:f>
              <c:multiLvlStrCache>
                <c:ptCount val="43"/>
                <c:lvl>
                  <c:pt idx="0">
                    <c:v>Acute subclinical</c:v>
                  </c:pt>
                  <c:pt idx="1">
                    <c:v>No infection</c:v>
                  </c:pt>
                  <c:pt idx="2">
                    <c:v>Compensated cirrhosis subclinical</c:v>
                  </c:pt>
                  <c:pt idx="3">
                    <c:v>Compensated cirrhosis on AVT</c:v>
                  </c:pt>
                  <c:pt idx="4">
                    <c:v>Decompensated cirrhosis subclinical</c:v>
                  </c:pt>
                  <c:pt idx="5">
                    <c:v>Decompensated cirrhosis on AVT</c:v>
                  </c:pt>
                  <c:pt idx="6">
                    <c:v>Hepatocellular carcinoma</c:v>
                  </c:pt>
                  <c:pt idx="7">
                    <c:v>Chronic HBeAG- subclinical</c:v>
                  </c:pt>
                  <c:pt idx="8">
                    <c:v>Chronic HBeAG- clinically managed</c:v>
                  </c:pt>
                  <c:pt idx="9">
                    <c:v>Immune reactive on AVT</c:v>
                  </c:pt>
                  <c:pt idx="10">
                    <c:v>Chronic HBeAG- on AVT</c:v>
                  </c:pt>
                  <c:pt idx="11">
                    <c:v>Acute clinically managed</c:v>
                  </c:pt>
                  <c:pt idx="12">
                    <c:v>Immune tolerant subclinical</c:v>
                  </c:pt>
                  <c:pt idx="13">
                    <c:v>Immune tolerant clinically managed</c:v>
                  </c:pt>
                  <c:pt idx="14">
                    <c:v>Carrier subclinical</c:v>
                  </c:pt>
                  <c:pt idx="15">
                    <c:v>Carrier clinically managed</c:v>
                  </c:pt>
                  <c:pt idx="16">
                    <c:v>Immune reactive subclinical</c:v>
                  </c:pt>
                  <c:pt idx="17">
                    <c:v>Acute subclinical</c:v>
                  </c:pt>
                  <c:pt idx="18">
                    <c:v>No infection</c:v>
                  </c:pt>
                  <c:pt idx="19">
                    <c:v>Acute on AVT</c:v>
                  </c:pt>
                  <c:pt idx="20">
                    <c:v>Chronic HCV subclinical</c:v>
                  </c:pt>
                  <c:pt idx="21">
                    <c:v>Chronic HCV on AVT</c:v>
                  </c:pt>
                  <c:pt idx="22">
                    <c:v>Chronic HCV treatment failure</c:v>
                  </c:pt>
                  <c:pt idx="23">
                    <c:v>Compensated cirrhosis subclinical</c:v>
                  </c:pt>
                  <c:pt idx="24">
                    <c:v>Compensated cirrhosis on AVT</c:v>
                  </c:pt>
                  <c:pt idx="25">
                    <c:v>Compensated cirrhosis treatment failure</c:v>
                  </c:pt>
                  <c:pt idx="26">
                    <c:v>Decompensated cirrhosis subclinical</c:v>
                  </c:pt>
                  <c:pt idx="27">
                    <c:v>Decompensated cirrhosis on AVT</c:v>
                  </c:pt>
                  <c:pt idx="28">
                    <c:v>Decompensated cirrhosis treatment failure</c:v>
                  </c:pt>
                  <c:pt idx="29">
                    <c:v>Hepatocellular carcinoma</c:v>
                  </c:pt>
                  <c:pt idx="30">
                    <c:v>AIDS undetected</c:v>
                  </c:pt>
                  <c:pt idx="31">
                    <c:v>ART year 1</c:v>
                  </c:pt>
                  <c:pt idx="32">
                    <c:v>ART year 2</c:v>
                  </c:pt>
                  <c:pt idx="33">
                    <c:v>ART year 3</c:v>
                  </c:pt>
                  <c:pt idx="34">
                    <c:v>ART year 4+</c:v>
                  </c:pt>
                  <c:pt idx="35">
                    <c:v>AIDS on ART year 1</c:v>
                  </c:pt>
                  <c:pt idx="36">
                    <c:v>AIDS on ART year 2</c:v>
                  </c:pt>
                  <c:pt idx="37">
                    <c:v>Residual disability from AIDS on AVT</c:v>
                  </c:pt>
                  <c:pt idx="38">
                    <c:v>FNHTR (7-30d)</c:v>
                  </c:pt>
                  <c:pt idx="39">
                    <c:v>Malaria (7-20d)</c:v>
                  </c:pt>
                  <c:pt idx="40">
                    <c:v>Sepsis inpatient</c:v>
                  </c:pt>
                  <c:pt idx="41">
                    <c:v>Syphilis 1-year disability</c:v>
                  </c:pt>
                  <c:pt idx="42">
                    <c:v>Sepsis sequelae (20-60d)</c:v>
                  </c:pt>
                </c:lvl>
                <c:lvl>
                  <c:pt idx="0">
                    <c:v>HBV</c:v>
                  </c:pt>
                  <c:pt idx="17">
                    <c:v>HCV</c:v>
                  </c:pt>
                  <c:pt idx="30">
                    <c:v>HIV</c:v>
                  </c:pt>
                  <c:pt idx="38">
                    <c:v>Acute</c:v>
                  </c:pt>
                </c:lvl>
              </c:multiLvlStrCache>
            </c:multiLvlStrRef>
          </c:cat>
          <c:val>
            <c:numRef>
              <c:f>daly_viz_data!$B$54:$B$101</c:f>
              <c:numCache>
                <c:formatCode>0.0%</c:formatCode>
                <c:ptCount val="43"/>
                <c:pt idx="0">
                  <c:v>0</c:v>
                </c:pt>
                <c:pt idx="1">
                  <c:v>0</c:v>
                </c:pt>
                <c:pt idx="2">
                  <c:v>0.15240000000000001</c:v>
                </c:pt>
                <c:pt idx="3">
                  <c:v>6.359999999999999E-2</c:v>
                </c:pt>
                <c:pt idx="4">
                  <c:v>0.15240000000000001</c:v>
                </c:pt>
                <c:pt idx="5">
                  <c:v>0.15240000000000001</c:v>
                </c:pt>
                <c:pt idx="6">
                  <c:v>0.62280000000000002</c:v>
                </c:pt>
                <c:pt idx="7">
                  <c:v>6.359999999999999E-2</c:v>
                </c:pt>
                <c:pt idx="8">
                  <c:v>6.359999999999999E-2</c:v>
                </c:pt>
                <c:pt idx="9">
                  <c:v>6.359999999999999E-2</c:v>
                </c:pt>
                <c:pt idx="10">
                  <c:v>6.359999999999999E-2</c:v>
                </c:pt>
                <c:pt idx="11">
                  <c:v>0</c:v>
                </c:pt>
                <c:pt idx="12">
                  <c:v>6.359999999999999E-2</c:v>
                </c:pt>
                <c:pt idx="13">
                  <c:v>6.359999999999999E-2</c:v>
                </c:pt>
                <c:pt idx="14">
                  <c:v>6.359999999999999E-2</c:v>
                </c:pt>
                <c:pt idx="15">
                  <c:v>6.359999999999999E-2</c:v>
                </c:pt>
                <c:pt idx="16">
                  <c:v>6.359999999999999E-2</c:v>
                </c:pt>
                <c:pt idx="17">
                  <c:v>0</c:v>
                </c:pt>
                <c:pt idx="18">
                  <c:v>0</c:v>
                </c:pt>
                <c:pt idx="19">
                  <c:v>0.08</c:v>
                </c:pt>
                <c:pt idx="20">
                  <c:v>0.26</c:v>
                </c:pt>
                <c:pt idx="21">
                  <c:v>0.41000000000000003</c:v>
                </c:pt>
                <c:pt idx="22">
                  <c:v>0.26</c:v>
                </c:pt>
                <c:pt idx="23">
                  <c:v>0.26</c:v>
                </c:pt>
                <c:pt idx="24">
                  <c:v>0.44999999999999996</c:v>
                </c:pt>
                <c:pt idx="25">
                  <c:v>0.26</c:v>
                </c:pt>
                <c:pt idx="26">
                  <c:v>0.31000000000000005</c:v>
                </c:pt>
                <c:pt idx="27">
                  <c:v>0.36781746031746043</c:v>
                </c:pt>
                <c:pt idx="28">
                  <c:v>0.31000000000000005</c:v>
                </c:pt>
                <c:pt idx="29">
                  <c:v>0.8</c:v>
                </c:pt>
                <c:pt idx="30">
                  <c:v>0.1885</c:v>
                </c:pt>
                <c:pt idx="31">
                  <c:v>0.17749999999999999</c:v>
                </c:pt>
                <c:pt idx="32">
                  <c:v>0.111</c:v>
                </c:pt>
                <c:pt idx="33">
                  <c:v>0.111</c:v>
                </c:pt>
                <c:pt idx="34">
                  <c:v>0.111</c:v>
                </c:pt>
                <c:pt idx="35">
                  <c:v>0.42699999999999999</c:v>
                </c:pt>
                <c:pt idx="36">
                  <c:v>0.26900000000000002</c:v>
                </c:pt>
                <c:pt idx="37">
                  <c:v>0.26900000000000002</c:v>
                </c:pt>
                <c:pt idx="38">
                  <c:v>7.3999999999999996E-2</c:v>
                </c:pt>
                <c:pt idx="39">
                  <c:v>7.3999999999999996E-2</c:v>
                </c:pt>
                <c:pt idx="40">
                  <c:v>0.6</c:v>
                </c:pt>
                <c:pt idx="41">
                  <c:v>0.15000000000000002</c:v>
                </c:pt>
                <c:pt idx="42">
                  <c:v>0.79</c:v>
                </c:pt>
              </c:numCache>
            </c:numRef>
          </c:val>
          <c:extLst>
            <c:ext xmlns:c16="http://schemas.microsoft.com/office/drawing/2014/chart" uri="{C3380CC4-5D6E-409C-BE32-E72D297353CC}">
              <c16:uniqueId val="{00000000-CED3-48EA-A6BC-523C92957EDB}"/>
            </c:ext>
          </c:extLst>
        </c:ser>
        <c:ser>
          <c:idx val="1"/>
          <c:order val="1"/>
          <c:tx>
            <c:strRef>
              <c:f>daly_viz_data!$C$53</c:f>
              <c:strCache>
                <c:ptCount val="1"/>
                <c:pt idx="0">
                  <c:v>Average of Disability weight</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daly_viz_data!$A$54:$A$101</c:f>
              <c:multiLvlStrCache>
                <c:ptCount val="43"/>
                <c:lvl>
                  <c:pt idx="0">
                    <c:v>Acute subclinical</c:v>
                  </c:pt>
                  <c:pt idx="1">
                    <c:v>No infection</c:v>
                  </c:pt>
                  <c:pt idx="2">
                    <c:v>Compensated cirrhosis subclinical</c:v>
                  </c:pt>
                  <c:pt idx="3">
                    <c:v>Compensated cirrhosis on AVT</c:v>
                  </c:pt>
                  <c:pt idx="4">
                    <c:v>Decompensated cirrhosis subclinical</c:v>
                  </c:pt>
                  <c:pt idx="5">
                    <c:v>Decompensated cirrhosis on AVT</c:v>
                  </c:pt>
                  <c:pt idx="6">
                    <c:v>Hepatocellular carcinoma</c:v>
                  </c:pt>
                  <c:pt idx="7">
                    <c:v>Chronic HBeAG- subclinical</c:v>
                  </c:pt>
                  <c:pt idx="8">
                    <c:v>Chronic HBeAG- clinically managed</c:v>
                  </c:pt>
                  <c:pt idx="9">
                    <c:v>Immune reactive on AVT</c:v>
                  </c:pt>
                  <c:pt idx="10">
                    <c:v>Chronic HBeAG- on AVT</c:v>
                  </c:pt>
                  <c:pt idx="11">
                    <c:v>Acute clinically managed</c:v>
                  </c:pt>
                  <c:pt idx="12">
                    <c:v>Immune tolerant subclinical</c:v>
                  </c:pt>
                  <c:pt idx="13">
                    <c:v>Immune tolerant clinically managed</c:v>
                  </c:pt>
                  <c:pt idx="14">
                    <c:v>Carrier subclinical</c:v>
                  </c:pt>
                  <c:pt idx="15">
                    <c:v>Carrier clinically managed</c:v>
                  </c:pt>
                  <c:pt idx="16">
                    <c:v>Immune reactive subclinical</c:v>
                  </c:pt>
                  <c:pt idx="17">
                    <c:v>Acute subclinical</c:v>
                  </c:pt>
                  <c:pt idx="18">
                    <c:v>No infection</c:v>
                  </c:pt>
                  <c:pt idx="19">
                    <c:v>Acute on AVT</c:v>
                  </c:pt>
                  <c:pt idx="20">
                    <c:v>Chronic HCV subclinical</c:v>
                  </c:pt>
                  <c:pt idx="21">
                    <c:v>Chronic HCV on AVT</c:v>
                  </c:pt>
                  <c:pt idx="22">
                    <c:v>Chronic HCV treatment failure</c:v>
                  </c:pt>
                  <c:pt idx="23">
                    <c:v>Compensated cirrhosis subclinical</c:v>
                  </c:pt>
                  <c:pt idx="24">
                    <c:v>Compensated cirrhosis on AVT</c:v>
                  </c:pt>
                  <c:pt idx="25">
                    <c:v>Compensated cirrhosis treatment failure</c:v>
                  </c:pt>
                  <c:pt idx="26">
                    <c:v>Decompensated cirrhosis subclinical</c:v>
                  </c:pt>
                  <c:pt idx="27">
                    <c:v>Decompensated cirrhosis on AVT</c:v>
                  </c:pt>
                  <c:pt idx="28">
                    <c:v>Decompensated cirrhosis treatment failure</c:v>
                  </c:pt>
                  <c:pt idx="29">
                    <c:v>Hepatocellular carcinoma</c:v>
                  </c:pt>
                  <c:pt idx="30">
                    <c:v>AIDS undetected</c:v>
                  </c:pt>
                  <c:pt idx="31">
                    <c:v>ART year 1</c:v>
                  </c:pt>
                  <c:pt idx="32">
                    <c:v>ART year 2</c:v>
                  </c:pt>
                  <c:pt idx="33">
                    <c:v>ART year 3</c:v>
                  </c:pt>
                  <c:pt idx="34">
                    <c:v>ART year 4+</c:v>
                  </c:pt>
                  <c:pt idx="35">
                    <c:v>AIDS on ART year 1</c:v>
                  </c:pt>
                  <c:pt idx="36">
                    <c:v>AIDS on ART year 2</c:v>
                  </c:pt>
                  <c:pt idx="37">
                    <c:v>Residual disability from AIDS on AVT</c:v>
                  </c:pt>
                  <c:pt idx="38">
                    <c:v>FNHTR (7-30d)</c:v>
                  </c:pt>
                  <c:pt idx="39">
                    <c:v>Malaria (7-20d)</c:v>
                  </c:pt>
                  <c:pt idx="40">
                    <c:v>Sepsis inpatient</c:v>
                  </c:pt>
                  <c:pt idx="41">
                    <c:v>Syphilis 1-year disability</c:v>
                  </c:pt>
                  <c:pt idx="42">
                    <c:v>Sepsis sequelae (20-60d)</c:v>
                  </c:pt>
                </c:lvl>
                <c:lvl>
                  <c:pt idx="0">
                    <c:v>HBV</c:v>
                  </c:pt>
                  <c:pt idx="17">
                    <c:v>HCV</c:v>
                  </c:pt>
                  <c:pt idx="30">
                    <c:v>HIV</c:v>
                  </c:pt>
                  <c:pt idx="38">
                    <c:v>Acute</c:v>
                  </c:pt>
                </c:lvl>
              </c:multiLvlStrCache>
            </c:multiLvlStrRef>
          </c:cat>
          <c:val>
            <c:numRef>
              <c:f>daly_viz_data!$C$54:$C$101</c:f>
              <c:numCache>
                <c:formatCode>0.0%</c:formatCode>
                <c:ptCount val="43"/>
                <c:pt idx="0">
                  <c:v>0</c:v>
                </c:pt>
                <c:pt idx="1">
                  <c:v>0</c:v>
                </c:pt>
                <c:pt idx="2">
                  <c:v>0.127</c:v>
                </c:pt>
                <c:pt idx="3">
                  <c:v>5.2999999999999999E-2</c:v>
                </c:pt>
                <c:pt idx="4">
                  <c:v>0.127</c:v>
                </c:pt>
                <c:pt idx="5">
                  <c:v>0.127</c:v>
                </c:pt>
                <c:pt idx="6">
                  <c:v>0.51900000000000002</c:v>
                </c:pt>
                <c:pt idx="7">
                  <c:v>5.2999999999999999E-2</c:v>
                </c:pt>
                <c:pt idx="8">
                  <c:v>5.2999999999999999E-2</c:v>
                </c:pt>
                <c:pt idx="9">
                  <c:v>5.2999999999999999E-2</c:v>
                </c:pt>
                <c:pt idx="10">
                  <c:v>5.2999999999999999E-2</c:v>
                </c:pt>
                <c:pt idx="11">
                  <c:v>0</c:v>
                </c:pt>
                <c:pt idx="12">
                  <c:v>5.2999999999999999E-2</c:v>
                </c:pt>
                <c:pt idx="13">
                  <c:v>5.2999999999999999E-2</c:v>
                </c:pt>
                <c:pt idx="14">
                  <c:v>5.2999999999999999E-2</c:v>
                </c:pt>
                <c:pt idx="15">
                  <c:v>5.2999999999999999E-2</c:v>
                </c:pt>
                <c:pt idx="16">
                  <c:v>5.2999999999999999E-2</c:v>
                </c:pt>
                <c:pt idx="17">
                  <c:v>0</c:v>
                </c:pt>
                <c:pt idx="18">
                  <c:v>0</c:v>
                </c:pt>
                <c:pt idx="19">
                  <c:v>4.0000000000000036E-2</c:v>
                </c:pt>
                <c:pt idx="20">
                  <c:v>0.20999999999999996</c:v>
                </c:pt>
                <c:pt idx="21">
                  <c:v>0.25</c:v>
                </c:pt>
                <c:pt idx="22">
                  <c:v>0.20999999999999996</c:v>
                </c:pt>
                <c:pt idx="23">
                  <c:v>0.252</c:v>
                </c:pt>
                <c:pt idx="24">
                  <c:v>0.29900000000000004</c:v>
                </c:pt>
                <c:pt idx="25">
                  <c:v>0.252</c:v>
                </c:pt>
                <c:pt idx="26">
                  <c:v>0.32799999999999996</c:v>
                </c:pt>
                <c:pt idx="27">
                  <c:v>0.38917460317460317</c:v>
                </c:pt>
                <c:pt idx="28">
                  <c:v>0.32799999999999996</c:v>
                </c:pt>
                <c:pt idx="29">
                  <c:v>0.39</c:v>
                </c:pt>
                <c:pt idx="30">
                  <c:v>0.13700000000000001</c:v>
                </c:pt>
                <c:pt idx="31">
                  <c:v>0.127</c:v>
                </c:pt>
                <c:pt idx="32">
                  <c:v>7.8E-2</c:v>
                </c:pt>
                <c:pt idx="33">
                  <c:v>7.8E-2</c:v>
                </c:pt>
                <c:pt idx="34">
                  <c:v>7.8E-2</c:v>
                </c:pt>
                <c:pt idx="35">
                  <c:v>0.32999999999999996</c:v>
                </c:pt>
                <c:pt idx="36">
                  <c:v>0.20399999999999999</c:v>
                </c:pt>
                <c:pt idx="37">
                  <c:v>0.20399999999999999</c:v>
                </c:pt>
                <c:pt idx="38">
                  <c:v>5.0999999999999997E-2</c:v>
                </c:pt>
                <c:pt idx="39">
                  <c:v>5.0999999999999997E-2</c:v>
                </c:pt>
                <c:pt idx="40">
                  <c:v>0.5</c:v>
                </c:pt>
                <c:pt idx="41">
                  <c:v>0.12</c:v>
                </c:pt>
                <c:pt idx="42">
                  <c:v>0.69</c:v>
                </c:pt>
              </c:numCache>
            </c:numRef>
          </c:val>
          <c:extLst>
            <c:ext xmlns:c16="http://schemas.microsoft.com/office/drawing/2014/chart" uri="{C3380CC4-5D6E-409C-BE32-E72D297353CC}">
              <c16:uniqueId val="{00000001-CED3-48EA-A6BC-523C92957EDB}"/>
            </c:ext>
          </c:extLst>
        </c:ser>
        <c:ser>
          <c:idx val="2"/>
          <c:order val="2"/>
          <c:tx>
            <c:strRef>
              <c:f>daly_viz_data!$D$53</c:f>
              <c:strCache>
                <c:ptCount val="1"/>
                <c:pt idx="0">
                  <c:v>Average of LB</c:v>
                </c:pt>
              </c:strCache>
            </c:strRef>
          </c:tx>
          <c:spPr>
            <a:solidFill>
              <a:schemeClr val="accent1">
                <a:lumMod val="60000"/>
                <a:lumOff val="40000"/>
              </a:schemeClr>
            </a:solidFill>
            <a:ln>
              <a:noFill/>
            </a:ln>
            <a:effectLst/>
          </c:spPr>
          <c:invertIfNegative val="0"/>
          <c:cat>
            <c:multiLvlStrRef>
              <c:f>daly_viz_data!$A$54:$A$101</c:f>
              <c:multiLvlStrCache>
                <c:ptCount val="43"/>
                <c:lvl>
                  <c:pt idx="0">
                    <c:v>Acute subclinical</c:v>
                  </c:pt>
                  <c:pt idx="1">
                    <c:v>No infection</c:v>
                  </c:pt>
                  <c:pt idx="2">
                    <c:v>Compensated cirrhosis subclinical</c:v>
                  </c:pt>
                  <c:pt idx="3">
                    <c:v>Compensated cirrhosis on AVT</c:v>
                  </c:pt>
                  <c:pt idx="4">
                    <c:v>Decompensated cirrhosis subclinical</c:v>
                  </c:pt>
                  <c:pt idx="5">
                    <c:v>Decompensated cirrhosis on AVT</c:v>
                  </c:pt>
                  <c:pt idx="6">
                    <c:v>Hepatocellular carcinoma</c:v>
                  </c:pt>
                  <c:pt idx="7">
                    <c:v>Chronic HBeAG- subclinical</c:v>
                  </c:pt>
                  <c:pt idx="8">
                    <c:v>Chronic HBeAG- clinically managed</c:v>
                  </c:pt>
                  <c:pt idx="9">
                    <c:v>Immune reactive on AVT</c:v>
                  </c:pt>
                  <c:pt idx="10">
                    <c:v>Chronic HBeAG- on AVT</c:v>
                  </c:pt>
                  <c:pt idx="11">
                    <c:v>Acute clinically managed</c:v>
                  </c:pt>
                  <c:pt idx="12">
                    <c:v>Immune tolerant subclinical</c:v>
                  </c:pt>
                  <c:pt idx="13">
                    <c:v>Immune tolerant clinically managed</c:v>
                  </c:pt>
                  <c:pt idx="14">
                    <c:v>Carrier subclinical</c:v>
                  </c:pt>
                  <c:pt idx="15">
                    <c:v>Carrier clinically managed</c:v>
                  </c:pt>
                  <c:pt idx="16">
                    <c:v>Immune reactive subclinical</c:v>
                  </c:pt>
                  <c:pt idx="17">
                    <c:v>Acute subclinical</c:v>
                  </c:pt>
                  <c:pt idx="18">
                    <c:v>No infection</c:v>
                  </c:pt>
                  <c:pt idx="19">
                    <c:v>Acute on AVT</c:v>
                  </c:pt>
                  <c:pt idx="20">
                    <c:v>Chronic HCV subclinical</c:v>
                  </c:pt>
                  <c:pt idx="21">
                    <c:v>Chronic HCV on AVT</c:v>
                  </c:pt>
                  <c:pt idx="22">
                    <c:v>Chronic HCV treatment failure</c:v>
                  </c:pt>
                  <c:pt idx="23">
                    <c:v>Compensated cirrhosis subclinical</c:v>
                  </c:pt>
                  <c:pt idx="24">
                    <c:v>Compensated cirrhosis on AVT</c:v>
                  </c:pt>
                  <c:pt idx="25">
                    <c:v>Compensated cirrhosis treatment failure</c:v>
                  </c:pt>
                  <c:pt idx="26">
                    <c:v>Decompensated cirrhosis subclinical</c:v>
                  </c:pt>
                  <c:pt idx="27">
                    <c:v>Decompensated cirrhosis on AVT</c:v>
                  </c:pt>
                  <c:pt idx="28">
                    <c:v>Decompensated cirrhosis treatment failure</c:v>
                  </c:pt>
                  <c:pt idx="29">
                    <c:v>Hepatocellular carcinoma</c:v>
                  </c:pt>
                  <c:pt idx="30">
                    <c:v>AIDS undetected</c:v>
                  </c:pt>
                  <c:pt idx="31">
                    <c:v>ART year 1</c:v>
                  </c:pt>
                  <c:pt idx="32">
                    <c:v>ART year 2</c:v>
                  </c:pt>
                  <c:pt idx="33">
                    <c:v>ART year 3</c:v>
                  </c:pt>
                  <c:pt idx="34">
                    <c:v>ART year 4+</c:v>
                  </c:pt>
                  <c:pt idx="35">
                    <c:v>AIDS on ART year 1</c:v>
                  </c:pt>
                  <c:pt idx="36">
                    <c:v>AIDS on ART year 2</c:v>
                  </c:pt>
                  <c:pt idx="37">
                    <c:v>Residual disability from AIDS on AVT</c:v>
                  </c:pt>
                  <c:pt idx="38">
                    <c:v>FNHTR (7-30d)</c:v>
                  </c:pt>
                  <c:pt idx="39">
                    <c:v>Malaria (7-20d)</c:v>
                  </c:pt>
                  <c:pt idx="40">
                    <c:v>Sepsis inpatient</c:v>
                  </c:pt>
                  <c:pt idx="41">
                    <c:v>Syphilis 1-year disability</c:v>
                  </c:pt>
                  <c:pt idx="42">
                    <c:v>Sepsis sequelae (20-60d)</c:v>
                  </c:pt>
                </c:lvl>
                <c:lvl>
                  <c:pt idx="0">
                    <c:v>HBV</c:v>
                  </c:pt>
                  <c:pt idx="17">
                    <c:v>HCV</c:v>
                  </c:pt>
                  <c:pt idx="30">
                    <c:v>HIV</c:v>
                  </c:pt>
                  <c:pt idx="38">
                    <c:v>Acute</c:v>
                  </c:pt>
                </c:lvl>
              </c:multiLvlStrCache>
            </c:multiLvlStrRef>
          </c:cat>
          <c:val>
            <c:numRef>
              <c:f>daly_viz_data!$D$54:$D$101</c:f>
              <c:numCache>
                <c:formatCode>0.0%</c:formatCode>
                <c:ptCount val="43"/>
                <c:pt idx="0">
                  <c:v>0</c:v>
                </c:pt>
                <c:pt idx="1">
                  <c:v>0</c:v>
                </c:pt>
                <c:pt idx="2">
                  <c:v>0.10160000000000001</c:v>
                </c:pt>
                <c:pt idx="3">
                  <c:v>4.24E-2</c:v>
                </c:pt>
                <c:pt idx="4">
                  <c:v>0.10160000000000001</c:v>
                </c:pt>
                <c:pt idx="5">
                  <c:v>0.10160000000000001</c:v>
                </c:pt>
                <c:pt idx="6">
                  <c:v>0.41520000000000001</c:v>
                </c:pt>
                <c:pt idx="7">
                  <c:v>0</c:v>
                </c:pt>
                <c:pt idx="8">
                  <c:v>0</c:v>
                </c:pt>
                <c:pt idx="9">
                  <c:v>4.24E-2</c:v>
                </c:pt>
                <c:pt idx="10">
                  <c:v>4.24E-2</c:v>
                </c:pt>
                <c:pt idx="11">
                  <c:v>0</c:v>
                </c:pt>
                <c:pt idx="12">
                  <c:v>0</c:v>
                </c:pt>
                <c:pt idx="13">
                  <c:v>0</c:v>
                </c:pt>
                <c:pt idx="14">
                  <c:v>0</c:v>
                </c:pt>
                <c:pt idx="15">
                  <c:v>0</c:v>
                </c:pt>
                <c:pt idx="16">
                  <c:v>0</c:v>
                </c:pt>
                <c:pt idx="17">
                  <c:v>0</c:v>
                </c:pt>
                <c:pt idx="18">
                  <c:v>0</c:v>
                </c:pt>
                <c:pt idx="19">
                  <c:v>0</c:v>
                </c:pt>
                <c:pt idx="20">
                  <c:v>0.18000000000000005</c:v>
                </c:pt>
                <c:pt idx="21">
                  <c:v>8.9999999999999969E-2</c:v>
                </c:pt>
                <c:pt idx="22">
                  <c:v>0.18000000000000005</c:v>
                </c:pt>
                <c:pt idx="23">
                  <c:v>0.22999999999999998</c:v>
                </c:pt>
                <c:pt idx="24">
                  <c:v>0.15000000000000002</c:v>
                </c:pt>
                <c:pt idx="25">
                  <c:v>0.22999999999999998</c:v>
                </c:pt>
                <c:pt idx="26">
                  <c:v>0.4</c:v>
                </c:pt>
                <c:pt idx="27">
                  <c:v>0.47460317460317469</c:v>
                </c:pt>
                <c:pt idx="28">
                  <c:v>0.4</c:v>
                </c:pt>
                <c:pt idx="29">
                  <c:v>0.32999999999999996</c:v>
                </c:pt>
                <c:pt idx="30">
                  <c:v>9.1999999999999998E-2</c:v>
                </c:pt>
                <c:pt idx="31">
                  <c:v>8.4999999999999992E-2</c:v>
                </c:pt>
                <c:pt idx="32">
                  <c:v>5.1999999999999998E-2</c:v>
                </c:pt>
                <c:pt idx="33">
                  <c:v>5.1999999999999998E-2</c:v>
                </c:pt>
                <c:pt idx="34">
                  <c:v>5.1999999999999998E-2</c:v>
                </c:pt>
                <c:pt idx="35">
                  <c:v>0.22900000000000001</c:v>
                </c:pt>
                <c:pt idx="36">
                  <c:v>0.14050000000000001</c:v>
                </c:pt>
                <c:pt idx="37">
                  <c:v>0.14050000000000001</c:v>
                </c:pt>
                <c:pt idx="38">
                  <c:v>3.2000000000000001E-2</c:v>
                </c:pt>
                <c:pt idx="39">
                  <c:v>3.2000000000000001E-2</c:v>
                </c:pt>
                <c:pt idx="40">
                  <c:v>0.4</c:v>
                </c:pt>
                <c:pt idx="41">
                  <c:v>8.9999999999999969E-2</c:v>
                </c:pt>
                <c:pt idx="42">
                  <c:v>0.59</c:v>
                </c:pt>
              </c:numCache>
            </c:numRef>
          </c:val>
          <c:extLst>
            <c:ext xmlns:c16="http://schemas.microsoft.com/office/drawing/2014/chart" uri="{C3380CC4-5D6E-409C-BE32-E72D297353CC}">
              <c16:uniqueId val="{00000002-CED3-48EA-A6BC-523C92957EDB}"/>
            </c:ext>
          </c:extLst>
        </c:ser>
        <c:dLbls>
          <c:showLegendKey val="0"/>
          <c:showVal val="0"/>
          <c:showCatName val="0"/>
          <c:showSerName val="0"/>
          <c:showPercent val="0"/>
          <c:showBubbleSize val="0"/>
        </c:dLbls>
        <c:gapWidth val="182"/>
        <c:axId val="951417392"/>
        <c:axId val="951415752"/>
      </c:barChart>
      <c:catAx>
        <c:axId val="951417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951415752"/>
        <c:crosses val="autoZero"/>
        <c:auto val="1"/>
        <c:lblAlgn val="ctr"/>
        <c:lblOffset val="100"/>
        <c:noMultiLvlLbl val="0"/>
      </c:catAx>
      <c:valAx>
        <c:axId val="951415752"/>
        <c:scaling>
          <c:orientation val="minMax"/>
          <c:max val="1"/>
          <c:min val="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417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208B3EB-258E-4E7B-8D0C-3CCD1336CEDC}">
  <sheetPr/>
  <sheetViews>
    <sheetView zoomScale="11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GIF"/></Relationships>
</file>

<file path=xl/drawings/drawing1.xml><?xml version="1.0" encoding="utf-8"?>
<xdr:wsDr xmlns:xdr="http://schemas.openxmlformats.org/drawingml/2006/spreadsheetDrawing" xmlns:a="http://schemas.openxmlformats.org/drawingml/2006/main">
  <xdr:absoluteAnchor>
    <xdr:pos x="0" y="0"/>
    <xdr:ext cx="8637076" cy="6288114"/>
    <xdr:graphicFrame macro="">
      <xdr:nvGraphicFramePr>
        <xdr:cNvPr id="2" name="Chart 1">
          <a:extLst>
            <a:ext uri="{FF2B5EF4-FFF2-40B4-BE49-F238E27FC236}">
              <a16:creationId xmlns:a16="http://schemas.microsoft.com/office/drawing/2014/main" id="{2B9EC325-604E-4AD2-BA88-4FC5937245D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editAs="oneCell">
    <xdr:from>
      <xdr:col>10</xdr:col>
      <xdr:colOff>504825</xdr:colOff>
      <xdr:row>0</xdr:row>
      <xdr:rowOff>0</xdr:rowOff>
    </xdr:from>
    <xdr:to>
      <xdr:col>26</xdr:col>
      <xdr:colOff>236939</xdr:colOff>
      <xdr:row>26</xdr:row>
      <xdr:rowOff>85057</xdr:rowOff>
    </xdr:to>
    <xdr:pic>
      <xdr:nvPicPr>
        <xdr:cNvPr id="2" name="Picture 1">
          <a:extLst>
            <a:ext uri="{FF2B5EF4-FFF2-40B4-BE49-F238E27FC236}">
              <a16:creationId xmlns:a16="http://schemas.microsoft.com/office/drawing/2014/main" id="{E4B28D36-A043-406B-A96B-88F45F73D720}"/>
            </a:ext>
          </a:extLst>
        </xdr:cNvPr>
        <xdr:cNvPicPr>
          <a:picLocks noChangeAspect="1"/>
        </xdr:cNvPicPr>
      </xdr:nvPicPr>
      <xdr:blipFill>
        <a:blip xmlns:r="http://schemas.openxmlformats.org/officeDocument/2006/relationships" r:embed="rId1"/>
        <a:stretch>
          <a:fillRect/>
        </a:stretch>
      </xdr:blipFill>
      <xdr:spPr>
        <a:xfrm>
          <a:off x="12820650" y="0"/>
          <a:ext cx="9485714" cy="5342857"/>
        </a:xfrm>
        <a:prstGeom prst="rect">
          <a:avLst/>
        </a:prstGeom>
      </xdr:spPr>
    </xdr:pic>
    <xdr:clientData/>
  </xdr:twoCellAnchor>
  <xdr:twoCellAnchor editAs="oneCell">
    <xdr:from>
      <xdr:col>10</xdr:col>
      <xdr:colOff>0</xdr:colOff>
      <xdr:row>28</xdr:row>
      <xdr:rowOff>0</xdr:rowOff>
    </xdr:from>
    <xdr:to>
      <xdr:col>22</xdr:col>
      <xdr:colOff>304800</xdr:colOff>
      <xdr:row>48</xdr:row>
      <xdr:rowOff>561975</xdr:rowOff>
    </xdr:to>
    <xdr:pic>
      <xdr:nvPicPr>
        <xdr:cNvPr id="3" name="Picture 2">
          <a:extLst>
            <a:ext uri="{FF2B5EF4-FFF2-40B4-BE49-F238E27FC236}">
              <a16:creationId xmlns:a16="http://schemas.microsoft.com/office/drawing/2014/main" id="{E7B4D80D-84F8-420E-9F9F-150A8DF53AE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468600" y="5553075"/>
          <a:ext cx="7620000" cy="441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2228850</xdr:colOff>
      <xdr:row>14</xdr:row>
      <xdr:rowOff>0</xdr:rowOff>
    </xdr:from>
    <xdr:to>
      <xdr:col>5</xdr:col>
      <xdr:colOff>200025</xdr:colOff>
      <xdr:row>17</xdr:row>
      <xdr:rowOff>66675</xdr:rowOff>
    </xdr:to>
    <xdr:pic>
      <xdr:nvPicPr>
        <xdr:cNvPr id="2" name="Image 2">
          <a:extLst>
            <a:ext uri="{FF2B5EF4-FFF2-40B4-BE49-F238E27FC236}">
              <a16:creationId xmlns:a16="http://schemas.microsoft.com/office/drawing/2014/main" id="{F85639F3-AE92-42B6-A97E-25D7A68B5B0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381500" y="152400"/>
          <a:ext cx="571500" cy="4953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ton Russell" refreshedDate="44261.54054548611" createdVersion="6" refreshedVersion="6" minRefreshableVersion="3" recordCount="43" xr:uid="{75DBC9DF-B693-41D4-B11D-FEF8A0E0E376}">
  <cacheSource type="worksheet">
    <worksheetSource ref="A1:E44" sheet="daly_viz_data"/>
  </cacheSource>
  <cacheFields count="5">
    <cacheField name="Disease state" numFmtId="0">
      <sharedItems count="36">
        <s v="Sepsis inpatient"/>
        <s v="Sepsis sequelae (20-60d)"/>
        <s v="FNHTR (7-30d)"/>
        <s v="Malaria (7-20d)"/>
        <s v="Syphilis 1-year disability"/>
        <s v="Chronic HBeAG- subclinical"/>
        <s v="Chronic HBeAG- clinically managed"/>
        <s v="Compensated cirrhosis subclinical"/>
        <s v="Decompensated cirrhosis subclinical"/>
        <s v="Hepatocellular carcinoma"/>
        <s v="Immune reactive on AVT"/>
        <s v="Chronic HBeAG- on AVT"/>
        <s v="Compensated cirrhosis on AVT"/>
        <s v="Decompensated cirrhosis on AVT"/>
        <s v="Acute subclinical"/>
        <s v="Acute clinically managed"/>
        <s v="No infection"/>
        <s v="Immune tolerant subclinical"/>
        <s v="Immune tolerant clinically managed"/>
        <s v="Carrier subclinical"/>
        <s v="Carrier clinically managed"/>
        <s v="Immune reactive subclinical"/>
        <s v="Acute on AVT"/>
        <s v="Chronic HCV subclinical"/>
        <s v="Chronic HCV on AVT"/>
        <s v="Chronic HCV treatment failure"/>
        <s v="Compensated cirrhosis treatment failure"/>
        <s v="Decompensated cirrhosis treatment failure"/>
        <s v="AIDS undetected"/>
        <s v="ART year 1"/>
        <s v="ART year 2"/>
        <s v="ART year 3"/>
        <s v="ART year 4+"/>
        <s v="AIDS on ART year 1"/>
        <s v="AIDS on ART year 2"/>
        <s v="Residual disability from AIDS on AVT"/>
      </sharedItems>
    </cacheField>
    <cacheField name="Disease" numFmtId="0">
      <sharedItems count="4">
        <s v="Acute"/>
        <s v="HBV"/>
        <s v="HCV"/>
        <s v="HIV"/>
      </sharedItems>
    </cacheField>
    <cacheField name="Disability weight" numFmtId="0">
      <sharedItems containsSemiMixedTypes="0" containsString="0" containsNumber="1" minValue="0" maxValue="0.69"/>
    </cacheField>
    <cacheField name="LB" numFmtId="0">
      <sharedItems containsSemiMixedTypes="0" containsString="0" containsNumber="1" minValue="0" maxValue="0.59"/>
    </cacheField>
    <cacheField name="UB" numFmtId="0">
      <sharedItems containsSemiMixedTypes="0" containsString="0" containsNumber="1" minValue="0" maxValue="0.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x v="0"/>
    <n v="0.5"/>
    <n v="0.4"/>
    <n v="0.6"/>
  </r>
  <r>
    <x v="1"/>
    <x v="0"/>
    <n v="0.69"/>
    <n v="0.59"/>
    <n v="0.79"/>
  </r>
  <r>
    <x v="2"/>
    <x v="0"/>
    <n v="5.0999999999999997E-2"/>
    <n v="3.2000000000000001E-2"/>
    <n v="7.3999999999999996E-2"/>
  </r>
  <r>
    <x v="3"/>
    <x v="0"/>
    <n v="5.0999999999999997E-2"/>
    <n v="3.2000000000000001E-2"/>
    <n v="7.3999999999999996E-2"/>
  </r>
  <r>
    <x v="4"/>
    <x v="0"/>
    <n v="0.12"/>
    <n v="8.9999999999999969E-2"/>
    <n v="0.15000000000000002"/>
  </r>
  <r>
    <x v="5"/>
    <x v="1"/>
    <n v="5.2999999999999999E-2"/>
    <n v="0"/>
    <n v="6.359999999999999E-2"/>
  </r>
  <r>
    <x v="6"/>
    <x v="1"/>
    <n v="5.2999999999999999E-2"/>
    <n v="0"/>
    <n v="6.359999999999999E-2"/>
  </r>
  <r>
    <x v="7"/>
    <x v="1"/>
    <n v="0.127"/>
    <n v="0.10160000000000001"/>
    <n v="0.15240000000000001"/>
  </r>
  <r>
    <x v="8"/>
    <x v="1"/>
    <n v="0.127"/>
    <n v="0.10160000000000001"/>
    <n v="0.15240000000000001"/>
  </r>
  <r>
    <x v="9"/>
    <x v="1"/>
    <n v="0.51900000000000002"/>
    <n v="0.41520000000000001"/>
    <n v="0.62280000000000002"/>
  </r>
  <r>
    <x v="10"/>
    <x v="1"/>
    <n v="5.2999999999999999E-2"/>
    <n v="4.24E-2"/>
    <n v="6.359999999999999E-2"/>
  </r>
  <r>
    <x v="11"/>
    <x v="1"/>
    <n v="5.2999999999999999E-2"/>
    <n v="4.24E-2"/>
    <n v="6.359999999999999E-2"/>
  </r>
  <r>
    <x v="12"/>
    <x v="1"/>
    <n v="5.2999999999999999E-2"/>
    <n v="4.24E-2"/>
    <n v="6.359999999999999E-2"/>
  </r>
  <r>
    <x v="13"/>
    <x v="1"/>
    <n v="0.127"/>
    <n v="0.10160000000000001"/>
    <n v="0.15240000000000001"/>
  </r>
  <r>
    <x v="14"/>
    <x v="1"/>
    <n v="0"/>
    <n v="0"/>
    <n v="0"/>
  </r>
  <r>
    <x v="15"/>
    <x v="1"/>
    <n v="0"/>
    <n v="0"/>
    <n v="0"/>
  </r>
  <r>
    <x v="16"/>
    <x v="1"/>
    <n v="0"/>
    <n v="0"/>
    <n v="0"/>
  </r>
  <r>
    <x v="17"/>
    <x v="1"/>
    <n v="5.2999999999999999E-2"/>
    <n v="0"/>
    <n v="6.359999999999999E-2"/>
  </r>
  <r>
    <x v="18"/>
    <x v="1"/>
    <n v="5.2999999999999999E-2"/>
    <n v="0"/>
    <n v="6.359999999999999E-2"/>
  </r>
  <r>
    <x v="19"/>
    <x v="1"/>
    <n v="5.2999999999999999E-2"/>
    <n v="0"/>
    <n v="6.359999999999999E-2"/>
  </r>
  <r>
    <x v="20"/>
    <x v="1"/>
    <n v="5.2999999999999999E-2"/>
    <n v="0"/>
    <n v="6.359999999999999E-2"/>
  </r>
  <r>
    <x v="21"/>
    <x v="1"/>
    <n v="5.2999999999999999E-2"/>
    <n v="0"/>
    <n v="6.359999999999999E-2"/>
  </r>
  <r>
    <x v="14"/>
    <x v="2"/>
    <n v="0"/>
    <n v="0"/>
    <n v="0"/>
  </r>
  <r>
    <x v="16"/>
    <x v="2"/>
    <n v="0"/>
    <n v="0"/>
    <n v="0"/>
  </r>
  <r>
    <x v="22"/>
    <x v="2"/>
    <n v="4.0000000000000036E-2"/>
    <n v="0"/>
    <n v="0.08"/>
  </r>
  <r>
    <x v="23"/>
    <x v="2"/>
    <n v="0.20999999999999996"/>
    <n v="0.18000000000000005"/>
    <n v="0.26"/>
  </r>
  <r>
    <x v="24"/>
    <x v="2"/>
    <n v="0.25"/>
    <n v="8.9999999999999969E-2"/>
    <n v="0.41000000000000003"/>
  </r>
  <r>
    <x v="25"/>
    <x v="2"/>
    <n v="0.20999999999999996"/>
    <n v="0.18000000000000005"/>
    <n v="0.26"/>
  </r>
  <r>
    <x v="7"/>
    <x v="2"/>
    <n v="0.252"/>
    <n v="0.22999999999999998"/>
    <n v="0.26"/>
  </r>
  <r>
    <x v="12"/>
    <x v="2"/>
    <n v="0.29900000000000004"/>
    <n v="0.15000000000000002"/>
    <n v="0.44999999999999996"/>
  </r>
  <r>
    <x v="26"/>
    <x v="2"/>
    <n v="0.252"/>
    <n v="0.22999999999999998"/>
    <n v="0.26"/>
  </r>
  <r>
    <x v="8"/>
    <x v="2"/>
    <n v="0.32799999999999996"/>
    <n v="0.4"/>
    <n v="0.31000000000000005"/>
  </r>
  <r>
    <x v="13"/>
    <x v="2"/>
    <n v="0.38917460317460317"/>
    <n v="0.47460317460317469"/>
    <n v="0.36781746031746043"/>
  </r>
  <r>
    <x v="27"/>
    <x v="2"/>
    <n v="0.32799999999999996"/>
    <n v="0.4"/>
    <n v="0.31000000000000005"/>
  </r>
  <r>
    <x v="9"/>
    <x v="2"/>
    <n v="0.39"/>
    <n v="0.32999999999999996"/>
    <n v="0.8"/>
  </r>
  <r>
    <x v="28"/>
    <x v="3"/>
    <n v="0.13700000000000001"/>
    <n v="9.1999999999999998E-2"/>
    <n v="0.1885"/>
  </r>
  <r>
    <x v="29"/>
    <x v="3"/>
    <n v="0.127"/>
    <n v="8.4999999999999992E-2"/>
    <n v="0.17749999999999999"/>
  </r>
  <r>
    <x v="30"/>
    <x v="3"/>
    <n v="7.8E-2"/>
    <n v="5.1999999999999998E-2"/>
    <n v="0.111"/>
  </r>
  <r>
    <x v="31"/>
    <x v="3"/>
    <n v="7.8E-2"/>
    <n v="5.1999999999999998E-2"/>
    <n v="0.111"/>
  </r>
  <r>
    <x v="32"/>
    <x v="3"/>
    <n v="7.8E-2"/>
    <n v="5.1999999999999998E-2"/>
    <n v="0.111"/>
  </r>
  <r>
    <x v="33"/>
    <x v="3"/>
    <n v="0.32999999999999996"/>
    <n v="0.22900000000000001"/>
    <n v="0.42699999999999999"/>
  </r>
  <r>
    <x v="34"/>
    <x v="3"/>
    <n v="0.20399999999999999"/>
    <n v="0.14050000000000001"/>
    <n v="0.26900000000000002"/>
  </r>
  <r>
    <x v="35"/>
    <x v="3"/>
    <n v="0.20399999999999999"/>
    <n v="0.14050000000000001"/>
    <n v="0.26900000000000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26A50F-149C-46C7-8B66-4A660E774265}" name="PivotTable2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3:D101" firstHeaderRow="0" firstDataRow="1" firstDataCol="1"/>
  <pivotFields count="5">
    <pivotField axis="axisRow" showAll="0">
      <items count="37">
        <item x="2"/>
        <item x="3"/>
        <item x="14"/>
        <item x="16"/>
        <item x="22"/>
        <item x="23"/>
        <item x="24"/>
        <item x="25"/>
        <item x="7"/>
        <item x="12"/>
        <item x="26"/>
        <item x="8"/>
        <item x="13"/>
        <item x="27"/>
        <item x="9"/>
        <item x="5"/>
        <item x="6"/>
        <item x="10"/>
        <item x="11"/>
        <item x="15"/>
        <item x="17"/>
        <item x="18"/>
        <item x="19"/>
        <item x="20"/>
        <item x="21"/>
        <item x="0"/>
        <item x="4"/>
        <item x="1"/>
        <item x="28"/>
        <item x="29"/>
        <item x="30"/>
        <item x="31"/>
        <item x="32"/>
        <item x="33"/>
        <item x="34"/>
        <item x="35"/>
        <item t="default"/>
      </items>
    </pivotField>
    <pivotField axis="axisRow" showAll="0" sortType="ascending">
      <items count="5">
        <item x="1"/>
        <item x="2"/>
        <item x="3"/>
        <item x="0"/>
        <item t="default"/>
      </items>
    </pivotField>
    <pivotField dataField="1" numFmtId="9" showAll="0"/>
    <pivotField dataField="1" numFmtId="9" showAll="0"/>
    <pivotField dataField="1" numFmtId="9" showAll="0"/>
  </pivotFields>
  <rowFields count="2">
    <field x="1"/>
    <field x="0"/>
  </rowFields>
  <rowItems count="48">
    <i>
      <x/>
    </i>
    <i r="1">
      <x v="2"/>
    </i>
    <i r="1">
      <x v="3"/>
    </i>
    <i r="1">
      <x v="8"/>
    </i>
    <i r="1">
      <x v="9"/>
    </i>
    <i r="1">
      <x v="11"/>
    </i>
    <i r="1">
      <x v="12"/>
    </i>
    <i r="1">
      <x v="14"/>
    </i>
    <i r="1">
      <x v="15"/>
    </i>
    <i r="1">
      <x v="16"/>
    </i>
    <i r="1">
      <x v="17"/>
    </i>
    <i r="1">
      <x v="18"/>
    </i>
    <i r="1">
      <x v="19"/>
    </i>
    <i r="1">
      <x v="20"/>
    </i>
    <i r="1">
      <x v="21"/>
    </i>
    <i r="1">
      <x v="22"/>
    </i>
    <i r="1">
      <x v="23"/>
    </i>
    <i r="1">
      <x v="24"/>
    </i>
    <i>
      <x v="1"/>
    </i>
    <i r="1">
      <x v="2"/>
    </i>
    <i r="1">
      <x v="3"/>
    </i>
    <i r="1">
      <x v="4"/>
    </i>
    <i r="1">
      <x v="5"/>
    </i>
    <i r="1">
      <x v="6"/>
    </i>
    <i r="1">
      <x v="7"/>
    </i>
    <i r="1">
      <x v="8"/>
    </i>
    <i r="1">
      <x v="9"/>
    </i>
    <i r="1">
      <x v="10"/>
    </i>
    <i r="1">
      <x v="11"/>
    </i>
    <i r="1">
      <x v="12"/>
    </i>
    <i r="1">
      <x v="13"/>
    </i>
    <i r="1">
      <x v="14"/>
    </i>
    <i>
      <x v="2"/>
    </i>
    <i r="1">
      <x v="28"/>
    </i>
    <i r="1">
      <x v="29"/>
    </i>
    <i r="1">
      <x v="30"/>
    </i>
    <i r="1">
      <x v="31"/>
    </i>
    <i r="1">
      <x v="32"/>
    </i>
    <i r="1">
      <x v="33"/>
    </i>
    <i r="1">
      <x v="34"/>
    </i>
    <i r="1">
      <x v="35"/>
    </i>
    <i>
      <x v="3"/>
    </i>
    <i r="1">
      <x/>
    </i>
    <i r="1">
      <x v="1"/>
    </i>
    <i r="1">
      <x v="25"/>
    </i>
    <i r="1">
      <x v="26"/>
    </i>
    <i r="1">
      <x v="27"/>
    </i>
    <i t="grand">
      <x/>
    </i>
  </rowItems>
  <colFields count="1">
    <field x="-2"/>
  </colFields>
  <colItems count="3">
    <i>
      <x/>
    </i>
    <i i="1">
      <x v="1"/>
    </i>
    <i i="2">
      <x v="2"/>
    </i>
  </colItems>
  <dataFields count="3">
    <dataField name="Average of UB" fld="4" subtotal="average" baseField="0" baseItem="0"/>
    <dataField name="Average of Disability weight" fld="2" subtotal="average" baseField="0" baseItem="0"/>
    <dataField name="Average of LB" fld="3" subtotal="average" baseField="0" baseItem="0"/>
  </dataFields>
  <formats count="1">
    <format dxfId="0">
      <pivotArea outline="0" collapsedLevelsAreSubtotals="1" fieldPosition="0"/>
    </format>
  </formats>
  <chartFormats count="3">
    <chartFormat chart="1" format="11" series="1">
      <pivotArea type="data" outline="0" fieldPosition="0">
        <references count="1">
          <reference field="4294967294" count="1" selected="0">
            <x v="0"/>
          </reference>
        </references>
      </pivotArea>
    </chartFormat>
    <chartFormat chart="1" format="12" series="1">
      <pivotArea type="data" outline="0" fieldPosition="0">
        <references count="1">
          <reference field="4294967294" count="1" selected="0">
            <x v="1"/>
          </reference>
        </references>
      </pivotArea>
    </chartFormat>
    <chartFormat chart="1" format="13"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
  <sheetViews>
    <sheetView workbookViewId="0">
      <selection activeCell="P14" sqref="P14"/>
    </sheetView>
  </sheetViews>
  <sheetFormatPr defaultRowHeight="15" x14ac:dyDescent="0.25"/>
  <cols>
    <col min="1" max="1" width="58.140625" customWidth="1"/>
    <col min="2" max="2" width="11.28515625" bestFit="1" customWidth="1"/>
    <col min="3" max="3" width="6" customWidth="1"/>
    <col min="4" max="5" width="7.5703125" customWidth="1"/>
  </cols>
  <sheetData>
    <row r="1" spans="1:6" x14ac:dyDescent="0.25">
      <c r="A1" s="2" t="s">
        <v>29</v>
      </c>
      <c r="C1">
        <v>2016</v>
      </c>
      <c r="D1">
        <v>2016</v>
      </c>
    </row>
    <row r="2" spans="1:6" x14ac:dyDescent="0.25">
      <c r="A2" t="s">
        <v>0</v>
      </c>
      <c r="B2" t="s">
        <v>1</v>
      </c>
      <c r="C2" t="s">
        <v>2</v>
      </c>
      <c r="D2" t="s">
        <v>3</v>
      </c>
      <c r="F2" t="s">
        <v>75</v>
      </c>
    </row>
    <row r="3" spans="1:6" x14ac:dyDescent="0.25">
      <c r="A3" t="s">
        <v>4</v>
      </c>
      <c r="B3" t="s">
        <v>5</v>
      </c>
      <c r="C3">
        <v>4.5999999999999999E-2</v>
      </c>
      <c r="D3">
        <v>3.9E-2</v>
      </c>
      <c r="E3">
        <v>0</v>
      </c>
      <c r="F3">
        <f>AVERAGE(C3:D3)</f>
        <v>4.2499999999999996E-2</v>
      </c>
    </row>
    <row r="4" spans="1:6" x14ac:dyDescent="0.25">
      <c r="A4" t="s">
        <v>4</v>
      </c>
      <c r="B4" t="s">
        <v>6</v>
      </c>
      <c r="C4">
        <v>5.0000000000000001E-3</v>
      </c>
      <c r="D4">
        <v>4.0000000000000001E-3</v>
      </c>
      <c r="E4">
        <v>1</v>
      </c>
      <c r="F4">
        <f t="shared" ref="F4:F21" si="0">AVERAGE(C4:D4)</f>
        <v>4.5000000000000005E-3</v>
      </c>
    </row>
    <row r="5" spans="1:6" x14ac:dyDescent="0.25">
      <c r="A5" t="s">
        <v>4</v>
      </c>
      <c r="B5" t="s">
        <v>7</v>
      </c>
      <c r="C5">
        <v>2E-3</v>
      </c>
      <c r="D5">
        <v>2E-3</v>
      </c>
      <c r="E5">
        <v>5</v>
      </c>
      <c r="F5">
        <f t="shared" si="0"/>
        <v>2E-3</v>
      </c>
    </row>
    <row r="6" spans="1:6" x14ac:dyDescent="0.25">
      <c r="A6" t="s">
        <v>4</v>
      </c>
      <c r="B6" t="s">
        <v>8</v>
      </c>
      <c r="C6">
        <v>1E-3</v>
      </c>
      <c r="D6">
        <v>1E-3</v>
      </c>
      <c r="E6">
        <v>10</v>
      </c>
      <c r="F6">
        <f t="shared" si="0"/>
        <v>1E-3</v>
      </c>
    </row>
    <row r="7" spans="1:6" x14ac:dyDescent="0.25">
      <c r="A7" t="s">
        <v>4</v>
      </c>
      <c r="B7" t="s">
        <v>9</v>
      </c>
      <c r="C7">
        <v>2E-3</v>
      </c>
      <c r="D7">
        <v>2E-3</v>
      </c>
      <c r="E7">
        <v>15</v>
      </c>
      <c r="F7">
        <f t="shared" si="0"/>
        <v>2E-3</v>
      </c>
    </row>
    <row r="8" spans="1:6" x14ac:dyDescent="0.25">
      <c r="A8" t="s">
        <v>4</v>
      </c>
      <c r="B8" t="s">
        <v>10</v>
      </c>
      <c r="C8">
        <v>3.0000000000000001E-3</v>
      </c>
      <c r="D8">
        <v>3.0000000000000001E-3</v>
      </c>
      <c r="E8">
        <v>20</v>
      </c>
      <c r="F8">
        <f t="shared" si="0"/>
        <v>3.0000000000000001E-3</v>
      </c>
    </row>
    <row r="9" spans="1:6" x14ac:dyDescent="0.25">
      <c r="A9" t="s">
        <v>4</v>
      </c>
      <c r="B9" t="s">
        <v>11</v>
      </c>
      <c r="C9">
        <v>3.0000000000000001E-3</v>
      </c>
      <c r="D9">
        <v>3.0000000000000001E-3</v>
      </c>
      <c r="E9">
        <v>25</v>
      </c>
      <c r="F9">
        <f t="shared" si="0"/>
        <v>3.0000000000000001E-3</v>
      </c>
    </row>
    <row r="10" spans="1:6" x14ac:dyDescent="0.25">
      <c r="A10" t="s">
        <v>4</v>
      </c>
      <c r="B10" t="s">
        <v>12</v>
      </c>
      <c r="C10">
        <v>4.0000000000000001E-3</v>
      </c>
      <c r="D10">
        <v>4.0000000000000001E-3</v>
      </c>
      <c r="E10">
        <v>30</v>
      </c>
      <c r="F10">
        <f t="shared" si="0"/>
        <v>4.0000000000000001E-3</v>
      </c>
    </row>
    <row r="11" spans="1:6" x14ac:dyDescent="0.25">
      <c r="A11" t="s">
        <v>4</v>
      </c>
      <c r="B11" t="s">
        <v>13</v>
      </c>
      <c r="C11">
        <v>5.0000000000000001E-3</v>
      </c>
      <c r="D11">
        <v>5.0000000000000001E-3</v>
      </c>
      <c r="E11">
        <v>35</v>
      </c>
      <c r="F11">
        <f t="shared" si="0"/>
        <v>5.0000000000000001E-3</v>
      </c>
    </row>
    <row r="12" spans="1:6" x14ac:dyDescent="0.25">
      <c r="A12" t="s">
        <v>4</v>
      </c>
      <c r="B12" t="s">
        <v>14</v>
      </c>
      <c r="C12">
        <v>7.0000000000000001E-3</v>
      </c>
      <c r="D12">
        <v>6.0000000000000001E-3</v>
      </c>
      <c r="E12">
        <v>40</v>
      </c>
      <c r="F12">
        <f t="shared" si="0"/>
        <v>6.5000000000000006E-3</v>
      </c>
    </row>
    <row r="13" spans="1:6" x14ac:dyDescent="0.25">
      <c r="A13" t="s">
        <v>4</v>
      </c>
      <c r="B13" t="s">
        <v>15</v>
      </c>
      <c r="C13">
        <v>8.9999999999999993E-3</v>
      </c>
      <c r="D13">
        <v>7.0000000000000001E-3</v>
      </c>
      <c r="E13">
        <v>45</v>
      </c>
      <c r="F13">
        <f t="shared" si="0"/>
        <v>8.0000000000000002E-3</v>
      </c>
    </row>
    <row r="14" spans="1:6" x14ac:dyDescent="0.25">
      <c r="A14" t="s">
        <v>4</v>
      </c>
      <c r="B14" t="s">
        <v>16</v>
      </c>
      <c r="C14">
        <v>1.2E-2</v>
      </c>
      <c r="D14">
        <v>8.9999999999999993E-3</v>
      </c>
      <c r="E14">
        <v>50</v>
      </c>
      <c r="F14">
        <f t="shared" si="0"/>
        <v>1.0499999999999999E-2</v>
      </c>
    </row>
    <row r="15" spans="1:6" x14ac:dyDescent="0.25">
      <c r="A15" t="s">
        <v>4</v>
      </c>
      <c r="B15" t="s">
        <v>17</v>
      </c>
      <c r="C15">
        <v>1.7000000000000001E-2</v>
      </c>
      <c r="D15">
        <v>1.0999999999999999E-2</v>
      </c>
      <c r="E15">
        <v>55</v>
      </c>
      <c r="F15">
        <f t="shared" si="0"/>
        <v>1.4E-2</v>
      </c>
    </row>
    <row r="16" spans="1:6" x14ac:dyDescent="0.25">
      <c r="A16" t="s">
        <v>4</v>
      </c>
      <c r="B16" t="s">
        <v>18</v>
      </c>
      <c r="C16">
        <v>2.5999999999999999E-2</v>
      </c>
      <c r="D16">
        <v>2.1000000000000001E-2</v>
      </c>
      <c r="E16">
        <v>60</v>
      </c>
      <c r="F16">
        <f t="shared" si="0"/>
        <v>2.35E-2</v>
      </c>
    </row>
    <row r="17" spans="1:6" x14ac:dyDescent="0.25">
      <c r="A17" t="s">
        <v>4</v>
      </c>
      <c r="B17" t="s">
        <v>19</v>
      </c>
      <c r="C17">
        <v>0.04</v>
      </c>
      <c r="D17">
        <v>3.4000000000000002E-2</v>
      </c>
      <c r="E17">
        <v>65</v>
      </c>
      <c r="F17">
        <f t="shared" si="0"/>
        <v>3.7000000000000005E-2</v>
      </c>
    </row>
    <row r="18" spans="1:6" x14ac:dyDescent="0.25">
      <c r="A18" t="s">
        <v>4</v>
      </c>
      <c r="B18" t="s">
        <v>20</v>
      </c>
      <c r="C18">
        <v>6.6000000000000003E-2</v>
      </c>
      <c r="D18">
        <v>5.8999999999999997E-2</v>
      </c>
      <c r="E18">
        <v>70</v>
      </c>
      <c r="F18">
        <f t="shared" si="0"/>
        <v>6.25E-2</v>
      </c>
    </row>
    <row r="19" spans="1:6" x14ac:dyDescent="0.25">
      <c r="A19" t="s">
        <v>4</v>
      </c>
      <c r="B19" t="s">
        <v>21</v>
      </c>
      <c r="C19">
        <v>0.111</v>
      </c>
      <c r="D19">
        <v>0.10100000000000001</v>
      </c>
      <c r="E19">
        <v>75</v>
      </c>
      <c r="F19">
        <f t="shared" si="0"/>
        <v>0.10600000000000001</v>
      </c>
    </row>
    <row r="20" spans="1:6" x14ac:dyDescent="0.25">
      <c r="A20" t="s">
        <v>4</v>
      </c>
      <c r="B20" t="s">
        <v>22</v>
      </c>
      <c r="C20">
        <v>0.17599999999999999</v>
      </c>
      <c r="D20">
        <v>0.16300000000000001</v>
      </c>
      <c r="E20">
        <v>80</v>
      </c>
      <c r="F20">
        <f t="shared" si="0"/>
        <v>0.16949999999999998</v>
      </c>
    </row>
    <row r="21" spans="1:6" x14ac:dyDescent="0.25">
      <c r="A21" t="s">
        <v>4</v>
      </c>
      <c r="B21" t="s">
        <v>76</v>
      </c>
      <c r="C21">
        <v>0.28599999999999998</v>
      </c>
      <c r="D21">
        <v>0.27300000000000002</v>
      </c>
      <c r="E21">
        <v>85</v>
      </c>
      <c r="F21">
        <f t="shared" si="0"/>
        <v>0.27949999999999997</v>
      </c>
    </row>
    <row r="22" spans="1:6" x14ac:dyDescent="0.25">
      <c r="B22" t="s">
        <v>74</v>
      </c>
      <c r="E22">
        <v>95</v>
      </c>
      <c r="F22">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4FF86-A0ED-4C2F-8275-46F692D7F4AC}">
  <dimension ref="B1:AZ23"/>
  <sheetViews>
    <sheetView showGridLines="0" tabSelected="1" zoomScaleNormal="100" workbookViewId="0">
      <selection activeCell="G26" sqref="G26"/>
    </sheetView>
  </sheetViews>
  <sheetFormatPr defaultRowHeight="15" x14ac:dyDescent="0.25"/>
  <cols>
    <col min="1" max="1" width="2.42578125" customWidth="1"/>
    <col min="2" max="2" width="12.28515625" bestFit="1" customWidth="1"/>
    <col min="3" max="3" width="9" bestFit="1" customWidth="1"/>
    <col min="4" max="4" width="7.85546875" bestFit="1" customWidth="1"/>
    <col min="5" max="5" width="12.28515625" bestFit="1" customWidth="1"/>
    <col min="6" max="6" width="10.5703125" bestFit="1" customWidth="1"/>
    <col min="7" max="7" width="9.42578125" bestFit="1" customWidth="1"/>
    <col min="8" max="8" width="10.42578125" bestFit="1" customWidth="1"/>
    <col min="9" max="9" width="6.42578125" bestFit="1" customWidth="1"/>
    <col min="10" max="10" width="5.28515625" bestFit="1" customWidth="1"/>
    <col min="11" max="11" width="6.28515625" bestFit="1" customWidth="1"/>
    <col min="12" max="12" width="7.7109375" bestFit="1" customWidth="1"/>
    <col min="13" max="13" width="6.5703125" bestFit="1" customWidth="1"/>
    <col min="14" max="14" width="7.5703125" bestFit="1" customWidth="1"/>
    <col min="15" max="15" width="4.5703125" bestFit="1" customWidth="1"/>
    <col min="16" max="16" width="10.85546875" bestFit="1" customWidth="1"/>
    <col min="17" max="17" width="6.140625" bestFit="1" customWidth="1"/>
    <col min="18" max="18" width="13.5703125" customWidth="1"/>
    <col min="19" max="19" width="13.7109375" bestFit="1" customWidth="1"/>
    <col min="20" max="20" width="9" bestFit="1" customWidth="1"/>
    <col min="21" max="21" width="9.7109375" bestFit="1" customWidth="1"/>
    <col min="22" max="22" width="11.5703125" bestFit="1" customWidth="1"/>
    <col min="23" max="23" width="12.28515625" bestFit="1" customWidth="1"/>
    <col min="24" max="24" width="9.85546875" bestFit="1" customWidth="1"/>
    <col min="25" max="25" width="10.5703125" bestFit="1" customWidth="1"/>
    <col min="26" max="26" width="13.7109375" bestFit="1" customWidth="1"/>
    <col min="27" max="27" width="12.42578125" bestFit="1" customWidth="1"/>
    <col min="28" max="28" width="10.5703125" bestFit="1" customWidth="1"/>
    <col min="29" max="29" width="11.28515625" bestFit="1" customWidth="1"/>
    <col min="30" max="30" width="9.42578125" bestFit="1" customWidth="1"/>
    <col min="31" max="31" width="6.42578125" bestFit="1" customWidth="1"/>
    <col min="32" max="32" width="5.28515625" bestFit="1" customWidth="1"/>
    <col min="33" max="33" width="7.7109375" bestFit="1" customWidth="1"/>
    <col min="34" max="34" width="6.5703125" bestFit="1" customWidth="1"/>
    <col min="35" max="35" width="4.5703125" bestFit="1" customWidth="1"/>
    <col min="36" max="36" width="12.28515625" bestFit="1" customWidth="1"/>
    <col min="37" max="37" width="10.85546875" bestFit="1" customWidth="1"/>
    <col min="38" max="38" width="6.140625" bestFit="1" customWidth="1"/>
    <col min="40" max="40" width="11.5703125" bestFit="1" customWidth="1"/>
    <col min="41" max="43" width="9.28515625" bestFit="1" customWidth="1"/>
    <col min="44" max="47" width="6.42578125" bestFit="1" customWidth="1"/>
    <col min="48" max="48" width="8.28515625" bestFit="1" customWidth="1"/>
    <col min="49" max="50" width="11.5703125" bestFit="1" customWidth="1"/>
    <col min="51" max="51" width="10.28515625" bestFit="1" customWidth="1"/>
    <col min="52" max="52" width="6.140625" bestFit="1" customWidth="1"/>
  </cols>
  <sheetData>
    <row r="1" spans="2:52" ht="10.5" customHeight="1" thickBot="1" x14ac:dyDescent="0.3"/>
    <row r="2" spans="2:52" ht="16.5" thickBot="1" x14ac:dyDescent="0.3">
      <c r="B2" s="144" t="s">
        <v>66</v>
      </c>
      <c r="C2" s="145"/>
      <c r="D2" s="145"/>
      <c r="E2" s="145"/>
      <c r="F2" s="145"/>
      <c r="G2" s="145"/>
      <c r="H2" s="145"/>
      <c r="I2" s="145"/>
      <c r="J2" s="145"/>
      <c r="K2" s="145"/>
      <c r="L2" s="145"/>
      <c r="M2" s="145"/>
      <c r="N2" s="145"/>
      <c r="O2" s="145"/>
      <c r="P2" s="145"/>
      <c r="Q2" s="146"/>
      <c r="S2" s="144" t="s">
        <v>67</v>
      </c>
      <c r="T2" s="145"/>
      <c r="U2" s="145"/>
      <c r="V2" s="145"/>
      <c r="W2" s="145"/>
      <c r="X2" s="145"/>
      <c r="Y2" s="145"/>
      <c r="Z2" s="145"/>
      <c r="AA2" s="145"/>
      <c r="AB2" s="145"/>
      <c r="AC2" s="145"/>
      <c r="AD2" s="145"/>
      <c r="AE2" s="145"/>
      <c r="AF2" s="145"/>
      <c r="AG2" s="145"/>
      <c r="AH2" s="145"/>
      <c r="AI2" s="145"/>
      <c r="AJ2" s="145"/>
      <c r="AK2" s="145"/>
      <c r="AL2" s="146"/>
      <c r="AN2" s="147" t="s">
        <v>65</v>
      </c>
      <c r="AO2" s="148"/>
      <c r="AP2" s="148"/>
      <c r="AQ2" s="148"/>
      <c r="AR2" s="148"/>
      <c r="AS2" s="148"/>
      <c r="AT2" s="148"/>
      <c r="AU2" s="148"/>
      <c r="AV2" s="148"/>
      <c r="AW2" s="148"/>
      <c r="AX2" s="148"/>
      <c r="AY2" s="148"/>
      <c r="AZ2" s="148"/>
    </row>
    <row r="3" spans="2:52" x14ac:dyDescent="0.25">
      <c r="C3" s="3"/>
      <c r="D3" s="3"/>
      <c r="E3" s="3"/>
      <c r="F3" s="3"/>
      <c r="G3" s="3"/>
      <c r="H3" s="3"/>
      <c r="I3" s="3"/>
      <c r="J3" s="3"/>
      <c r="K3" s="3"/>
      <c r="L3" s="3"/>
      <c r="M3" s="3"/>
      <c r="T3" s="3"/>
      <c r="U3" s="3"/>
      <c r="V3" s="3"/>
      <c r="W3" s="3"/>
      <c r="X3" s="3"/>
      <c r="Y3" s="3"/>
      <c r="Z3" s="3"/>
      <c r="AA3" s="3"/>
      <c r="AB3" s="3"/>
      <c r="AC3" s="3"/>
      <c r="AD3" s="3"/>
    </row>
    <row r="4" spans="2:52" x14ac:dyDescent="0.25">
      <c r="B4" s="5"/>
      <c r="C4" s="6" t="s">
        <v>369</v>
      </c>
      <c r="D4" s="6" t="s">
        <v>255</v>
      </c>
      <c r="E4" s="6" t="s">
        <v>64</v>
      </c>
      <c r="F4" s="6" t="s">
        <v>368</v>
      </c>
      <c r="G4" s="6" t="s">
        <v>61</v>
      </c>
      <c r="H4" s="6" t="s">
        <v>364</v>
      </c>
      <c r="I4" s="6" t="s">
        <v>366</v>
      </c>
      <c r="J4" s="6" t="s">
        <v>62</v>
      </c>
      <c r="K4" s="6" t="s">
        <v>365</v>
      </c>
      <c r="L4" s="6" t="s">
        <v>367</v>
      </c>
      <c r="M4" s="6" t="s">
        <v>70</v>
      </c>
      <c r="N4" s="6" t="s">
        <v>370</v>
      </c>
      <c r="O4" s="6" t="s">
        <v>31</v>
      </c>
      <c r="P4" s="6" t="s">
        <v>63</v>
      </c>
      <c r="Q4" s="6" t="s">
        <v>55</v>
      </c>
      <c r="S4" s="5"/>
      <c r="T4" s="5" t="s">
        <v>369</v>
      </c>
      <c r="U4" s="5" t="s">
        <v>373</v>
      </c>
      <c r="V4" s="5" t="s">
        <v>374</v>
      </c>
      <c r="W4" s="5" t="s">
        <v>375</v>
      </c>
      <c r="X4" s="5" t="s">
        <v>379</v>
      </c>
      <c r="Y4" s="5" t="s">
        <v>384</v>
      </c>
      <c r="Z4" s="5" t="s">
        <v>377</v>
      </c>
      <c r="AA4" s="5" t="s">
        <v>69</v>
      </c>
      <c r="AB4" s="5" t="s">
        <v>368</v>
      </c>
      <c r="AC4" s="5" t="s">
        <v>385</v>
      </c>
      <c r="AD4" s="5" t="s">
        <v>61</v>
      </c>
      <c r="AE4" s="5" t="s">
        <v>366</v>
      </c>
      <c r="AF4" s="5" t="s">
        <v>62</v>
      </c>
      <c r="AG4" s="5" t="s">
        <v>367</v>
      </c>
      <c r="AH4" s="5" t="s">
        <v>70</v>
      </c>
      <c r="AI4" s="5" t="s">
        <v>31</v>
      </c>
      <c r="AJ4" s="5" t="s">
        <v>64</v>
      </c>
      <c r="AK4" s="5" t="s">
        <v>68</v>
      </c>
      <c r="AL4" s="5" t="s">
        <v>55</v>
      </c>
      <c r="AN4" s="5"/>
      <c r="AO4" s="6" t="s">
        <v>469</v>
      </c>
      <c r="AP4" s="6" t="s">
        <v>470</v>
      </c>
      <c r="AQ4" s="6" t="s">
        <v>471</v>
      </c>
      <c r="AR4" s="6" t="s">
        <v>56</v>
      </c>
      <c r="AS4" s="6" t="s">
        <v>57</v>
      </c>
      <c r="AT4" s="6" t="s">
        <v>58</v>
      </c>
      <c r="AU4" s="6" t="s">
        <v>59</v>
      </c>
      <c r="AV4" s="6" t="s">
        <v>472</v>
      </c>
      <c r="AW4" s="6" t="s">
        <v>473</v>
      </c>
      <c r="AX4" s="6" t="s">
        <v>474</v>
      </c>
      <c r="AY4" s="6" t="s">
        <v>192</v>
      </c>
      <c r="AZ4" s="6" t="s">
        <v>55</v>
      </c>
    </row>
    <row r="5" spans="2:52" x14ac:dyDescent="0.25">
      <c r="B5" s="6" t="s">
        <v>369</v>
      </c>
      <c r="C5" s="7">
        <v>0</v>
      </c>
      <c r="D5" s="7">
        <v>0</v>
      </c>
      <c r="E5" s="51" t="s">
        <v>401</v>
      </c>
      <c r="F5" s="51" t="s">
        <v>60</v>
      </c>
      <c r="G5" s="7">
        <v>0</v>
      </c>
      <c r="H5" s="7">
        <v>0</v>
      </c>
      <c r="I5" s="7">
        <v>0</v>
      </c>
      <c r="J5" s="7">
        <v>0</v>
      </c>
      <c r="K5" s="7">
        <v>0</v>
      </c>
      <c r="L5" s="7">
        <v>0</v>
      </c>
      <c r="M5" s="7">
        <v>0</v>
      </c>
      <c r="N5" s="7">
        <v>0</v>
      </c>
      <c r="O5" s="7">
        <v>0</v>
      </c>
      <c r="P5" s="7">
        <v>0</v>
      </c>
      <c r="Q5" s="52" t="s">
        <v>449</v>
      </c>
      <c r="S5" s="5" t="s">
        <v>369</v>
      </c>
      <c r="T5" s="7">
        <v>0</v>
      </c>
      <c r="U5" s="7">
        <v>0</v>
      </c>
      <c r="V5" s="51" t="s">
        <v>401</v>
      </c>
      <c r="W5" s="7">
        <v>0</v>
      </c>
      <c r="X5" s="7">
        <v>0</v>
      </c>
      <c r="Y5" s="7">
        <v>0</v>
      </c>
      <c r="Z5" s="7">
        <v>0</v>
      </c>
      <c r="AA5" s="7">
        <v>0</v>
      </c>
      <c r="AB5" s="7">
        <v>0</v>
      </c>
      <c r="AC5" s="7">
        <v>0</v>
      </c>
      <c r="AD5" s="7">
        <v>0</v>
      </c>
      <c r="AE5" s="7">
        <v>0</v>
      </c>
      <c r="AF5" s="7">
        <v>0</v>
      </c>
      <c r="AG5" s="7">
        <v>0</v>
      </c>
      <c r="AH5" s="7">
        <v>0</v>
      </c>
      <c r="AI5" s="7">
        <v>0</v>
      </c>
      <c r="AJ5" s="51" t="s">
        <v>60</v>
      </c>
      <c r="AK5" s="7">
        <v>0</v>
      </c>
      <c r="AL5" s="52" t="s">
        <v>449</v>
      </c>
      <c r="AN5" s="6" t="s">
        <v>469</v>
      </c>
      <c r="AO5" s="7">
        <v>0</v>
      </c>
      <c r="AP5" s="51">
        <v>1</v>
      </c>
      <c r="AQ5" s="7">
        <v>0</v>
      </c>
      <c r="AR5" s="53" t="s">
        <v>402</v>
      </c>
      <c r="AS5" s="7">
        <v>0</v>
      </c>
      <c r="AT5" s="7">
        <v>0</v>
      </c>
      <c r="AU5" s="7">
        <v>0</v>
      </c>
      <c r="AV5" s="7">
        <v>0</v>
      </c>
      <c r="AW5" s="7">
        <v>0</v>
      </c>
      <c r="AX5" s="7">
        <v>0</v>
      </c>
      <c r="AY5" s="7">
        <v>0</v>
      </c>
      <c r="AZ5" s="52" t="s">
        <v>449</v>
      </c>
    </row>
    <row r="6" spans="2:52" x14ac:dyDescent="0.25">
      <c r="B6" s="6" t="s">
        <v>255</v>
      </c>
      <c r="C6" s="7">
        <v>0</v>
      </c>
      <c r="D6" s="7">
        <v>0</v>
      </c>
      <c r="E6" s="51" t="s">
        <v>401</v>
      </c>
      <c r="F6" s="7">
        <v>0</v>
      </c>
      <c r="G6" s="7">
        <v>0</v>
      </c>
      <c r="H6" s="51" t="s">
        <v>60</v>
      </c>
      <c r="I6" s="7">
        <v>0</v>
      </c>
      <c r="J6" s="7">
        <v>0</v>
      </c>
      <c r="K6" s="7">
        <v>0</v>
      </c>
      <c r="L6" s="7">
        <v>0</v>
      </c>
      <c r="M6" s="7">
        <v>0</v>
      </c>
      <c r="N6" s="7">
        <v>0</v>
      </c>
      <c r="O6" s="7">
        <v>0</v>
      </c>
      <c r="P6" s="7">
        <v>0</v>
      </c>
      <c r="Q6" s="52" t="s">
        <v>449</v>
      </c>
      <c r="S6" s="5" t="s">
        <v>373</v>
      </c>
      <c r="T6" s="7">
        <v>0</v>
      </c>
      <c r="U6" s="7">
        <v>0</v>
      </c>
      <c r="V6" s="7">
        <v>0</v>
      </c>
      <c r="W6" s="51" t="s">
        <v>401</v>
      </c>
      <c r="X6" s="7">
        <v>0</v>
      </c>
      <c r="Y6" s="7">
        <v>0</v>
      </c>
      <c r="Z6" s="7">
        <v>0</v>
      </c>
      <c r="AA6" s="7">
        <v>0</v>
      </c>
      <c r="AB6" s="7">
        <v>0</v>
      </c>
      <c r="AC6" s="7">
        <v>0</v>
      </c>
      <c r="AD6" s="7">
        <v>0</v>
      </c>
      <c r="AE6" s="7">
        <v>0</v>
      </c>
      <c r="AF6" s="7">
        <v>0</v>
      </c>
      <c r="AG6" s="7">
        <v>0</v>
      </c>
      <c r="AH6" s="7">
        <v>0</v>
      </c>
      <c r="AI6" s="7">
        <v>0</v>
      </c>
      <c r="AJ6" s="51" t="s">
        <v>60</v>
      </c>
      <c r="AK6" s="7">
        <v>0</v>
      </c>
      <c r="AL6" s="52" t="s">
        <v>449</v>
      </c>
      <c r="AN6" s="6" t="s">
        <v>470</v>
      </c>
      <c r="AO6" s="7">
        <v>0</v>
      </c>
      <c r="AP6" s="7">
        <v>0</v>
      </c>
      <c r="AQ6" s="51">
        <v>1</v>
      </c>
      <c r="AR6" s="53" t="s">
        <v>402</v>
      </c>
      <c r="AS6" s="7">
        <v>0</v>
      </c>
      <c r="AT6" s="7">
        <v>0</v>
      </c>
      <c r="AU6" s="7">
        <v>0</v>
      </c>
      <c r="AV6" s="7">
        <v>0</v>
      </c>
      <c r="AW6" s="7">
        <v>0</v>
      </c>
      <c r="AX6" s="7">
        <v>0</v>
      </c>
      <c r="AY6" s="7">
        <v>0</v>
      </c>
      <c r="AZ6" s="52" t="s">
        <v>449</v>
      </c>
    </row>
    <row r="7" spans="2:52" x14ac:dyDescent="0.25">
      <c r="B7" s="6" t="s">
        <v>64</v>
      </c>
      <c r="C7" s="7">
        <v>0</v>
      </c>
      <c r="D7" s="7">
        <v>0</v>
      </c>
      <c r="E7" s="51" t="s">
        <v>60</v>
      </c>
      <c r="F7" s="7">
        <v>0</v>
      </c>
      <c r="G7" s="7">
        <v>0</v>
      </c>
      <c r="H7" s="7">
        <v>0</v>
      </c>
      <c r="I7" s="7">
        <v>0</v>
      </c>
      <c r="J7" s="7">
        <v>0</v>
      </c>
      <c r="K7" s="7">
        <v>0</v>
      </c>
      <c r="L7" s="7">
        <v>0</v>
      </c>
      <c r="M7" s="7">
        <v>0</v>
      </c>
      <c r="N7" s="7">
        <v>0</v>
      </c>
      <c r="O7" s="7">
        <v>0</v>
      </c>
      <c r="P7" s="7">
        <v>0</v>
      </c>
      <c r="Q7" s="52" t="s">
        <v>449</v>
      </c>
      <c r="S7" s="5" t="s">
        <v>374</v>
      </c>
      <c r="T7" s="7">
        <v>0</v>
      </c>
      <c r="U7" s="7">
        <v>0</v>
      </c>
      <c r="V7" s="51" t="s">
        <v>60</v>
      </c>
      <c r="W7" s="7">
        <v>0</v>
      </c>
      <c r="X7" s="7">
        <v>0</v>
      </c>
      <c r="Y7" s="7">
        <v>0</v>
      </c>
      <c r="Z7" s="51" t="s">
        <v>401</v>
      </c>
      <c r="AA7" s="7">
        <v>0</v>
      </c>
      <c r="AB7" s="7">
        <v>0</v>
      </c>
      <c r="AC7" s="7">
        <v>0</v>
      </c>
      <c r="AD7" s="7">
        <v>0</v>
      </c>
      <c r="AE7" s="7">
        <v>0</v>
      </c>
      <c r="AF7" s="7">
        <v>0</v>
      </c>
      <c r="AG7" s="7">
        <v>0</v>
      </c>
      <c r="AH7" s="7">
        <v>0</v>
      </c>
      <c r="AI7" s="51" t="s">
        <v>401</v>
      </c>
      <c r="AJ7" s="7">
        <v>0</v>
      </c>
      <c r="AK7" s="7">
        <v>0</v>
      </c>
      <c r="AL7" s="52" t="s">
        <v>449</v>
      </c>
      <c r="AN7" s="6" t="s">
        <v>471</v>
      </c>
      <c r="AO7" s="7">
        <v>0</v>
      </c>
      <c r="AP7" s="7">
        <v>0</v>
      </c>
      <c r="AQ7" s="51">
        <v>1</v>
      </c>
      <c r="AR7" s="53" t="s">
        <v>402</v>
      </c>
      <c r="AS7" s="7">
        <v>0</v>
      </c>
      <c r="AT7" s="7">
        <v>0</v>
      </c>
      <c r="AU7" s="7">
        <v>0</v>
      </c>
      <c r="AV7" s="7">
        <v>0</v>
      </c>
      <c r="AW7" s="7">
        <v>0</v>
      </c>
      <c r="AX7" s="7">
        <v>0</v>
      </c>
      <c r="AY7" s="7">
        <v>0</v>
      </c>
      <c r="AZ7" s="52" t="s">
        <v>449</v>
      </c>
    </row>
    <row r="8" spans="2:52" x14ac:dyDescent="0.25">
      <c r="B8" s="6" t="s">
        <v>368</v>
      </c>
      <c r="C8" s="7">
        <v>0</v>
      </c>
      <c r="D8" s="7">
        <v>0</v>
      </c>
      <c r="E8" s="7">
        <v>0</v>
      </c>
      <c r="F8" s="51" t="s">
        <v>60</v>
      </c>
      <c r="G8" s="53" t="s">
        <v>402</v>
      </c>
      <c r="H8" s="7">
        <v>0</v>
      </c>
      <c r="I8" s="51" t="s">
        <v>401</v>
      </c>
      <c r="J8" s="7">
        <v>0</v>
      </c>
      <c r="K8" s="7">
        <v>0</v>
      </c>
      <c r="L8" s="7">
        <v>0</v>
      </c>
      <c r="M8" s="7">
        <v>0</v>
      </c>
      <c r="N8" s="7">
        <v>0</v>
      </c>
      <c r="O8" s="7">
        <v>0</v>
      </c>
      <c r="P8" s="7">
        <v>0</v>
      </c>
      <c r="Q8" s="52" t="s">
        <v>449</v>
      </c>
      <c r="S8" s="5" t="s">
        <v>375</v>
      </c>
      <c r="T8" s="7">
        <v>0</v>
      </c>
      <c r="U8" s="7">
        <v>0</v>
      </c>
      <c r="V8" s="7">
        <v>0</v>
      </c>
      <c r="W8" s="51" t="s">
        <v>60</v>
      </c>
      <c r="X8" s="7">
        <v>0</v>
      </c>
      <c r="Y8" s="7">
        <v>0</v>
      </c>
      <c r="Z8" s="7">
        <v>0</v>
      </c>
      <c r="AA8" s="51" t="s">
        <v>401</v>
      </c>
      <c r="AB8" s="7">
        <v>0</v>
      </c>
      <c r="AC8" s="7">
        <v>0</v>
      </c>
      <c r="AD8" s="7">
        <v>0</v>
      </c>
      <c r="AE8" s="7">
        <v>0</v>
      </c>
      <c r="AF8" s="7">
        <v>0</v>
      </c>
      <c r="AG8" s="7">
        <v>0</v>
      </c>
      <c r="AH8" s="7">
        <v>0</v>
      </c>
      <c r="AI8" s="7">
        <v>0</v>
      </c>
      <c r="AJ8" s="7">
        <v>0</v>
      </c>
      <c r="AK8" s="7">
        <v>0</v>
      </c>
      <c r="AL8" s="52" t="s">
        <v>449</v>
      </c>
      <c r="AN8" s="6" t="s">
        <v>56</v>
      </c>
      <c r="AO8" s="7">
        <v>0</v>
      </c>
      <c r="AP8" s="7">
        <v>0</v>
      </c>
      <c r="AQ8" s="7">
        <v>0</v>
      </c>
      <c r="AR8" s="7">
        <v>0</v>
      </c>
      <c r="AS8" s="54">
        <v>1</v>
      </c>
      <c r="AT8" s="7">
        <v>0</v>
      </c>
      <c r="AU8" s="7">
        <v>0</v>
      </c>
      <c r="AV8" s="7">
        <v>0</v>
      </c>
      <c r="AW8" s="7">
        <v>0</v>
      </c>
      <c r="AX8" s="7">
        <v>0</v>
      </c>
      <c r="AY8" s="7">
        <v>0</v>
      </c>
      <c r="AZ8" s="52" t="s">
        <v>449</v>
      </c>
    </row>
    <row r="9" spans="2:52" x14ac:dyDescent="0.25">
      <c r="B9" s="6" t="s">
        <v>61</v>
      </c>
      <c r="C9" s="7">
        <v>0</v>
      </c>
      <c r="D9" s="7">
        <v>0</v>
      </c>
      <c r="E9" s="54" t="s">
        <v>403</v>
      </c>
      <c r="F9" s="7">
        <v>0</v>
      </c>
      <c r="G9" s="7">
        <v>0</v>
      </c>
      <c r="H9" s="54" t="s">
        <v>60</v>
      </c>
      <c r="I9" s="7">
        <v>0</v>
      </c>
      <c r="J9" s="7">
        <v>0</v>
      </c>
      <c r="K9" s="7">
        <v>0</v>
      </c>
      <c r="L9" s="7">
        <v>0</v>
      </c>
      <c r="M9" s="7">
        <v>0</v>
      </c>
      <c r="N9" s="7">
        <v>0</v>
      </c>
      <c r="O9" s="7">
        <v>0</v>
      </c>
      <c r="P9" s="7">
        <v>0</v>
      </c>
      <c r="Q9" s="52" t="s">
        <v>449</v>
      </c>
      <c r="S9" s="5" t="s">
        <v>379</v>
      </c>
      <c r="T9" s="7">
        <v>0</v>
      </c>
      <c r="U9" s="7">
        <v>0</v>
      </c>
      <c r="V9" s="7">
        <v>0</v>
      </c>
      <c r="W9" s="7">
        <v>0</v>
      </c>
      <c r="X9" s="51" t="s">
        <v>60</v>
      </c>
      <c r="Y9" s="7">
        <v>0</v>
      </c>
      <c r="Z9" s="7">
        <v>0</v>
      </c>
      <c r="AA9" s="7">
        <v>0</v>
      </c>
      <c r="AB9" s="51" t="s">
        <v>401</v>
      </c>
      <c r="AC9" s="7">
        <v>0</v>
      </c>
      <c r="AD9" s="7">
        <v>0</v>
      </c>
      <c r="AE9" s="7">
        <v>0</v>
      </c>
      <c r="AF9" s="7">
        <v>0</v>
      </c>
      <c r="AG9" s="7">
        <v>0</v>
      </c>
      <c r="AH9" s="7">
        <v>0</v>
      </c>
      <c r="AI9" s="51" t="s">
        <v>401</v>
      </c>
      <c r="AJ9" s="51" t="s">
        <v>401</v>
      </c>
      <c r="AK9" s="7">
        <v>0</v>
      </c>
      <c r="AL9" s="52" t="s">
        <v>449</v>
      </c>
      <c r="AN9" s="6" t="s">
        <v>57</v>
      </c>
      <c r="AO9" s="7">
        <v>0</v>
      </c>
      <c r="AP9" s="7">
        <v>0</v>
      </c>
      <c r="AQ9" s="7">
        <v>0</v>
      </c>
      <c r="AR9" s="7">
        <v>0</v>
      </c>
      <c r="AS9" s="7">
        <v>0</v>
      </c>
      <c r="AT9" s="54">
        <v>1</v>
      </c>
      <c r="AU9" s="7">
        <v>0</v>
      </c>
      <c r="AV9" s="7">
        <v>0</v>
      </c>
      <c r="AW9" s="7">
        <v>0</v>
      </c>
      <c r="AX9" s="7">
        <v>0</v>
      </c>
      <c r="AY9" s="7">
        <v>0</v>
      </c>
      <c r="AZ9" s="52" t="s">
        <v>449</v>
      </c>
    </row>
    <row r="10" spans="2:52" x14ac:dyDescent="0.25">
      <c r="B10" s="6" t="s">
        <v>364</v>
      </c>
      <c r="C10" s="7">
        <v>0</v>
      </c>
      <c r="D10" s="7">
        <v>0</v>
      </c>
      <c r="E10" s="7">
        <v>0</v>
      </c>
      <c r="F10" s="7">
        <v>0</v>
      </c>
      <c r="G10" s="7">
        <v>0</v>
      </c>
      <c r="H10" s="51" t="s">
        <v>60</v>
      </c>
      <c r="I10" s="7">
        <v>0</v>
      </c>
      <c r="J10" s="7">
        <v>0</v>
      </c>
      <c r="K10" s="51" t="s">
        <v>401</v>
      </c>
      <c r="L10" s="7">
        <v>0</v>
      </c>
      <c r="M10" s="7">
        <v>0</v>
      </c>
      <c r="N10" s="7">
        <v>0</v>
      </c>
      <c r="O10" s="7">
        <v>0</v>
      </c>
      <c r="P10" s="7">
        <v>0</v>
      </c>
      <c r="Q10" s="52" t="s">
        <v>449</v>
      </c>
      <c r="S10" s="5" t="s">
        <v>384</v>
      </c>
      <c r="T10" s="7">
        <v>0</v>
      </c>
      <c r="U10" s="7">
        <v>0</v>
      </c>
      <c r="V10" s="7">
        <v>0</v>
      </c>
      <c r="W10" s="7">
        <v>0</v>
      </c>
      <c r="X10" s="7">
        <v>0</v>
      </c>
      <c r="Y10" s="51" t="s">
        <v>60</v>
      </c>
      <c r="Z10" s="7">
        <v>0</v>
      </c>
      <c r="AA10" s="7">
        <v>0</v>
      </c>
      <c r="AB10" s="7">
        <v>0</v>
      </c>
      <c r="AC10" s="51" t="s">
        <v>401</v>
      </c>
      <c r="AD10" s="7">
        <v>0</v>
      </c>
      <c r="AE10" s="7">
        <v>0</v>
      </c>
      <c r="AF10" s="7">
        <v>0</v>
      </c>
      <c r="AG10" s="7">
        <v>0</v>
      </c>
      <c r="AH10" s="7">
        <v>0</v>
      </c>
      <c r="AI10" s="7">
        <v>0</v>
      </c>
      <c r="AJ10" s="51" t="s">
        <v>401</v>
      </c>
      <c r="AK10" s="7">
        <v>0</v>
      </c>
      <c r="AL10" s="52" t="s">
        <v>449</v>
      </c>
      <c r="AN10" s="6" t="s">
        <v>58</v>
      </c>
      <c r="AO10" s="7">
        <v>0</v>
      </c>
      <c r="AP10" s="7">
        <v>0</v>
      </c>
      <c r="AQ10" s="7">
        <v>0</v>
      </c>
      <c r="AR10" s="7">
        <v>0</v>
      </c>
      <c r="AS10" s="7">
        <v>0</v>
      </c>
      <c r="AT10" s="7">
        <v>0</v>
      </c>
      <c r="AU10" s="54">
        <v>1</v>
      </c>
      <c r="AV10" s="7">
        <v>0</v>
      </c>
      <c r="AX10" s="7">
        <v>0</v>
      </c>
      <c r="AY10" s="7">
        <v>0</v>
      </c>
      <c r="AZ10" s="52" t="s">
        <v>449</v>
      </c>
    </row>
    <row r="11" spans="2:52" x14ac:dyDescent="0.25">
      <c r="B11" s="6" t="s">
        <v>366</v>
      </c>
      <c r="C11" s="7">
        <v>0</v>
      </c>
      <c r="D11" s="7">
        <v>0</v>
      </c>
      <c r="E11" s="7">
        <v>0</v>
      </c>
      <c r="F11" s="7">
        <v>0</v>
      </c>
      <c r="G11" s="7">
        <v>0</v>
      </c>
      <c r="H11" s="7">
        <v>0</v>
      </c>
      <c r="I11" s="51" t="s">
        <v>60</v>
      </c>
      <c r="J11" s="53" t="s">
        <v>402</v>
      </c>
      <c r="K11" s="7">
        <v>0</v>
      </c>
      <c r="L11" s="51" t="s">
        <v>401</v>
      </c>
      <c r="M11" s="7">
        <v>0</v>
      </c>
      <c r="N11" s="7">
        <v>0</v>
      </c>
      <c r="O11" s="51" t="s">
        <v>401</v>
      </c>
      <c r="P11" s="7">
        <v>0</v>
      </c>
      <c r="Q11" s="52" t="s">
        <v>449</v>
      </c>
      <c r="S11" s="5" t="s">
        <v>377</v>
      </c>
      <c r="T11" s="7">
        <v>0</v>
      </c>
      <c r="U11" s="7">
        <v>0</v>
      </c>
      <c r="V11" s="7">
        <v>0</v>
      </c>
      <c r="W11" s="7">
        <v>0</v>
      </c>
      <c r="X11" s="51" t="s">
        <v>401</v>
      </c>
      <c r="Y11" s="7">
        <v>0</v>
      </c>
      <c r="Z11" s="51" t="s">
        <v>60</v>
      </c>
      <c r="AA11" s="7">
        <v>0</v>
      </c>
      <c r="AB11" s="51" t="s">
        <v>401</v>
      </c>
      <c r="AC11" s="7">
        <v>0</v>
      </c>
      <c r="AD11" s="7">
        <v>0</v>
      </c>
      <c r="AE11" s="7">
        <v>0</v>
      </c>
      <c r="AF11" s="7">
        <v>0</v>
      </c>
      <c r="AG11" s="7">
        <v>0</v>
      </c>
      <c r="AH11" s="7">
        <v>0</v>
      </c>
      <c r="AI11" s="51" t="s">
        <v>401</v>
      </c>
      <c r="AJ11" s="7">
        <v>0</v>
      </c>
      <c r="AK11" s="7">
        <v>0</v>
      </c>
      <c r="AL11" s="52" t="s">
        <v>449</v>
      </c>
      <c r="AN11" s="6" t="s">
        <v>59</v>
      </c>
      <c r="AO11" s="7">
        <v>0</v>
      </c>
      <c r="AP11" s="7">
        <v>0</v>
      </c>
      <c r="AQ11" s="7">
        <v>0</v>
      </c>
      <c r="AR11" s="7">
        <v>0</v>
      </c>
      <c r="AS11" s="7">
        <v>0</v>
      </c>
      <c r="AT11" s="7">
        <v>0</v>
      </c>
      <c r="AU11" s="54">
        <v>1</v>
      </c>
      <c r="AV11" s="7">
        <v>0</v>
      </c>
      <c r="AW11" s="7">
        <v>0</v>
      </c>
      <c r="AX11" s="7">
        <v>0</v>
      </c>
      <c r="AY11" s="7">
        <v>0</v>
      </c>
      <c r="AZ11" s="52" t="s">
        <v>449</v>
      </c>
    </row>
    <row r="12" spans="2:52" x14ac:dyDescent="0.25">
      <c r="B12" s="6" t="s">
        <v>62</v>
      </c>
      <c r="C12" s="7">
        <v>0</v>
      </c>
      <c r="D12" s="7">
        <v>0</v>
      </c>
      <c r="E12" s="54" t="s">
        <v>403</v>
      </c>
      <c r="F12" s="7">
        <v>0</v>
      </c>
      <c r="G12" s="7">
        <v>0</v>
      </c>
      <c r="H12" s="7">
        <v>0</v>
      </c>
      <c r="I12" s="7">
        <v>0</v>
      </c>
      <c r="J12" s="7">
        <v>0</v>
      </c>
      <c r="K12" s="54" t="s">
        <v>60</v>
      </c>
      <c r="L12" s="7">
        <v>0</v>
      </c>
      <c r="M12" s="7">
        <v>0</v>
      </c>
      <c r="N12" s="7">
        <v>0</v>
      </c>
      <c r="O12" s="7">
        <v>0</v>
      </c>
      <c r="P12" s="7">
        <v>0</v>
      </c>
      <c r="Q12" s="52" t="s">
        <v>449</v>
      </c>
      <c r="S12" s="5" t="s">
        <v>69</v>
      </c>
      <c r="T12" s="7">
        <v>0</v>
      </c>
      <c r="U12" s="7">
        <v>0</v>
      </c>
      <c r="V12" s="7">
        <v>0</v>
      </c>
      <c r="W12" s="7">
        <v>0</v>
      </c>
      <c r="X12" s="7">
        <v>0</v>
      </c>
      <c r="Y12" s="7">
        <v>0</v>
      </c>
      <c r="Z12" s="7">
        <v>0</v>
      </c>
      <c r="AA12" s="54">
        <v>1</v>
      </c>
      <c r="AB12" s="7">
        <v>0</v>
      </c>
      <c r="AC12" s="7">
        <v>0</v>
      </c>
      <c r="AD12" s="7">
        <v>0</v>
      </c>
      <c r="AE12" s="7">
        <v>0</v>
      </c>
      <c r="AF12" s="7">
        <v>0</v>
      </c>
      <c r="AG12" s="7">
        <v>0</v>
      </c>
      <c r="AH12" s="7">
        <v>0</v>
      </c>
      <c r="AI12" s="7">
        <v>0</v>
      </c>
      <c r="AJ12" s="7">
        <v>0</v>
      </c>
      <c r="AK12" s="7">
        <v>0</v>
      </c>
      <c r="AL12" s="52" t="s">
        <v>449</v>
      </c>
      <c r="AN12" s="6" t="s">
        <v>472</v>
      </c>
      <c r="AO12" s="7">
        <v>0</v>
      </c>
      <c r="AP12" s="7">
        <v>0</v>
      </c>
      <c r="AQ12" s="7">
        <v>0</v>
      </c>
      <c r="AR12" s="7">
        <v>0</v>
      </c>
      <c r="AS12" s="7">
        <v>0</v>
      </c>
      <c r="AT12" s="7">
        <v>0</v>
      </c>
      <c r="AU12" s="7">
        <v>0</v>
      </c>
      <c r="AV12" s="51" t="s">
        <v>60</v>
      </c>
      <c r="AW12" s="53" t="s">
        <v>402</v>
      </c>
      <c r="AX12" s="7">
        <v>0</v>
      </c>
      <c r="AY12" s="51" t="s">
        <v>401</v>
      </c>
      <c r="AZ12" s="52" t="s">
        <v>449</v>
      </c>
    </row>
    <row r="13" spans="2:52" x14ac:dyDescent="0.25">
      <c r="B13" s="6" t="s">
        <v>365</v>
      </c>
      <c r="C13" s="7">
        <v>0</v>
      </c>
      <c r="D13" s="7">
        <v>0</v>
      </c>
      <c r="E13" s="7">
        <v>0</v>
      </c>
      <c r="F13" s="7">
        <v>0</v>
      </c>
      <c r="G13" s="7">
        <v>0</v>
      </c>
      <c r="H13" s="7">
        <v>0</v>
      </c>
      <c r="I13" s="7">
        <v>0</v>
      </c>
      <c r="J13" s="7">
        <v>0</v>
      </c>
      <c r="K13" s="51" t="s">
        <v>60</v>
      </c>
      <c r="L13" s="7">
        <v>0</v>
      </c>
      <c r="M13" s="7">
        <v>0</v>
      </c>
      <c r="N13" s="51" t="s">
        <v>401</v>
      </c>
      <c r="O13" s="51" t="s">
        <v>401</v>
      </c>
      <c r="P13" s="7">
        <v>0</v>
      </c>
      <c r="Q13" s="52" t="s">
        <v>449</v>
      </c>
      <c r="S13" s="5" t="s">
        <v>368</v>
      </c>
      <c r="T13" s="7">
        <v>0</v>
      </c>
      <c r="U13" s="7">
        <v>0</v>
      </c>
      <c r="V13" s="7">
        <v>0</v>
      </c>
      <c r="W13" s="7">
        <v>0</v>
      </c>
      <c r="X13" s="7">
        <v>0</v>
      </c>
      <c r="Y13" s="7">
        <v>0</v>
      </c>
      <c r="Z13" s="7">
        <v>0</v>
      </c>
      <c r="AA13" s="7">
        <v>0</v>
      </c>
      <c r="AB13" s="51" t="s">
        <v>60</v>
      </c>
      <c r="AC13" s="53" t="s">
        <v>402</v>
      </c>
      <c r="AD13" s="7">
        <v>0</v>
      </c>
      <c r="AE13" s="51" t="s">
        <v>401</v>
      </c>
      <c r="AF13" s="7">
        <v>0</v>
      </c>
      <c r="AG13" s="7">
        <v>0</v>
      </c>
      <c r="AH13" s="7">
        <v>0</v>
      </c>
      <c r="AI13" s="51" t="s">
        <v>401</v>
      </c>
      <c r="AJ13" s="7">
        <v>0</v>
      </c>
      <c r="AK13" s="7">
        <v>0</v>
      </c>
      <c r="AL13" s="52" t="s">
        <v>449</v>
      </c>
      <c r="AN13" s="6" t="s">
        <v>473</v>
      </c>
      <c r="AO13" s="7">
        <v>0</v>
      </c>
      <c r="AP13" s="7">
        <v>0</v>
      </c>
      <c r="AQ13" s="7">
        <v>0</v>
      </c>
      <c r="AR13" s="7">
        <v>0</v>
      </c>
      <c r="AS13" s="7">
        <v>0</v>
      </c>
      <c r="AT13" s="7">
        <v>0</v>
      </c>
      <c r="AU13" s="7">
        <v>0</v>
      </c>
      <c r="AV13" s="7">
        <v>0</v>
      </c>
      <c r="AW13" s="7">
        <v>0</v>
      </c>
      <c r="AX13" s="54" t="s">
        <v>60</v>
      </c>
      <c r="AY13" s="54" t="s">
        <v>403</v>
      </c>
      <c r="AZ13" s="52" t="s">
        <v>449</v>
      </c>
    </row>
    <row r="14" spans="2:52" x14ac:dyDescent="0.25">
      <c r="B14" s="6" t="s">
        <v>367</v>
      </c>
      <c r="C14" s="7">
        <v>0</v>
      </c>
      <c r="D14" s="7">
        <v>0</v>
      </c>
      <c r="E14" s="7">
        <v>0</v>
      </c>
      <c r="F14" s="7">
        <v>0</v>
      </c>
      <c r="G14" s="7">
        <v>0</v>
      </c>
      <c r="H14" s="7">
        <v>0</v>
      </c>
      <c r="I14" s="7">
        <v>0</v>
      </c>
      <c r="J14" s="7">
        <v>0</v>
      </c>
      <c r="K14" s="7">
        <v>0</v>
      </c>
      <c r="L14" s="51" t="s">
        <v>60</v>
      </c>
      <c r="M14" s="53" t="s">
        <v>402</v>
      </c>
      <c r="N14" s="7">
        <v>0</v>
      </c>
      <c r="O14" s="51" t="s">
        <v>401</v>
      </c>
      <c r="P14" s="51" t="s">
        <v>401</v>
      </c>
      <c r="Q14" s="52" t="s">
        <v>449</v>
      </c>
      <c r="S14" s="5" t="s">
        <v>385</v>
      </c>
      <c r="T14" s="7">
        <v>0</v>
      </c>
      <c r="U14" s="7">
        <v>0</v>
      </c>
      <c r="V14" s="7">
        <v>0</v>
      </c>
      <c r="W14" s="7">
        <v>0</v>
      </c>
      <c r="X14" s="7">
        <v>0</v>
      </c>
      <c r="Y14" s="7">
        <v>0</v>
      </c>
      <c r="Z14" s="7">
        <v>0</v>
      </c>
      <c r="AA14" s="7">
        <v>0</v>
      </c>
      <c r="AB14" s="7">
        <v>0</v>
      </c>
      <c r="AC14" s="51" t="s">
        <v>60</v>
      </c>
      <c r="AD14" s="53" t="s">
        <v>402</v>
      </c>
      <c r="AE14" s="7">
        <v>0</v>
      </c>
      <c r="AF14" s="51" t="s">
        <v>401</v>
      </c>
      <c r="AG14" s="7">
        <v>0</v>
      </c>
      <c r="AH14" s="7">
        <v>0</v>
      </c>
      <c r="AI14" s="51" t="s">
        <v>401</v>
      </c>
      <c r="AJ14" s="7">
        <v>0</v>
      </c>
      <c r="AK14" s="7">
        <v>0</v>
      </c>
      <c r="AL14" s="52" t="s">
        <v>449</v>
      </c>
      <c r="AN14" s="6" t="s">
        <v>474</v>
      </c>
      <c r="AO14" s="7">
        <v>0</v>
      </c>
      <c r="AP14" s="7">
        <v>0</v>
      </c>
      <c r="AQ14" s="7">
        <v>0</v>
      </c>
      <c r="AR14" s="7">
        <v>0</v>
      </c>
      <c r="AS14" s="7">
        <v>0</v>
      </c>
      <c r="AT14" s="54" t="s">
        <v>60</v>
      </c>
      <c r="AU14" s="7">
        <v>0</v>
      </c>
      <c r="AV14" s="7">
        <v>0</v>
      </c>
      <c r="AW14" s="7">
        <v>0</v>
      </c>
      <c r="AX14" s="7">
        <v>0</v>
      </c>
      <c r="AY14" s="54" t="s">
        <v>403</v>
      </c>
      <c r="AZ14" s="52" t="s">
        <v>449</v>
      </c>
    </row>
    <row r="15" spans="2:52" x14ac:dyDescent="0.25">
      <c r="B15" s="6" t="s">
        <v>70</v>
      </c>
      <c r="C15" s="7">
        <v>0</v>
      </c>
      <c r="D15" s="7">
        <v>0</v>
      </c>
      <c r="E15" s="54" t="s">
        <v>403</v>
      </c>
      <c r="F15" s="7">
        <v>0</v>
      </c>
      <c r="G15" s="7">
        <v>0</v>
      </c>
      <c r="H15" s="7">
        <v>0</v>
      </c>
      <c r="I15" s="7">
        <v>0</v>
      </c>
      <c r="J15" s="7">
        <v>0</v>
      </c>
      <c r="K15" s="7">
        <v>0</v>
      </c>
      <c r="L15" s="7">
        <v>0</v>
      </c>
      <c r="M15" s="7">
        <v>0</v>
      </c>
      <c r="N15" s="54" t="s">
        <v>60</v>
      </c>
      <c r="O15" s="7">
        <v>0</v>
      </c>
      <c r="P15" s="7">
        <v>0</v>
      </c>
      <c r="Q15" s="52" t="s">
        <v>449</v>
      </c>
      <c r="S15" s="5" t="s">
        <v>61</v>
      </c>
      <c r="T15" s="7">
        <v>0</v>
      </c>
      <c r="U15" s="7">
        <v>0</v>
      </c>
      <c r="V15" s="7">
        <v>0</v>
      </c>
      <c r="W15" s="7">
        <v>0</v>
      </c>
      <c r="X15" s="7">
        <v>0</v>
      </c>
      <c r="Y15" s="7">
        <v>0</v>
      </c>
      <c r="Z15" s="7">
        <v>0</v>
      </c>
      <c r="AA15" s="7">
        <v>0</v>
      </c>
      <c r="AB15" s="7">
        <v>0</v>
      </c>
      <c r="AC15" s="7">
        <v>0</v>
      </c>
      <c r="AD15" s="54">
        <v>1</v>
      </c>
      <c r="AE15" s="7">
        <v>0</v>
      </c>
      <c r="AF15" s="7">
        <v>0</v>
      </c>
      <c r="AG15" s="7">
        <v>0</v>
      </c>
      <c r="AH15" s="7">
        <v>0</v>
      </c>
      <c r="AI15" s="7">
        <v>0</v>
      </c>
      <c r="AJ15" s="7">
        <v>0</v>
      </c>
      <c r="AK15" s="7">
        <v>0</v>
      </c>
      <c r="AL15" s="52" t="s">
        <v>449</v>
      </c>
      <c r="AN15" s="6" t="s">
        <v>742</v>
      </c>
      <c r="AO15" s="7">
        <v>0</v>
      </c>
      <c r="AP15" s="7">
        <v>0</v>
      </c>
      <c r="AQ15" s="7">
        <v>0</v>
      </c>
      <c r="AR15" s="7">
        <v>0</v>
      </c>
      <c r="AS15" s="7">
        <v>0</v>
      </c>
      <c r="AT15" s="7">
        <v>0</v>
      </c>
      <c r="AU15" s="7">
        <v>0</v>
      </c>
      <c r="AV15" s="7">
        <v>0</v>
      </c>
      <c r="AW15" s="7">
        <v>0</v>
      </c>
      <c r="AX15" s="7">
        <v>0</v>
      </c>
      <c r="AY15" s="54" t="s">
        <v>403</v>
      </c>
      <c r="AZ15" s="52" t="s">
        <v>449</v>
      </c>
    </row>
    <row r="16" spans="2:52" x14ac:dyDescent="0.25">
      <c r="B16" s="6" t="s">
        <v>370</v>
      </c>
      <c r="C16" s="7">
        <v>0</v>
      </c>
      <c r="D16" s="7">
        <v>0</v>
      </c>
      <c r="E16" s="7">
        <v>0</v>
      </c>
      <c r="F16" s="7">
        <v>0</v>
      </c>
      <c r="G16" s="7">
        <v>0</v>
      </c>
      <c r="H16" s="7">
        <v>0</v>
      </c>
      <c r="I16" s="7">
        <v>0</v>
      </c>
      <c r="J16" s="7">
        <v>0</v>
      </c>
      <c r="K16" s="7">
        <v>0</v>
      </c>
      <c r="L16" s="7">
        <v>0</v>
      </c>
      <c r="M16" s="7">
        <v>0</v>
      </c>
      <c r="N16" s="51" t="s">
        <v>60</v>
      </c>
      <c r="O16" s="51" t="s">
        <v>401</v>
      </c>
      <c r="P16" s="51" t="s">
        <v>401</v>
      </c>
      <c r="Q16" s="52" t="s">
        <v>449</v>
      </c>
      <c r="S16" s="5" t="s">
        <v>366</v>
      </c>
      <c r="T16" s="7">
        <v>0</v>
      </c>
      <c r="U16" s="7">
        <v>0</v>
      </c>
      <c r="V16" s="7">
        <v>0</v>
      </c>
      <c r="W16" s="7">
        <v>0</v>
      </c>
      <c r="X16" s="7">
        <v>0</v>
      </c>
      <c r="Y16" s="7">
        <v>0</v>
      </c>
      <c r="Z16" s="7">
        <v>0</v>
      </c>
      <c r="AA16" s="7">
        <v>0</v>
      </c>
      <c r="AB16" s="7">
        <v>0</v>
      </c>
      <c r="AC16" s="7">
        <v>0</v>
      </c>
      <c r="AD16" s="7">
        <v>0</v>
      </c>
      <c r="AE16" s="51" t="s">
        <v>60</v>
      </c>
      <c r="AF16" s="53" t="s">
        <v>402</v>
      </c>
      <c r="AG16" s="51" t="s">
        <v>401</v>
      </c>
      <c r="AH16" s="7">
        <v>0</v>
      </c>
      <c r="AI16" s="51" t="s">
        <v>401</v>
      </c>
      <c r="AJ16" s="7">
        <v>0</v>
      </c>
      <c r="AK16" s="51" t="s">
        <v>401</v>
      </c>
      <c r="AL16" s="52" t="s">
        <v>449</v>
      </c>
      <c r="AN16" s="6" t="s">
        <v>192</v>
      </c>
      <c r="AO16" s="7">
        <v>0</v>
      </c>
      <c r="AP16" s="7">
        <v>0</v>
      </c>
      <c r="AQ16" s="7">
        <v>0</v>
      </c>
      <c r="AR16" s="7">
        <v>0</v>
      </c>
      <c r="AS16" s="7">
        <v>0</v>
      </c>
      <c r="AT16" s="7">
        <v>0</v>
      </c>
      <c r="AU16" s="7">
        <v>0</v>
      </c>
      <c r="AV16" s="7">
        <v>0</v>
      </c>
      <c r="AW16" s="7">
        <v>0</v>
      </c>
      <c r="AX16" s="7">
        <v>0</v>
      </c>
      <c r="AY16" s="7">
        <v>0</v>
      </c>
      <c r="AZ16" s="7">
        <v>0</v>
      </c>
    </row>
    <row r="17" spans="2:52" x14ac:dyDescent="0.25">
      <c r="B17" s="6" t="s">
        <v>31</v>
      </c>
      <c r="C17" s="7">
        <v>0</v>
      </c>
      <c r="D17" s="7">
        <v>0</v>
      </c>
      <c r="E17" s="7">
        <v>0</v>
      </c>
      <c r="F17" s="7">
        <v>0</v>
      </c>
      <c r="G17" s="7">
        <v>0</v>
      </c>
      <c r="H17" s="7">
        <v>0</v>
      </c>
      <c r="I17" s="7">
        <v>0</v>
      </c>
      <c r="J17" s="7">
        <v>0</v>
      </c>
      <c r="K17" s="7">
        <v>0</v>
      </c>
      <c r="L17" s="7">
        <v>0</v>
      </c>
      <c r="M17" s="7">
        <v>0</v>
      </c>
      <c r="N17" s="7">
        <v>0</v>
      </c>
      <c r="O17" s="51" t="s">
        <v>60</v>
      </c>
      <c r="P17" s="51" t="s">
        <v>401</v>
      </c>
      <c r="Q17" s="52" t="s">
        <v>449</v>
      </c>
      <c r="S17" s="5" t="s">
        <v>62</v>
      </c>
      <c r="T17" s="7">
        <v>0</v>
      </c>
      <c r="U17" s="7">
        <v>0</v>
      </c>
      <c r="V17" s="7">
        <v>0</v>
      </c>
      <c r="W17" s="7">
        <v>0</v>
      </c>
      <c r="X17" s="7">
        <v>0</v>
      </c>
      <c r="Y17" s="7">
        <v>0</v>
      </c>
      <c r="Z17" s="7">
        <v>0</v>
      </c>
      <c r="AA17" s="7">
        <v>0</v>
      </c>
      <c r="AB17" s="7">
        <v>0</v>
      </c>
      <c r="AC17" s="7">
        <v>0</v>
      </c>
      <c r="AD17" s="7">
        <v>0</v>
      </c>
      <c r="AE17" s="7">
        <v>0</v>
      </c>
      <c r="AF17" s="54" t="s">
        <v>60</v>
      </c>
      <c r="AG17" s="7">
        <v>0</v>
      </c>
      <c r="AH17" s="7">
        <v>0</v>
      </c>
      <c r="AI17" s="54" t="s">
        <v>403</v>
      </c>
      <c r="AJ17" s="7">
        <v>0</v>
      </c>
      <c r="AK17" s="7">
        <v>0</v>
      </c>
      <c r="AL17" s="52" t="s">
        <v>449</v>
      </c>
      <c r="AN17" s="6" t="s">
        <v>55</v>
      </c>
      <c r="AO17" s="7">
        <v>0</v>
      </c>
      <c r="AP17" s="7">
        <v>0</v>
      </c>
      <c r="AQ17" s="7">
        <v>0</v>
      </c>
      <c r="AR17" s="7">
        <v>0</v>
      </c>
      <c r="AS17" s="7">
        <v>0</v>
      </c>
      <c r="AT17" s="7">
        <v>0</v>
      </c>
      <c r="AU17" s="7">
        <v>0</v>
      </c>
      <c r="AV17" s="7">
        <v>0</v>
      </c>
      <c r="AW17" s="7">
        <v>0</v>
      </c>
      <c r="AX17" s="7">
        <v>0</v>
      </c>
      <c r="AY17" s="7">
        <v>0</v>
      </c>
      <c r="AZ17" s="51">
        <v>1</v>
      </c>
    </row>
    <row r="18" spans="2:52" x14ac:dyDescent="0.25">
      <c r="B18" s="6" t="s">
        <v>63</v>
      </c>
      <c r="C18" s="7">
        <v>0</v>
      </c>
      <c r="D18" s="7">
        <v>0</v>
      </c>
      <c r="E18" s="7">
        <v>0</v>
      </c>
      <c r="F18" s="7">
        <v>0</v>
      </c>
      <c r="G18" s="7">
        <v>0</v>
      </c>
      <c r="H18" s="7">
        <v>0</v>
      </c>
      <c r="I18" s="7">
        <v>0</v>
      </c>
      <c r="J18" s="7">
        <v>0</v>
      </c>
      <c r="K18" s="7">
        <v>0</v>
      </c>
      <c r="L18" s="7">
        <v>0</v>
      </c>
      <c r="M18" s="7">
        <v>0</v>
      </c>
      <c r="N18" s="7">
        <v>0</v>
      </c>
      <c r="O18" s="7">
        <v>0</v>
      </c>
      <c r="P18" s="51">
        <v>1</v>
      </c>
      <c r="Q18" s="7">
        <v>0</v>
      </c>
      <c r="S18" s="5" t="s">
        <v>367</v>
      </c>
      <c r="T18" s="7">
        <v>0</v>
      </c>
      <c r="U18" s="7">
        <v>0</v>
      </c>
      <c r="V18" s="7">
        <v>0</v>
      </c>
      <c r="W18" s="7">
        <v>0</v>
      </c>
      <c r="X18" s="7">
        <v>0</v>
      </c>
      <c r="Y18" s="7">
        <v>0</v>
      </c>
      <c r="Z18" s="7">
        <v>0</v>
      </c>
      <c r="AA18" s="7">
        <v>0</v>
      </c>
      <c r="AB18" s="7">
        <v>0</v>
      </c>
      <c r="AC18" s="7">
        <v>0</v>
      </c>
      <c r="AD18" s="7">
        <v>0</v>
      </c>
      <c r="AE18" s="7">
        <v>0</v>
      </c>
      <c r="AF18" s="7">
        <v>0</v>
      </c>
      <c r="AG18" s="51" t="s">
        <v>60</v>
      </c>
      <c r="AH18" s="53" t="s">
        <v>402</v>
      </c>
      <c r="AI18" s="51" t="s">
        <v>401</v>
      </c>
      <c r="AJ18" s="7">
        <v>0</v>
      </c>
      <c r="AK18" s="51" t="s">
        <v>401</v>
      </c>
      <c r="AL18" s="52" t="s">
        <v>449</v>
      </c>
    </row>
    <row r="19" spans="2:52" x14ac:dyDescent="0.25">
      <c r="B19" s="6" t="s">
        <v>55</v>
      </c>
      <c r="C19" s="7">
        <v>0</v>
      </c>
      <c r="D19" s="7">
        <v>0</v>
      </c>
      <c r="E19" s="7">
        <v>0</v>
      </c>
      <c r="F19" s="7">
        <v>0</v>
      </c>
      <c r="G19" s="7">
        <v>0</v>
      </c>
      <c r="H19" s="7">
        <v>0</v>
      </c>
      <c r="I19" s="7">
        <v>0</v>
      </c>
      <c r="J19" s="7">
        <v>0</v>
      </c>
      <c r="K19" s="7">
        <v>0</v>
      </c>
      <c r="L19" s="7">
        <v>0</v>
      </c>
      <c r="M19" s="7">
        <v>0</v>
      </c>
      <c r="N19" s="7">
        <v>0</v>
      </c>
      <c r="O19" s="7">
        <v>0</v>
      </c>
      <c r="P19" s="7">
        <v>0</v>
      </c>
      <c r="Q19" s="51">
        <v>1</v>
      </c>
      <c r="S19" s="5" t="s">
        <v>70</v>
      </c>
      <c r="T19" s="7">
        <v>0</v>
      </c>
      <c r="U19" s="7">
        <v>0</v>
      </c>
      <c r="V19" s="7">
        <v>0</v>
      </c>
      <c r="W19" s="7">
        <v>0</v>
      </c>
      <c r="X19" s="7">
        <v>0</v>
      </c>
      <c r="Y19" s="7">
        <v>0</v>
      </c>
      <c r="Z19" s="7">
        <v>0</v>
      </c>
      <c r="AA19" s="7">
        <v>0</v>
      </c>
      <c r="AB19" s="7">
        <v>0</v>
      </c>
      <c r="AC19" s="7">
        <v>0</v>
      </c>
      <c r="AD19" s="7">
        <v>0</v>
      </c>
      <c r="AE19" s="7">
        <v>0</v>
      </c>
      <c r="AF19" s="7">
        <v>0</v>
      </c>
      <c r="AG19" s="7">
        <v>0</v>
      </c>
      <c r="AH19" s="54" t="s">
        <v>60</v>
      </c>
      <c r="AI19" s="54" t="s">
        <v>403</v>
      </c>
      <c r="AJ19" s="7">
        <v>0</v>
      </c>
      <c r="AK19" s="7">
        <v>0</v>
      </c>
      <c r="AL19" s="52" t="s">
        <v>449</v>
      </c>
    </row>
    <row r="20" spans="2:52" x14ac:dyDescent="0.25">
      <c r="C20" s="3"/>
      <c r="D20" s="3"/>
      <c r="E20" s="3"/>
      <c r="F20" s="3"/>
      <c r="G20" s="3"/>
      <c r="H20" s="3"/>
      <c r="I20" s="3"/>
      <c r="J20" s="3"/>
      <c r="L20" s="3"/>
      <c r="M20" s="3"/>
      <c r="N20" s="3"/>
      <c r="S20" s="5" t="s">
        <v>31</v>
      </c>
      <c r="T20" s="7">
        <v>0</v>
      </c>
      <c r="U20" s="7">
        <v>0</v>
      </c>
      <c r="V20" s="7">
        <v>0</v>
      </c>
      <c r="W20" s="7">
        <v>0</v>
      </c>
      <c r="X20" s="7">
        <v>0</v>
      </c>
      <c r="Y20" s="7">
        <v>0</v>
      </c>
      <c r="Z20" s="7">
        <v>0</v>
      </c>
      <c r="AA20" s="7">
        <v>0</v>
      </c>
      <c r="AB20" s="7">
        <v>0</v>
      </c>
      <c r="AC20" s="7">
        <v>0</v>
      </c>
      <c r="AD20" s="7">
        <v>0</v>
      </c>
      <c r="AE20" s="7">
        <v>0</v>
      </c>
      <c r="AF20" s="7">
        <v>0</v>
      </c>
      <c r="AG20" s="7">
        <v>0</v>
      </c>
      <c r="AH20" s="7">
        <v>0</v>
      </c>
      <c r="AI20" s="51" t="s">
        <v>60</v>
      </c>
      <c r="AJ20" s="7">
        <v>0</v>
      </c>
      <c r="AK20" s="51" t="s">
        <v>401</v>
      </c>
      <c r="AL20" s="52" t="s">
        <v>449</v>
      </c>
    </row>
    <row r="21" spans="2:52" x14ac:dyDescent="0.25">
      <c r="S21" s="5" t="s">
        <v>64</v>
      </c>
      <c r="T21" s="7">
        <v>0</v>
      </c>
      <c r="U21" s="7">
        <v>0</v>
      </c>
      <c r="V21" s="7">
        <v>0</v>
      </c>
      <c r="W21" s="7">
        <v>0</v>
      </c>
      <c r="X21" s="7">
        <v>0</v>
      </c>
      <c r="Y21" s="7">
        <v>0</v>
      </c>
      <c r="Z21" s="7">
        <v>0</v>
      </c>
      <c r="AA21" s="7">
        <v>0</v>
      </c>
      <c r="AB21" s="7">
        <v>0</v>
      </c>
      <c r="AC21" s="7">
        <v>0</v>
      </c>
      <c r="AD21" s="7">
        <v>0</v>
      </c>
      <c r="AE21" s="7">
        <v>0</v>
      </c>
      <c r="AF21" s="7">
        <v>0</v>
      </c>
      <c r="AG21" s="7">
        <v>0</v>
      </c>
      <c r="AH21" s="7">
        <v>0</v>
      </c>
      <c r="AI21" s="7">
        <v>0</v>
      </c>
      <c r="AJ21" s="51">
        <v>1</v>
      </c>
      <c r="AK21" s="7">
        <v>0</v>
      </c>
      <c r="AL21" s="52" t="s">
        <v>449</v>
      </c>
    </row>
    <row r="22" spans="2:52" x14ac:dyDescent="0.25">
      <c r="S22" s="5" t="s">
        <v>68</v>
      </c>
      <c r="T22" s="7">
        <v>0</v>
      </c>
      <c r="U22" s="7">
        <v>0</v>
      </c>
      <c r="V22" s="7">
        <v>0</v>
      </c>
      <c r="W22" s="7">
        <v>0</v>
      </c>
      <c r="X22" s="7">
        <v>0</v>
      </c>
      <c r="Y22" s="7">
        <v>0</v>
      </c>
      <c r="Z22" s="7">
        <v>0</v>
      </c>
      <c r="AA22" s="7">
        <v>0</v>
      </c>
      <c r="AB22" s="7">
        <v>0</v>
      </c>
      <c r="AC22" s="7">
        <v>0</v>
      </c>
      <c r="AD22" s="7">
        <v>0</v>
      </c>
      <c r="AE22" s="7">
        <v>0</v>
      </c>
      <c r="AF22" s="7">
        <v>0</v>
      </c>
      <c r="AG22" s="7">
        <v>0</v>
      </c>
      <c r="AH22" s="7">
        <v>0</v>
      </c>
      <c r="AI22" s="7">
        <v>0</v>
      </c>
      <c r="AJ22" s="7">
        <v>0</v>
      </c>
      <c r="AK22" s="51">
        <v>1</v>
      </c>
      <c r="AL22" s="7">
        <v>0</v>
      </c>
    </row>
    <row r="23" spans="2:52" x14ac:dyDescent="0.25">
      <c r="S23" s="5" t="s">
        <v>55</v>
      </c>
      <c r="T23" s="7">
        <v>0</v>
      </c>
      <c r="U23" s="7">
        <v>0</v>
      </c>
      <c r="V23" s="7">
        <v>0</v>
      </c>
      <c r="W23" s="7">
        <v>0</v>
      </c>
      <c r="X23" s="7">
        <v>0</v>
      </c>
      <c r="Y23" s="7">
        <v>0</v>
      </c>
      <c r="Z23" s="7">
        <v>0</v>
      </c>
      <c r="AA23" s="7">
        <v>0</v>
      </c>
      <c r="AB23" s="7">
        <v>0</v>
      </c>
      <c r="AC23" s="7">
        <v>0</v>
      </c>
      <c r="AD23" s="7">
        <v>0</v>
      </c>
      <c r="AE23" s="7">
        <v>0</v>
      </c>
      <c r="AF23" s="7">
        <v>0</v>
      </c>
      <c r="AG23" s="7">
        <v>0</v>
      </c>
      <c r="AH23" s="7">
        <v>0</v>
      </c>
      <c r="AI23" s="7">
        <v>0</v>
      </c>
      <c r="AJ23" s="7">
        <v>0</v>
      </c>
      <c r="AK23" s="7">
        <v>0</v>
      </c>
      <c r="AL23" s="51">
        <v>1</v>
      </c>
    </row>
  </sheetData>
  <mergeCells count="3">
    <mergeCell ref="B2:Q2"/>
    <mergeCell ref="S2:AL2"/>
    <mergeCell ref="AN2:AZ2"/>
  </mergeCells>
  <phoneticPr fontId="18"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C5392-70A9-497A-A2F1-66C27C417F05}">
  <dimension ref="A1:L75"/>
  <sheetViews>
    <sheetView topLeftCell="A40" workbookViewId="0">
      <selection activeCell="B68" sqref="B68:D68"/>
    </sheetView>
  </sheetViews>
  <sheetFormatPr defaultRowHeight="15" x14ac:dyDescent="0.25"/>
  <cols>
    <col min="1" max="1" width="35" bestFit="1" customWidth="1"/>
    <col min="2" max="5" width="24.28515625" customWidth="1"/>
    <col min="7" max="7" width="11.28515625" bestFit="1" customWidth="1"/>
    <col min="8" max="8" width="9.85546875" customWidth="1"/>
    <col min="9" max="9" width="13.140625" bestFit="1" customWidth="1"/>
  </cols>
  <sheetData>
    <row r="1" spans="1:12" ht="19.5" thickBot="1" x14ac:dyDescent="0.35">
      <c r="A1" s="150" t="s">
        <v>628</v>
      </c>
      <c r="B1" s="151"/>
      <c r="C1" s="151"/>
      <c r="D1" s="151"/>
      <c r="E1" s="152"/>
    </row>
    <row r="2" spans="1:12" x14ac:dyDescent="0.25">
      <c r="A2" t="s">
        <v>25</v>
      </c>
      <c r="B2" t="s">
        <v>24</v>
      </c>
      <c r="C2" t="s">
        <v>34</v>
      </c>
      <c r="D2" t="s">
        <v>35</v>
      </c>
      <c r="E2" t="s">
        <v>30</v>
      </c>
      <c r="G2" s="149" t="s">
        <v>53</v>
      </c>
      <c r="H2" s="149"/>
    </row>
    <row r="3" spans="1:12" x14ac:dyDescent="0.25">
      <c r="A3">
        <v>-2.5</v>
      </c>
      <c r="C3">
        <v>16.913946587537001</v>
      </c>
      <c r="D3">
        <v>17.278481012658201</v>
      </c>
      <c r="E3">
        <f>IF(ISBLANK(B3),AVERAGE(C3:D3),B3)</f>
        <v>17.096213800097601</v>
      </c>
      <c r="H3" t="s">
        <v>160</v>
      </c>
      <c r="I3" s="2" t="s">
        <v>161</v>
      </c>
      <c r="J3" s="2" t="s">
        <v>162</v>
      </c>
    </row>
    <row r="4" spans="1:12" x14ac:dyDescent="0.25">
      <c r="A4">
        <v>-2</v>
      </c>
      <c r="C4">
        <v>29.376854599406499</v>
      </c>
      <c r="D4">
        <v>28.481012658227801</v>
      </c>
      <c r="E4">
        <f t="shared" ref="E4:E15" si="0">IF(ISBLANK(B4),AVERAGE(C4:D4),B4)</f>
        <v>28.928933628817148</v>
      </c>
      <c r="H4" s="37"/>
      <c r="I4" s="1"/>
      <c r="J4" s="1"/>
    </row>
    <row r="5" spans="1:12" x14ac:dyDescent="0.25">
      <c r="A5">
        <v>-1.5</v>
      </c>
      <c r="C5">
        <v>55.192878338278902</v>
      </c>
      <c r="D5">
        <v>54.683544303797397</v>
      </c>
      <c r="E5">
        <f t="shared" si="0"/>
        <v>54.938211321038153</v>
      </c>
      <c r="G5" t="s">
        <v>49</v>
      </c>
      <c r="H5" s="37">
        <f>E8+E9</f>
        <v>186.7</v>
      </c>
      <c r="I5" s="1">
        <f>0.8*H5</f>
        <v>149.35999999999999</v>
      </c>
      <c r="J5" s="1">
        <f>1.2*H5</f>
        <v>224.04</v>
      </c>
    </row>
    <row r="6" spans="1:12" x14ac:dyDescent="0.25">
      <c r="A6">
        <v>-1</v>
      </c>
      <c r="C6">
        <v>37.685459940652798</v>
      </c>
      <c r="D6">
        <v>37.784810126582201</v>
      </c>
      <c r="E6">
        <f t="shared" si="0"/>
        <v>37.735135033617496</v>
      </c>
      <c r="G6" t="s">
        <v>50</v>
      </c>
      <c r="H6" s="37">
        <f>AVERAGE(E10:E11)</f>
        <v>64.521795064417915</v>
      </c>
      <c r="I6" s="1">
        <f>0.8*H6</f>
        <v>51.617436051534334</v>
      </c>
      <c r="J6" s="1">
        <f>1.2*H6</f>
        <v>77.42615407730149</v>
      </c>
    </row>
    <row r="7" spans="1:12" x14ac:dyDescent="0.25">
      <c r="A7">
        <v>-0.5</v>
      </c>
      <c r="C7">
        <v>28.189910979228401</v>
      </c>
      <c r="D7">
        <v>27.7215189873417</v>
      </c>
      <c r="E7">
        <f t="shared" si="0"/>
        <v>27.955714983285048</v>
      </c>
      <c r="G7" t="s">
        <v>51</v>
      </c>
      <c r="H7" s="37">
        <f>AVERAGE(E12:E13)</f>
        <v>57.015127896931176</v>
      </c>
      <c r="I7" s="1">
        <f>0.8*H7</f>
        <v>45.612102317544945</v>
      </c>
      <c r="J7" s="1">
        <f>1.2*H7</f>
        <v>68.418153476317414</v>
      </c>
    </row>
    <row r="8" spans="1:12" x14ac:dyDescent="0.25">
      <c r="A8">
        <v>0</v>
      </c>
      <c r="B8">
        <v>112.6</v>
      </c>
      <c r="C8">
        <v>111.86943620178</v>
      </c>
      <c r="D8">
        <v>112.784810126582</v>
      </c>
      <c r="E8">
        <f>IF(ISBLANK(B8),AVERAGE(C8:D8),B8)</f>
        <v>112.6</v>
      </c>
      <c r="G8" t="s">
        <v>52</v>
      </c>
      <c r="H8" s="37">
        <f>AVERAGE(E14:E15)</f>
        <v>46.353617173120952</v>
      </c>
      <c r="I8" s="1">
        <f>0.8*H8</f>
        <v>37.082893738496765</v>
      </c>
      <c r="J8" s="1">
        <f>1.2*H8</f>
        <v>55.62434060774514</v>
      </c>
    </row>
    <row r="9" spans="1:12" x14ac:dyDescent="0.25">
      <c r="A9">
        <v>0.5</v>
      </c>
      <c r="B9">
        <v>74.099999999999994</v>
      </c>
      <c r="C9">
        <v>73.590504451038498</v>
      </c>
      <c r="D9">
        <v>74.050632911392398</v>
      </c>
      <c r="E9">
        <f t="shared" si="0"/>
        <v>74.099999999999994</v>
      </c>
    </row>
    <row r="10" spans="1:12" x14ac:dyDescent="0.25">
      <c r="A10">
        <v>1</v>
      </c>
      <c r="C10">
        <v>64.094955489614193</v>
      </c>
      <c r="D10">
        <v>64.556962025316395</v>
      </c>
      <c r="E10">
        <f t="shared" si="0"/>
        <v>64.325958757465287</v>
      </c>
    </row>
    <row r="11" spans="1:12" x14ac:dyDescent="0.25">
      <c r="A11">
        <v>1.5</v>
      </c>
      <c r="C11">
        <v>64.688427299703207</v>
      </c>
      <c r="D11">
        <v>64.746835443037895</v>
      </c>
      <c r="E11">
        <f t="shared" si="0"/>
        <v>64.717631371370544</v>
      </c>
    </row>
    <row r="12" spans="1:12" x14ac:dyDescent="0.25">
      <c r="A12">
        <v>2</v>
      </c>
      <c r="C12">
        <v>60.237388724035597</v>
      </c>
      <c r="D12">
        <v>60.569620253164501</v>
      </c>
      <c r="E12">
        <f t="shared" si="0"/>
        <v>60.403504488600049</v>
      </c>
    </row>
    <row r="13" spans="1:12" x14ac:dyDescent="0.25">
      <c r="A13">
        <v>2.5</v>
      </c>
      <c r="C13">
        <v>53.709198813056297</v>
      </c>
      <c r="D13">
        <v>53.544303797468302</v>
      </c>
      <c r="E13">
        <f t="shared" si="0"/>
        <v>53.626751305262303</v>
      </c>
    </row>
    <row r="14" spans="1:12" x14ac:dyDescent="0.25">
      <c r="A14">
        <v>3</v>
      </c>
      <c r="C14">
        <v>58.753709198812999</v>
      </c>
      <c r="D14">
        <v>58.860759493670798</v>
      </c>
      <c r="E14">
        <f t="shared" si="0"/>
        <v>58.807234346241898</v>
      </c>
    </row>
    <row r="15" spans="1:12" x14ac:dyDescent="0.25">
      <c r="A15">
        <v>3.5</v>
      </c>
      <c r="B15">
        <v>33.9</v>
      </c>
      <c r="C15">
        <v>33.827893175074202</v>
      </c>
      <c r="D15">
        <v>33.797468354430301</v>
      </c>
      <c r="E15">
        <f t="shared" si="0"/>
        <v>33.9</v>
      </c>
      <c r="L15" t="s">
        <v>36</v>
      </c>
    </row>
    <row r="16" spans="1:12" x14ac:dyDescent="0.25">
      <c r="L16" t="s">
        <v>37</v>
      </c>
    </row>
    <row r="17" spans="1:12" x14ac:dyDescent="0.25">
      <c r="L17" t="s">
        <v>38</v>
      </c>
    </row>
    <row r="18" spans="1:12" x14ac:dyDescent="0.25">
      <c r="L18" t="s">
        <v>39</v>
      </c>
    </row>
    <row r="19" spans="1:12" x14ac:dyDescent="0.25">
      <c r="L19" t="s">
        <v>40</v>
      </c>
    </row>
    <row r="20" spans="1:12" x14ac:dyDescent="0.25">
      <c r="L20" t="s">
        <v>41</v>
      </c>
    </row>
    <row r="21" spans="1:12" ht="18.75" x14ac:dyDescent="0.3">
      <c r="A21" s="153" t="s">
        <v>627</v>
      </c>
      <c r="B21" s="153"/>
      <c r="C21" s="153"/>
      <c r="D21" s="153"/>
      <c r="E21" s="153"/>
      <c r="F21" s="153"/>
      <c r="L21" t="s">
        <v>42</v>
      </c>
    </row>
    <row r="22" spans="1:12" ht="15.75" thickBot="1" x14ac:dyDescent="0.3">
      <c r="L22" t="s">
        <v>43</v>
      </c>
    </row>
    <row r="23" spans="1:12" ht="30" x14ac:dyDescent="0.25">
      <c r="A23" s="57" t="s">
        <v>405</v>
      </c>
      <c r="B23" s="57">
        <v>2009</v>
      </c>
      <c r="C23" s="57">
        <v>2010</v>
      </c>
      <c r="D23" s="57">
        <v>2011</v>
      </c>
      <c r="E23" s="2" t="s">
        <v>410</v>
      </c>
      <c r="F23" t="s">
        <v>411</v>
      </c>
      <c r="L23" t="s">
        <v>44</v>
      </c>
    </row>
    <row r="24" spans="1:12" x14ac:dyDescent="0.25">
      <c r="A24" s="56" t="s">
        <v>406</v>
      </c>
      <c r="B24" s="56">
        <v>20</v>
      </c>
      <c r="C24" s="56">
        <v>23</v>
      </c>
      <c r="D24" s="56">
        <v>21</v>
      </c>
      <c r="E24">
        <f>SUM(B24:D24)</f>
        <v>64</v>
      </c>
      <c r="F24" s="59">
        <f>E24/SUM($E$24:$E$27)</f>
        <v>0.32653061224489793</v>
      </c>
      <c r="L24" t="s">
        <v>45</v>
      </c>
    </row>
    <row r="25" spans="1:12" x14ac:dyDescent="0.25">
      <c r="A25" s="56" t="s">
        <v>407</v>
      </c>
      <c r="B25" s="56">
        <v>15</v>
      </c>
      <c r="C25" s="56">
        <v>24</v>
      </c>
      <c r="D25" s="56">
        <v>11</v>
      </c>
      <c r="E25">
        <f>SUM(B25:D25)</f>
        <v>50</v>
      </c>
      <c r="F25" s="59">
        <f>E25/SUM($E$24:$E$27)</f>
        <v>0.25510204081632654</v>
      </c>
      <c r="L25" t="s">
        <v>46</v>
      </c>
    </row>
    <row r="26" spans="1:12" x14ac:dyDescent="0.25">
      <c r="A26" s="56" t="s">
        <v>408</v>
      </c>
      <c r="B26" s="56">
        <v>13</v>
      </c>
      <c r="C26" s="56">
        <v>15</v>
      </c>
      <c r="D26" s="56">
        <v>12</v>
      </c>
      <c r="E26">
        <f>SUM(B26:D26)</f>
        <v>40</v>
      </c>
      <c r="F26" s="59">
        <f>E26/SUM($E$24:$E$27)</f>
        <v>0.20408163265306123</v>
      </c>
      <c r="L26" t="s">
        <v>47</v>
      </c>
    </row>
    <row r="27" spans="1:12" ht="15.75" thickBot="1" x14ac:dyDescent="0.3">
      <c r="A27" s="58" t="s">
        <v>409</v>
      </c>
      <c r="B27" s="58">
        <v>16</v>
      </c>
      <c r="C27" s="58">
        <v>12</v>
      </c>
      <c r="D27" s="58">
        <v>14</v>
      </c>
      <c r="E27">
        <f>SUM(B27:D27)</f>
        <v>42</v>
      </c>
      <c r="F27" s="59">
        <f>E27/SUM($E$24:$E$27)</f>
        <v>0.21428571428571427</v>
      </c>
      <c r="L27" t="s">
        <v>48</v>
      </c>
    </row>
    <row r="30" spans="1:12" x14ac:dyDescent="0.25">
      <c r="B30" s="2" t="s">
        <v>416</v>
      </c>
    </row>
    <row r="31" spans="1:12" x14ac:dyDescent="0.25">
      <c r="B31" s="60" t="s">
        <v>412</v>
      </c>
      <c r="C31" s="60" t="s">
        <v>413</v>
      </c>
      <c r="D31" s="60" t="s">
        <v>414</v>
      </c>
      <c r="E31" s="60" t="s">
        <v>415</v>
      </c>
    </row>
    <row r="32" spans="1:12" x14ac:dyDescent="0.25">
      <c r="A32" s="60" t="s">
        <v>417</v>
      </c>
      <c r="B32" s="61">
        <v>126.012793176972</v>
      </c>
      <c r="C32" s="61">
        <v>67.590618336887005</v>
      </c>
      <c r="D32" s="61">
        <v>191.684434968017</v>
      </c>
      <c r="E32" s="61">
        <v>43.283582089552198</v>
      </c>
    </row>
    <row r="33" spans="1:6" x14ac:dyDescent="0.25">
      <c r="A33" s="60" t="s">
        <v>418</v>
      </c>
      <c r="B33" s="61">
        <v>15.138592750533</v>
      </c>
      <c r="C33" s="61">
        <v>98.933901918976503</v>
      </c>
      <c r="D33" s="61">
        <v>25.159914712153501</v>
      </c>
      <c r="E33" s="61">
        <v>33.4754797441364</v>
      </c>
    </row>
    <row r="34" spans="1:6" x14ac:dyDescent="0.25">
      <c r="A34" t="s">
        <v>420</v>
      </c>
      <c r="B34" s="61">
        <f>SUM(B32:B33)</f>
        <v>141.151385927505</v>
      </c>
      <c r="C34" s="61">
        <f>SUM(C32:C33)</f>
        <v>166.52452025586351</v>
      </c>
      <c r="D34" s="61">
        <f>SUM(D32:D33)</f>
        <v>216.8443496801705</v>
      </c>
      <c r="E34" s="61">
        <f>SUM(E32:E33)</f>
        <v>76.759061833688605</v>
      </c>
    </row>
    <row r="35" spans="1:6" x14ac:dyDescent="0.25">
      <c r="A35" t="s">
        <v>419</v>
      </c>
      <c r="B35">
        <v>0.32653061224489793</v>
      </c>
      <c r="C35">
        <v>0.25510204081632654</v>
      </c>
      <c r="D35">
        <v>0.20408163265306123</v>
      </c>
      <c r="E35">
        <v>0.21428571428571427</v>
      </c>
    </row>
    <row r="37" spans="1:6" x14ac:dyDescent="0.25">
      <c r="A37" t="s">
        <v>626</v>
      </c>
      <c r="B37" s="62">
        <f>SUMPRODUCT(B34:E34,B35:E35)</f>
        <v>149.27331273660835</v>
      </c>
    </row>
    <row r="44" spans="1:6" ht="18.75" x14ac:dyDescent="0.3">
      <c r="A44" s="153" t="s">
        <v>629</v>
      </c>
      <c r="B44" s="153"/>
      <c r="C44" s="153"/>
      <c r="D44" s="153"/>
      <c r="E44" s="153"/>
      <c r="F44" s="153"/>
    </row>
    <row r="48" spans="1:6" x14ac:dyDescent="0.25">
      <c r="A48" s="2" t="s">
        <v>643</v>
      </c>
    </row>
    <row r="49" spans="1:8" ht="93" customHeight="1" x14ac:dyDescent="0.25">
      <c r="A49" s="97" t="s">
        <v>635</v>
      </c>
      <c r="B49" s="97" t="s">
        <v>630</v>
      </c>
      <c r="C49" s="97" t="s">
        <v>631</v>
      </c>
      <c r="D49" s="97" t="s">
        <v>632</v>
      </c>
      <c r="E49" s="97" t="s">
        <v>640</v>
      </c>
      <c r="F49" s="97" t="s">
        <v>641</v>
      </c>
      <c r="G49" s="98" t="s">
        <v>642</v>
      </c>
      <c r="H49" s="98" t="s">
        <v>639</v>
      </c>
    </row>
    <row r="50" spans="1:8" ht="56.25" x14ac:dyDescent="0.25">
      <c r="A50" s="97" t="s">
        <v>636</v>
      </c>
      <c r="B50" s="97">
        <v>340</v>
      </c>
      <c r="C50" s="97">
        <v>238</v>
      </c>
      <c r="D50" s="97" t="s">
        <v>633</v>
      </c>
      <c r="E50" s="97">
        <v>578</v>
      </c>
      <c r="F50" s="98">
        <v>578</v>
      </c>
      <c r="G50" s="98">
        <v>0.17</v>
      </c>
      <c r="H50" s="99">
        <f>51.9*2</f>
        <v>103.8</v>
      </c>
    </row>
    <row r="51" spans="1:8" ht="56.25" x14ac:dyDescent="0.25">
      <c r="A51" s="97" t="s">
        <v>634</v>
      </c>
      <c r="B51" s="97">
        <v>340</v>
      </c>
      <c r="C51" s="97">
        <v>238</v>
      </c>
      <c r="D51" s="97" t="s">
        <v>637</v>
      </c>
      <c r="E51" s="97">
        <v>828</v>
      </c>
      <c r="F51" s="4">
        <v>1128</v>
      </c>
      <c r="G51" s="98">
        <v>0.17</v>
      </c>
      <c r="H51" s="99">
        <f>51.9*2</f>
        <v>103.8</v>
      </c>
    </row>
    <row r="52" spans="1:8" ht="93.75" x14ac:dyDescent="0.25">
      <c r="A52" s="97" t="s">
        <v>54</v>
      </c>
      <c r="B52" s="97">
        <v>340</v>
      </c>
      <c r="C52" s="97">
        <v>238</v>
      </c>
      <c r="D52" s="97" t="s">
        <v>638</v>
      </c>
      <c r="E52" s="97">
        <v>2078</v>
      </c>
      <c r="F52" s="4">
        <v>3578</v>
      </c>
      <c r="G52" s="98">
        <v>0.17</v>
      </c>
      <c r="H52" s="99">
        <f>51.9*2</f>
        <v>103.8</v>
      </c>
    </row>
    <row r="53" spans="1:8" ht="18.75" x14ac:dyDescent="0.25">
      <c r="A53" s="100" t="s">
        <v>646</v>
      </c>
      <c r="B53" s="101" t="s">
        <v>647</v>
      </c>
    </row>
    <row r="54" spans="1:8" x14ac:dyDescent="0.25">
      <c r="B54" s="101" t="s">
        <v>648</v>
      </c>
    </row>
    <row r="55" spans="1:8" x14ac:dyDescent="0.25">
      <c r="B55" s="101" t="s">
        <v>649</v>
      </c>
    </row>
    <row r="56" spans="1:8" ht="18.75" x14ac:dyDescent="0.25">
      <c r="B56" t="s">
        <v>198</v>
      </c>
      <c r="C56" t="s">
        <v>26</v>
      </c>
      <c r="D56" s="100" t="s">
        <v>27</v>
      </c>
    </row>
    <row r="57" spans="1:8" x14ac:dyDescent="0.25">
      <c r="A57" t="s">
        <v>644</v>
      </c>
      <c r="B57">
        <f>AVERAGE(C57:D57)</f>
        <v>584.55999999999995</v>
      </c>
      <c r="C57">
        <v>457.06</v>
      </c>
      <c r="D57">
        <v>712.06</v>
      </c>
    </row>
    <row r="58" spans="1:8" x14ac:dyDescent="0.25">
      <c r="A58" t="s">
        <v>645</v>
      </c>
      <c r="B58" s="1"/>
      <c r="C58" s="1"/>
      <c r="D58" s="1"/>
    </row>
    <row r="63" spans="1:8" x14ac:dyDescent="0.25">
      <c r="A63" s="2" t="s">
        <v>651</v>
      </c>
      <c r="B63" t="s">
        <v>198</v>
      </c>
      <c r="C63" t="s">
        <v>26</v>
      </c>
      <c r="D63" t="s">
        <v>27</v>
      </c>
    </row>
    <row r="64" spans="1:8" x14ac:dyDescent="0.25">
      <c r="A64" t="s">
        <v>650</v>
      </c>
      <c r="B64">
        <f>B52*$G$50</f>
        <v>57.800000000000004</v>
      </c>
      <c r="C64">
        <f>B52*$G$50</f>
        <v>57.800000000000004</v>
      </c>
      <c r="D64">
        <f>B52*$G$50</f>
        <v>57.800000000000004</v>
      </c>
    </row>
    <row r="65" spans="1:4" x14ac:dyDescent="0.25">
      <c r="A65" t="s">
        <v>652</v>
      </c>
      <c r="B65">
        <f>C52*$G$50</f>
        <v>40.46</v>
      </c>
      <c r="C65">
        <f>C52*$G$50</f>
        <v>40.46</v>
      </c>
      <c r="D65">
        <f>C52*$G$50</f>
        <v>40.46</v>
      </c>
    </row>
    <row r="66" spans="1:4" x14ac:dyDescent="0.25">
      <c r="A66" t="s">
        <v>653</v>
      </c>
      <c r="B66">
        <f>AVERAGE(C66:D66)</f>
        <v>382.50000000000006</v>
      </c>
      <c r="C66">
        <f>1500*G52</f>
        <v>255.00000000000003</v>
      </c>
      <c r="D66">
        <f>3000*G52</f>
        <v>510.00000000000006</v>
      </c>
    </row>
    <row r="67" spans="1:4" x14ac:dyDescent="0.25">
      <c r="A67" t="s">
        <v>654</v>
      </c>
      <c r="B67">
        <v>103.8</v>
      </c>
      <c r="C67">
        <f>B67*0.8</f>
        <v>83.04</v>
      </c>
      <c r="D67">
        <f>B67*1.2</f>
        <v>124.55999999999999</v>
      </c>
    </row>
    <row r="68" spans="1:4" x14ac:dyDescent="0.25">
      <c r="A68" s="2" t="s">
        <v>655</v>
      </c>
      <c r="B68">
        <f>SUM(B64:B67)</f>
        <v>584.56000000000006</v>
      </c>
      <c r="C68">
        <f>SUM(C64:C67)</f>
        <v>436.30000000000007</v>
      </c>
      <c r="D68">
        <f>SUM(D64:D67)</f>
        <v>732.82</v>
      </c>
    </row>
    <row r="70" spans="1:4" x14ac:dyDescent="0.25">
      <c r="A70" s="2" t="s">
        <v>656</v>
      </c>
      <c r="B70" t="s">
        <v>198</v>
      </c>
      <c r="C70" t="s">
        <v>26</v>
      </c>
      <c r="D70" t="s">
        <v>27</v>
      </c>
    </row>
    <row r="71" spans="1:4" x14ac:dyDescent="0.25">
      <c r="A71" t="s">
        <v>650</v>
      </c>
      <c r="B71">
        <f t="shared" ref="B71:D72" si="1">B64</f>
        <v>57.800000000000004</v>
      </c>
      <c r="C71">
        <f t="shared" si="1"/>
        <v>57.800000000000004</v>
      </c>
      <c r="D71">
        <f t="shared" si="1"/>
        <v>57.800000000000004</v>
      </c>
    </row>
    <row r="72" spans="1:4" x14ac:dyDescent="0.25">
      <c r="A72" t="s">
        <v>652</v>
      </c>
      <c r="B72">
        <f t="shared" si="1"/>
        <v>40.46</v>
      </c>
      <c r="C72">
        <f t="shared" si="1"/>
        <v>40.46</v>
      </c>
      <c r="D72">
        <f t="shared" si="1"/>
        <v>40.46</v>
      </c>
    </row>
    <row r="73" spans="1:4" x14ac:dyDescent="0.25">
      <c r="A73" t="s">
        <v>653</v>
      </c>
      <c r="B73">
        <f>(1/3)*B66</f>
        <v>127.50000000000001</v>
      </c>
      <c r="C73">
        <f>(1/3)*C66</f>
        <v>85</v>
      </c>
      <c r="D73">
        <f>(1/3)*D66</f>
        <v>170</v>
      </c>
    </row>
    <row r="74" spans="1:4" x14ac:dyDescent="0.25">
      <c r="A74" t="s">
        <v>654</v>
      </c>
      <c r="B74">
        <v>103.8</v>
      </c>
      <c r="C74">
        <f>B74*0.8</f>
        <v>83.04</v>
      </c>
      <c r="D74">
        <f>B74*1.2</f>
        <v>124.55999999999999</v>
      </c>
    </row>
    <row r="75" spans="1:4" x14ac:dyDescent="0.25">
      <c r="A75" s="2" t="s">
        <v>655</v>
      </c>
      <c r="B75">
        <f>SUM(B71:B74)</f>
        <v>329.56</v>
      </c>
      <c r="C75">
        <f>SUM(C71:C74)</f>
        <v>266.3</v>
      </c>
      <c r="D75">
        <f>SUM(D71:D74)</f>
        <v>392.82</v>
      </c>
    </row>
  </sheetData>
  <mergeCells count="4">
    <mergeCell ref="G2:H2"/>
    <mergeCell ref="A1:E1"/>
    <mergeCell ref="A21:F21"/>
    <mergeCell ref="A44:F44"/>
  </mergeCells>
  <conditionalFormatting sqref="H4:J8">
    <cfRule type="dataBar" priority="1">
      <dataBar>
        <cfvo type="min"/>
        <cfvo type="max"/>
        <color rgb="FF638EC6"/>
      </dataBar>
      <extLst>
        <ext xmlns:x14="http://schemas.microsoft.com/office/spreadsheetml/2009/9/main" uri="{B025F937-C7B1-47D3-B67F-A62EFF666E3E}">
          <x14:id>{7A08DCED-3F88-476D-BA5A-C236A3E995DA}</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7A08DCED-3F88-476D-BA5A-C236A3E995DA}">
            <x14:dataBar minLength="0" maxLength="100" gradient="0">
              <x14:cfvo type="autoMin"/>
              <x14:cfvo type="autoMax"/>
              <x14:negativeFillColor rgb="FFFF0000"/>
              <x14:axisColor rgb="FF000000"/>
            </x14:dataBar>
          </x14:cfRule>
          <xm:sqref>H4:J8</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812E-1CEF-4A26-9A91-F7E4FC8711EA}">
  <dimension ref="A1:H17"/>
  <sheetViews>
    <sheetView workbookViewId="0">
      <selection activeCell="H52" sqref="H52"/>
    </sheetView>
  </sheetViews>
  <sheetFormatPr defaultRowHeight="15" x14ac:dyDescent="0.25"/>
  <cols>
    <col min="1" max="1" width="24.140625" customWidth="1"/>
    <col min="3" max="3" width="33.5703125" bestFit="1" customWidth="1"/>
    <col min="7" max="7" width="12.42578125" bestFit="1" customWidth="1"/>
    <col min="9" max="9" width="17.5703125" bestFit="1" customWidth="1"/>
  </cols>
  <sheetData>
    <row r="1" spans="1:8" x14ac:dyDescent="0.25">
      <c r="A1" s="2" t="s">
        <v>773</v>
      </c>
    </row>
    <row r="2" spans="1:8" x14ac:dyDescent="0.25">
      <c r="A2" s="43" t="s">
        <v>780</v>
      </c>
      <c r="B2" s="43" t="s">
        <v>771</v>
      </c>
      <c r="C2" s="43" t="s">
        <v>772</v>
      </c>
      <c r="D2" s="43" t="s">
        <v>766</v>
      </c>
      <c r="G2" s="2"/>
      <c r="H2" s="139"/>
    </row>
    <row r="3" spans="1:8" x14ac:dyDescent="0.25">
      <c r="A3" s="4" t="s">
        <v>770</v>
      </c>
      <c r="B3" s="4">
        <v>9</v>
      </c>
      <c r="C3" s="4">
        <v>100</v>
      </c>
      <c r="D3" s="66">
        <f t="shared" ref="D3:D8" si="0">B3/C3</f>
        <v>0.09</v>
      </c>
      <c r="H3" s="139"/>
    </row>
    <row r="4" spans="1:8" x14ac:dyDescent="0.25">
      <c r="A4" s="4" t="s">
        <v>769</v>
      </c>
      <c r="B4" s="4">
        <v>24</v>
      </c>
      <c r="C4" s="4">
        <v>192</v>
      </c>
      <c r="D4" s="66">
        <f t="shared" si="0"/>
        <v>0.125</v>
      </c>
      <c r="H4" s="139"/>
    </row>
    <row r="5" spans="1:8" x14ac:dyDescent="0.25">
      <c r="A5" s="4" t="s">
        <v>767</v>
      </c>
      <c r="B5" s="4">
        <v>16</v>
      </c>
      <c r="C5" s="4">
        <v>97</v>
      </c>
      <c r="D5" s="66">
        <f t="shared" si="0"/>
        <v>0.16494845360824742</v>
      </c>
    </row>
    <row r="6" spans="1:8" x14ac:dyDescent="0.25">
      <c r="A6" s="4" t="s">
        <v>768</v>
      </c>
      <c r="B6" s="4">
        <v>14</v>
      </c>
      <c r="C6" s="4">
        <v>80</v>
      </c>
      <c r="D6" s="66">
        <f t="shared" si="0"/>
        <v>0.17499999999999999</v>
      </c>
    </row>
    <row r="7" spans="1:8" x14ac:dyDescent="0.25">
      <c r="A7" s="4" t="s">
        <v>466</v>
      </c>
      <c r="B7" s="4">
        <v>23</v>
      </c>
      <c r="C7" s="4">
        <v>100</v>
      </c>
      <c r="D7" s="66">
        <f t="shared" si="0"/>
        <v>0.23</v>
      </c>
      <c r="E7" s="141" t="s">
        <v>161</v>
      </c>
      <c r="F7" s="141" t="s">
        <v>162</v>
      </c>
      <c r="G7" s="141" t="s">
        <v>778</v>
      </c>
    </row>
    <row r="8" spans="1:8" x14ac:dyDescent="0.25">
      <c r="A8" s="43" t="s">
        <v>779</v>
      </c>
      <c r="B8" s="4">
        <f>SUM(B3:B7)</f>
        <v>86</v>
      </c>
      <c r="C8" s="4">
        <f>SUM(C3:C7)</f>
        <v>569</v>
      </c>
      <c r="D8" s="142">
        <f t="shared" si="0"/>
        <v>0.15114235500878734</v>
      </c>
      <c r="E8" s="140">
        <v>0.11799999999999999</v>
      </c>
      <c r="F8" s="140">
        <v>0.188</v>
      </c>
      <c r="G8" t="s">
        <v>774</v>
      </c>
    </row>
    <row r="11" spans="1:8" x14ac:dyDescent="0.25">
      <c r="A11" s="2"/>
    </row>
    <row r="13" spans="1:8" x14ac:dyDescent="0.25">
      <c r="A13" s="38" t="s">
        <v>789</v>
      </c>
      <c r="B13" s="38" t="s">
        <v>788</v>
      </c>
      <c r="C13" s="38" t="s">
        <v>787</v>
      </c>
    </row>
    <row r="14" spans="1:8" x14ac:dyDescent="0.25">
      <c r="A14" s="4" t="s">
        <v>786</v>
      </c>
      <c r="B14" s="4">
        <v>6</v>
      </c>
      <c r="C14" s="71">
        <v>0.9</v>
      </c>
    </row>
    <row r="15" spans="1:8" x14ac:dyDescent="0.25">
      <c r="A15" s="4" t="s">
        <v>785</v>
      </c>
      <c r="B15" s="4">
        <v>5</v>
      </c>
      <c r="C15" s="71">
        <v>0.6</v>
      </c>
    </row>
    <row r="16" spans="1:8" x14ac:dyDescent="0.25">
      <c r="A16" s="4" t="s">
        <v>784</v>
      </c>
      <c r="B16" s="4">
        <v>12</v>
      </c>
      <c r="C16" s="71">
        <v>0.1</v>
      </c>
    </row>
    <row r="17" spans="1:3" x14ac:dyDescent="0.25">
      <c r="A17" s="154" t="s">
        <v>783</v>
      </c>
      <c r="B17" s="154"/>
      <c r="C17" s="143">
        <f>SUMPRODUCT(B14:B16,C14:C16)/SUM(B14:B16)</f>
        <v>0.41739130434782618</v>
      </c>
    </row>
  </sheetData>
  <mergeCells count="1">
    <mergeCell ref="A17:B1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9B461-1FBF-498C-9E6A-EEEB62D9CD69}">
  <dimension ref="B1:O191"/>
  <sheetViews>
    <sheetView topLeftCell="A30" workbookViewId="0">
      <selection activeCell="C195" sqref="C195"/>
    </sheetView>
  </sheetViews>
  <sheetFormatPr defaultRowHeight="15" x14ac:dyDescent="0.25"/>
  <cols>
    <col min="2" max="2" width="68.85546875" bestFit="1" customWidth="1"/>
    <col min="3" max="3" width="13" bestFit="1" customWidth="1"/>
    <col min="4" max="4" width="10" bestFit="1" customWidth="1"/>
    <col min="5" max="5" width="10.42578125" bestFit="1" customWidth="1"/>
  </cols>
  <sheetData>
    <row r="1" spans="2:9" x14ac:dyDescent="0.25">
      <c r="B1" s="15" t="s">
        <v>83</v>
      </c>
      <c r="C1" s="158" t="s">
        <v>85</v>
      </c>
      <c r="D1" s="158" t="s">
        <v>86</v>
      </c>
      <c r="E1" s="160" t="s">
        <v>87</v>
      </c>
    </row>
    <row r="2" spans="2:9" ht="15.75" thickBot="1" x14ac:dyDescent="0.3">
      <c r="B2" s="39" t="s">
        <v>84</v>
      </c>
      <c r="C2" s="159"/>
      <c r="D2" s="159"/>
      <c r="E2" s="161"/>
    </row>
    <row r="3" spans="2:9" hidden="1" x14ac:dyDescent="0.25">
      <c r="B3" s="162" t="s">
        <v>88</v>
      </c>
      <c r="C3" s="163"/>
      <c r="D3" s="163"/>
      <c r="E3" s="164"/>
    </row>
    <row r="4" spans="2:9" hidden="1" x14ac:dyDescent="0.25">
      <c r="B4" s="16" t="s">
        <v>89</v>
      </c>
      <c r="C4" s="12">
        <v>60</v>
      </c>
      <c r="D4" s="12">
        <v>40</v>
      </c>
      <c r="E4" s="17">
        <v>80</v>
      </c>
    </row>
    <row r="5" spans="2:9" hidden="1" x14ac:dyDescent="0.25">
      <c r="B5" s="16" t="s">
        <v>90</v>
      </c>
      <c r="C5" s="13">
        <v>0.15</v>
      </c>
      <c r="D5" s="13">
        <v>0.1</v>
      </c>
      <c r="E5" s="18">
        <v>0.2</v>
      </c>
    </row>
    <row r="6" spans="2:9" hidden="1" x14ac:dyDescent="0.25">
      <c r="B6" s="16" t="s">
        <v>91</v>
      </c>
      <c r="C6" s="33">
        <v>2</v>
      </c>
      <c r="D6" s="33">
        <v>1</v>
      </c>
      <c r="E6" s="34">
        <v>3</v>
      </c>
    </row>
    <row r="7" spans="2:9" hidden="1" x14ac:dyDescent="0.25">
      <c r="B7" s="16" t="s">
        <v>92</v>
      </c>
      <c r="C7" s="12">
        <v>372</v>
      </c>
      <c r="D7" s="12">
        <v>300</v>
      </c>
      <c r="E7" s="17">
        <v>1000</v>
      </c>
    </row>
    <row r="8" spans="2:9" hidden="1" x14ac:dyDescent="0.25">
      <c r="B8" s="19" t="s">
        <v>93</v>
      </c>
      <c r="C8" s="14">
        <v>390</v>
      </c>
      <c r="D8" s="14">
        <v>304</v>
      </c>
      <c r="E8" s="20">
        <v>1048</v>
      </c>
      <c r="G8" s="9">
        <f>C4*C5*C6+C7</f>
        <v>390</v>
      </c>
      <c r="H8" s="9">
        <f>D4*D5*D6+D7</f>
        <v>304</v>
      </c>
      <c r="I8" s="9">
        <f>E4*E5*E6+E7</f>
        <v>1048</v>
      </c>
    </row>
    <row r="9" spans="2:9" hidden="1" x14ac:dyDescent="0.25">
      <c r="B9" s="25" t="s">
        <v>94</v>
      </c>
      <c r="C9" s="12"/>
      <c r="D9" s="12"/>
      <c r="E9" s="17"/>
    </row>
    <row r="10" spans="2:9" hidden="1" x14ac:dyDescent="0.25">
      <c r="B10" s="16" t="s">
        <v>89</v>
      </c>
      <c r="C10" s="12">
        <v>60</v>
      </c>
      <c r="D10" s="12">
        <v>40</v>
      </c>
      <c r="E10" s="17">
        <v>80</v>
      </c>
    </row>
    <row r="11" spans="2:9" hidden="1" x14ac:dyDescent="0.25">
      <c r="B11" s="16" t="s">
        <v>90</v>
      </c>
      <c r="C11" s="13">
        <v>0.05</v>
      </c>
      <c r="D11" s="13">
        <v>0.01</v>
      </c>
      <c r="E11" s="18">
        <v>0.09</v>
      </c>
    </row>
    <row r="12" spans="2:9" hidden="1" x14ac:dyDescent="0.25">
      <c r="B12" s="16" t="s">
        <v>91</v>
      </c>
      <c r="C12" s="33">
        <v>1.5</v>
      </c>
      <c r="D12" s="33">
        <v>1</v>
      </c>
      <c r="E12" s="34">
        <v>2</v>
      </c>
    </row>
    <row r="13" spans="2:9" hidden="1" x14ac:dyDescent="0.25">
      <c r="B13" s="16" t="s">
        <v>95</v>
      </c>
      <c r="C13" s="12">
        <v>12</v>
      </c>
      <c r="D13" s="12">
        <v>4</v>
      </c>
      <c r="E13" s="17">
        <v>20</v>
      </c>
    </row>
    <row r="14" spans="2:9" hidden="1" x14ac:dyDescent="0.25">
      <c r="B14" s="16" t="s">
        <v>96</v>
      </c>
      <c r="C14" s="12">
        <v>15</v>
      </c>
      <c r="D14" s="12">
        <v>10</v>
      </c>
      <c r="E14" s="17">
        <v>20</v>
      </c>
    </row>
    <row r="15" spans="2:9" hidden="1" x14ac:dyDescent="0.25">
      <c r="B15" s="16" t="s">
        <v>97</v>
      </c>
      <c r="C15" s="13">
        <v>0.5</v>
      </c>
      <c r="D15" s="13">
        <v>0.4</v>
      </c>
      <c r="E15" s="18">
        <v>0.6</v>
      </c>
    </row>
    <row r="16" spans="2:9" hidden="1" x14ac:dyDescent="0.25">
      <c r="B16" s="16" t="s">
        <v>98</v>
      </c>
      <c r="C16" s="33">
        <v>1.2</v>
      </c>
      <c r="D16" s="33">
        <v>1</v>
      </c>
      <c r="E16" s="34">
        <v>2</v>
      </c>
    </row>
    <row r="17" spans="2:9" hidden="1" x14ac:dyDescent="0.25">
      <c r="B17" s="16" t="s">
        <v>99</v>
      </c>
      <c r="C17" s="12">
        <v>3</v>
      </c>
      <c r="D17" s="12">
        <v>1</v>
      </c>
      <c r="E17" s="17">
        <v>5</v>
      </c>
    </row>
    <row r="18" spans="2:9" hidden="1" x14ac:dyDescent="0.25">
      <c r="B18" s="19" t="s">
        <v>93</v>
      </c>
      <c r="C18" s="14">
        <v>28.5</v>
      </c>
      <c r="D18" s="14">
        <v>9.4</v>
      </c>
      <c r="E18" s="20">
        <v>63.4</v>
      </c>
      <c r="G18" s="10">
        <f>C10*C11*C12+C13+C15*C16*C14+C17</f>
        <v>28.5</v>
      </c>
      <c r="H18" s="10">
        <f>D10*D11*D12+D13+D15*D16*D14+D17</f>
        <v>9.4</v>
      </c>
      <c r="I18" s="10">
        <f>E10*E11*E12+E13+E15*E16*E14+E17</f>
        <v>63.4</v>
      </c>
    </row>
    <row r="19" spans="2:9" hidden="1" x14ac:dyDescent="0.25">
      <c r="B19" s="155" t="s">
        <v>100</v>
      </c>
      <c r="C19" s="156"/>
      <c r="D19" s="156"/>
      <c r="E19" s="157"/>
    </row>
    <row r="20" spans="2:9" hidden="1" x14ac:dyDescent="0.25">
      <c r="B20" s="16" t="s">
        <v>101</v>
      </c>
      <c r="C20" s="12">
        <v>25</v>
      </c>
      <c r="D20" s="12">
        <v>20</v>
      </c>
      <c r="E20" s="17">
        <v>30</v>
      </c>
    </row>
    <row r="21" spans="2:9" hidden="1" x14ac:dyDescent="0.25">
      <c r="B21" s="19" t="s">
        <v>93</v>
      </c>
      <c r="C21" s="14">
        <v>25</v>
      </c>
      <c r="D21" s="14">
        <v>20</v>
      </c>
      <c r="E21" s="20">
        <v>30</v>
      </c>
    </row>
    <row r="22" spans="2:9" hidden="1" x14ac:dyDescent="0.25">
      <c r="B22" s="25" t="s">
        <v>193</v>
      </c>
      <c r="C22" s="12"/>
      <c r="D22" s="12"/>
      <c r="E22" s="17"/>
    </row>
    <row r="23" spans="2:9" hidden="1" x14ac:dyDescent="0.25">
      <c r="B23" s="16" t="s">
        <v>102</v>
      </c>
      <c r="C23" s="13">
        <v>0.5</v>
      </c>
      <c r="D23" s="13">
        <v>0.3</v>
      </c>
      <c r="E23" s="18">
        <v>0.7</v>
      </c>
    </row>
    <row r="24" spans="2:9" hidden="1" x14ac:dyDescent="0.25">
      <c r="B24" s="16" t="s">
        <v>103</v>
      </c>
      <c r="C24" s="12">
        <v>15</v>
      </c>
      <c r="D24" s="12">
        <v>10</v>
      </c>
      <c r="E24" s="17">
        <v>40</v>
      </c>
    </row>
    <row r="25" spans="2:9" hidden="1" x14ac:dyDescent="0.25">
      <c r="B25" s="16" t="s">
        <v>104</v>
      </c>
      <c r="C25" s="12">
        <v>12</v>
      </c>
      <c r="D25" s="12">
        <v>5</v>
      </c>
      <c r="E25" s="17">
        <v>20</v>
      </c>
    </row>
    <row r="26" spans="2:9" hidden="1" x14ac:dyDescent="0.25">
      <c r="B26" s="19" t="s">
        <v>93</v>
      </c>
      <c r="C26" s="14">
        <v>13.5</v>
      </c>
      <c r="D26" s="14">
        <v>4.5</v>
      </c>
      <c r="E26" s="20">
        <v>42</v>
      </c>
      <c r="G26" s="10">
        <f>C23*(C24+C25)</f>
        <v>13.5</v>
      </c>
      <c r="H26" s="10">
        <f>D23*(D24+D25)</f>
        <v>4.5</v>
      </c>
      <c r="I26" s="10">
        <f>E23*(E24+E25)</f>
        <v>42</v>
      </c>
    </row>
    <row r="27" spans="2:9" x14ac:dyDescent="0.25">
      <c r="B27" s="25" t="s">
        <v>105</v>
      </c>
      <c r="C27" s="12"/>
      <c r="D27" s="12"/>
      <c r="E27" s="17"/>
    </row>
    <row r="28" spans="2:9" x14ac:dyDescent="0.25">
      <c r="B28" s="16" t="s">
        <v>81</v>
      </c>
      <c r="C28" s="12">
        <v>9</v>
      </c>
      <c r="D28" s="12">
        <v>7</v>
      </c>
      <c r="E28" s="17">
        <v>13</v>
      </c>
    </row>
    <row r="29" spans="2:9" x14ac:dyDescent="0.25">
      <c r="B29" s="16" t="s">
        <v>194</v>
      </c>
      <c r="C29" s="12">
        <v>290</v>
      </c>
      <c r="D29" s="12">
        <v>240</v>
      </c>
      <c r="E29" s="17">
        <v>340</v>
      </c>
    </row>
    <row r="30" spans="2:9" x14ac:dyDescent="0.25">
      <c r="B30" s="16" t="s">
        <v>82</v>
      </c>
      <c r="C30" s="12">
        <v>163</v>
      </c>
      <c r="D30" s="12">
        <v>140</v>
      </c>
      <c r="E30" s="17">
        <v>186</v>
      </c>
    </row>
    <row r="31" spans="2:9" x14ac:dyDescent="0.25">
      <c r="B31" s="16" t="s">
        <v>107</v>
      </c>
      <c r="C31" s="12">
        <v>13</v>
      </c>
      <c r="D31" s="12">
        <v>11</v>
      </c>
      <c r="E31" s="17">
        <v>15</v>
      </c>
    </row>
    <row r="32" spans="2:9" x14ac:dyDescent="0.25">
      <c r="B32" s="16" t="s">
        <v>108</v>
      </c>
      <c r="C32" s="12">
        <v>11.5</v>
      </c>
      <c r="D32" s="12">
        <v>10</v>
      </c>
      <c r="E32" s="17">
        <v>13</v>
      </c>
    </row>
    <row r="33" spans="2:15" x14ac:dyDescent="0.25">
      <c r="B33" s="16"/>
      <c r="C33" s="12"/>
      <c r="D33" s="12"/>
      <c r="E33" s="17"/>
    </row>
    <row r="34" spans="2:15" x14ac:dyDescent="0.25">
      <c r="B34" s="16" t="s">
        <v>113</v>
      </c>
      <c r="C34" s="12">
        <v>12</v>
      </c>
      <c r="D34" s="12">
        <v>8</v>
      </c>
      <c r="E34" s="17">
        <v>16</v>
      </c>
    </row>
    <row r="35" spans="2:15" x14ac:dyDescent="0.25">
      <c r="B35" s="16" t="s">
        <v>114</v>
      </c>
      <c r="C35" s="12">
        <v>6</v>
      </c>
      <c r="D35" s="12">
        <v>3</v>
      </c>
      <c r="E35" s="17">
        <v>9</v>
      </c>
    </row>
    <row r="36" spans="2:15" x14ac:dyDescent="0.25">
      <c r="B36" s="19" t="s">
        <v>93</v>
      </c>
      <c r="C36" s="14">
        <v>335</v>
      </c>
      <c r="D36" s="14">
        <v>278</v>
      </c>
      <c r="E36" s="20">
        <v>394</v>
      </c>
      <c r="G36" s="9">
        <f>C28+C29+C30+C34+C35</f>
        <v>480</v>
      </c>
      <c r="H36" s="9">
        <f>D28+D29+D30+D34+D35</f>
        <v>398</v>
      </c>
      <c r="I36" s="9">
        <f>E28+E29+E30+E34+E35</f>
        <v>564</v>
      </c>
    </row>
    <row r="37" spans="2:15" x14ac:dyDescent="0.25">
      <c r="B37" s="155" t="s">
        <v>106</v>
      </c>
      <c r="C37" s="156"/>
      <c r="D37" s="156"/>
      <c r="E37" s="157"/>
      <c r="O37">
        <v>1142.5</v>
      </c>
    </row>
    <row r="38" spans="2:15" x14ac:dyDescent="0.25">
      <c r="B38" s="16" t="s">
        <v>107</v>
      </c>
      <c r="C38" s="12">
        <v>13</v>
      </c>
      <c r="D38" s="12">
        <v>11</v>
      </c>
      <c r="E38" s="17">
        <v>15</v>
      </c>
      <c r="O38">
        <f>O37-650</f>
        <v>492.5</v>
      </c>
    </row>
    <row r="39" spans="2:15" x14ac:dyDescent="0.25">
      <c r="B39" s="16" t="s">
        <v>108</v>
      </c>
      <c r="C39" s="12">
        <v>11.5</v>
      </c>
      <c r="D39" s="12">
        <v>10</v>
      </c>
      <c r="E39" s="17">
        <v>13</v>
      </c>
    </row>
    <row r="40" spans="2:15" x14ac:dyDescent="0.25">
      <c r="B40" s="16" t="s">
        <v>109</v>
      </c>
      <c r="C40" s="12">
        <v>6.4</v>
      </c>
      <c r="D40" s="12">
        <v>5.5</v>
      </c>
      <c r="E40" s="17">
        <v>7.3</v>
      </c>
    </row>
    <row r="41" spans="2:15" x14ac:dyDescent="0.25">
      <c r="B41" s="16" t="s">
        <v>110</v>
      </c>
      <c r="C41" s="12">
        <v>11.5</v>
      </c>
      <c r="D41" s="12">
        <v>11</v>
      </c>
      <c r="E41" s="17">
        <v>12</v>
      </c>
    </row>
    <row r="42" spans="2:15" x14ac:dyDescent="0.25">
      <c r="B42" s="16" t="s">
        <v>111</v>
      </c>
      <c r="C42" s="12">
        <v>10</v>
      </c>
      <c r="D42" s="12">
        <v>8</v>
      </c>
      <c r="E42" s="17">
        <v>12</v>
      </c>
    </row>
    <row r="43" spans="2:15" x14ac:dyDescent="0.25">
      <c r="B43" s="16" t="s">
        <v>96</v>
      </c>
      <c r="C43" s="12">
        <v>6</v>
      </c>
      <c r="D43" s="12">
        <v>4</v>
      </c>
      <c r="E43" s="17">
        <v>8</v>
      </c>
    </row>
    <row r="44" spans="2:15" x14ac:dyDescent="0.25">
      <c r="B44" s="16" t="s">
        <v>112</v>
      </c>
      <c r="C44" s="33">
        <v>3</v>
      </c>
      <c r="D44" s="33">
        <v>2</v>
      </c>
      <c r="E44" s="34">
        <v>4</v>
      </c>
    </row>
    <row r="45" spans="2:15" x14ac:dyDescent="0.25">
      <c r="B45" s="19" t="s">
        <v>93</v>
      </c>
      <c r="C45" s="14">
        <v>70.400000000000006</v>
      </c>
      <c r="D45" s="14">
        <v>53.5</v>
      </c>
      <c r="E45" s="20">
        <v>91.3</v>
      </c>
      <c r="G45" s="10">
        <f>SUM(C38:C42)+C43*C44</f>
        <v>70.400000000000006</v>
      </c>
      <c r="H45" s="10">
        <f>SUM(D38:D42)+D43*D44</f>
        <v>53.5</v>
      </c>
      <c r="I45" s="10">
        <f>SUM(E38:E42)+E43*E44</f>
        <v>91.3</v>
      </c>
    </row>
    <row r="46" spans="2:15" x14ac:dyDescent="0.25">
      <c r="B46" s="155" t="s">
        <v>115</v>
      </c>
      <c r="C46" s="156"/>
      <c r="D46" s="156"/>
      <c r="E46" s="157"/>
    </row>
    <row r="47" spans="2:15" x14ac:dyDescent="0.25">
      <c r="B47" s="16" t="s">
        <v>116</v>
      </c>
      <c r="C47" s="12">
        <f>0.5*C45</f>
        <v>35.200000000000003</v>
      </c>
      <c r="D47" s="12">
        <f>0.5*D45</f>
        <v>26.75</v>
      </c>
      <c r="E47" s="17">
        <f>0.5*E45</f>
        <v>45.65</v>
      </c>
    </row>
    <row r="48" spans="2:15" x14ac:dyDescent="0.25">
      <c r="B48" s="16" t="s">
        <v>117</v>
      </c>
      <c r="C48" s="12">
        <v>650</v>
      </c>
      <c r="D48" s="12">
        <v>547.5</v>
      </c>
      <c r="E48" s="17">
        <v>1087</v>
      </c>
    </row>
    <row r="49" spans="2:5" x14ac:dyDescent="0.25">
      <c r="B49" s="19" t="s">
        <v>93</v>
      </c>
      <c r="C49" s="14">
        <f>SUM(C47:C48)</f>
        <v>685.2</v>
      </c>
      <c r="D49" s="14">
        <f>SUM(D47:D48)</f>
        <v>574.25</v>
      </c>
      <c r="E49" s="20">
        <f>SUM(E47:E48)</f>
        <v>1132.6500000000001</v>
      </c>
    </row>
    <row r="50" spans="2:5" x14ac:dyDescent="0.25">
      <c r="B50" s="155" t="s">
        <v>118</v>
      </c>
      <c r="C50" s="156"/>
      <c r="D50" s="156"/>
      <c r="E50" s="157"/>
    </row>
    <row r="51" spans="2:5" x14ac:dyDescent="0.25">
      <c r="B51" s="16" t="s">
        <v>107</v>
      </c>
      <c r="C51" s="12">
        <v>13</v>
      </c>
      <c r="D51" s="12">
        <v>11</v>
      </c>
      <c r="E51" s="17">
        <v>15</v>
      </c>
    </row>
    <row r="52" spans="2:5" x14ac:dyDescent="0.25">
      <c r="B52" s="16" t="s">
        <v>122</v>
      </c>
      <c r="C52" s="12">
        <v>7.7</v>
      </c>
      <c r="D52" s="12">
        <v>6.3</v>
      </c>
      <c r="E52" s="17">
        <v>9</v>
      </c>
    </row>
    <row r="53" spans="2:5" x14ac:dyDescent="0.25">
      <c r="B53" s="16" t="s">
        <v>108</v>
      </c>
      <c r="C53" s="12">
        <v>11.5</v>
      </c>
      <c r="D53" s="12">
        <v>10</v>
      </c>
      <c r="E53" s="17">
        <v>13</v>
      </c>
    </row>
    <row r="54" spans="2:5" x14ac:dyDescent="0.25">
      <c r="B54" s="16" t="s">
        <v>109</v>
      </c>
      <c r="C54" s="12">
        <v>6.4</v>
      </c>
      <c r="D54" s="12">
        <v>5.5</v>
      </c>
      <c r="E54" s="17">
        <v>7.3</v>
      </c>
    </row>
    <row r="55" spans="2:5" x14ac:dyDescent="0.25">
      <c r="B55" s="16" t="s">
        <v>119</v>
      </c>
      <c r="C55" s="12">
        <v>23</v>
      </c>
      <c r="D55" s="12">
        <v>22</v>
      </c>
      <c r="E55" s="17">
        <v>24</v>
      </c>
    </row>
    <row r="56" spans="2:5" x14ac:dyDescent="0.25">
      <c r="B56" s="16" t="s">
        <v>120</v>
      </c>
      <c r="C56" s="12">
        <v>20</v>
      </c>
      <c r="D56" s="12">
        <v>16</v>
      </c>
      <c r="E56" s="17">
        <v>24</v>
      </c>
    </row>
    <row r="57" spans="2:5" x14ac:dyDescent="0.25">
      <c r="B57" s="16" t="s">
        <v>124</v>
      </c>
      <c r="C57" s="12">
        <f>2*C29</f>
        <v>580</v>
      </c>
      <c r="D57" s="12">
        <f>2*D29</f>
        <v>480</v>
      </c>
      <c r="E57" s="17">
        <f>2*E29</f>
        <v>680</v>
      </c>
    </row>
    <row r="58" spans="2:5" x14ac:dyDescent="0.25">
      <c r="B58" s="16" t="s">
        <v>96</v>
      </c>
      <c r="C58" s="12">
        <v>6</v>
      </c>
      <c r="D58" s="12">
        <v>4</v>
      </c>
      <c r="E58" s="17">
        <v>8</v>
      </c>
    </row>
    <row r="59" spans="2:5" x14ac:dyDescent="0.25">
      <c r="B59" s="16" t="s">
        <v>112</v>
      </c>
      <c r="C59" s="33">
        <v>4</v>
      </c>
      <c r="D59" s="33">
        <v>2</v>
      </c>
      <c r="E59" s="34">
        <v>6</v>
      </c>
    </row>
    <row r="60" spans="2:5" x14ac:dyDescent="0.25">
      <c r="B60" s="19" t="s">
        <v>93</v>
      </c>
      <c r="C60" s="14">
        <f>SUM(C51:C57)+C58*C59</f>
        <v>685.6</v>
      </c>
      <c r="D60" s="14">
        <f>SUM(D51:D57)+D58*D59</f>
        <v>558.79999999999995</v>
      </c>
      <c r="E60" s="20">
        <f>SUM(E51:E57)+E58*E59</f>
        <v>820.3</v>
      </c>
    </row>
    <row r="61" spans="2:5" x14ac:dyDescent="0.25">
      <c r="B61" s="155" t="s">
        <v>121</v>
      </c>
      <c r="C61" s="156"/>
      <c r="D61" s="156"/>
      <c r="E61" s="157"/>
    </row>
    <row r="62" spans="2:5" x14ac:dyDescent="0.25">
      <c r="B62" s="16" t="s">
        <v>130</v>
      </c>
      <c r="C62" s="12">
        <f>0.5*C60</f>
        <v>342.8</v>
      </c>
      <c r="D62" s="12">
        <f>0.5*D60</f>
        <v>279.39999999999998</v>
      </c>
      <c r="E62" s="17">
        <f>0.5*E60</f>
        <v>410.15</v>
      </c>
    </row>
    <row r="63" spans="2:5" x14ac:dyDescent="0.25">
      <c r="B63" s="16" t="s">
        <v>117</v>
      </c>
      <c r="C63" s="12">
        <f>C48</f>
        <v>650</v>
      </c>
      <c r="D63" s="12">
        <f>D48</f>
        <v>547.5</v>
      </c>
      <c r="E63" s="17">
        <f>E48</f>
        <v>1087</v>
      </c>
    </row>
    <row r="64" spans="2:5" x14ac:dyDescent="0.25">
      <c r="B64" s="19" t="s">
        <v>93</v>
      </c>
      <c r="C64" s="14">
        <f>SUM(C62:C63)</f>
        <v>992.8</v>
      </c>
      <c r="D64" s="14">
        <f>SUM(D62:D63)</f>
        <v>826.9</v>
      </c>
      <c r="E64" s="20">
        <f>SUM(E62:E63)</f>
        <v>1497.15</v>
      </c>
    </row>
    <row r="65" spans="2:5" x14ac:dyDescent="0.25">
      <c r="B65" s="155" t="s">
        <v>123</v>
      </c>
      <c r="C65" s="156"/>
      <c r="D65" s="156"/>
      <c r="E65" s="157"/>
    </row>
    <row r="66" spans="2:5" x14ac:dyDescent="0.25">
      <c r="B66" s="16" t="s">
        <v>107</v>
      </c>
      <c r="C66" s="12">
        <v>13</v>
      </c>
      <c r="D66" s="12">
        <v>11</v>
      </c>
      <c r="E66" s="17">
        <v>15</v>
      </c>
    </row>
    <row r="67" spans="2:5" x14ac:dyDescent="0.25">
      <c r="B67" s="16" t="s">
        <v>122</v>
      </c>
      <c r="C67" s="12">
        <v>7.7</v>
      </c>
      <c r="D67" s="12">
        <v>6.3</v>
      </c>
      <c r="E67" s="17">
        <v>9</v>
      </c>
    </row>
    <row r="68" spans="2:5" x14ac:dyDescent="0.25">
      <c r="B68" s="16" t="s">
        <v>108</v>
      </c>
      <c r="C68" s="12">
        <v>11.5</v>
      </c>
      <c r="D68" s="12">
        <v>10</v>
      </c>
      <c r="E68" s="17">
        <v>13</v>
      </c>
    </row>
    <row r="69" spans="2:5" x14ac:dyDescent="0.25">
      <c r="B69" s="16" t="s">
        <v>109</v>
      </c>
      <c r="C69" s="12">
        <v>6.4</v>
      </c>
      <c r="D69" s="12">
        <v>5.5</v>
      </c>
      <c r="E69" s="17">
        <v>7.3</v>
      </c>
    </row>
    <row r="70" spans="2:5" x14ac:dyDescent="0.25">
      <c r="B70" s="16" t="s">
        <v>119</v>
      </c>
      <c r="C70" s="12">
        <v>23</v>
      </c>
      <c r="D70" s="12">
        <v>22</v>
      </c>
      <c r="E70" s="17">
        <v>24</v>
      </c>
    </row>
    <row r="71" spans="2:5" x14ac:dyDescent="0.25">
      <c r="B71" s="16" t="s">
        <v>120</v>
      </c>
      <c r="C71" s="12">
        <v>20</v>
      </c>
      <c r="D71" s="12">
        <v>16</v>
      </c>
      <c r="E71" s="17">
        <v>24</v>
      </c>
    </row>
    <row r="72" spans="2:5" x14ac:dyDescent="0.25">
      <c r="B72" s="16" t="s">
        <v>126</v>
      </c>
      <c r="C72" s="12">
        <f>3*C29</f>
        <v>870</v>
      </c>
      <c r="D72" s="12">
        <f>3*D29</f>
        <v>720</v>
      </c>
      <c r="E72" s="17">
        <f>3*E29</f>
        <v>1020</v>
      </c>
    </row>
    <row r="73" spans="2:5" x14ac:dyDescent="0.25">
      <c r="B73" s="16" t="s">
        <v>133</v>
      </c>
      <c r="C73" s="12">
        <v>543</v>
      </c>
      <c r="D73" s="12">
        <v>490</v>
      </c>
      <c r="E73" s="17">
        <v>700</v>
      </c>
    </row>
    <row r="74" spans="2:5" x14ac:dyDescent="0.25">
      <c r="B74" s="16" t="s">
        <v>127</v>
      </c>
      <c r="C74" s="12">
        <v>350</v>
      </c>
      <c r="D74" s="12">
        <v>182.5</v>
      </c>
      <c r="E74" s="17">
        <v>782</v>
      </c>
    </row>
    <row r="75" spans="2:5" x14ac:dyDescent="0.25">
      <c r="B75" s="16" t="s">
        <v>128</v>
      </c>
      <c r="C75" s="12">
        <v>60.8</v>
      </c>
      <c r="D75" s="12">
        <v>55</v>
      </c>
      <c r="E75" s="17">
        <v>66</v>
      </c>
    </row>
    <row r="76" spans="2:5" x14ac:dyDescent="0.25">
      <c r="B76" s="16" t="s">
        <v>96</v>
      </c>
      <c r="C76" s="12">
        <v>6</v>
      </c>
      <c r="D76" s="12">
        <v>4</v>
      </c>
      <c r="E76" s="17">
        <v>8</v>
      </c>
    </row>
    <row r="77" spans="2:5" x14ac:dyDescent="0.25">
      <c r="B77" s="16" t="s">
        <v>112</v>
      </c>
      <c r="C77" s="33">
        <v>4</v>
      </c>
      <c r="D77" s="33">
        <v>2</v>
      </c>
      <c r="E77" s="34">
        <v>6</v>
      </c>
    </row>
    <row r="78" spans="2:5" x14ac:dyDescent="0.25">
      <c r="B78" s="19" t="s">
        <v>93</v>
      </c>
      <c r="C78" s="14">
        <f>SUM(C66:C75)+C76*C77</f>
        <v>1929.3999999999999</v>
      </c>
      <c r="D78" s="14">
        <f>SUM(D66:D75)+D76*D77</f>
        <v>1526.3</v>
      </c>
      <c r="E78" s="20">
        <f>SUM(E66:E75)+E76*E77</f>
        <v>2708.3</v>
      </c>
    </row>
    <row r="79" spans="2:5" x14ac:dyDescent="0.25">
      <c r="B79" s="155" t="s">
        <v>129</v>
      </c>
      <c r="C79" s="156"/>
      <c r="D79" s="156"/>
      <c r="E79" s="157"/>
    </row>
    <row r="80" spans="2:5" x14ac:dyDescent="0.25">
      <c r="B80" s="16" t="s">
        <v>131</v>
      </c>
      <c r="C80" s="12">
        <f>0.5*C78</f>
        <v>964.69999999999993</v>
      </c>
      <c r="D80" s="12">
        <f>0.5*D78</f>
        <v>763.15</v>
      </c>
      <c r="E80" s="17">
        <f>0.5*E78</f>
        <v>1354.15</v>
      </c>
    </row>
    <row r="81" spans="2:8" x14ac:dyDescent="0.25">
      <c r="B81" s="16" t="s">
        <v>117</v>
      </c>
      <c r="C81" s="12">
        <f>C63</f>
        <v>650</v>
      </c>
      <c r="D81" s="12">
        <f>D63</f>
        <v>547.5</v>
      </c>
      <c r="E81" s="17">
        <f>E63</f>
        <v>1087</v>
      </c>
    </row>
    <row r="82" spans="2:8" x14ac:dyDescent="0.25">
      <c r="B82" s="19" t="s">
        <v>93</v>
      </c>
      <c r="C82" s="14">
        <f>SUM(C80:C81)</f>
        <v>1614.6999999999998</v>
      </c>
      <c r="D82" s="14">
        <f>SUM(D80:D81)</f>
        <v>1310.6500000000001</v>
      </c>
      <c r="E82" s="20">
        <f>SUM(E80:E81)</f>
        <v>2441.15</v>
      </c>
    </row>
    <row r="83" spans="2:8" x14ac:dyDescent="0.25">
      <c r="B83" s="155" t="s">
        <v>132</v>
      </c>
      <c r="C83" s="156"/>
      <c r="D83" s="156"/>
      <c r="E83" s="157"/>
    </row>
    <row r="84" spans="2:8" x14ac:dyDescent="0.25">
      <c r="B84" s="16" t="s">
        <v>107</v>
      </c>
      <c r="C84" s="12">
        <v>13</v>
      </c>
      <c r="D84" s="12">
        <v>11</v>
      </c>
      <c r="E84" s="17">
        <v>15</v>
      </c>
    </row>
    <row r="85" spans="2:8" x14ac:dyDescent="0.25">
      <c r="B85" s="16" t="s">
        <v>122</v>
      </c>
      <c r="C85" s="12">
        <v>7.7</v>
      </c>
      <c r="D85" s="12">
        <v>6.3</v>
      </c>
      <c r="E85" s="17">
        <v>9</v>
      </c>
    </row>
    <row r="86" spans="2:8" x14ac:dyDescent="0.25">
      <c r="B86" s="16" t="s">
        <v>109</v>
      </c>
      <c r="C86" s="12">
        <v>6.4</v>
      </c>
      <c r="D86" s="12">
        <v>5.5</v>
      </c>
      <c r="E86" s="17">
        <v>7.3</v>
      </c>
    </row>
    <row r="87" spans="2:8" x14ac:dyDescent="0.25">
      <c r="B87" s="16" t="s">
        <v>110</v>
      </c>
      <c r="C87" s="12">
        <v>11.5</v>
      </c>
      <c r="D87" s="12">
        <v>11</v>
      </c>
      <c r="E87" s="17">
        <v>12</v>
      </c>
    </row>
    <row r="88" spans="2:8" x14ac:dyDescent="0.25">
      <c r="B88" s="16" t="s">
        <v>134</v>
      </c>
      <c r="C88" s="12">
        <v>173</v>
      </c>
      <c r="D88" s="12">
        <v>150</v>
      </c>
      <c r="E88" s="17">
        <v>196</v>
      </c>
    </row>
    <row r="89" spans="2:8" x14ac:dyDescent="0.25">
      <c r="B89" s="16" t="s">
        <v>125</v>
      </c>
      <c r="C89" s="12">
        <f>C73/2</f>
        <v>271.5</v>
      </c>
      <c r="D89" s="12">
        <f>D73/2</f>
        <v>245</v>
      </c>
      <c r="E89" s="17">
        <f>E73/2</f>
        <v>350</v>
      </c>
    </row>
    <row r="90" spans="2:8" x14ac:dyDescent="0.25">
      <c r="B90" s="16" t="s">
        <v>136</v>
      </c>
      <c r="C90" s="12">
        <f>AVERAGE(D90:E90)</f>
        <v>1916.5</v>
      </c>
      <c r="D90" s="12">
        <v>1643</v>
      </c>
      <c r="E90" s="17">
        <v>2190</v>
      </c>
    </row>
    <row r="91" spans="2:8" x14ac:dyDescent="0.25">
      <c r="B91" s="16" t="s">
        <v>135</v>
      </c>
      <c r="C91" s="12">
        <v>1811</v>
      </c>
      <c r="D91" s="12">
        <v>1400</v>
      </c>
      <c r="E91" s="17">
        <v>2200</v>
      </c>
    </row>
    <row r="92" spans="2:8" x14ac:dyDescent="0.25">
      <c r="B92" s="19" t="s">
        <v>93</v>
      </c>
      <c r="C92" s="14">
        <f>SUM(C84:C91)</f>
        <v>4210.6000000000004</v>
      </c>
      <c r="D92" s="14">
        <f>SUM(D84:D91)</f>
        <v>3471.8</v>
      </c>
      <c r="E92" s="20">
        <f>SUM(E84:E91)</f>
        <v>4979.3</v>
      </c>
    </row>
    <row r="93" spans="2:8" x14ac:dyDescent="0.25">
      <c r="B93" s="155" t="s">
        <v>137</v>
      </c>
      <c r="C93" s="156"/>
      <c r="D93" s="156"/>
      <c r="E93" s="157"/>
    </row>
    <row r="94" spans="2:8" x14ac:dyDescent="0.25">
      <c r="B94" s="16" t="s">
        <v>184</v>
      </c>
      <c r="C94" s="12">
        <f>AVERAGE(G94:H94)*0.18</f>
        <v>7.56</v>
      </c>
      <c r="D94" s="12">
        <f t="shared" ref="D94:E96" si="0">G94*0.18</f>
        <v>4.32</v>
      </c>
      <c r="E94" s="17">
        <f t="shared" si="0"/>
        <v>10.799999999999999</v>
      </c>
      <c r="G94">
        <v>24</v>
      </c>
      <c r="H94">
        <v>60</v>
      </c>
    </row>
    <row r="95" spans="2:8" x14ac:dyDescent="0.25">
      <c r="B95" s="16" t="s">
        <v>185</v>
      </c>
      <c r="C95" s="12">
        <f>AVERAGE(G95:H95)*0.18</f>
        <v>35.1</v>
      </c>
      <c r="D95" s="12">
        <f t="shared" si="0"/>
        <v>21.599999999999998</v>
      </c>
      <c r="E95" s="17">
        <f t="shared" si="0"/>
        <v>48.6</v>
      </c>
      <c r="G95">
        <v>120</v>
      </c>
      <c r="H95">
        <v>270</v>
      </c>
    </row>
    <row r="96" spans="2:8" x14ac:dyDescent="0.25">
      <c r="B96" s="16" t="s">
        <v>186</v>
      </c>
      <c r="C96" s="12">
        <f>AVERAGE(G96:H96)*0.18</f>
        <v>73.8</v>
      </c>
      <c r="D96" s="12">
        <f t="shared" si="0"/>
        <v>72</v>
      </c>
      <c r="E96" s="17">
        <f t="shared" si="0"/>
        <v>75.599999999999994</v>
      </c>
      <c r="G96">
        <v>400</v>
      </c>
      <c r="H96">
        <v>420</v>
      </c>
    </row>
    <row r="97" spans="2:5" x14ac:dyDescent="0.25">
      <c r="B97" s="16" t="s">
        <v>113</v>
      </c>
      <c r="C97" s="12">
        <f>63*0.18</f>
        <v>11.34</v>
      </c>
      <c r="D97" s="12">
        <v>8</v>
      </c>
      <c r="E97" s="17">
        <v>14.5</v>
      </c>
    </row>
    <row r="98" spans="2:5" x14ac:dyDescent="0.25">
      <c r="B98" s="16" t="s">
        <v>187</v>
      </c>
      <c r="C98" s="12">
        <f>33*0.18</f>
        <v>5.9399999999999995</v>
      </c>
      <c r="D98" s="12">
        <v>3</v>
      </c>
      <c r="E98" s="17">
        <v>9</v>
      </c>
    </row>
    <row r="99" spans="2:5" x14ac:dyDescent="0.25">
      <c r="B99" s="19" t="s">
        <v>93</v>
      </c>
      <c r="C99" s="14">
        <f>SUM(C94:C98)</f>
        <v>133.74</v>
      </c>
      <c r="D99" s="14">
        <f>SUM(D94:D98)</f>
        <v>108.92</v>
      </c>
      <c r="E99" s="20">
        <f>SUM(E94:E98)</f>
        <v>158.5</v>
      </c>
    </row>
    <row r="100" spans="2:5" x14ac:dyDescent="0.25">
      <c r="B100" s="155" t="s">
        <v>140</v>
      </c>
      <c r="C100" s="156"/>
      <c r="D100" s="156"/>
      <c r="E100" s="157"/>
    </row>
    <row r="101" spans="2:5" x14ac:dyDescent="0.25">
      <c r="B101" s="16" t="s">
        <v>188</v>
      </c>
      <c r="C101" s="12">
        <f>63*0.18</f>
        <v>11.34</v>
      </c>
      <c r="D101" s="12">
        <v>8</v>
      </c>
      <c r="E101" s="17">
        <v>14.5</v>
      </c>
    </row>
    <row r="102" spans="2:5" x14ac:dyDescent="0.25">
      <c r="B102" s="16" t="s">
        <v>189</v>
      </c>
      <c r="C102" s="12">
        <f>0.5*C94</f>
        <v>3.78</v>
      </c>
      <c r="D102" s="12">
        <f>0.5*D94</f>
        <v>2.16</v>
      </c>
      <c r="E102" s="17">
        <f>0.5*E94</f>
        <v>5.3999999999999995</v>
      </c>
    </row>
    <row r="103" spans="2:5" x14ac:dyDescent="0.25">
      <c r="B103" s="16" t="s">
        <v>185</v>
      </c>
      <c r="C103" s="12">
        <v>35.1</v>
      </c>
      <c r="D103" s="12">
        <v>21.599999999999998</v>
      </c>
      <c r="E103" s="17">
        <v>48.6</v>
      </c>
    </row>
    <row r="104" spans="2:5" x14ac:dyDescent="0.25">
      <c r="B104" s="19" t="s">
        <v>93</v>
      </c>
      <c r="C104" s="14">
        <f>SUM(C101:C103)</f>
        <v>50.22</v>
      </c>
      <c r="D104" s="14">
        <f>SUM(D101:D103)</f>
        <v>31.759999999999998</v>
      </c>
      <c r="E104" s="20">
        <f>SUM(E101:E103)</f>
        <v>68.5</v>
      </c>
    </row>
    <row r="105" spans="2:5" x14ac:dyDescent="0.25">
      <c r="B105" s="155" t="s">
        <v>139</v>
      </c>
      <c r="C105" s="156"/>
      <c r="D105" s="156"/>
      <c r="E105" s="157"/>
    </row>
    <row r="106" spans="2:5" x14ac:dyDescent="0.25">
      <c r="B106" s="16" t="s">
        <v>188</v>
      </c>
      <c r="C106" s="12">
        <f>63*0.18</f>
        <v>11.34</v>
      </c>
      <c r="D106" s="12">
        <v>8</v>
      </c>
      <c r="E106" s="17">
        <v>14.5</v>
      </c>
    </row>
    <row r="107" spans="2:5" x14ac:dyDescent="0.25">
      <c r="B107" s="16" t="s">
        <v>189</v>
      </c>
      <c r="C107" s="12">
        <f>0.5*C99</f>
        <v>66.87</v>
      </c>
      <c r="D107" s="12">
        <f>0.5*D99</f>
        <v>54.46</v>
      </c>
      <c r="E107" s="17">
        <f>0.5*E99</f>
        <v>79.25</v>
      </c>
    </row>
    <row r="108" spans="2:5" x14ac:dyDescent="0.25">
      <c r="B108" s="16" t="s">
        <v>185</v>
      </c>
      <c r="C108" s="12">
        <v>35.1</v>
      </c>
      <c r="D108" s="12">
        <v>21.599999999999998</v>
      </c>
      <c r="E108" s="17">
        <v>48.6</v>
      </c>
    </row>
    <row r="109" spans="2:5" x14ac:dyDescent="0.25">
      <c r="B109" s="16" t="s">
        <v>117</v>
      </c>
      <c r="C109" s="12">
        <v>325.93</v>
      </c>
      <c r="D109" s="12">
        <f>C109*0.8</f>
        <v>260.74400000000003</v>
      </c>
      <c r="E109" s="17">
        <f>C109*1.2</f>
        <v>391.11599999999999</v>
      </c>
    </row>
    <row r="110" spans="2:5" x14ac:dyDescent="0.25">
      <c r="B110" s="19" t="s">
        <v>93</v>
      </c>
      <c r="C110" s="14">
        <f>SUM(C106:C109)</f>
        <v>439.24</v>
      </c>
      <c r="D110" s="14">
        <f>SUM(D106:D109)</f>
        <v>344.80400000000003</v>
      </c>
      <c r="E110" s="20">
        <f>SUM(E106:E109)</f>
        <v>533.46600000000001</v>
      </c>
    </row>
    <row r="111" spans="2:5" x14ac:dyDescent="0.25">
      <c r="B111" s="155" t="s">
        <v>138</v>
      </c>
      <c r="C111" s="156"/>
      <c r="D111" s="156"/>
      <c r="E111" s="157"/>
    </row>
    <row r="112" spans="2:5" x14ac:dyDescent="0.25">
      <c r="B112" s="16" t="s">
        <v>107</v>
      </c>
      <c r="C112" s="12">
        <v>13</v>
      </c>
      <c r="D112" s="12">
        <v>11</v>
      </c>
      <c r="E112" s="17">
        <v>15</v>
      </c>
    </row>
    <row r="113" spans="2:5" x14ac:dyDescent="0.25">
      <c r="B113" s="16" t="s">
        <v>108</v>
      </c>
      <c r="C113" s="12">
        <v>11.5</v>
      </c>
      <c r="D113" s="12">
        <v>10</v>
      </c>
      <c r="E113" s="17">
        <v>13</v>
      </c>
    </row>
    <row r="114" spans="2:5" x14ac:dyDescent="0.25">
      <c r="B114" s="16" t="s">
        <v>109</v>
      </c>
      <c r="C114" s="12">
        <v>6.4</v>
      </c>
      <c r="D114" s="12">
        <v>5.5</v>
      </c>
      <c r="E114" s="17">
        <v>7.3</v>
      </c>
    </row>
    <row r="115" spans="2:5" x14ac:dyDescent="0.25">
      <c r="B115" s="16" t="s">
        <v>110</v>
      </c>
      <c r="C115" s="12">
        <v>11.5</v>
      </c>
      <c r="D115" s="12">
        <v>11</v>
      </c>
      <c r="E115" s="17">
        <v>12</v>
      </c>
    </row>
    <row r="116" spans="2:5" x14ac:dyDescent="0.25">
      <c r="B116" s="16" t="s">
        <v>111</v>
      </c>
      <c r="C116" s="12">
        <v>10</v>
      </c>
      <c r="D116" s="12">
        <v>8</v>
      </c>
      <c r="E116" s="17">
        <v>12</v>
      </c>
    </row>
    <row r="117" spans="2:5" x14ac:dyDescent="0.25">
      <c r="B117" s="16" t="s">
        <v>96</v>
      </c>
      <c r="C117" s="12">
        <v>6</v>
      </c>
      <c r="D117" s="12">
        <v>4</v>
      </c>
      <c r="E117" s="17">
        <v>8</v>
      </c>
    </row>
    <row r="118" spans="2:5" x14ac:dyDescent="0.25">
      <c r="B118" s="16" t="s">
        <v>112</v>
      </c>
      <c r="C118" s="33">
        <v>3</v>
      </c>
      <c r="D118" s="33">
        <v>2</v>
      </c>
      <c r="E118" s="34">
        <v>4</v>
      </c>
    </row>
    <row r="119" spans="2:5" x14ac:dyDescent="0.25">
      <c r="B119" s="19" t="s">
        <v>93</v>
      </c>
      <c r="C119" s="14">
        <f>SUM(C112:C116)+C117*C118</f>
        <v>70.400000000000006</v>
      </c>
      <c r="D119" s="14">
        <f>SUM(D112:D116)+D117*D118</f>
        <v>53.5</v>
      </c>
      <c r="E119" s="20">
        <f>SUM(E112:E116)+E117*E118</f>
        <v>91.3</v>
      </c>
    </row>
    <row r="120" spans="2:5" x14ac:dyDescent="0.25">
      <c r="B120" s="155" t="s">
        <v>141</v>
      </c>
      <c r="C120" s="156"/>
      <c r="D120" s="156"/>
      <c r="E120" s="157"/>
    </row>
    <row r="121" spans="2:5" x14ac:dyDescent="0.25">
      <c r="B121" s="16" t="s">
        <v>107</v>
      </c>
      <c r="C121" s="12">
        <v>13</v>
      </c>
      <c r="D121" s="12">
        <v>11</v>
      </c>
      <c r="E121" s="17">
        <v>15</v>
      </c>
    </row>
    <row r="122" spans="2:5" x14ac:dyDescent="0.25">
      <c r="B122" s="16" t="s">
        <v>108</v>
      </c>
      <c r="C122" s="12">
        <v>11.5</v>
      </c>
      <c r="D122" s="12">
        <v>10</v>
      </c>
      <c r="E122" s="17">
        <v>13</v>
      </c>
    </row>
    <row r="123" spans="2:5" x14ac:dyDescent="0.25">
      <c r="B123" s="16" t="s">
        <v>109</v>
      </c>
      <c r="C123" s="12">
        <v>6.4</v>
      </c>
      <c r="D123" s="12">
        <v>5.5</v>
      </c>
      <c r="E123" s="17">
        <v>7.3</v>
      </c>
    </row>
    <row r="124" spans="2:5" x14ac:dyDescent="0.25">
      <c r="B124" s="16" t="s">
        <v>110</v>
      </c>
      <c r="C124" s="12">
        <v>11.5</v>
      </c>
      <c r="D124" s="12">
        <v>11</v>
      </c>
      <c r="E124" s="17">
        <v>12</v>
      </c>
    </row>
    <row r="125" spans="2:5" x14ac:dyDescent="0.25">
      <c r="B125" s="16" t="s">
        <v>111</v>
      </c>
      <c r="C125" s="12">
        <v>10</v>
      </c>
      <c r="D125" s="12">
        <v>8</v>
      </c>
      <c r="E125" s="17">
        <v>12</v>
      </c>
    </row>
    <row r="126" spans="2:5" x14ac:dyDescent="0.25">
      <c r="B126" s="16" t="s">
        <v>96</v>
      </c>
      <c r="C126" s="12">
        <v>6</v>
      </c>
      <c r="D126" s="12">
        <v>4</v>
      </c>
      <c r="E126" s="17">
        <v>8</v>
      </c>
    </row>
    <row r="127" spans="2:5" x14ac:dyDescent="0.25">
      <c r="B127" s="16" t="s">
        <v>112</v>
      </c>
      <c r="C127" s="33">
        <v>1</v>
      </c>
      <c r="D127" s="33">
        <v>0</v>
      </c>
      <c r="E127" s="34">
        <v>2</v>
      </c>
    </row>
    <row r="128" spans="2:5" x14ac:dyDescent="0.25">
      <c r="B128" s="16" t="s">
        <v>117</v>
      </c>
      <c r="C128" s="12">
        <v>325.93</v>
      </c>
      <c r="D128" s="12">
        <f>C128*0.8</f>
        <v>260.74400000000003</v>
      </c>
      <c r="E128" s="17">
        <f>C128*1.2</f>
        <v>391.11599999999999</v>
      </c>
    </row>
    <row r="129" spans="2:10" x14ac:dyDescent="0.25">
      <c r="B129" s="19" t="s">
        <v>93</v>
      </c>
      <c r="C129" s="14">
        <f>SUM(C121:C125)+C126*C127+C128</f>
        <v>384.33</v>
      </c>
      <c r="D129" s="14">
        <f>SUM(D121:D125)+D126*D127+D128</f>
        <v>306.24400000000003</v>
      </c>
      <c r="E129" s="20">
        <f>SUM(E121:E125)+E126*E127+E128</f>
        <v>466.416</v>
      </c>
    </row>
    <row r="130" spans="2:10" x14ac:dyDescent="0.25">
      <c r="B130" s="155" t="s">
        <v>142</v>
      </c>
      <c r="C130" s="156"/>
      <c r="D130" s="156"/>
      <c r="E130" s="157"/>
    </row>
    <row r="131" spans="2:10" x14ac:dyDescent="0.25">
      <c r="B131" s="16" t="s">
        <v>107</v>
      </c>
      <c r="C131" s="12">
        <v>13</v>
      </c>
      <c r="D131" s="12">
        <v>11</v>
      </c>
      <c r="E131" s="17">
        <v>15</v>
      </c>
    </row>
    <row r="132" spans="2:10" x14ac:dyDescent="0.25">
      <c r="B132" s="16" t="s">
        <v>122</v>
      </c>
      <c r="C132" s="12">
        <v>7.7</v>
      </c>
      <c r="D132" s="12">
        <v>6.3</v>
      </c>
      <c r="E132" s="17">
        <v>9</v>
      </c>
    </row>
    <row r="133" spans="2:10" x14ac:dyDescent="0.25">
      <c r="B133" s="16" t="s">
        <v>108</v>
      </c>
      <c r="C133" s="12">
        <v>11.5</v>
      </c>
      <c r="D133" s="12">
        <v>10</v>
      </c>
      <c r="E133" s="17">
        <v>13</v>
      </c>
    </row>
    <row r="134" spans="2:10" x14ac:dyDescent="0.25">
      <c r="B134" s="16" t="s">
        <v>109</v>
      </c>
      <c r="C134" s="12">
        <v>6.4</v>
      </c>
      <c r="D134" s="12">
        <v>5.5</v>
      </c>
      <c r="E134" s="17">
        <v>7.3</v>
      </c>
    </row>
    <row r="135" spans="2:10" x14ac:dyDescent="0.25">
      <c r="B135" s="16" t="s">
        <v>119</v>
      </c>
      <c r="C135" s="12">
        <v>23</v>
      </c>
      <c r="D135" s="12">
        <v>22</v>
      </c>
      <c r="E135" s="17">
        <v>24</v>
      </c>
    </row>
    <row r="136" spans="2:10" x14ac:dyDescent="0.25">
      <c r="B136" s="16" t="s">
        <v>120</v>
      </c>
      <c r="C136" s="12">
        <v>20</v>
      </c>
      <c r="D136" s="12">
        <v>16</v>
      </c>
      <c r="E136" s="17">
        <v>24</v>
      </c>
    </row>
    <row r="137" spans="2:10" x14ac:dyDescent="0.25">
      <c r="B137" s="16" t="s">
        <v>190</v>
      </c>
      <c r="C137" s="12">
        <f>2*C96</f>
        <v>147.6</v>
      </c>
      <c r="D137" s="12">
        <f>2*D96</f>
        <v>144</v>
      </c>
      <c r="E137" s="17">
        <f>2*E96</f>
        <v>151.19999999999999</v>
      </c>
      <c r="G137">
        <v>800</v>
      </c>
      <c r="H137">
        <v>840</v>
      </c>
      <c r="J137">
        <f>33*0.18</f>
        <v>5.9399999999999995</v>
      </c>
    </row>
    <row r="138" spans="2:10" x14ac:dyDescent="0.25">
      <c r="B138" s="16" t="s">
        <v>96</v>
      </c>
      <c r="C138" s="12">
        <v>6</v>
      </c>
      <c r="D138" s="12">
        <v>4</v>
      </c>
      <c r="E138" s="17">
        <v>8</v>
      </c>
    </row>
    <row r="139" spans="2:10" x14ac:dyDescent="0.25">
      <c r="B139" s="16" t="s">
        <v>112</v>
      </c>
      <c r="C139" s="33">
        <v>3</v>
      </c>
      <c r="D139" s="33">
        <v>2</v>
      </c>
      <c r="E139" s="34">
        <v>4</v>
      </c>
    </row>
    <row r="140" spans="2:10" x14ac:dyDescent="0.25">
      <c r="B140" s="19" t="s">
        <v>93</v>
      </c>
      <c r="C140" s="14">
        <f>SUM(C131:C137)+C138*C139</f>
        <v>247.2</v>
      </c>
      <c r="D140" s="14">
        <f>SUM(D131:D137)+D138*D139</f>
        <v>222.8</v>
      </c>
      <c r="E140" s="20">
        <f>SUM(E131:E137)+E138*E139</f>
        <v>275.5</v>
      </c>
    </row>
    <row r="141" spans="2:10" x14ac:dyDescent="0.25">
      <c r="B141" s="155" t="s">
        <v>143</v>
      </c>
      <c r="C141" s="156"/>
      <c r="D141" s="156"/>
      <c r="E141" s="157"/>
    </row>
    <row r="142" spans="2:10" x14ac:dyDescent="0.25">
      <c r="B142" s="16" t="s">
        <v>107</v>
      </c>
      <c r="C142" s="12">
        <v>13</v>
      </c>
      <c r="D142" s="12">
        <v>11</v>
      </c>
      <c r="E142" s="17">
        <v>15</v>
      </c>
    </row>
    <row r="143" spans="2:10" x14ac:dyDescent="0.25">
      <c r="B143" s="16" t="s">
        <v>122</v>
      </c>
      <c r="C143" s="12">
        <v>7.7</v>
      </c>
      <c r="D143" s="12">
        <v>6.3</v>
      </c>
      <c r="E143" s="17">
        <v>9</v>
      </c>
    </row>
    <row r="144" spans="2:10" x14ac:dyDescent="0.25">
      <c r="B144" s="16" t="s">
        <v>108</v>
      </c>
      <c r="C144" s="12">
        <v>11.5</v>
      </c>
      <c r="D144" s="12">
        <v>10</v>
      </c>
      <c r="E144" s="17">
        <v>13</v>
      </c>
    </row>
    <row r="145" spans="2:5" x14ac:dyDescent="0.25">
      <c r="B145" s="16" t="s">
        <v>109</v>
      </c>
      <c r="C145" s="12">
        <v>6.4</v>
      </c>
      <c r="D145" s="12">
        <v>5.5</v>
      </c>
      <c r="E145" s="17">
        <v>7.3</v>
      </c>
    </row>
    <row r="146" spans="2:5" x14ac:dyDescent="0.25">
      <c r="B146" s="16" t="s">
        <v>119</v>
      </c>
      <c r="C146" s="12">
        <v>23</v>
      </c>
      <c r="D146" s="12">
        <v>22</v>
      </c>
      <c r="E146" s="17">
        <v>24</v>
      </c>
    </row>
    <row r="147" spans="2:5" x14ac:dyDescent="0.25">
      <c r="B147" s="16" t="s">
        <v>120</v>
      </c>
      <c r="C147" s="12">
        <v>20</v>
      </c>
      <c r="D147" s="12">
        <v>16</v>
      </c>
      <c r="E147" s="17">
        <v>24</v>
      </c>
    </row>
    <row r="148" spans="2:5" x14ac:dyDescent="0.25">
      <c r="B148" s="16" t="s">
        <v>190</v>
      </c>
      <c r="C148" s="12">
        <f>2*C107</f>
        <v>133.74</v>
      </c>
      <c r="D148" s="12">
        <f>2*D107</f>
        <v>108.92</v>
      </c>
      <c r="E148" s="17">
        <f>2*E107</f>
        <v>158.5</v>
      </c>
    </row>
    <row r="149" spans="2:5" x14ac:dyDescent="0.25">
      <c r="B149" s="16" t="s">
        <v>96</v>
      </c>
      <c r="C149" s="12">
        <v>6</v>
      </c>
      <c r="D149" s="12">
        <v>4</v>
      </c>
      <c r="E149" s="17">
        <v>8</v>
      </c>
    </row>
    <row r="150" spans="2:5" x14ac:dyDescent="0.25">
      <c r="B150" s="16" t="s">
        <v>112</v>
      </c>
      <c r="C150" s="33">
        <v>3</v>
      </c>
      <c r="D150" s="33">
        <v>2</v>
      </c>
      <c r="E150" s="34">
        <v>4</v>
      </c>
    </row>
    <row r="151" spans="2:5" x14ac:dyDescent="0.25">
      <c r="B151" s="16" t="s">
        <v>117</v>
      </c>
      <c r="C151" s="35">
        <v>869.14</v>
      </c>
      <c r="D151" s="35">
        <v>325.93</v>
      </c>
      <c r="E151" s="36">
        <v>11407.45</v>
      </c>
    </row>
    <row r="152" spans="2:5" x14ac:dyDescent="0.25">
      <c r="B152" s="19" t="s">
        <v>93</v>
      </c>
      <c r="C152" s="14">
        <f>SUM(C142:C148)+C149*C150+C151</f>
        <v>1102.48</v>
      </c>
      <c r="D152" s="14">
        <f>SUM(D142:D148)+D149*D150+D151</f>
        <v>513.65</v>
      </c>
      <c r="E152" s="20">
        <f>SUM(E142:E148)+E149*E150+E151</f>
        <v>11690.25</v>
      </c>
    </row>
    <row r="153" spans="2:5" x14ac:dyDescent="0.25">
      <c r="B153" s="155" t="s">
        <v>144</v>
      </c>
      <c r="C153" s="156"/>
      <c r="D153" s="156"/>
      <c r="E153" s="157"/>
    </row>
    <row r="154" spans="2:5" x14ac:dyDescent="0.25">
      <c r="B154" s="16" t="s">
        <v>107</v>
      </c>
      <c r="C154" s="12">
        <v>13</v>
      </c>
      <c r="D154" s="12">
        <v>11</v>
      </c>
      <c r="E154" s="17">
        <v>15</v>
      </c>
    </row>
    <row r="155" spans="2:5" x14ac:dyDescent="0.25">
      <c r="B155" s="16" t="s">
        <v>122</v>
      </c>
      <c r="C155" s="12">
        <v>7.7</v>
      </c>
      <c r="D155" s="12">
        <v>6.3</v>
      </c>
      <c r="E155" s="17">
        <v>9</v>
      </c>
    </row>
    <row r="156" spans="2:5" x14ac:dyDescent="0.25">
      <c r="B156" s="16" t="s">
        <v>108</v>
      </c>
      <c r="C156" s="12">
        <v>11.5</v>
      </c>
      <c r="D156" s="12">
        <v>10</v>
      </c>
      <c r="E156" s="17">
        <v>13</v>
      </c>
    </row>
    <row r="157" spans="2:5" x14ac:dyDescent="0.25">
      <c r="B157" s="16" t="s">
        <v>109</v>
      </c>
      <c r="C157" s="12">
        <v>6.4</v>
      </c>
      <c r="D157" s="12">
        <v>5.5</v>
      </c>
      <c r="E157" s="17">
        <v>7.3</v>
      </c>
    </row>
    <row r="158" spans="2:5" x14ac:dyDescent="0.25">
      <c r="B158" s="16" t="s">
        <v>119</v>
      </c>
      <c r="C158" s="12">
        <v>23</v>
      </c>
      <c r="D158" s="12">
        <v>22</v>
      </c>
      <c r="E158" s="17">
        <v>24</v>
      </c>
    </row>
    <row r="159" spans="2:5" x14ac:dyDescent="0.25">
      <c r="B159" s="16" t="s">
        <v>120</v>
      </c>
      <c r="C159" s="12">
        <v>20</v>
      </c>
      <c r="D159" s="12">
        <v>16</v>
      </c>
      <c r="E159" s="17">
        <v>24</v>
      </c>
    </row>
    <row r="160" spans="2:5" x14ac:dyDescent="0.25">
      <c r="B160" s="16" t="s">
        <v>190</v>
      </c>
      <c r="C160" s="12">
        <f>2*C119</f>
        <v>140.80000000000001</v>
      </c>
      <c r="D160" s="12">
        <f>2*D119</f>
        <v>107</v>
      </c>
      <c r="E160" s="17">
        <f>2*E119</f>
        <v>182.6</v>
      </c>
    </row>
    <row r="161" spans="2:5" x14ac:dyDescent="0.25">
      <c r="B161" s="16" t="s">
        <v>133</v>
      </c>
      <c r="C161" s="12">
        <v>543</v>
      </c>
      <c r="D161" s="12">
        <v>490</v>
      </c>
      <c r="E161" s="17">
        <v>700</v>
      </c>
    </row>
    <row r="162" spans="2:5" x14ac:dyDescent="0.25">
      <c r="B162" s="16" t="s">
        <v>127</v>
      </c>
      <c r="C162" s="12">
        <v>350</v>
      </c>
      <c r="D162" s="12">
        <v>182.5</v>
      </c>
      <c r="E162" s="17">
        <v>782</v>
      </c>
    </row>
    <row r="163" spans="2:5" x14ac:dyDescent="0.25">
      <c r="B163" s="16" t="s">
        <v>128</v>
      </c>
      <c r="C163" s="12">
        <v>60.8</v>
      </c>
      <c r="D163" s="12">
        <v>55</v>
      </c>
      <c r="E163" s="17">
        <v>66</v>
      </c>
    </row>
    <row r="164" spans="2:5" x14ac:dyDescent="0.25">
      <c r="B164" s="16" t="s">
        <v>96</v>
      </c>
      <c r="C164" s="12">
        <v>6</v>
      </c>
      <c r="D164" s="12">
        <v>4</v>
      </c>
      <c r="E164" s="17">
        <v>8</v>
      </c>
    </row>
    <row r="165" spans="2:5" x14ac:dyDescent="0.25">
      <c r="B165" s="16" t="s">
        <v>112</v>
      </c>
      <c r="C165" s="33">
        <v>4</v>
      </c>
      <c r="D165" s="33">
        <v>2</v>
      </c>
      <c r="E165" s="34">
        <v>6</v>
      </c>
    </row>
    <row r="166" spans="2:5" x14ac:dyDescent="0.25">
      <c r="B166" s="19" t="s">
        <v>93</v>
      </c>
      <c r="C166" s="14">
        <f>SUM(C154:C163)+C164*C165</f>
        <v>1200.2</v>
      </c>
      <c r="D166" s="14">
        <f>SUM(D154:D163)+D164*D165</f>
        <v>913.3</v>
      </c>
      <c r="E166" s="20">
        <f>SUM(E154:E163)+E164*E165</f>
        <v>1870.9</v>
      </c>
    </row>
    <row r="167" spans="2:5" x14ac:dyDescent="0.25">
      <c r="B167" s="155" t="s">
        <v>145</v>
      </c>
      <c r="C167" s="156"/>
      <c r="D167" s="156"/>
      <c r="E167" s="157"/>
    </row>
    <row r="168" spans="2:5" x14ac:dyDescent="0.25">
      <c r="B168" s="16" t="s">
        <v>107</v>
      </c>
      <c r="C168" s="12">
        <v>13</v>
      </c>
      <c r="D168" s="12">
        <v>11</v>
      </c>
      <c r="E168" s="17">
        <v>15</v>
      </c>
    </row>
    <row r="169" spans="2:5" x14ac:dyDescent="0.25">
      <c r="B169" s="16" t="s">
        <v>122</v>
      </c>
      <c r="C169" s="12">
        <v>7.7</v>
      </c>
      <c r="D169" s="12">
        <v>6.3</v>
      </c>
      <c r="E169" s="17">
        <v>9</v>
      </c>
    </row>
    <row r="170" spans="2:5" x14ac:dyDescent="0.25">
      <c r="B170" s="16" t="s">
        <v>108</v>
      </c>
      <c r="C170" s="12">
        <v>11.5</v>
      </c>
      <c r="D170" s="12">
        <v>10</v>
      </c>
      <c r="E170" s="17">
        <v>13</v>
      </c>
    </row>
    <row r="171" spans="2:5" x14ac:dyDescent="0.25">
      <c r="B171" s="16" t="s">
        <v>109</v>
      </c>
      <c r="C171" s="12">
        <v>6.4</v>
      </c>
      <c r="D171" s="12">
        <v>5.5</v>
      </c>
      <c r="E171" s="17">
        <v>7.3</v>
      </c>
    </row>
    <row r="172" spans="2:5" x14ac:dyDescent="0.25">
      <c r="B172" s="16" t="s">
        <v>119</v>
      </c>
      <c r="C172" s="12">
        <v>23</v>
      </c>
      <c r="D172" s="12">
        <v>22</v>
      </c>
      <c r="E172" s="17">
        <v>24</v>
      </c>
    </row>
    <row r="173" spans="2:5" x14ac:dyDescent="0.25">
      <c r="B173" s="16" t="s">
        <v>120</v>
      </c>
      <c r="C173" s="12">
        <v>20</v>
      </c>
      <c r="D173" s="12">
        <v>16</v>
      </c>
      <c r="E173" s="17">
        <v>24</v>
      </c>
    </row>
    <row r="174" spans="2:5" x14ac:dyDescent="0.25">
      <c r="B174" s="16" t="s">
        <v>190</v>
      </c>
      <c r="C174" s="12">
        <f>2*C133</f>
        <v>23</v>
      </c>
      <c r="D174" s="12">
        <f>2*D133</f>
        <v>20</v>
      </c>
      <c r="E174" s="17">
        <f>2*E133</f>
        <v>26</v>
      </c>
    </row>
    <row r="175" spans="2:5" x14ac:dyDescent="0.25">
      <c r="B175" s="16" t="s">
        <v>133</v>
      </c>
      <c r="C175" s="12">
        <v>543</v>
      </c>
      <c r="D175" s="12">
        <v>490</v>
      </c>
      <c r="E175" s="17">
        <v>700</v>
      </c>
    </row>
    <row r="176" spans="2:5" x14ac:dyDescent="0.25">
      <c r="B176" s="16" t="s">
        <v>127</v>
      </c>
      <c r="C176" s="12">
        <v>350</v>
      </c>
      <c r="D176" s="12">
        <v>182.5</v>
      </c>
      <c r="E176" s="17">
        <v>782</v>
      </c>
    </row>
    <row r="177" spans="2:5" x14ac:dyDescent="0.25">
      <c r="B177" s="16" t="s">
        <v>128</v>
      </c>
      <c r="C177" s="12">
        <v>60.8</v>
      </c>
      <c r="D177" s="12">
        <v>55</v>
      </c>
      <c r="E177" s="17">
        <v>66</v>
      </c>
    </row>
    <row r="178" spans="2:5" x14ac:dyDescent="0.25">
      <c r="B178" s="16" t="s">
        <v>96</v>
      </c>
      <c r="C178" s="12">
        <v>6</v>
      </c>
      <c r="D178" s="12">
        <v>4</v>
      </c>
      <c r="E178" s="17">
        <v>8</v>
      </c>
    </row>
    <row r="179" spans="2:5" x14ac:dyDescent="0.25">
      <c r="B179" s="16" t="s">
        <v>112</v>
      </c>
      <c r="C179" s="33">
        <v>4</v>
      </c>
      <c r="D179" s="33">
        <v>2</v>
      </c>
      <c r="E179" s="34">
        <v>6</v>
      </c>
    </row>
    <row r="180" spans="2:5" x14ac:dyDescent="0.25">
      <c r="B180" s="16" t="s">
        <v>117</v>
      </c>
      <c r="C180" s="35">
        <v>869.14</v>
      </c>
      <c r="D180" s="35">
        <v>325.93</v>
      </c>
      <c r="E180" s="36">
        <v>11407.45</v>
      </c>
    </row>
    <row r="181" spans="2:5" x14ac:dyDescent="0.25">
      <c r="B181" s="19" t="s">
        <v>93</v>
      </c>
      <c r="C181" s="14">
        <f>SUM(C168:C177)+C178*C179+C180</f>
        <v>1951.54</v>
      </c>
      <c r="D181" s="14">
        <f>SUM(D168:D177)+D178*D179+D180</f>
        <v>1152.23</v>
      </c>
      <c r="E181" s="20">
        <f>SUM(E168:E177)+E178*E179+E180</f>
        <v>13121.75</v>
      </c>
    </row>
    <row r="182" spans="2:5" x14ac:dyDescent="0.25">
      <c r="B182" s="155" t="s">
        <v>146</v>
      </c>
      <c r="C182" s="156"/>
      <c r="D182" s="156"/>
      <c r="E182" s="157"/>
    </row>
    <row r="183" spans="2:5" x14ac:dyDescent="0.25">
      <c r="B183" s="16" t="s">
        <v>107</v>
      </c>
      <c r="C183" s="12">
        <v>13</v>
      </c>
      <c r="D183" s="12">
        <v>11</v>
      </c>
      <c r="E183" s="17">
        <v>15</v>
      </c>
    </row>
    <row r="184" spans="2:5" x14ac:dyDescent="0.25">
      <c r="B184" s="16" t="s">
        <v>122</v>
      </c>
      <c r="C184" s="12">
        <v>7.7</v>
      </c>
      <c r="D184" s="12">
        <v>6.3</v>
      </c>
      <c r="E184" s="17">
        <v>9</v>
      </c>
    </row>
    <row r="185" spans="2:5" x14ac:dyDescent="0.25">
      <c r="B185" s="16" t="s">
        <v>109</v>
      </c>
      <c r="C185" s="12">
        <v>6.4</v>
      </c>
      <c r="D185" s="12">
        <v>5.5</v>
      </c>
      <c r="E185" s="17">
        <v>7.3</v>
      </c>
    </row>
    <row r="186" spans="2:5" x14ac:dyDescent="0.25">
      <c r="B186" s="16" t="s">
        <v>110</v>
      </c>
      <c r="C186" s="12">
        <v>11.5</v>
      </c>
      <c r="D186" s="12">
        <v>11</v>
      </c>
      <c r="E186" s="17">
        <v>12</v>
      </c>
    </row>
    <row r="187" spans="2:5" x14ac:dyDescent="0.25">
      <c r="B187" s="16" t="s">
        <v>134</v>
      </c>
      <c r="C187" s="12">
        <v>173</v>
      </c>
      <c r="D187" s="12">
        <v>150</v>
      </c>
      <c r="E187" s="17">
        <v>196</v>
      </c>
    </row>
    <row r="188" spans="2:5" x14ac:dyDescent="0.25">
      <c r="B188" s="16" t="s">
        <v>125</v>
      </c>
      <c r="C188" s="12">
        <f>C175/2</f>
        <v>271.5</v>
      </c>
      <c r="D188" s="12">
        <f>D175/2</f>
        <v>245</v>
      </c>
      <c r="E188" s="17">
        <f>E175/2</f>
        <v>350</v>
      </c>
    </row>
    <row r="189" spans="2:5" x14ac:dyDescent="0.25">
      <c r="B189" s="16" t="s">
        <v>136</v>
      </c>
      <c r="C189" s="12">
        <f>AVERAGE(D189:E189)</f>
        <v>1916.5</v>
      </c>
      <c r="D189" s="12">
        <v>1643</v>
      </c>
      <c r="E189" s="17">
        <v>2190</v>
      </c>
    </row>
    <row r="190" spans="2:5" x14ac:dyDescent="0.25">
      <c r="B190" s="16" t="s">
        <v>135</v>
      </c>
      <c r="C190" s="12">
        <v>1811</v>
      </c>
      <c r="D190" s="12">
        <v>1400</v>
      </c>
      <c r="E190" s="17">
        <v>2200</v>
      </c>
    </row>
    <row r="191" spans="2:5" ht="15.75" thickBot="1" x14ac:dyDescent="0.3">
      <c r="B191" s="21" t="s">
        <v>93</v>
      </c>
      <c r="C191" s="22">
        <f>SUM(C183:C190)</f>
        <v>4210.6000000000004</v>
      </c>
      <c r="D191" s="22">
        <f>SUM(D183:D190)</f>
        <v>3471.8</v>
      </c>
      <c r="E191" s="11">
        <f>SUM(E183:E190)</f>
        <v>4979.3</v>
      </c>
    </row>
  </sheetData>
  <mergeCells count="22">
    <mergeCell ref="B83:E83"/>
    <mergeCell ref="C1:C2"/>
    <mergeCell ref="D1:D2"/>
    <mergeCell ref="E1:E2"/>
    <mergeCell ref="B3:E3"/>
    <mergeCell ref="B19:E19"/>
    <mergeCell ref="B37:E37"/>
    <mergeCell ref="B46:E46"/>
    <mergeCell ref="B50:E50"/>
    <mergeCell ref="B61:E61"/>
    <mergeCell ref="B65:E65"/>
    <mergeCell ref="B79:E79"/>
    <mergeCell ref="B141:E141"/>
    <mergeCell ref="B153:E153"/>
    <mergeCell ref="B167:E167"/>
    <mergeCell ref="B182:E182"/>
    <mergeCell ref="B93:E93"/>
    <mergeCell ref="B100:E100"/>
    <mergeCell ref="B105:E105"/>
    <mergeCell ref="B111:E111"/>
    <mergeCell ref="B120:E120"/>
    <mergeCell ref="B130:E130"/>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C3B50-75B6-4634-89DC-F267E14F4C47}">
  <dimension ref="A1:V50"/>
  <sheetViews>
    <sheetView workbookViewId="0">
      <selection activeCell="H44" sqref="H44"/>
    </sheetView>
  </sheetViews>
  <sheetFormatPr defaultRowHeight="15" x14ac:dyDescent="0.25"/>
  <cols>
    <col min="2" max="2" width="37.85546875" customWidth="1"/>
    <col min="3" max="3" width="15" customWidth="1"/>
    <col min="7" max="7" width="12" bestFit="1" customWidth="1"/>
    <col min="8" max="8" width="12.140625" bestFit="1" customWidth="1"/>
    <col min="11" max="11" width="13.28515625" bestFit="1" customWidth="1"/>
    <col min="19" max="19" width="10.42578125" bestFit="1" customWidth="1"/>
    <col min="20" max="21" width="10.42578125" customWidth="1"/>
  </cols>
  <sheetData>
    <row r="1" spans="1:22" x14ac:dyDescent="0.25">
      <c r="A1" s="2" t="s">
        <v>159</v>
      </c>
      <c r="B1" s="2"/>
      <c r="C1" s="2"/>
      <c r="D1" s="2"/>
      <c r="E1" s="2"/>
      <c r="F1" s="2"/>
      <c r="M1" s="2" t="s">
        <v>151</v>
      </c>
    </row>
    <row r="2" spans="1:22" x14ac:dyDescent="0.25">
      <c r="B2" s="2" t="s">
        <v>160</v>
      </c>
      <c r="C2" s="2" t="s">
        <v>161</v>
      </c>
      <c r="D2" s="2" t="s">
        <v>162</v>
      </c>
      <c r="E2" s="2" t="s">
        <v>163</v>
      </c>
      <c r="G2" s="2" t="s">
        <v>153</v>
      </c>
      <c r="H2" s="2" t="s">
        <v>154</v>
      </c>
      <c r="J2" t="s">
        <v>152</v>
      </c>
      <c r="N2" s="2" t="s">
        <v>155</v>
      </c>
      <c r="O2" s="2" t="s">
        <v>161</v>
      </c>
      <c r="P2" s="2" t="s">
        <v>162</v>
      </c>
      <c r="Q2" s="2" t="s">
        <v>170</v>
      </c>
      <c r="R2" s="2" t="s">
        <v>171</v>
      </c>
      <c r="S2" s="2" t="s">
        <v>172</v>
      </c>
      <c r="T2" s="2" t="s">
        <v>167</v>
      </c>
      <c r="U2" s="2" t="s">
        <v>168</v>
      </c>
      <c r="V2" s="2" t="s">
        <v>169</v>
      </c>
    </row>
    <row r="3" spans="1:22" x14ac:dyDescent="0.25">
      <c r="A3" s="2" t="s">
        <v>156</v>
      </c>
      <c r="B3">
        <v>0.79</v>
      </c>
      <c r="C3">
        <v>0.63</v>
      </c>
      <c r="D3">
        <v>0.88</v>
      </c>
      <c r="E3">
        <v>55</v>
      </c>
      <c r="G3" s="26">
        <v>1</v>
      </c>
      <c r="H3" s="26">
        <v>0.94054878048780399</v>
      </c>
      <c r="M3" t="s">
        <v>60</v>
      </c>
      <c r="N3">
        <f>E9+E10</f>
        <v>168</v>
      </c>
      <c r="O3">
        <f>F9+F10</f>
        <v>0</v>
      </c>
      <c r="P3">
        <f>G9+G10</f>
        <v>0</v>
      </c>
      <c r="Q3">
        <v>113</v>
      </c>
      <c r="R3">
        <v>113</v>
      </c>
      <c r="S3">
        <v>113</v>
      </c>
      <c r="T3">
        <v>55</v>
      </c>
      <c r="U3">
        <v>55</v>
      </c>
      <c r="V3">
        <v>55</v>
      </c>
    </row>
    <row r="4" spans="1:22" x14ac:dyDescent="0.25">
      <c r="A4" s="2" t="s">
        <v>157</v>
      </c>
      <c r="B4">
        <v>0.72</v>
      </c>
      <c r="C4">
        <v>0.56000000000000005</v>
      </c>
      <c r="D4">
        <v>0.83</v>
      </c>
      <c r="E4">
        <v>75</v>
      </c>
      <c r="G4" s="26">
        <v>0.94359756097560898</v>
      </c>
      <c r="H4" s="26">
        <v>0.80487804878048697</v>
      </c>
      <c r="M4" t="s">
        <v>173</v>
      </c>
      <c r="N4">
        <v>0.22</v>
      </c>
      <c r="O4">
        <v>0.16</v>
      </c>
      <c r="P4">
        <v>0.31</v>
      </c>
      <c r="Q4" s="26">
        <f>N4*$N$3/($B$12*$Q$3+$T$3)</f>
        <v>0.34487563742513827</v>
      </c>
      <c r="R4" s="26">
        <f t="shared" ref="R4:S6" si="0">O4*$N$3/($B$12*$Q$3+$T$3)</f>
        <v>0.25081864540010057</v>
      </c>
      <c r="S4" s="26">
        <f t="shared" si="0"/>
        <v>0.48596112546269482</v>
      </c>
      <c r="T4" s="29">
        <f>N4*$N$3/($T$3+$Q$3/$B$12)</f>
        <v>0.12329785544082603</v>
      </c>
      <c r="U4" s="29">
        <f t="shared" ref="U4:V6" si="1">O4*$N$3/($T$3+$Q$3/$B$12)</f>
        <v>8.9671167593328022E-2</v>
      </c>
      <c r="V4" s="29">
        <f t="shared" si="1"/>
        <v>0.17373788721207303</v>
      </c>
    </row>
    <row r="5" spans="1:22" x14ac:dyDescent="0.25">
      <c r="A5" s="2" t="s">
        <v>158</v>
      </c>
      <c r="B5">
        <v>0.2</v>
      </c>
      <c r="C5">
        <v>0.06</v>
      </c>
      <c r="D5">
        <v>0.4</v>
      </c>
      <c r="E5">
        <f>27+11</f>
        <v>38</v>
      </c>
      <c r="G5" s="26">
        <v>0.86432926829268197</v>
      </c>
      <c r="H5" s="26">
        <v>0.43445121951219501</v>
      </c>
      <c r="M5" t="s">
        <v>174</v>
      </c>
      <c r="N5">
        <v>0.36</v>
      </c>
      <c r="O5">
        <v>0.27</v>
      </c>
      <c r="P5">
        <v>0.46</v>
      </c>
      <c r="Q5" s="31">
        <f>N5*$N$3/($B$12*$Q$3+$T$3)</f>
        <v>0.56434195215022631</v>
      </c>
      <c r="R5" s="31">
        <f t="shared" si="0"/>
        <v>0.42325646411266971</v>
      </c>
      <c r="S5" s="31">
        <f t="shared" si="0"/>
        <v>0.72110360552528918</v>
      </c>
      <c r="T5" s="32">
        <f>N5*$N$3/($T$3+$Q$3/$B$12)</f>
        <v>0.20176012708498803</v>
      </c>
      <c r="U5" s="32">
        <f t="shared" si="1"/>
        <v>0.15132009531374105</v>
      </c>
      <c r="V5" s="32">
        <f t="shared" si="1"/>
        <v>0.25780460683081807</v>
      </c>
    </row>
    <row r="6" spans="1:22" x14ac:dyDescent="0.25">
      <c r="G6" s="26">
        <v>0.78201219499999997</v>
      </c>
      <c r="H6" s="26">
        <v>0.134146341463414</v>
      </c>
      <c r="M6" t="s">
        <v>175</v>
      </c>
      <c r="N6">
        <v>0.45</v>
      </c>
      <c r="O6">
        <v>0.34</v>
      </c>
      <c r="P6">
        <v>0.56999999999999995</v>
      </c>
      <c r="Q6" s="26">
        <f>N6*$N$3/($B$12*$Q$3+$T$3)</f>
        <v>0.70542744018778292</v>
      </c>
      <c r="R6" s="26">
        <f t="shared" si="0"/>
        <v>0.53298962147521378</v>
      </c>
      <c r="S6" s="26">
        <f t="shared" si="0"/>
        <v>0.89354142423785821</v>
      </c>
      <c r="T6" s="29">
        <f>N6*$N$3/($T$3+$Q$3/$B$12)</f>
        <v>0.25220015885623509</v>
      </c>
      <c r="U6" s="29">
        <f t="shared" si="1"/>
        <v>0.19055123113582206</v>
      </c>
      <c r="V6" s="29">
        <f t="shared" si="1"/>
        <v>0.31945353455123104</v>
      </c>
    </row>
    <row r="7" spans="1:22" x14ac:dyDescent="0.25">
      <c r="A7" s="2" t="s">
        <v>164</v>
      </c>
      <c r="Q7" s="27" t="str">
        <f t="shared" ref="Q7:V7" si="2">Q4&amp;", "&amp;Q5&amp;", "&amp;Q6</f>
        <v>0.344875637425138, 0.564341952150226, 0.705427440187783</v>
      </c>
      <c r="R7" s="27" t="str">
        <f t="shared" si="2"/>
        <v>0.250818645400101, 0.42325646411267, 0.532989621475214</v>
      </c>
      <c r="S7" s="27" t="str">
        <f t="shared" si="2"/>
        <v>0.485961125462695, 0.721103605525289, 0.893541424237858</v>
      </c>
      <c r="T7" s="27" t="str">
        <f t="shared" si="2"/>
        <v>0.123297855440826, 0.201760127084988, 0.252200158856235</v>
      </c>
      <c r="U7" s="27" t="str">
        <f t="shared" si="2"/>
        <v>0.089671167593328, 0.151320095313741, 0.190551231135822</v>
      </c>
      <c r="V7" s="27" t="str">
        <f t="shared" si="2"/>
        <v>0.173737887212073, 0.257804606830818, 0.319453534551231</v>
      </c>
    </row>
    <row r="8" spans="1:22" x14ac:dyDescent="0.25">
      <c r="A8" s="2"/>
      <c r="B8" s="2" t="s">
        <v>160</v>
      </c>
      <c r="C8" s="2" t="s">
        <v>161</v>
      </c>
      <c r="D8" s="2" t="s">
        <v>162</v>
      </c>
      <c r="E8" s="2" t="s">
        <v>163</v>
      </c>
      <c r="S8" s="27"/>
      <c r="T8" s="27"/>
      <c r="U8" s="27"/>
      <c r="V8" s="27"/>
    </row>
    <row r="9" spans="1:22" x14ac:dyDescent="0.25">
      <c r="A9" s="2" t="s">
        <v>165</v>
      </c>
      <c r="B9">
        <f>B3</f>
        <v>0.79</v>
      </c>
      <c r="C9">
        <f>C3</f>
        <v>0.63</v>
      </c>
      <c r="D9">
        <f>D3</f>
        <v>0.88</v>
      </c>
      <c r="E9">
        <f>E3</f>
        <v>55</v>
      </c>
      <c r="S9" s="27"/>
      <c r="T9" s="27"/>
      <c r="U9" s="27"/>
      <c r="V9" s="27"/>
    </row>
    <row r="10" spans="1:22" x14ac:dyDescent="0.25">
      <c r="A10" s="2" t="s">
        <v>154</v>
      </c>
      <c r="B10" s="26">
        <f>($E$5*B5+$E$4*B4)/$E$10</f>
        <v>0.54513274336283191</v>
      </c>
      <c r="C10" s="26">
        <f>($E$5*C5+$E$4*C4)/$E$10</f>
        <v>0.39185840707964609</v>
      </c>
      <c r="D10" s="26">
        <f>($E$5*D5+$E$4*D4)/$E$10</f>
        <v>0.68539823008849565</v>
      </c>
      <c r="E10">
        <f>E4+E5</f>
        <v>113</v>
      </c>
      <c r="S10" s="27"/>
      <c r="T10" s="27"/>
      <c r="U10" s="27"/>
      <c r="V10" s="27"/>
    </row>
    <row r="11" spans="1:22" x14ac:dyDescent="0.25">
      <c r="S11" s="27"/>
      <c r="T11" s="27"/>
      <c r="U11" s="27"/>
      <c r="V11" s="27"/>
    </row>
    <row r="12" spans="1:22" x14ac:dyDescent="0.25">
      <c r="A12" t="s">
        <v>166</v>
      </c>
      <c r="B12" s="29">
        <f>(1-B9)/(1-B10)</f>
        <v>0.46167315175097273</v>
      </c>
      <c r="S12" s="27"/>
      <c r="T12" s="27"/>
      <c r="U12" s="27"/>
      <c r="V12" s="27"/>
    </row>
    <row r="13" spans="1:22" x14ac:dyDescent="0.25">
      <c r="S13" s="27"/>
      <c r="T13" s="27"/>
      <c r="U13" s="27"/>
      <c r="V13" s="27"/>
    </row>
    <row r="14" spans="1:22" x14ac:dyDescent="0.25">
      <c r="K14" s="30">
        <f>101^3</f>
        <v>1030301</v>
      </c>
      <c r="L14" s="2"/>
      <c r="M14" s="2"/>
      <c r="N14" s="2"/>
      <c r="S14" s="27"/>
      <c r="T14" s="27"/>
      <c r="U14" s="27"/>
      <c r="V14" s="27"/>
    </row>
    <row r="15" spans="1:22" x14ac:dyDescent="0.25">
      <c r="A15" s="2" t="s">
        <v>176</v>
      </c>
    </row>
    <row r="16" spans="1:22" x14ac:dyDescent="0.25">
      <c r="A16" s="2"/>
      <c r="B16" s="2" t="s">
        <v>160</v>
      </c>
      <c r="C16" s="2" t="s">
        <v>161</v>
      </c>
      <c r="D16" s="2" t="s">
        <v>162</v>
      </c>
      <c r="E16" s="2" t="s">
        <v>163</v>
      </c>
    </row>
    <row r="17" spans="1:17" x14ac:dyDescent="0.25">
      <c r="A17" s="2" t="s">
        <v>165</v>
      </c>
      <c r="B17" s="26">
        <f t="shared" ref="B17:D18" si="3">1-B9</f>
        <v>0.20999999999999996</v>
      </c>
      <c r="C17" s="26">
        <f t="shared" si="3"/>
        <v>0.37</v>
      </c>
      <c r="D17" s="26">
        <f t="shared" si="3"/>
        <v>0.12</v>
      </c>
    </row>
    <row r="18" spans="1:17" x14ac:dyDescent="0.25">
      <c r="A18" s="2" t="s">
        <v>154</v>
      </c>
      <c r="B18" s="26">
        <f t="shared" si="3"/>
        <v>0.45486725663716809</v>
      </c>
      <c r="C18" s="26">
        <f t="shared" si="3"/>
        <v>0.60814159292035397</v>
      </c>
      <c r="D18" s="26">
        <f t="shared" si="3"/>
        <v>0.31460176991150435</v>
      </c>
    </row>
    <row r="20" spans="1:17" x14ac:dyDescent="0.25">
      <c r="N20" s="2"/>
      <c r="O20" s="2" t="s">
        <v>160</v>
      </c>
      <c r="P20" s="2" t="s">
        <v>161</v>
      </c>
      <c r="Q20" s="2" t="s">
        <v>162</v>
      </c>
    </row>
    <row r="21" spans="1:17" x14ac:dyDescent="0.25">
      <c r="M21" t="s">
        <v>177</v>
      </c>
      <c r="N21" s="2" t="s">
        <v>165</v>
      </c>
      <c r="O21" s="26">
        <v>0.20999999999999996</v>
      </c>
      <c r="P21" s="26">
        <v>0.12</v>
      </c>
      <c r="Q21" s="26">
        <v>0.37</v>
      </c>
    </row>
    <row r="22" spans="1:17" x14ac:dyDescent="0.25">
      <c r="A22" s="2" t="s">
        <v>179</v>
      </c>
      <c r="M22" t="s">
        <v>54</v>
      </c>
      <c r="N22" s="2" t="s">
        <v>165</v>
      </c>
      <c r="O22" s="32">
        <v>0.20176012708498803</v>
      </c>
      <c r="P22" s="32">
        <v>0.15132009531374105</v>
      </c>
      <c r="Q22" s="32">
        <v>0.25780460683081807</v>
      </c>
    </row>
    <row r="23" spans="1:17" x14ac:dyDescent="0.25">
      <c r="B23" s="2" t="s">
        <v>160</v>
      </c>
      <c r="C23" s="2" t="s">
        <v>161</v>
      </c>
      <c r="D23" s="2" t="s">
        <v>162</v>
      </c>
      <c r="E23" s="2" t="s">
        <v>163</v>
      </c>
      <c r="F23" t="s">
        <v>178</v>
      </c>
      <c r="M23" t="s">
        <v>177</v>
      </c>
      <c r="N23" s="2" t="s">
        <v>154</v>
      </c>
      <c r="O23" s="26">
        <v>0.45486725663716809</v>
      </c>
      <c r="P23" s="26">
        <v>0.31460176991150435</v>
      </c>
      <c r="Q23" s="26">
        <v>0.60814159292035397</v>
      </c>
    </row>
    <row r="24" spans="1:17" x14ac:dyDescent="0.25">
      <c r="A24" s="2" t="s">
        <v>156</v>
      </c>
      <c r="B24" s="28">
        <f>52/55</f>
        <v>0.94545454545454544</v>
      </c>
      <c r="C24">
        <v>0.8488</v>
      </c>
      <c r="D24">
        <v>0.98860000000000003</v>
      </c>
      <c r="E24">
        <v>55</v>
      </c>
      <c r="F24">
        <f>B24*E24</f>
        <v>52</v>
      </c>
      <c r="M24" t="s">
        <v>54</v>
      </c>
      <c r="N24" s="2" t="s">
        <v>154</v>
      </c>
      <c r="O24" s="31">
        <v>0.56434195215022631</v>
      </c>
      <c r="P24" s="31">
        <v>0.42325646411266971</v>
      </c>
      <c r="Q24" s="31">
        <v>0.72110360552528918</v>
      </c>
    </row>
    <row r="25" spans="1:17" x14ac:dyDescent="0.25">
      <c r="A25" s="2" t="s">
        <v>157</v>
      </c>
      <c r="B25" s="28">
        <f>71/75</f>
        <v>0.94666666666666666</v>
      </c>
      <c r="C25">
        <v>0.86899999999999999</v>
      </c>
      <c r="D25">
        <v>0.98519999999999996</v>
      </c>
      <c r="E25">
        <v>75</v>
      </c>
      <c r="F25">
        <f>B25*E25</f>
        <v>71</v>
      </c>
    </row>
    <row r="26" spans="1:17" x14ac:dyDescent="0.25">
      <c r="A26" s="2" t="s">
        <v>158</v>
      </c>
      <c r="B26" s="28">
        <f>31/38</f>
        <v>0.81578947368421051</v>
      </c>
      <c r="C26">
        <v>0.65669999999999995</v>
      </c>
      <c r="D26">
        <v>0.92259999999999998</v>
      </c>
      <c r="E26">
        <f>27+11</f>
        <v>38</v>
      </c>
      <c r="F26">
        <f>B26*E26</f>
        <v>31</v>
      </c>
    </row>
    <row r="29" spans="1:17" x14ac:dyDescent="0.25">
      <c r="A29" s="2" t="s">
        <v>180</v>
      </c>
    </row>
    <row r="30" spans="1:17" x14ac:dyDescent="0.25">
      <c r="A30" s="2"/>
      <c r="B30" s="2" t="s">
        <v>160</v>
      </c>
      <c r="C30" s="2" t="s">
        <v>161</v>
      </c>
      <c r="D30" s="2" t="s">
        <v>162</v>
      </c>
      <c r="E30" s="2" t="s">
        <v>163</v>
      </c>
    </row>
    <row r="31" spans="1:17" x14ac:dyDescent="0.25">
      <c r="A31" s="2" t="s">
        <v>165</v>
      </c>
      <c r="B31" s="28">
        <f>B24</f>
        <v>0.94545454545454544</v>
      </c>
      <c r="C31" s="28">
        <f>C24</f>
        <v>0.8488</v>
      </c>
      <c r="D31" s="28">
        <f>D24</f>
        <v>0.98860000000000003</v>
      </c>
      <c r="E31">
        <f>E25</f>
        <v>75</v>
      </c>
    </row>
    <row r="32" spans="1:17" x14ac:dyDescent="0.25">
      <c r="A32" s="2" t="s">
        <v>154</v>
      </c>
      <c r="B32" s="26">
        <f>($E$5*B26+$E$4*B25)/$E$10</f>
        <v>0.90265486725663713</v>
      </c>
      <c r="C32" s="26">
        <f>($E$5*C26+$E$4*C25)/$E$10</f>
        <v>0.79760707964601762</v>
      </c>
      <c r="D32" s="26">
        <f>($E$5*D26+$E$4*D25)/$E$10</f>
        <v>0.96414867256637171</v>
      </c>
      <c r="E32">
        <f>E26+E27</f>
        <v>38</v>
      </c>
    </row>
    <row r="33" spans="1:5" x14ac:dyDescent="0.25">
      <c r="A33" s="2"/>
      <c r="B33" s="28"/>
    </row>
    <row r="34" spans="1:5" x14ac:dyDescent="0.25">
      <c r="A34" s="2" t="s">
        <v>183</v>
      </c>
    </row>
    <row r="35" spans="1:5" x14ac:dyDescent="0.25">
      <c r="A35" s="2"/>
      <c r="B35" s="2" t="s">
        <v>160</v>
      </c>
      <c r="C35" s="2" t="s">
        <v>161</v>
      </c>
      <c r="D35" s="2" t="s">
        <v>162</v>
      </c>
      <c r="E35" s="2" t="s">
        <v>163</v>
      </c>
    </row>
    <row r="36" spans="1:5" x14ac:dyDescent="0.25">
      <c r="A36" s="2" t="s">
        <v>165</v>
      </c>
      <c r="B36" s="28">
        <f t="shared" ref="B36:D37" si="4">1-B31</f>
        <v>5.4545454545454564E-2</v>
      </c>
      <c r="C36" s="28">
        <f t="shared" si="4"/>
        <v>0.1512</v>
      </c>
      <c r="D36" s="28">
        <f t="shared" si="4"/>
        <v>1.1399999999999966E-2</v>
      </c>
    </row>
    <row r="37" spans="1:5" x14ac:dyDescent="0.25">
      <c r="A37" s="2" t="s">
        <v>154</v>
      </c>
      <c r="B37" s="28">
        <f t="shared" si="4"/>
        <v>9.7345132743362872E-2</v>
      </c>
      <c r="C37" s="28">
        <f t="shared" si="4"/>
        <v>0.20239292035398238</v>
      </c>
      <c r="D37" s="28">
        <f t="shared" si="4"/>
        <v>3.5851327433628288E-2</v>
      </c>
    </row>
    <row r="38" spans="1:5" x14ac:dyDescent="0.25">
      <c r="A38" s="2"/>
      <c r="B38" s="28"/>
    </row>
    <row r="39" spans="1:5" x14ac:dyDescent="0.25">
      <c r="A39" s="2"/>
      <c r="B39" s="28"/>
    </row>
    <row r="40" spans="1:5" x14ac:dyDescent="0.25">
      <c r="A40" s="2" t="s">
        <v>181</v>
      </c>
      <c r="B40" s="28"/>
    </row>
    <row r="41" spans="1:5" x14ac:dyDescent="0.25">
      <c r="B41" s="2" t="s">
        <v>160</v>
      </c>
      <c r="C41" s="2" t="s">
        <v>161</v>
      </c>
      <c r="D41" s="2" t="s">
        <v>162</v>
      </c>
    </row>
    <row r="42" spans="1:5" x14ac:dyDescent="0.25">
      <c r="A42" s="2" t="s">
        <v>165</v>
      </c>
      <c r="B42" t="str">
        <f t="shared" ref="B42:D43" si="5">"c("&amp;B31&amp;", "&amp;B9&amp;")"</f>
        <v>c(0.945454545454545, 0.79)</v>
      </c>
      <c r="C42" t="str">
        <f t="shared" si="5"/>
        <v>c(0.8488, 0.63)</v>
      </c>
      <c r="D42" t="str">
        <f t="shared" si="5"/>
        <v>c(0.9886, 0.88)</v>
      </c>
    </row>
    <row r="43" spans="1:5" x14ac:dyDescent="0.25">
      <c r="A43" s="2" t="s">
        <v>154</v>
      </c>
      <c r="B43" t="str">
        <f t="shared" si="5"/>
        <v>c(0.902654867256637, 0.545132743362832)</v>
      </c>
      <c r="C43" t="str">
        <f t="shared" si="5"/>
        <v>c(0.797607079646018, 0.391858407079646)</v>
      </c>
      <c r="D43" t="str">
        <f t="shared" si="5"/>
        <v>c(0.964148672566372, 0.685398230088496)</v>
      </c>
    </row>
    <row r="44" spans="1:5" x14ac:dyDescent="0.25">
      <c r="D44">
        <f>60*60</f>
        <v>3600</v>
      </c>
    </row>
    <row r="47" spans="1:5" x14ac:dyDescent="0.25">
      <c r="A47" s="2" t="s">
        <v>182</v>
      </c>
    </row>
    <row r="48" spans="1:5" x14ac:dyDescent="0.25">
      <c r="B48" s="2" t="s">
        <v>160</v>
      </c>
      <c r="C48" s="2" t="s">
        <v>161</v>
      </c>
      <c r="D48" s="2" t="s">
        <v>162</v>
      </c>
    </row>
    <row r="49" spans="1:4" x14ac:dyDescent="0.25">
      <c r="A49" s="2" t="s">
        <v>165</v>
      </c>
      <c r="B49" t="str">
        <f t="shared" ref="B49:D50" si="6">"c("&amp;B36&amp;", "&amp;B17&amp;")"</f>
        <v>c(0.0545454545454546, 0.21)</v>
      </c>
      <c r="C49" t="str">
        <f t="shared" si="6"/>
        <v>c(0.1512, 0.37)</v>
      </c>
      <c r="D49" t="str">
        <f t="shared" si="6"/>
        <v>c(0.0114, 0.12)</v>
      </c>
    </row>
    <row r="50" spans="1:4" x14ac:dyDescent="0.25">
      <c r="A50" s="2" t="s">
        <v>154</v>
      </c>
      <c r="B50" t="str">
        <f t="shared" si="6"/>
        <v>c(0.0973451327433629, 0.454867256637168)</v>
      </c>
      <c r="C50" t="str">
        <f t="shared" si="6"/>
        <v>c(0.202392920353982, 0.608141592920354)</v>
      </c>
      <c r="D50" t="str">
        <f t="shared" si="6"/>
        <v>c(0.0358513274336283, 0.314601769911504)</v>
      </c>
    </row>
  </sheetData>
  <phoneticPr fontId="18" type="noConversion"/>
  <conditionalFormatting sqref="G3:H6">
    <cfRule type="dataBar" priority="15">
      <dataBar>
        <cfvo type="min"/>
        <cfvo type="max"/>
        <color rgb="FF638EC6"/>
      </dataBar>
      <extLst>
        <ext xmlns:x14="http://schemas.microsoft.com/office/spreadsheetml/2009/9/main" uri="{B025F937-C7B1-47D3-B67F-A62EFF666E3E}">
          <x14:id>{CDE3BAEA-C452-4818-9DA3-16895C662EFA}</x14:id>
        </ext>
      </extLst>
    </cfRule>
  </conditionalFormatting>
  <conditionalFormatting sqref="S15:W20 W11:W14">
    <cfRule type="dataBar" priority="19">
      <dataBar>
        <cfvo type="min"/>
        <cfvo type="max"/>
        <color rgb="FF638EC6"/>
      </dataBar>
      <extLst>
        <ext xmlns:x14="http://schemas.microsoft.com/office/spreadsheetml/2009/9/main" uri="{B025F937-C7B1-47D3-B67F-A62EFF666E3E}">
          <x14:id>{B3500171-082F-45A2-BACC-D3D9E1ACA7A7}</x14:id>
        </ext>
      </extLst>
    </cfRule>
  </conditionalFormatting>
  <conditionalFormatting sqref="Y3:Y5">
    <cfRule type="dataBar" priority="18">
      <dataBar>
        <cfvo type="min"/>
        <cfvo type="max"/>
        <color rgb="FF638EC6"/>
      </dataBar>
      <extLst>
        <ext xmlns:x14="http://schemas.microsoft.com/office/spreadsheetml/2009/9/main" uri="{B025F937-C7B1-47D3-B67F-A62EFF666E3E}">
          <x14:id>{DD66DE45-115C-4967-B5A8-19BBAED4F762}</x14:id>
        </ext>
      </extLst>
    </cfRule>
  </conditionalFormatting>
  <conditionalFormatting sqref="N4:S6">
    <cfRule type="dataBar" priority="17">
      <dataBar>
        <cfvo type="min"/>
        <cfvo type="max"/>
        <color rgb="FF638EC6"/>
      </dataBar>
      <extLst>
        <ext xmlns:x14="http://schemas.microsoft.com/office/spreadsheetml/2009/9/main" uri="{B025F937-C7B1-47D3-B67F-A62EFF666E3E}">
          <x14:id>{E4F34963-C651-4345-8B31-2D645CCCF0FE}</x14:id>
        </ext>
      </extLst>
    </cfRule>
  </conditionalFormatting>
  <conditionalFormatting sqref="S4:V6">
    <cfRule type="dataBar" priority="16">
      <dataBar>
        <cfvo type="min"/>
        <cfvo type="max"/>
        <color rgb="FF638EC6"/>
      </dataBar>
      <extLst>
        <ext xmlns:x14="http://schemas.microsoft.com/office/spreadsheetml/2009/9/main" uri="{B025F937-C7B1-47D3-B67F-A62EFF666E3E}">
          <x14:id>{AA782E94-C6FF-441F-8EBC-A3D8152FFF82}</x14:id>
        </ext>
      </extLst>
    </cfRule>
  </conditionalFormatting>
  <conditionalFormatting sqref="N4:V6">
    <cfRule type="dataBar" priority="14">
      <dataBar>
        <cfvo type="min"/>
        <cfvo type="max"/>
        <color rgb="FF638EC6"/>
      </dataBar>
      <extLst>
        <ext xmlns:x14="http://schemas.microsoft.com/office/spreadsheetml/2009/9/main" uri="{B025F937-C7B1-47D3-B67F-A62EFF666E3E}">
          <x14:id>{B72DFD58-6D42-4921-98D2-EC687701BA46}</x14:id>
        </ext>
      </extLst>
    </cfRule>
  </conditionalFormatting>
  <conditionalFormatting sqref="B9:D10">
    <cfRule type="dataBar" priority="13">
      <dataBar>
        <cfvo type="min"/>
        <cfvo type="max"/>
        <color rgb="FF638EC6"/>
      </dataBar>
      <extLst>
        <ext xmlns:x14="http://schemas.microsoft.com/office/spreadsheetml/2009/9/main" uri="{B025F937-C7B1-47D3-B67F-A62EFF666E3E}">
          <x14:id>{33385AD5-DB29-4AD5-BAB3-B4F606649EEC}</x14:id>
        </ext>
      </extLst>
    </cfRule>
  </conditionalFormatting>
  <conditionalFormatting sqref="B17:D18">
    <cfRule type="dataBar" priority="12">
      <dataBar>
        <cfvo type="min"/>
        <cfvo type="max"/>
        <color rgb="FF638EC6"/>
      </dataBar>
      <extLst>
        <ext xmlns:x14="http://schemas.microsoft.com/office/spreadsheetml/2009/9/main" uri="{B025F937-C7B1-47D3-B67F-A62EFF666E3E}">
          <x14:id>{EA30A05C-8A6D-4E62-B534-A3A7AF5AE15C}</x14:id>
        </ext>
      </extLst>
    </cfRule>
  </conditionalFormatting>
  <conditionalFormatting sqref="O24:Q24">
    <cfRule type="dataBar" priority="10">
      <dataBar>
        <cfvo type="min"/>
        <cfvo type="max"/>
        <color rgb="FF638EC6"/>
      </dataBar>
      <extLst>
        <ext xmlns:x14="http://schemas.microsoft.com/office/spreadsheetml/2009/9/main" uri="{B025F937-C7B1-47D3-B67F-A62EFF666E3E}">
          <x14:id>{D8697E4C-C905-420D-8766-82CCD7620B34}</x14:id>
        </ext>
      </extLst>
    </cfRule>
  </conditionalFormatting>
  <conditionalFormatting sqref="Q24">
    <cfRule type="dataBar" priority="9">
      <dataBar>
        <cfvo type="min"/>
        <cfvo type="max"/>
        <color rgb="FF638EC6"/>
      </dataBar>
      <extLst>
        <ext xmlns:x14="http://schemas.microsoft.com/office/spreadsheetml/2009/9/main" uri="{B025F937-C7B1-47D3-B67F-A62EFF666E3E}">
          <x14:id>{67516EEC-CF3E-4EE2-B213-8220E7339E41}</x14:id>
        </ext>
      </extLst>
    </cfRule>
  </conditionalFormatting>
  <conditionalFormatting sqref="O24:Q24">
    <cfRule type="dataBar" priority="8">
      <dataBar>
        <cfvo type="min"/>
        <cfvo type="max"/>
        <color rgb="FF638EC6"/>
      </dataBar>
      <extLst>
        <ext xmlns:x14="http://schemas.microsoft.com/office/spreadsheetml/2009/9/main" uri="{B025F937-C7B1-47D3-B67F-A62EFF666E3E}">
          <x14:id>{70B7F9C8-7CFA-4F5F-8F54-97F8E197F527}</x14:id>
        </ext>
      </extLst>
    </cfRule>
  </conditionalFormatting>
  <conditionalFormatting sqref="O22:Q22">
    <cfRule type="dataBar" priority="7">
      <dataBar>
        <cfvo type="min"/>
        <cfvo type="max"/>
        <color rgb="FF638EC6"/>
      </dataBar>
      <extLst>
        <ext xmlns:x14="http://schemas.microsoft.com/office/spreadsheetml/2009/9/main" uri="{B025F937-C7B1-47D3-B67F-A62EFF666E3E}">
          <x14:id>{7FBF8FC4-6F3B-4C4A-998A-F8D987F682A6}</x14:id>
        </ext>
      </extLst>
    </cfRule>
  </conditionalFormatting>
  <conditionalFormatting sqref="O22:Q22">
    <cfRule type="dataBar" priority="6">
      <dataBar>
        <cfvo type="min"/>
        <cfvo type="max"/>
        <color rgb="FF638EC6"/>
      </dataBar>
      <extLst>
        <ext xmlns:x14="http://schemas.microsoft.com/office/spreadsheetml/2009/9/main" uri="{B025F937-C7B1-47D3-B67F-A62EFF666E3E}">
          <x14:id>{2FE7E250-92FE-43FC-9C00-78B91416574D}</x14:id>
        </ext>
      </extLst>
    </cfRule>
  </conditionalFormatting>
  <conditionalFormatting sqref="O21:Q22 O24:Q24 O23:P23">
    <cfRule type="dataBar" priority="5">
      <dataBar>
        <cfvo type="min"/>
        <cfvo type="max"/>
        <color rgb="FF638EC6"/>
      </dataBar>
      <extLst>
        <ext xmlns:x14="http://schemas.microsoft.com/office/spreadsheetml/2009/9/main" uri="{B025F937-C7B1-47D3-B67F-A62EFF666E3E}">
          <x14:id>{48CF7438-F59B-4A65-BE07-16C0E174D140}</x14:id>
        </ext>
      </extLst>
    </cfRule>
  </conditionalFormatting>
  <conditionalFormatting sqref="Q23">
    <cfRule type="dataBar" priority="4">
      <dataBar>
        <cfvo type="min"/>
        <cfvo type="max"/>
        <color rgb="FF638EC6"/>
      </dataBar>
      <extLst>
        <ext xmlns:x14="http://schemas.microsoft.com/office/spreadsheetml/2009/9/main" uri="{B025F937-C7B1-47D3-B67F-A62EFF666E3E}">
          <x14:id>{91948D25-FD2B-454F-8956-BC4068CA06AC}</x14:id>
        </ext>
      </extLst>
    </cfRule>
  </conditionalFormatting>
  <conditionalFormatting sqref="Q23">
    <cfRule type="dataBar" priority="3">
      <dataBar>
        <cfvo type="min"/>
        <cfvo type="max"/>
        <color rgb="FF638EC6"/>
      </dataBar>
      <extLst>
        <ext xmlns:x14="http://schemas.microsoft.com/office/spreadsheetml/2009/9/main" uri="{B025F937-C7B1-47D3-B67F-A62EFF666E3E}">
          <x14:id>{68E5645D-C32E-4F78-8FF4-AF895FA76944}</x14:id>
        </ext>
      </extLst>
    </cfRule>
  </conditionalFormatting>
  <conditionalFormatting sqref="O21:Q21 O23:P23">
    <cfRule type="dataBar" priority="21">
      <dataBar>
        <cfvo type="min"/>
        <cfvo type="max"/>
        <color rgb="FF638EC6"/>
      </dataBar>
      <extLst>
        <ext xmlns:x14="http://schemas.microsoft.com/office/spreadsheetml/2009/9/main" uri="{B025F937-C7B1-47D3-B67F-A62EFF666E3E}">
          <x14:id>{C8A4DC28-6A50-4B92-A26F-0A56E5AE4E2F}</x14:id>
        </ext>
      </extLst>
    </cfRule>
  </conditionalFormatting>
  <conditionalFormatting sqref="B31:D32">
    <cfRule type="dataBar" priority="2">
      <dataBar>
        <cfvo type="min"/>
        <cfvo type="max"/>
        <color rgb="FF638EC6"/>
      </dataBar>
      <extLst>
        <ext xmlns:x14="http://schemas.microsoft.com/office/spreadsheetml/2009/9/main" uri="{B025F937-C7B1-47D3-B67F-A62EFF666E3E}">
          <x14:id>{67424D38-9F7C-4977-A39F-6CE7BB1BDED9}</x14:id>
        </ext>
      </extLst>
    </cfRule>
  </conditionalFormatting>
  <conditionalFormatting sqref="B36:D37">
    <cfRule type="dataBar" priority="1">
      <dataBar>
        <cfvo type="min"/>
        <cfvo type="max"/>
        <color rgb="FF638EC6"/>
      </dataBar>
      <extLst>
        <ext xmlns:x14="http://schemas.microsoft.com/office/spreadsheetml/2009/9/main" uri="{B025F937-C7B1-47D3-B67F-A62EFF666E3E}">
          <x14:id>{AA0A4954-A655-4EE7-AF76-5F5689C40395}</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CDE3BAEA-C452-4818-9DA3-16895C662EFA}">
            <x14:dataBar minLength="0" maxLength="100" gradient="0">
              <x14:cfvo type="autoMin"/>
              <x14:cfvo type="autoMax"/>
              <x14:negativeFillColor rgb="FFFF0000"/>
              <x14:axisColor rgb="FF000000"/>
            </x14:dataBar>
          </x14:cfRule>
          <xm:sqref>G3:H6</xm:sqref>
        </x14:conditionalFormatting>
        <x14:conditionalFormatting xmlns:xm="http://schemas.microsoft.com/office/excel/2006/main">
          <x14:cfRule type="dataBar" id="{B3500171-082F-45A2-BACC-D3D9E1ACA7A7}">
            <x14:dataBar minLength="0" maxLength="100" border="1" negativeBarBorderColorSameAsPositive="0">
              <x14:cfvo type="autoMin"/>
              <x14:cfvo type="autoMax"/>
              <x14:borderColor rgb="FF638EC6"/>
              <x14:negativeFillColor rgb="FFFF0000"/>
              <x14:negativeBorderColor rgb="FFFF0000"/>
              <x14:axisColor rgb="FF000000"/>
            </x14:dataBar>
          </x14:cfRule>
          <xm:sqref>S15:W20 W11:W14</xm:sqref>
        </x14:conditionalFormatting>
        <x14:conditionalFormatting xmlns:xm="http://schemas.microsoft.com/office/excel/2006/main">
          <x14:cfRule type="dataBar" id="{DD66DE45-115C-4967-B5A8-19BBAED4F762}">
            <x14:dataBar minLength="0" maxLength="100" border="1" negativeBarBorderColorSameAsPositive="0">
              <x14:cfvo type="autoMin"/>
              <x14:cfvo type="autoMax"/>
              <x14:borderColor rgb="FF638EC6"/>
              <x14:negativeFillColor rgb="FFFF0000"/>
              <x14:negativeBorderColor rgb="FFFF0000"/>
              <x14:axisColor rgb="FF000000"/>
            </x14:dataBar>
          </x14:cfRule>
          <xm:sqref>Y3:Y5</xm:sqref>
        </x14:conditionalFormatting>
        <x14:conditionalFormatting xmlns:xm="http://schemas.microsoft.com/office/excel/2006/main">
          <x14:cfRule type="dataBar" id="{E4F34963-C651-4345-8B31-2D645CCCF0FE}">
            <x14:dataBar minLength="0" maxLength="100" border="1" negativeBarBorderColorSameAsPositive="0">
              <x14:cfvo type="autoMin"/>
              <x14:cfvo type="autoMax"/>
              <x14:borderColor rgb="FF638EC6"/>
              <x14:negativeFillColor rgb="FFFF0000"/>
              <x14:negativeBorderColor rgb="FFFF0000"/>
              <x14:axisColor rgb="FF000000"/>
            </x14:dataBar>
          </x14:cfRule>
          <xm:sqref>N4:S6</xm:sqref>
        </x14:conditionalFormatting>
        <x14:conditionalFormatting xmlns:xm="http://schemas.microsoft.com/office/excel/2006/main">
          <x14:cfRule type="dataBar" id="{AA782E94-C6FF-441F-8EBC-A3D8152FFF82}">
            <x14:dataBar minLength="0" maxLength="100" gradient="0">
              <x14:cfvo type="autoMin"/>
              <x14:cfvo type="autoMax"/>
              <x14:negativeFillColor rgb="FFFF0000"/>
              <x14:axisColor rgb="FF000000"/>
            </x14:dataBar>
          </x14:cfRule>
          <xm:sqref>S4:V6</xm:sqref>
        </x14:conditionalFormatting>
        <x14:conditionalFormatting xmlns:xm="http://schemas.microsoft.com/office/excel/2006/main">
          <x14:cfRule type="dataBar" id="{B72DFD58-6D42-4921-98D2-EC687701BA46}">
            <x14:dataBar minLength="0" maxLength="100" gradient="0">
              <x14:cfvo type="autoMin"/>
              <x14:cfvo type="autoMax"/>
              <x14:negativeFillColor rgb="FFFF0000"/>
              <x14:axisColor rgb="FF000000"/>
            </x14:dataBar>
          </x14:cfRule>
          <xm:sqref>N4:V6</xm:sqref>
        </x14:conditionalFormatting>
        <x14:conditionalFormatting xmlns:xm="http://schemas.microsoft.com/office/excel/2006/main">
          <x14:cfRule type="dataBar" id="{33385AD5-DB29-4AD5-BAB3-B4F606649EEC}">
            <x14:dataBar minLength="0" maxLength="100" gradient="0">
              <x14:cfvo type="autoMin"/>
              <x14:cfvo type="autoMax"/>
              <x14:negativeFillColor rgb="FFFF0000"/>
              <x14:axisColor rgb="FF000000"/>
            </x14:dataBar>
          </x14:cfRule>
          <xm:sqref>B9:D10</xm:sqref>
        </x14:conditionalFormatting>
        <x14:conditionalFormatting xmlns:xm="http://schemas.microsoft.com/office/excel/2006/main">
          <x14:cfRule type="dataBar" id="{EA30A05C-8A6D-4E62-B534-A3A7AF5AE15C}">
            <x14:dataBar minLength="0" maxLength="100" gradient="0">
              <x14:cfvo type="autoMin"/>
              <x14:cfvo type="autoMax"/>
              <x14:negativeFillColor rgb="FFFF0000"/>
              <x14:axisColor rgb="FF000000"/>
            </x14:dataBar>
          </x14:cfRule>
          <xm:sqref>B17:D18</xm:sqref>
        </x14:conditionalFormatting>
        <x14:conditionalFormatting xmlns:xm="http://schemas.microsoft.com/office/excel/2006/main">
          <x14:cfRule type="dataBar" id="{D8697E4C-C905-420D-8766-82CCD7620B34}">
            <x14:dataBar minLength="0" maxLength="100" border="1" negativeBarBorderColorSameAsPositive="0">
              <x14:cfvo type="autoMin"/>
              <x14:cfvo type="autoMax"/>
              <x14:borderColor rgb="FF638EC6"/>
              <x14:negativeFillColor rgb="FFFF0000"/>
              <x14:negativeBorderColor rgb="FFFF0000"/>
              <x14:axisColor rgb="FF000000"/>
            </x14:dataBar>
          </x14:cfRule>
          <xm:sqref>O24:Q24</xm:sqref>
        </x14:conditionalFormatting>
        <x14:conditionalFormatting xmlns:xm="http://schemas.microsoft.com/office/excel/2006/main">
          <x14:cfRule type="dataBar" id="{67516EEC-CF3E-4EE2-B213-8220E7339E41}">
            <x14:dataBar minLength="0" maxLength="100" gradient="0">
              <x14:cfvo type="autoMin"/>
              <x14:cfvo type="autoMax"/>
              <x14:negativeFillColor rgb="FFFF0000"/>
              <x14:axisColor rgb="FF000000"/>
            </x14:dataBar>
          </x14:cfRule>
          <xm:sqref>Q24</xm:sqref>
        </x14:conditionalFormatting>
        <x14:conditionalFormatting xmlns:xm="http://schemas.microsoft.com/office/excel/2006/main">
          <x14:cfRule type="dataBar" id="{70B7F9C8-7CFA-4F5F-8F54-97F8E197F527}">
            <x14:dataBar minLength="0" maxLength="100" gradient="0">
              <x14:cfvo type="autoMin"/>
              <x14:cfvo type="autoMax"/>
              <x14:negativeFillColor rgb="FFFF0000"/>
              <x14:axisColor rgb="FF000000"/>
            </x14:dataBar>
          </x14:cfRule>
          <xm:sqref>O24:Q24</xm:sqref>
        </x14:conditionalFormatting>
        <x14:conditionalFormatting xmlns:xm="http://schemas.microsoft.com/office/excel/2006/main">
          <x14:cfRule type="dataBar" id="{7FBF8FC4-6F3B-4C4A-998A-F8D987F682A6}">
            <x14:dataBar minLength="0" maxLength="100" gradient="0">
              <x14:cfvo type="autoMin"/>
              <x14:cfvo type="autoMax"/>
              <x14:negativeFillColor rgb="FFFF0000"/>
              <x14:axisColor rgb="FF000000"/>
            </x14:dataBar>
          </x14:cfRule>
          <xm:sqref>O22:Q22</xm:sqref>
        </x14:conditionalFormatting>
        <x14:conditionalFormatting xmlns:xm="http://schemas.microsoft.com/office/excel/2006/main">
          <x14:cfRule type="dataBar" id="{2FE7E250-92FE-43FC-9C00-78B91416574D}">
            <x14:dataBar minLength="0" maxLength="100" gradient="0">
              <x14:cfvo type="autoMin"/>
              <x14:cfvo type="autoMax"/>
              <x14:negativeFillColor rgb="FFFF0000"/>
              <x14:axisColor rgb="FF000000"/>
            </x14:dataBar>
          </x14:cfRule>
          <xm:sqref>O22:Q22</xm:sqref>
        </x14:conditionalFormatting>
        <x14:conditionalFormatting xmlns:xm="http://schemas.microsoft.com/office/excel/2006/main">
          <x14:cfRule type="dataBar" id="{48CF7438-F59B-4A65-BE07-16C0E174D140}">
            <x14:dataBar minLength="0" maxLength="100" gradient="0">
              <x14:cfvo type="autoMin"/>
              <x14:cfvo type="autoMax"/>
              <x14:negativeFillColor rgb="FFFF0000"/>
              <x14:axisColor rgb="FF000000"/>
            </x14:dataBar>
          </x14:cfRule>
          <xm:sqref>O21:Q22 O24:Q24 O23:P23</xm:sqref>
        </x14:conditionalFormatting>
        <x14:conditionalFormatting xmlns:xm="http://schemas.microsoft.com/office/excel/2006/main">
          <x14:cfRule type="dataBar" id="{91948D25-FD2B-454F-8956-BC4068CA06AC}">
            <x14:dataBar minLength="0" maxLength="100" gradient="0">
              <x14:cfvo type="autoMin"/>
              <x14:cfvo type="autoMax"/>
              <x14:negativeFillColor rgb="FFFF0000"/>
              <x14:axisColor rgb="FF000000"/>
            </x14:dataBar>
          </x14:cfRule>
          <xm:sqref>Q23</xm:sqref>
        </x14:conditionalFormatting>
        <x14:conditionalFormatting xmlns:xm="http://schemas.microsoft.com/office/excel/2006/main">
          <x14:cfRule type="dataBar" id="{68E5645D-C32E-4F78-8FF4-AF895FA76944}">
            <x14:dataBar minLength="0" maxLength="100" gradient="0">
              <x14:cfvo type="autoMin"/>
              <x14:cfvo type="autoMax"/>
              <x14:negativeFillColor rgb="FFFF0000"/>
              <x14:axisColor rgb="FF000000"/>
            </x14:dataBar>
          </x14:cfRule>
          <xm:sqref>Q23</xm:sqref>
        </x14:conditionalFormatting>
        <x14:conditionalFormatting xmlns:xm="http://schemas.microsoft.com/office/excel/2006/main">
          <x14:cfRule type="dataBar" id="{C8A4DC28-6A50-4B92-A26F-0A56E5AE4E2F}">
            <x14:dataBar minLength="0" maxLength="100" gradient="0">
              <x14:cfvo type="autoMin"/>
              <x14:cfvo type="autoMax"/>
              <x14:negativeFillColor rgb="FFFF0000"/>
              <x14:axisColor rgb="FF000000"/>
            </x14:dataBar>
          </x14:cfRule>
          <xm:sqref>O21:Q21 O23:P23</xm:sqref>
        </x14:conditionalFormatting>
        <x14:conditionalFormatting xmlns:xm="http://schemas.microsoft.com/office/excel/2006/main">
          <x14:cfRule type="dataBar" id="{67424D38-9F7C-4977-A39F-6CE7BB1BDED9}">
            <x14:dataBar minLength="0" maxLength="100" gradient="0">
              <x14:cfvo type="autoMin"/>
              <x14:cfvo type="autoMax"/>
              <x14:negativeFillColor rgb="FFFF0000"/>
              <x14:axisColor rgb="FF000000"/>
            </x14:dataBar>
          </x14:cfRule>
          <xm:sqref>B31:D32</xm:sqref>
        </x14:conditionalFormatting>
        <x14:conditionalFormatting xmlns:xm="http://schemas.microsoft.com/office/excel/2006/main">
          <x14:cfRule type="dataBar" id="{AA0A4954-A655-4EE7-AF76-5F5689C40395}">
            <x14:dataBar minLength="0" maxLength="100" gradient="0">
              <x14:cfvo type="autoMin"/>
              <x14:cfvo type="autoMax"/>
              <x14:negativeFillColor rgb="FFFF0000"/>
              <x14:axisColor rgb="FF000000"/>
            </x14:dataBar>
          </x14:cfRule>
          <xm:sqref>B36:D37</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4FFA2-B959-4146-8ACC-2D6E1FC5A117}">
  <dimension ref="A1:D24"/>
  <sheetViews>
    <sheetView showGridLines="0" view="pageLayout" zoomScaleNormal="100" workbookViewId="0">
      <selection activeCell="C24" sqref="C24"/>
    </sheetView>
  </sheetViews>
  <sheetFormatPr defaultRowHeight="15" x14ac:dyDescent="0.25"/>
  <cols>
    <col min="1" max="1" width="39" customWidth="1"/>
    <col min="2" max="2" width="12.85546875" customWidth="1"/>
    <col min="3" max="3" width="12.28515625" customWidth="1"/>
    <col min="4" max="4" width="19.28515625" bestFit="1" customWidth="1"/>
  </cols>
  <sheetData>
    <row r="1" spans="1:4" x14ac:dyDescent="0.25">
      <c r="A1" s="165" t="s">
        <v>506</v>
      </c>
      <c r="B1" s="165"/>
      <c r="C1" s="165"/>
      <c r="D1" s="165"/>
    </row>
    <row r="2" spans="1:4" x14ac:dyDescent="0.25">
      <c r="A2" s="43" t="s">
        <v>507</v>
      </c>
      <c r="B2" s="43" t="s">
        <v>508</v>
      </c>
      <c r="C2" s="43" t="s">
        <v>509</v>
      </c>
      <c r="D2" s="43" t="s">
        <v>510</v>
      </c>
    </row>
    <row r="3" spans="1:4" x14ac:dyDescent="0.25">
      <c r="A3" s="4" t="s">
        <v>511</v>
      </c>
      <c r="B3" s="4">
        <v>56</v>
      </c>
      <c r="C3" s="4">
        <v>48</v>
      </c>
      <c r="D3" s="66">
        <f>C3/SUM($C$3:$C$7)</f>
        <v>0.94117647058823528</v>
      </c>
    </row>
    <row r="4" spans="1:4" x14ac:dyDescent="0.25">
      <c r="A4" s="4" t="s">
        <v>512</v>
      </c>
      <c r="B4" s="4">
        <v>4</v>
      </c>
      <c r="C4" s="4">
        <v>1</v>
      </c>
      <c r="D4" s="66">
        <f>C4/SUM($C$3:$C$7)</f>
        <v>1.9607843137254902E-2</v>
      </c>
    </row>
    <row r="5" spans="1:4" x14ac:dyDescent="0.25">
      <c r="A5" s="4" t="s">
        <v>513</v>
      </c>
      <c r="B5" s="4">
        <v>1</v>
      </c>
      <c r="C5" s="4">
        <v>0</v>
      </c>
      <c r="D5" s="66">
        <f>C5/SUM($C$3:$C$7)</f>
        <v>0</v>
      </c>
    </row>
    <row r="6" spans="1:4" x14ac:dyDescent="0.25">
      <c r="A6" s="4" t="s">
        <v>514</v>
      </c>
      <c r="B6" s="4">
        <v>26</v>
      </c>
      <c r="C6" s="4">
        <v>2</v>
      </c>
      <c r="D6" s="66">
        <f>C6/SUM($C$3:$C$7)</f>
        <v>3.9215686274509803E-2</v>
      </c>
    </row>
    <row r="7" spans="1:4" x14ac:dyDescent="0.25">
      <c r="A7" s="4" t="s">
        <v>515</v>
      </c>
      <c r="B7" s="4">
        <v>4</v>
      </c>
      <c r="C7" s="4">
        <v>0</v>
      </c>
      <c r="D7" s="66">
        <f>C7/SUM($C$3:$C$7)</f>
        <v>0</v>
      </c>
    </row>
    <row r="8" spans="1:4" x14ac:dyDescent="0.25">
      <c r="A8" s="4" t="s">
        <v>516</v>
      </c>
      <c r="B8" s="4">
        <f>367-91</f>
        <v>276</v>
      </c>
      <c r="C8" s="4">
        <f>217-50</f>
        <v>167</v>
      </c>
      <c r="D8" s="4"/>
    </row>
    <row r="10" spans="1:4" ht="30" x14ac:dyDescent="0.25">
      <c r="A10" s="41" t="s">
        <v>517</v>
      </c>
      <c r="B10" s="67">
        <f>SUM(B4:B7)/SUM(B3:B7)</f>
        <v>0.38461538461538464</v>
      </c>
    </row>
    <row r="11" spans="1:4" ht="30" x14ac:dyDescent="0.25">
      <c r="A11" s="41" t="s">
        <v>518</v>
      </c>
      <c r="B11" s="67">
        <f>SUM(B3,B5)/SUM(B3:B7)</f>
        <v>0.62637362637362637</v>
      </c>
    </row>
    <row r="12" spans="1:4" ht="30" x14ac:dyDescent="0.25">
      <c r="A12" s="41" t="s">
        <v>519</v>
      </c>
      <c r="B12" s="67">
        <f>1-(B5+B7)/SUM(B3:B7)</f>
        <v>0.94505494505494503</v>
      </c>
    </row>
    <row r="13" spans="1:4" ht="45" x14ac:dyDescent="0.25">
      <c r="A13" s="41" t="s">
        <v>520</v>
      </c>
      <c r="B13" s="67">
        <f>1-(B6+B7+B4+B3)/SUM(B3:B7)</f>
        <v>1.098901098901095E-2</v>
      </c>
    </row>
    <row r="14" spans="1:4" x14ac:dyDescent="0.25">
      <c r="A14" s="41" t="s">
        <v>521</v>
      </c>
      <c r="B14" s="67">
        <f>D3*B10+D4*B11+D6*B13</f>
        <v>0.37470372764490412</v>
      </c>
    </row>
    <row r="16" spans="1:4" x14ac:dyDescent="0.25">
      <c r="A16" s="68" t="s">
        <v>522</v>
      </c>
      <c r="B16" s="43" t="s">
        <v>523</v>
      </c>
      <c r="C16" s="43" t="s">
        <v>524</v>
      </c>
      <c r="D16" s="43" t="s">
        <v>525</v>
      </c>
    </row>
    <row r="17" spans="1:4" ht="68.25" x14ac:dyDescent="0.25">
      <c r="A17" s="4" t="s">
        <v>526</v>
      </c>
      <c r="B17" s="69">
        <f>1-C17</f>
        <v>0.82699999999999996</v>
      </c>
      <c r="C17" s="69">
        <v>0.17299999999999999</v>
      </c>
      <c r="D17" s="70" t="s">
        <v>527</v>
      </c>
    </row>
    <row r="18" spans="1:4" ht="45.75" x14ac:dyDescent="0.25">
      <c r="A18" s="4" t="s">
        <v>528</v>
      </c>
      <c r="B18" s="71">
        <f>50/217</f>
        <v>0.2304147465437788</v>
      </c>
      <c r="C18" s="72">
        <f>B18</f>
        <v>0.2304147465437788</v>
      </c>
      <c r="D18" s="70" t="s">
        <v>529</v>
      </c>
    </row>
    <row r="19" spans="1:4" ht="57" x14ac:dyDescent="0.25">
      <c r="A19" s="4" t="s">
        <v>530</v>
      </c>
      <c r="B19" s="73">
        <v>0.216</v>
      </c>
      <c r="C19" s="74">
        <f>B19</f>
        <v>0.216</v>
      </c>
      <c r="D19" s="70" t="s">
        <v>531</v>
      </c>
    </row>
    <row r="20" spans="1:4" ht="68.25" x14ac:dyDescent="0.25">
      <c r="A20" s="4" t="s">
        <v>532</v>
      </c>
      <c r="B20" s="67">
        <f>B19*B14</f>
        <v>8.0936005171299286E-2</v>
      </c>
      <c r="C20" s="75">
        <f>B20</f>
        <v>8.0936005171299286E-2</v>
      </c>
      <c r="D20" s="70" t="s">
        <v>533</v>
      </c>
    </row>
    <row r="21" spans="1:4" x14ac:dyDescent="0.25">
      <c r="A21" s="4" t="s">
        <v>534</v>
      </c>
      <c r="B21" s="76">
        <f>(B18*B20+(1-B18)*B19)</f>
        <v>0.18487926386435466</v>
      </c>
      <c r="C21" s="76">
        <f>(C18*C20+(1-C18)*C19)</f>
        <v>0.18487926386435466</v>
      </c>
    </row>
    <row r="22" spans="1:4" x14ac:dyDescent="0.25">
      <c r="A22" s="4" t="s">
        <v>535</v>
      </c>
      <c r="B22" s="166">
        <f>B21*B17+C21*C17</f>
        <v>0.18487926386435463</v>
      </c>
      <c r="C22" s="167"/>
    </row>
    <row r="23" spans="1:4" x14ac:dyDescent="0.25">
      <c r="A23" s="4" t="s">
        <v>536</v>
      </c>
      <c r="B23" s="77">
        <f>0.098/0.216*B22</f>
        <v>8.3880406753272005E-2</v>
      </c>
      <c r="C23" s="77">
        <f>0.382/0.216*B22</f>
        <v>0.32696240183418274</v>
      </c>
    </row>
    <row r="24" spans="1:4" x14ac:dyDescent="0.25">
      <c r="B24">
        <f>0.098/0.216</f>
        <v>0.45370370370370372</v>
      </c>
      <c r="C24">
        <f>0.382/0.216</f>
        <v>1.7685185185185186</v>
      </c>
    </row>
  </sheetData>
  <mergeCells count="2">
    <mergeCell ref="A1:D1"/>
    <mergeCell ref="B22:C22"/>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08E6B-980F-413C-8058-F2CE8FF87F2D}">
  <dimension ref="A1:BN31"/>
  <sheetViews>
    <sheetView workbookViewId="0">
      <selection activeCell="B46" sqref="B46"/>
    </sheetView>
  </sheetViews>
  <sheetFormatPr defaultColWidth="8.7109375" defaultRowHeight="11.25" x14ac:dyDescent="0.2"/>
  <cols>
    <col min="1" max="1" width="60.7109375" style="78" bestFit="1" customWidth="1"/>
    <col min="2" max="2" width="53.7109375" style="78" customWidth="1"/>
    <col min="3" max="15" width="5.5703125" style="78" customWidth="1"/>
    <col min="16" max="16" width="7.28515625" style="78" bestFit="1" customWidth="1"/>
    <col min="17" max="22" width="5.5703125" style="78" customWidth="1"/>
    <col min="23" max="16384" width="8.7109375" style="78"/>
  </cols>
  <sheetData>
    <row r="1" spans="1:66" ht="15.75" x14ac:dyDescent="0.25">
      <c r="A1" s="93" t="s">
        <v>621</v>
      </c>
      <c r="B1" s="94">
        <f>P31</f>
        <v>17534.928</v>
      </c>
    </row>
    <row r="2" spans="1:66" ht="15.75" x14ac:dyDescent="0.25">
      <c r="A2" s="93" t="s">
        <v>618</v>
      </c>
      <c r="B2" s="94">
        <f>AO31+X31+L31</f>
        <v>31072.945</v>
      </c>
    </row>
    <row r="3" spans="1:66" ht="15.75" x14ac:dyDescent="0.25">
      <c r="A3" s="93" t="s">
        <v>619</v>
      </c>
      <c r="B3" s="96">
        <f>B1/B2</f>
        <v>0.56431496917978008</v>
      </c>
    </row>
    <row r="4" spans="1:66" ht="15.75" x14ac:dyDescent="0.25">
      <c r="A4" s="93" t="s">
        <v>620</v>
      </c>
      <c r="B4" s="95">
        <v>0.95</v>
      </c>
      <c r="C4" s="78" t="s">
        <v>623</v>
      </c>
      <c r="D4" s="78" t="s">
        <v>624</v>
      </c>
    </row>
    <row r="5" spans="1:66" ht="15.75" x14ac:dyDescent="0.25">
      <c r="A5" s="93" t="s">
        <v>538</v>
      </c>
      <c r="B5" s="93">
        <f>B4*B3</f>
        <v>0.53609922072079108</v>
      </c>
    </row>
    <row r="6" spans="1:66" ht="15.75" x14ac:dyDescent="0.25">
      <c r="A6" s="93" t="s">
        <v>622</v>
      </c>
      <c r="B6" s="93">
        <f>1-B5</f>
        <v>0.46390077927920892</v>
      </c>
    </row>
    <row r="14" spans="1:66" ht="12" x14ac:dyDescent="0.2">
      <c r="B14" s="172"/>
      <c r="C14" s="172"/>
      <c r="D14" s="172"/>
      <c r="E14" s="172"/>
      <c r="F14" s="172"/>
      <c r="G14" s="172"/>
      <c r="H14" s="172"/>
      <c r="I14" s="172"/>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79"/>
      <c r="AQ14" s="79"/>
      <c r="AR14" s="79"/>
      <c r="AS14" s="79"/>
      <c r="AT14" s="79"/>
      <c r="AU14" s="79"/>
      <c r="AV14" s="79"/>
      <c r="AW14" s="79"/>
      <c r="AX14" s="79"/>
      <c r="AY14" s="79"/>
      <c r="AZ14" s="79"/>
      <c r="BA14" s="79"/>
      <c r="BB14" s="79"/>
      <c r="BC14" s="79"/>
      <c r="BD14" s="79"/>
      <c r="BE14" s="79"/>
      <c r="BF14" s="79"/>
      <c r="BG14" s="79"/>
      <c r="BH14" s="79"/>
      <c r="BI14" s="79"/>
      <c r="BJ14" s="79"/>
      <c r="BK14" s="79"/>
      <c r="BL14" s="79"/>
      <c r="BM14" s="79"/>
      <c r="BN14" s="79"/>
    </row>
    <row r="15" spans="1:66" ht="12" x14ac:dyDescent="0.2">
      <c r="B15" s="172"/>
      <c r="C15" s="172"/>
      <c r="D15" s="172"/>
      <c r="E15" s="172"/>
      <c r="F15" s="172"/>
      <c r="G15" s="172"/>
      <c r="H15" s="172"/>
      <c r="I15" s="172"/>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79"/>
      <c r="AQ15" s="79"/>
      <c r="AR15" s="79"/>
      <c r="AS15" s="79"/>
      <c r="AT15" s="79"/>
      <c r="AU15" s="79"/>
      <c r="AV15" s="79"/>
      <c r="AW15" s="79"/>
      <c r="AX15" s="79"/>
      <c r="AY15" s="79"/>
      <c r="AZ15" s="79"/>
      <c r="BA15" s="79"/>
      <c r="BB15" s="79"/>
      <c r="BC15" s="79"/>
      <c r="BD15" s="79"/>
      <c r="BE15" s="79"/>
      <c r="BF15" s="79"/>
      <c r="BG15" s="79"/>
      <c r="BH15" s="79"/>
      <c r="BI15" s="79"/>
      <c r="BJ15" s="79"/>
      <c r="BK15" s="79"/>
      <c r="BL15" s="79"/>
      <c r="BM15" s="79"/>
      <c r="BN15" s="79"/>
    </row>
    <row r="16" spans="1:66" ht="12" x14ac:dyDescent="0.2">
      <c r="B16" s="172"/>
      <c r="C16" s="172"/>
      <c r="D16" s="172"/>
      <c r="E16" s="172"/>
      <c r="F16" s="172"/>
      <c r="G16" s="172"/>
      <c r="H16" s="172"/>
      <c r="I16" s="172"/>
      <c r="J16" s="79"/>
      <c r="K16" s="79"/>
      <c r="L16" s="79"/>
      <c r="M16" s="79"/>
      <c r="N16" s="79"/>
      <c r="O16" s="79"/>
      <c r="P16" s="79"/>
      <c r="Q16" s="79"/>
      <c r="R16" s="79"/>
      <c r="S16" s="79"/>
      <c r="T16" s="79"/>
      <c r="U16" s="79"/>
      <c r="V16" s="79"/>
      <c r="W16" s="79"/>
      <c r="X16" s="79"/>
      <c r="Y16" s="79"/>
      <c r="Z16" s="79"/>
      <c r="AA16" s="79"/>
      <c r="AB16" s="79"/>
      <c r="AC16" s="79"/>
      <c r="AD16" s="79"/>
      <c r="AE16" s="79"/>
      <c r="AF16" s="79"/>
      <c r="AG16" s="79"/>
      <c r="AH16" s="79"/>
      <c r="AI16" s="79"/>
      <c r="AJ16" s="79"/>
      <c r="AK16" s="79"/>
      <c r="AL16" s="79"/>
      <c r="AM16" s="79"/>
      <c r="AN16" s="79"/>
      <c r="AO16" s="79"/>
      <c r="AP16" s="79"/>
      <c r="AQ16" s="79"/>
      <c r="AR16" s="79"/>
      <c r="AS16" s="79"/>
      <c r="AT16" s="79"/>
      <c r="AU16" s="79"/>
      <c r="AV16" s="79"/>
      <c r="AW16" s="79"/>
      <c r="AX16" s="79"/>
      <c r="AY16" s="79"/>
      <c r="AZ16" s="79"/>
      <c r="BA16" s="79"/>
      <c r="BB16" s="79"/>
      <c r="BC16" s="79"/>
      <c r="BD16" s="79"/>
      <c r="BE16" s="79"/>
      <c r="BF16" s="79"/>
      <c r="BG16" s="79"/>
      <c r="BH16" s="79"/>
      <c r="BI16" s="79"/>
      <c r="BJ16" s="79"/>
      <c r="BK16" s="79"/>
      <c r="BL16" s="79"/>
      <c r="BM16" s="79"/>
      <c r="BN16" s="79"/>
    </row>
    <row r="17" spans="2:66" ht="12" x14ac:dyDescent="0.2">
      <c r="B17" s="172"/>
      <c r="C17" s="172"/>
      <c r="D17" s="172"/>
      <c r="E17" s="172"/>
      <c r="F17" s="172"/>
      <c r="G17" s="172"/>
      <c r="H17" s="172"/>
      <c r="I17" s="172"/>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79"/>
      <c r="AR17" s="79"/>
      <c r="AS17" s="79"/>
      <c r="AT17" s="79"/>
      <c r="AU17" s="79"/>
      <c r="AV17" s="79"/>
      <c r="AW17" s="79"/>
      <c r="AX17" s="79"/>
      <c r="AY17" s="79"/>
      <c r="AZ17" s="79"/>
      <c r="BA17" s="79"/>
      <c r="BB17" s="79"/>
      <c r="BC17" s="79"/>
      <c r="BD17" s="79"/>
      <c r="BE17" s="79"/>
      <c r="BF17" s="79"/>
      <c r="BG17" s="79"/>
      <c r="BH17" s="79"/>
      <c r="BI17" s="79"/>
      <c r="BJ17" s="79"/>
      <c r="BK17" s="79"/>
      <c r="BL17" s="79"/>
      <c r="BM17" s="79"/>
      <c r="BN17" s="79"/>
    </row>
    <row r="18" spans="2:66" ht="15.75" x14ac:dyDescent="0.25">
      <c r="B18" s="176" t="s">
        <v>541</v>
      </c>
      <c r="C18" s="176"/>
      <c r="D18" s="176"/>
      <c r="E18" s="176"/>
      <c r="F18" s="176"/>
      <c r="G18" s="176"/>
      <c r="H18" s="176"/>
      <c r="I18" s="176"/>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row>
    <row r="19" spans="2:66" ht="12.75" x14ac:dyDescent="0.2">
      <c r="B19" s="171" t="s">
        <v>542</v>
      </c>
      <c r="C19" s="171"/>
      <c r="D19" s="171"/>
      <c r="E19" s="171"/>
      <c r="F19" s="171"/>
      <c r="G19" s="171"/>
      <c r="H19" s="171"/>
      <c r="I19" s="171"/>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79"/>
      <c r="AQ19" s="79"/>
      <c r="AR19" s="79"/>
      <c r="AS19" s="79"/>
      <c r="AT19" s="79"/>
      <c r="AU19" s="79"/>
      <c r="AV19" s="79"/>
      <c r="AW19" s="79"/>
      <c r="AX19" s="79"/>
      <c r="AY19" s="79"/>
      <c r="AZ19" s="79"/>
      <c r="BA19" s="79"/>
      <c r="BB19" s="79"/>
      <c r="BC19" s="79"/>
      <c r="BD19" s="79"/>
      <c r="BE19" s="79"/>
      <c r="BF19" s="79"/>
      <c r="BG19" s="79"/>
      <c r="BH19" s="79"/>
      <c r="BI19" s="79"/>
      <c r="BJ19" s="79"/>
      <c r="BK19" s="79"/>
      <c r="BL19" s="79"/>
      <c r="BM19" s="79"/>
      <c r="BN19" s="79"/>
    </row>
    <row r="20" spans="2:66" ht="12.75" x14ac:dyDescent="0.2">
      <c r="B20" s="171" t="s">
        <v>543</v>
      </c>
      <c r="C20" s="171"/>
      <c r="D20" s="171"/>
      <c r="E20" s="171"/>
      <c r="F20" s="171"/>
      <c r="G20" s="171"/>
      <c r="H20" s="171"/>
      <c r="I20" s="171"/>
      <c r="J20" s="79"/>
      <c r="K20" s="79"/>
      <c r="L20" s="79"/>
      <c r="M20" s="79"/>
      <c r="N20" s="79"/>
      <c r="O20" s="79"/>
      <c r="P20" s="79"/>
      <c r="Q20" s="79"/>
      <c r="R20" s="79"/>
      <c r="S20" s="79"/>
      <c r="T20" s="79"/>
      <c r="U20" s="79"/>
      <c r="V20" s="79"/>
      <c r="W20" s="79"/>
      <c r="X20" s="79"/>
      <c r="Y20" s="79"/>
      <c r="Z20" s="79"/>
      <c r="AA20" s="79"/>
      <c r="AB20" s="79"/>
      <c r="AC20" s="79"/>
      <c r="AD20" s="79"/>
      <c r="AE20" s="79"/>
      <c r="AF20" s="79"/>
      <c r="AG20" s="79"/>
      <c r="AH20" s="79"/>
      <c r="AI20" s="79"/>
      <c r="AJ20" s="79"/>
      <c r="AK20" s="79"/>
      <c r="AL20" s="79"/>
      <c r="AM20" s="79"/>
      <c r="AN20" s="79"/>
      <c r="AO20" s="79"/>
      <c r="AP20" s="79"/>
      <c r="AQ20" s="79"/>
      <c r="AR20" s="79"/>
      <c r="AS20" s="79"/>
      <c r="AT20" s="79"/>
      <c r="AU20" s="79"/>
      <c r="AV20" s="79"/>
      <c r="AW20" s="79"/>
      <c r="AX20" s="79"/>
      <c r="AY20" s="79"/>
      <c r="AZ20" s="79"/>
      <c r="BA20" s="79"/>
      <c r="BB20" s="79"/>
      <c r="BC20" s="79"/>
      <c r="BD20" s="79"/>
      <c r="BE20" s="79"/>
      <c r="BF20" s="79"/>
      <c r="BG20" s="79"/>
      <c r="BH20" s="79"/>
      <c r="BI20" s="79"/>
      <c r="BJ20" s="79"/>
      <c r="BK20" s="79"/>
      <c r="BL20" s="79"/>
      <c r="BM20" s="79"/>
      <c r="BN20" s="79"/>
    </row>
    <row r="21" spans="2:66" ht="12" x14ac:dyDescent="0.2">
      <c r="B21" s="172"/>
      <c r="C21" s="172"/>
      <c r="D21" s="172"/>
      <c r="E21" s="172"/>
      <c r="F21" s="172"/>
      <c r="G21" s="172"/>
      <c r="H21" s="172"/>
      <c r="I21" s="172"/>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79"/>
      <c r="AQ21" s="79"/>
      <c r="AR21" s="79"/>
      <c r="AS21" s="79"/>
      <c r="AT21" s="79"/>
      <c r="AU21" s="79"/>
      <c r="AV21" s="79"/>
      <c r="AW21" s="79"/>
      <c r="AX21" s="79"/>
      <c r="AY21" s="79"/>
      <c r="AZ21" s="79"/>
      <c r="BA21" s="79"/>
      <c r="BB21" s="79"/>
      <c r="BC21" s="79"/>
      <c r="BD21" s="79"/>
      <c r="BE21" s="79"/>
      <c r="BF21" s="79"/>
      <c r="BG21" s="79"/>
      <c r="BH21" s="79"/>
      <c r="BI21" s="79"/>
      <c r="BJ21" s="79"/>
      <c r="BK21" s="79"/>
      <c r="BL21" s="79"/>
      <c r="BM21" s="79"/>
      <c r="BN21" s="79"/>
    </row>
    <row r="22" spans="2:66" ht="12.75" x14ac:dyDescent="0.2">
      <c r="B22" s="173" t="s">
        <v>544</v>
      </c>
      <c r="C22" s="173"/>
      <c r="D22" s="173"/>
      <c r="E22" s="173"/>
      <c r="F22" s="173"/>
      <c r="G22" s="173"/>
      <c r="H22" s="173"/>
      <c r="I22" s="173"/>
      <c r="J22" s="79"/>
      <c r="K22" s="79"/>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79"/>
      <c r="AQ22" s="79"/>
      <c r="AR22" s="79"/>
      <c r="AS22" s="79"/>
      <c r="AT22" s="79"/>
      <c r="AU22" s="79"/>
      <c r="AV22" s="79"/>
      <c r="AW22" s="79"/>
      <c r="AX22" s="79"/>
      <c r="AY22" s="79"/>
      <c r="AZ22" s="79"/>
      <c r="BA22" s="79"/>
      <c r="BB22" s="79"/>
      <c r="BC22" s="79"/>
      <c r="BD22" s="79"/>
      <c r="BE22" s="79"/>
      <c r="BF22" s="79"/>
      <c r="BG22" s="79"/>
      <c r="BH22" s="79"/>
      <c r="BI22" s="79"/>
      <c r="BJ22" s="79"/>
      <c r="BK22" s="79"/>
      <c r="BL22" s="79"/>
      <c r="BM22" s="79"/>
      <c r="BN22" s="79"/>
    </row>
    <row r="23" spans="2:66" ht="12.75" x14ac:dyDescent="0.2">
      <c r="B23" s="171" t="s">
        <v>545</v>
      </c>
      <c r="C23" s="171"/>
      <c r="D23" s="171"/>
      <c r="E23" s="171"/>
      <c r="F23" s="171"/>
      <c r="G23" s="171"/>
      <c r="H23" s="171"/>
      <c r="I23" s="171"/>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c r="AP23" s="79"/>
      <c r="AQ23" s="79"/>
      <c r="AR23" s="79"/>
      <c r="AS23" s="79"/>
      <c r="AT23" s="79"/>
      <c r="AU23" s="79"/>
      <c r="AV23" s="79"/>
      <c r="AW23" s="79"/>
      <c r="AX23" s="79"/>
      <c r="AY23" s="79"/>
      <c r="AZ23" s="79"/>
      <c r="BA23" s="79"/>
      <c r="BB23" s="79"/>
      <c r="BC23" s="79"/>
      <c r="BD23" s="79"/>
      <c r="BE23" s="79"/>
      <c r="BF23" s="79"/>
      <c r="BG23" s="79"/>
      <c r="BH23" s="79"/>
      <c r="BI23" s="79"/>
      <c r="BJ23" s="79"/>
      <c r="BK23" s="79"/>
      <c r="BL23" s="79"/>
      <c r="BM23" s="79"/>
      <c r="BN23" s="79"/>
    </row>
    <row r="24" spans="2:66" ht="12" x14ac:dyDescent="0.2">
      <c r="B24" s="174" t="s">
        <v>546</v>
      </c>
      <c r="C24" s="174"/>
      <c r="D24" s="174"/>
      <c r="E24" s="174"/>
      <c r="F24" s="174"/>
      <c r="G24" s="174"/>
      <c r="H24" s="174"/>
      <c r="I24" s="174"/>
      <c r="J24" s="79"/>
      <c r="K24" s="79"/>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9"/>
      <c r="AQ24" s="79"/>
      <c r="AR24" s="79"/>
      <c r="AS24" s="79"/>
      <c r="AT24" s="79"/>
      <c r="AU24" s="79"/>
      <c r="AV24" s="79"/>
      <c r="AW24" s="79"/>
      <c r="AX24" s="79"/>
      <c r="AY24" s="79"/>
      <c r="AZ24" s="79"/>
      <c r="BA24" s="79"/>
      <c r="BB24" s="79"/>
      <c r="BC24" s="79"/>
      <c r="BD24" s="79"/>
      <c r="BE24" s="79"/>
      <c r="BF24" s="79"/>
      <c r="BG24" s="79"/>
      <c r="BH24" s="79"/>
      <c r="BI24" s="79"/>
      <c r="BJ24" s="79"/>
      <c r="BK24" s="79"/>
      <c r="BL24" s="79"/>
      <c r="BM24" s="79"/>
      <c r="BN24" s="79"/>
    </row>
    <row r="25" spans="2:66" ht="12" x14ac:dyDescent="0.2">
      <c r="B25" s="175" t="s">
        <v>547</v>
      </c>
      <c r="C25" s="175"/>
      <c r="D25" s="175"/>
      <c r="E25" s="175"/>
      <c r="F25" s="175"/>
      <c r="G25" s="175"/>
      <c r="H25" s="175"/>
      <c r="I25" s="175"/>
      <c r="J25" s="79"/>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c r="AP25" s="79"/>
      <c r="AQ25" s="79"/>
      <c r="AR25" s="79"/>
      <c r="AS25" s="79"/>
      <c r="AT25" s="79"/>
      <c r="AU25" s="79"/>
      <c r="AV25" s="79"/>
      <c r="AW25" s="79"/>
      <c r="AX25" s="79"/>
      <c r="AY25" s="79"/>
      <c r="AZ25" s="79"/>
      <c r="BA25" s="79"/>
      <c r="BB25" s="79"/>
      <c r="BC25" s="79"/>
      <c r="BD25" s="79"/>
      <c r="BE25" s="79"/>
      <c r="BF25" s="79"/>
      <c r="BG25" s="79"/>
      <c r="BH25" s="79"/>
      <c r="BI25" s="79"/>
      <c r="BJ25" s="79"/>
      <c r="BK25" s="79"/>
      <c r="BL25" s="79"/>
      <c r="BM25" s="79"/>
      <c r="BN25" s="79"/>
    </row>
    <row r="26" spans="2:66" ht="12" x14ac:dyDescent="0.2">
      <c r="B26" s="168" t="s">
        <v>548</v>
      </c>
      <c r="C26" s="168"/>
      <c r="D26" s="168"/>
      <c r="E26" s="168"/>
      <c r="F26" s="168"/>
      <c r="G26" s="168"/>
      <c r="H26" s="168"/>
      <c r="I26" s="168"/>
      <c r="J26" s="79"/>
      <c r="K26" s="79"/>
      <c r="L26" s="79"/>
      <c r="M26" s="79"/>
      <c r="N26" s="79"/>
      <c r="O26" s="79"/>
      <c r="P26" s="79"/>
      <c r="Q26" s="79"/>
      <c r="R26" s="79"/>
      <c r="S26" s="79"/>
      <c r="T26" s="79"/>
      <c r="U26" s="79"/>
      <c r="V26" s="79"/>
      <c r="W26" s="79"/>
      <c r="X26" s="79"/>
      <c r="Y26" s="79"/>
      <c r="Z26" s="79"/>
      <c r="AA26" s="79"/>
      <c r="AB26" s="79"/>
      <c r="AC26" s="79"/>
      <c r="AD26" s="79"/>
      <c r="AE26" s="79"/>
      <c r="AF26" s="79"/>
      <c r="AG26" s="79"/>
      <c r="AH26" s="79"/>
      <c r="AI26" s="79"/>
      <c r="AJ26" s="79"/>
      <c r="AK26" s="79"/>
      <c r="AL26" s="79"/>
      <c r="AM26" s="79"/>
      <c r="AN26" s="79"/>
      <c r="AO26" s="79"/>
      <c r="AP26" s="79"/>
      <c r="AQ26" s="79"/>
      <c r="AR26" s="79"/>
      <c r="AS26" s="79"/>
      <c r="AT26" s="79"/>
      <c r="AU26" s="79"/>
      <c r="AV26" s="79"/>
      <c r="AW26" s="79"/>
      <c r="AX26" s="79"/>
      <c r="AY26" s="79"/>
      <c r="AZ26" s="79"/>
      <c r="BA26" s="79"/>
      <c r="BB26" s="79"/>
      <c r="BC26" s="79"/>
      <c r="BD26" s="79"/>
      <c r="BE26" s="79"/>
      <c r="BF26" s="79"/>
      <c r="BG26" s="79"/>
      <c r="BH26" s="79"/>
      <c r="BI26" s="79"/>
      <c r="BJ26" s="79"/>
      <c r="BK26" s="79"/>
      <c r="BL26" s="79"/>
      <c r="BM26" s="79"/>
      <c r="BN26" s="79"/>
    </row>
    <row r="27" spans="2:66" ht="12" x14ac:dyDescent="0.2">
      <c r="B27" s="169" t="s">
        <v>549</v>
      </c>
      <c r="C27" s="169"/>
      <c r="D27" s="169"/>
      <c r="E27" s="169"/>
      <c r="F27" s="169"/>
      <c r="G27" s="169"/>
      <c r="H27" s="169"/>
      <c r="I27" s="169"/>
      <c r="J27" s="79"/>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c r="AP27" s="79"/>
      <c r="AQ27" s="79"/>
      <c r="AR27" s="79"/>
      <c r="AS27" s="79"/>
      <c r="AT27" s="79"/>
      <c r="AU27" s="79"/>
      <c r="AV27" s="79"/>
      <c r="AW27" s="79"/>
      <c r="AX27" s="79"/>
      <c r="AY27" s="79"/>
      <c r="AZ27" s="79"/>
      <c r="BA27" s="79"/>
      <c r="BB27" s="79"/>
      <c r="BC27" s="79"/>
      <c r="BD27" s="79"/>
      <c r="BE27" s="79"/>
      <c r="BF27" s="79"/>
      <c r="BG27" s="79"/>
      <c r="BH27" s="79"/>
      <c r="BI27" s="79"/>
      <c r="BJ27" s="79"/>
      <c r="BK27" s="79"/>
      <c r="BL27" s="79"/>
      <c r="BM27" s="79"/>
      <c r="BN27" s="79"/>
    </row>
    <row r="28" spans="2:66" ht="12" x14ac:dyDescent="0.2">
      <c r="B28" s="170"/>
      <c r="C28" s="170"/>
      <c r="D28" s="170"/>
      <c r="E28" s="170"/>
      <c r="F28" s="170"/>
      <c r="G28" s="170"/>
      <c r="H28" s="170"/>
      <c r="I28" s="170"/>
      <c r="J28" s="79"/>
      <c r="K28" s="79"/>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79"/>
      <c r="AQ28" s="79"/>
      <c r="AR28" s="79"/>
      <c r="AS28" s="79"/>
      <c r="AT28" s="79"/>
      <c r="AU28" s="79"/>
      <c r="AV28" s="79"/>
      <c r="AW28" s="79"/>
      <c r="AX28" s="79"/>
      <c r="AY28" s="79"/>
      <c r="AZ28" s="79"/>
      <c r="BA28" s="79"/>
      <c r="BB28" s="79"/>
      <c r="BC28" s="79"/>
      <c r="BD28" s="79"/>
      <c r="BE28" s="79"/>
      <c r="BF28" s="79"/>
      <c r="BG28" s="79"/>
      <c r="BH28" s="79"/>
      <c r="BI28" s="79"/>
      <c r="BJ28" s="79"/>
      <c r="BK28" s="79"/>
      <c r="BL28" s="79"/>
      <c r="BM28" s="79"/>
      <c r="BN28" s="79"/>
    </row>
    <row r="29" spans="2:66" ht="12" x14ac:dyDescent="0.2">
      <c r="B29" s="80"/>
      <c r="C29" s="80"/>
      <c r="D29" s="80"/>
      <c r="E29" s="80"/>
      <c r="F29" s="80"/>
      <c r="G29" s="80"/>
      <c r="H29" s="80"/>
      <c r="I29" s="80"/>
      <c r="J29" s="81" t="s">
        <v>550</v>
      </c>
      <c r="K29" s="82"/>
      <c r="L29" s="82"/>
      <c r="M29" s="82"/>
      <c r="N29" s="82"/>
      <c r="O29" s="82"/>
      <c r="P29" s="82"/>
      <c r="Q29" s="82"/>
      <c r="R29" s="82"/>
      <c r="S29" s="82"/>
      <c r="T29" s="82"/>
      <c r="U29" s="82"/>
      <c r="V29" s="82"/>
      <c r="W29" s="82"/>
      <c r="X29" s="82"/>
      <c r="Y29" s="82"/>
      <c r="Z29" s="82"/>
      <c r="AA29" s="82"/>
      <c r="AB29" s="82"/>
      <c r="AC29" s="82"/>
      <c r="AD29" s="82"/>
      <c r="AE29" s="82"/>
      <c r="AF29" s="82"/>
      <c r="AG29" s="82"/>
      <c r="AH29" s="82"/>
      <c r="AI29" s="82"/>
      <c r="AJ29" s="82"/>
      <c r="AK29" s="82"/>
      <c r="AL29" s="82"/>
      <c r="AM29" s="82"/>
      <c r="AN29" s="82"/>
      <c r="AO29" s="82"/>
      <c r="AP29" s="82"/>
      <c r="AQ29" s="82"/>
      <c r="AR29" s="82"/>
      <c r="AS29" s="82"/>
      <c r="AT29" s="82"/>
      <c r="AU29" s="82"/>
      <c r="AV29" s="82"/>
      <c r="AW29" s="82"/>
      <c r="AX29" s="82"/>
      <c r="AY29" s="82"/>
      <c r="AZ29" s="82"/>
      <c r="BA29" s="82"/>
      <c r="BB29" s="82"/>
      <c r="BC29" s="82"/>
      <c r="BD29" s="82"/>
      <c r="BE29" s="82"/>
      <c r="BF29" s="82"/>
      <c r="BG29" s="82"/>
      <c r="BH29" s="82"/>
      <c r="BI29" s="82"/>
      <c r="BJ29" s="82"/>
      <c r="BK29" s="82"/>
      <c r="BL29" s="82"/>
      <c r="BM29" s="82"/>
      <c r="BN29" s="83"/>
    </row>
    <row r="30" spans="2:66" ht="72" x14ac:dyDescent="0.2">
      <c r="B30" s="84" t="s">
        <v>551</v>
      </c>
      <c r="C30" s="84" t="s">
        <v>552</v>
      </c>
      <c r="D30" s="85" t="s">
        <v>553</v>
      </c>
      <c r="E30" s="85" t="s">
        <v>554</v>
      </c>
      <c r="F30" s="86" t="s">
        <v>555</v>
      </c>
      <c r="G30" s="85" t="s">
        <v>556</v>
      </c>
      <c r="H30" s="86" t="s">
        <v>557</v>
      </c>
      <c r="I30" s="86" t="s">
        <v>558</v>
      </c>
      <c r="J30" s="87" t="s">
        <v>559</v>
      </c>
      <c r="K30" s="87" t="s">
        <v>560</v>
      </c>
      <c r="L30" s="87" t="s">
        <v>537</v>
      </c>
      <c r="M30" s="87" t="s">
        <v>561</v>
      </c>
      <c r="N30" s="87" t="s">
        <v>562</v>
      </c>
      <c r="O30" s="87" t="s">
        <v>563</v>
      </c>
      <c r="P30" s="87" t="s">
        <v>564</v>
      </c>
      <c r="Q30" s="87" t="s">
        <v>565</v>
      </c>
      <c r="R30" s="87" t="s">
        <v>566</v>
      </c>
      <c r="S30" s="87" t="s">
        <v>567</v>
      </c>
      <c r="T30" s="87" t="s">
        <v>568</v>
      </c>
      <c r="U30" s="87" t="s">
        <v>569</v>
      </c>
      <c r="V30" s="87" t="s">
        <v>570</v>
      </c>
      <c r="W30" s="87" t="s">
        <v>571</v>
      </c>
      <c r="X30" s="87" t="s">
        <v>572</v>
      </c>
      <c r="Y30" s="87" t="s">
        <v>573</v>
      </c>
      <c r="Z30" s="87" t="s">
        <v>574</v>
      </c>
      <c r="AA30" s="87" t="s">
        <v>575</v>
      </c>
      <c r="AB30" s="87" t="s">
        <v>576</v>
      </c>
      <c r="AC30" s="87" t="s">
        <v>577</v>
      </c>
      <c r="AD30" s="87" t="s">
        <v>578</v>
      </c>
      <c r="AE30" s="87" t="s">
        <v>579</v>
      </c>
      <c r="AF30" s="87" t="s">
        <v>580</v>
      </c>
      <c r="AG30" s="87" t="s">
        <v>581</v>
      </c>
      <c r="AH30" s="87" t="s">
        <v>582</v>
      </c>
      <c r="AI30" s="87" t="s">
        <v>583</v>
      </c>
      <c r="AJ30" s="87" t="s">
        <v>584</v>
      </c>
      <c r="AK30" s="87" t="s">
        <v>585</v>
      </c>
      <c r="AL30" s="87" t="s">
        <v>586</v>
      </c>
      <c r="AM30" s="87" t="s">
        <v>587</v>
      </c>
      <c r="AN30" s="87" t="s">
        <v>588</v>
      </c>
      <c r="AO30" s="87" t="s">
        <v>589</v>
      </c>
      <c r="AP30" s="87" t="s">
        <v>590</v>
      </c>
      <c r="AQ30" s="87" t="s">
        <v>591</v>
      </c>
      <c r="AR30" s="87" t="s">
        <v>592</v>
      </c>
      <c r="AS30" s="87" t="s">
        <v>593</v>
      </c>
      <c r="AT30" s="87" t="s">
        <v>594</v>
      </c>
      <c r="AU30" s="87" t="s">
        <v>595</v>
      </c>
      <c r="AV30" s="87" t="s">
        <v>596</v>
      </c>
      <c r="AW30" s="87" t="s">
        <v>597</v>
      </c>
      <c r="AX30" s="87" t="s">
        <v>598</v>
      </c>
      <c r="AY30" s="87" t="s">
        <v>599</v>
      </c>
      <c r="AZ30" s="87" t="s">
        <v>600</v>
      </c>
      <c r="BA30" s="87" t="s">
        <v>601</v>
      </c>
      <c r="BB30" s="87" t="s">
        <v>602</v>
      </c>
      <c r="BC30" s="87" t="s">
        <v>603</v>
      </c>
      <c r="BD30" s="87" t="s">
        <v>604</v>
      </c>
      <c r="BE30" s="87" t="s">
        <v>605</v>
      </c>
      <c r="BF30" s="87" t="s">
        <v>606</v>
      </c>
      <c r="BG30" s="87" t="s">
        <v>607</v>
      </c>
      <c r="BH30" s="87" t="s">
        <v>608</v>
      </c>
      <c r="BI30" s="87" t="s">
        <v>609</v>
      </c>
      <c r="BJ30" s="87" t="s">
        <v>610</v>
      </c>
      <c r="BK30" s="87" t="s">
        <v>611</v>
      </c>
      <c r="BL30" s="87" t="s">
        <v>612</v>
      </c>
      <c r="BM30" s="87" t="s">
        <v>613</v>
      </c>
      <c r="BN30" s="87" t="s">
        <v>614</v>
      </c>
    </row>
    <row r="31" spans="2:66" ht="60" x14ac:dyDescent="0.2">
      <c r="B31" s="88">
        <v>1035</v>
      </c>
      <c r="C31" s="89" t="s">
        <v>615</v>
      </c>
      <c r="D31" s="90" t="s">
        <v>616</v>
      </c>
      <c r="E31" s="91"/>
      <c r="F31" s="91">
        <v>288</v>
      </c>
      <c r="G31" s="89" t="s">
        <v>617</v>
      </c>
      <c r="H31" s="91">
        <v>914</v>
      </c>
      <c r="I31" s="91">
        <v>2020</v>
      </c>
      <c r="J31" s="92">
        <v>31072.945</v>
      </c>
      <c r="K31" s="92">
        <v>1685.298</v>
      </c>
      <c r="L31" s="92">
        <v>4169.4359999999997</v>
      </c>
      <c r="M31" s="92">
        <v>11537.742</v>
      </c>
      <c r="N31" s="92">
        <v>13455.152</v>
      </c>
      <c r="O31" s="92">
        <v>14674.592000000001</v>
      </c>
      <c r="P31" s="92">
        <v>17534.928</v>
      </c>
      <c r="Q31" s="92">
        <v>1647.6859999999999</v>
      </c>
      <c r="R31" s="92">
        <v>2454.7159999999999</v>
      </c>
      <c r="S31" s="92">
        <v>3248.25</v>
      </c>
      <c r="T31" s="92">
        <v>1625.9179999999999</v>
      </c>
      <c r="U31" s="92">
        <v>2419.4520000000002</v>
      </c>
      <c r="V31" s="92">
        <v>4617.47</v>
      </c>
      <c r="W31" s="92">
        <v>5328.5290000000005</v>
      </c>
      <c r="X31" s="92">
        <v>7368.3059999999996</v>
      </c>
      <c r="Y31" s="92">
        <v>3081.4050000000002</v>
      </c>
      <c r="Z31" s="92">
        <v>3810.44</v>
      </c>
      <c r="AA31" s="92">
        <v>4521.4989999999998</v>
      </c>
      <c r="AB31" s="92">
        <v>5215.72</v>
      </c>
      <c r="AC31" s="92">
        <v>3016.9059999999999</v>
      </c>
      <c r="AD31" s="92">
        <v>4422.1859999999997</v>
      </c>
      <c r="AE31" s="92">
        <v>4042.1320000000001</v>
      </c>
      <c r="AF31" s="92">
        <v>4668.2460000000001</v>
      </c>
      <c r="AG31" s="92">
        <v>5283.1319999999996</v>
      </c>
      <c r="AH31" s="92">
        <v>2039.777</v>
      </c>
      <c r="AI31" s="92">
        <v>3331.0729999999999</v>
      </c>
      <c r="AJ31" s="92">
        <v>3957.1869999999999</v>
      </c>
      <c r="AK31" s="92">
        <v>4572.0730000000003</v>
      </c>
      <c r="AL31" s="92">
        <v>3262.9659999999999</v>
      </c>
      <c r="AM31" s="92">
        <v>3877.8519999999999</v>
      </c>
      <c r="AN31" s="92">
        <v>4482.4059999999999</v>
      </c>
      <c r="AO31" s="92">
        <v>19535.203000000001</v>
      </c>
      <c r="AP31" s="92">
        <v>1917.41</v>
      </c>
      <c r="AQ31" s="92">
        <v>5997.1859999999997</v>
      </c>
      <c r="AR31" s="92">
        <v>15757.109</v>
      </c>
      <c r="AS31" s="92">
        <v>17892.088</v>
      </c>
      <c r="AT31" s="92">
        <v>18559.400000000001</v>
      </c>
      <c r="AU31" s="92">
        <v>18882.686000000002</v>
      </c>
      <c r="AV31" s="92">
        <v>18243.906999999999</v>
      </c>
      <c r="AW31" s="92">
        <v>17617.793000000001</v>
      </c>
      <c r="AX31" s="92">
        <v>3533.0590000000002</v>
      </c>
      <c r="AY31" s="92">
        <v>16398.352999999999</v>
      </c>
      <c r="AZ31" s="92">
        <v>15422.55</v>
      </c>
      <c r="BA31" s="92">
        <v>15846.305</v>
      </c>
      <c r="BB31" s="92">
        <v>15803.989</v>
      </c>
      <c r="BC31" s="92">
        <v>13538.017</v>
      </c>
      <c r="BD31" s="92">
        <v>9759.9230000000007</v>
      </c>
      <c r="BE31" s="92">
        <v>12562.214</v>
      </c>
      <c r="BF31" s="92">
        <v>12985.968999999999</v>
      </c>
      <c r="BG31" s="92">
        <v>3778.0940000000001</v>
      </c>
      <c r="BH31" s="92">
        <v>1643.115</v>
      </c>
      <c r="BI31" s="92">
        <v>975.803</v>
      </c>
      <c r="BJ31" s="92">
        <v>552.048</v>
      </c>
      <c r="BK31" s="92">
        <v>253.70400000000001</v>
      </c>
      <c r="BL31" s="92">
        <v>95.257999999999996</v>
      </c>
      <c r="BM31" s="92">
        <v>25.617000000000001</v>
      </c>
      <c r="BN31" s="92">
        <v>4.2050000000000001</v>
      </c>
    </row>
  </sheetData>
  <mergeCells count="15">
    <mergeCell ref="B19:I19"/>
    <mergeCell ref="B14:I14"/>
    <mergeCell ref="B15:I15"/>
    <mergeCell ref="B16:I16"/>
    <mergeCell ref="B17:I17"/>
    <mergeCell ref="B18:I18"/>
    <mergeCell ref="B26:I26"/>
    <mergeCell ref="B27:I27"/>
    <mergeCell ref="B28:I28"/>
    <mergeCell ref="B20:I20"/>
    <mergeCell ref="B21:I21"/>
    <mergeCell ref="B22:I22"/>
    <mergeCell ref="B23:I23"/>
    <mergeCell ref="B24:I24"/>
    <mergeCell ref="B25:I2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D2FEB-92D7-4A92-98AF-93068EC7F348}">
  <dimension ref="A1:P113"/>
  <sheetViews>
    <sheetView zoomScaleNormal="100" workbookViewId="0">
      <pane ySplit="1" topLeftCell="A98" activePane="bottomLeft" state="frozen"/>
      <selection pane="bottomLeft" activeCell="G113" sqref="G113"/>
    </sheetView>
  </sheetViews>
  <sheetFormatPr defaultRowHeight="15" x14ac:dyDescent="0.25"/>
  <cols>
    <col min="1" max="1" width="12.7109375" customWidth="1"/>
    <col min="2" max="3" width="25.5703125" customWidth="1"/>
    <col min="4" max="4" width="12.7109375" customWidth="1"/>
    <col min="5" max="6" width="40" bestFit="1" customWidth="1"/>
    <col min="7" max="7" width="14.42578125" bestFit="1" customWidth="1"/>
    <col min="8" max="14" width="12.7109375" customWidth="1"/>
    <col min="15" max="15" width="27" bestFit="1" customWidth="1"/>
  </cols>
  <sheetData>
    <row r="1" spans="1:15" x14ac:dyDescent="0.25">
      <c r="A1" s="38" t="s">
        <v>71</v>
      </c>
      <c r="B1" s="38" t="s">
        <v>257</v>
      </c>
      <c r="C1" s="38" t="s">
        <v>333</v>
      </c>
      <c r="D1" s="38" t="s">
        <v>149</v>
      </c>
      <c r="E1" s="38" t="s">
        <v>331</v>
      </c>
      <c r="F1" s="38" t="s">
        <v>332</v>
      </c>
      <c r="G1" s="38" t="s">
        <v>32</v>
      </c>
      <c r="H1" s="38" t="s">
        <v>33</v>
      </c>
      <c r="I1" s="38" t="s">
        <v>198</v>
      </c>
      <c r="J1" s="38" t="s">
        <v>26</v>
      </c>
      <c r="K1" s="38" t="s">
        <v>27</v>
      </c>
      <c r="L1" s="38" t="s">
        <v>291</v>
      </c>
      <c r="M1" s="38" t="s">
        <v>79</v>
      </c>
      <c r="N1" s="38" t="s">
        <v>80</v>
      </c>
      <c r="O1" s="38" t="s">
        <v>72</v>
      </c>
    </row>
    <row r="2" spans="1:15" x14ac:dyDescent="0.25">
      <c r="A2" s="4" t="s">
        <v>78</v>
      </c>
      <c r="B2" s="4" t="s">
        <v>259</v>
      </c>
      <c r="C2" s="4" t="str">
        <f t="shared" ref="C2:C18" si="0">A2&amp;" "&amp;LOWER(B2)</f>
        <v>HBV natural history</v>
      </c>
      <c r="D2" s="4" t="s">
        <v>150</v>
      </c>
      <c r="E2" s="4" t="s">
        <v>371</v>
      </c>
      <c r="F2" s="4" t="s">
        <v>372</v>
      </c>
      <c r="G2" s="4" t="s">
        <v>369</v>
      </c>
      <c r="H2" s="4" t="s">
        <v>374</v>
      </c>
      <c r="I2" s="4">
        <v>0.95</v>
      </c>
      <c r="J2" s="4">
        <v>0.9</v>
      </c>
      <c r="K2" s="4">
        <v>0.99</v>
      </c>
      <c r="L2" s="4" t="s">
        <v>261</v>
      </c>
      <c r="M2" s="4"/>
      <c r="N2" s="4"/>
      <c r="O2" s="23" t="s">
        <v>458</v>
      </c>
    </row>
    <row r="3" spans="1:15" x14ac:dyDescent="0.25">
      <c r="A3" s="4" t="s">
        <v>78</v>
      </c>
      <c r="B3" s="4" t="s">
        <v>259</v>
      </c>
      <c r="C3" s="4" t="str">
        <f t="shared" si="0"/>
        <v>HBV natural history</v>
      </c>
      <c r="D3" s="4" t="s">
        <v>150</v>
      </c>
      <c r="E3" s="4" t="s">
        <v>371</v>
      </c>
      <c r="F3" s="4" t="s">
        <v>328</v>
      </c>
      <c r="G3" s="4" t="s">
        <v>369</v>
      </c>
      <c r="H3" s="4" t="s">
        <v>64</v>
      </c>
      <c r="I3" s="4" t="s">
        <v>60</v>
      </c>
      <c r="J3" s="4"/>
      <c r="K3" s="4"/>
      <c r="L3" s="4"/>
      <c r="M3" s="4"/>
      <c r="N3" s="4"/>
      <c r="O3" s="23"/>
    </row>
    <row r="4" spans="1:15" x14ac:dyDescent="0.25">
      <c r="A4" s="4" t="s">
        <v>78</v>
      </c>
      <c r="B4" s="4" t="s">
        <v>259</v>
      </c>
      <c r="C4" s="4" t="str">
        <f t="shared" si="0"/>
        <v>HBV natural history</v>
      </c>
      <c r="D4" s="4" t="s">
        <v>150</v>
      </c>
      <c r="E4" s="48" t="s">
        <v>389</v>
      </c>
      <c r="F4" s="4" t="s">
        <v>386</v>
      </c>
      <c r="G4" s="4" t="s">
        <v>373</v>
      </c>
      <c r="H4" s="4" t="s">
        <v>375</v>
      </c>
      <c r="I4" s="4">
        <v>0.95</v>
      </c>
      <c r="J4" s="4">
        <v>0.9</v>
      </c>
      <c r="K4" s="4">
        <v>0.99</v>
      </c>
      <c r="L4" s="4" t="s">
        <v>261</v>
      </c>
      <c r="M4" s="4"/>
      <c r="N4" s="4"/>
      <c r="O4" s="23" t="s">
        <v>458</v>
      </c>
    </row>
    <row r="5" spans="1:15" x14ac:dyDescent="0.25">
      <c r="A5" s="4" t="s">
        <v>78</v>
      </c>
      <c r="B5" s="4" t="s">
        <v>259</v>
      </c>
      <c r="C5" s="4" t="str">
        <f t="shared" si="0"/>
        <v>HBV natural history</v>
      </c>
      <c r="D5" s="4" t="s">
        <v>150</v>
      </c>
      <c r="E5" s="48" t="s">
        <v>389</v>
      </c>
      <c r="F5" s="4" t="s">
        <v>328</v>
      </c>
      <c r="G5" s="4" t="s">
        <v>373</v>
      </c>
      <c r="H5" s="4" t="s">
        <v>64</v>
      </c>
      <c r="I5" s="4" t="s">
        <v>60</v>
      </c>
      <c r="J5" s="4"/>
      <c r="K5" s="4"/>
      <c r="L5" s="4"/>
      <c r="M5" s="4"/>
      <c r="N5" s="4"/>
      <c r="O5" s="23"/>
    </row>
    <row r="6" spans="1:15" x14ac:dyDescent="0.25">
      <c r="A6" s="23" t="s">
        <v>78</v>
      </c>
      <c r="B6" s="4" t="s">
        <v>259</v>
      </c>
      <c r="C6" s="4" t="str">
        <f t="shared" si="0"/>
        <v>HBV natural history</v>
      </c>
      <c r="D6" s="23" t="s">
        <v>150</v>
      </c>
      <c r="E6" s="4" t="s">
        <v>328</v>
      </c>
      <c r="F6" s="4" t="s">
        <v>328</v>
      </c>
      <c r="G6" s="23" t="s">
        <v>64</v>
      </c>
      <c r="H6" s="23" t="s">
        <v>64</v>
      </c>
      <c r="I6" s="23">
        <v>1</v>
      </c>
      <c r="J6" s="23"/>
      <c r="K6" s="23"/>
      <c r="L6" s="23"/>
      <c r="M6" s="23"/>
      <c r="N6" s="23"/>
      <c r="O6" s="23"/>
    </row>
    <row r="7" spans="1:15" x14ac:dyDescent="0.25">
      <c r="A7" s="4" t="s">
        <v>78</v>
      </c>
      <c r="B7" s="4" t="s">
        <v>259</v>
      </c>
      <c r="C7" s="4" t="str">
        <f t="shared" si="0"/>
        <v>HBV natural history</v>
      </c>
      <c r="D7" s="4" t="s">
        <v>150</v>
      </c>
      <c r="E7" s="4" t="s">
        <v>372</v>
      </c>
      <c r="F7" s="4" t="s">
        <v>376</v>
      </c>
      <c r="G7" s="4" t="s">
        <v>374</v>
      </c>
      <c r="H7" s="4" t="s">
        <v>377</v>
      </c>
      <c r="I7" s="4">
        <v>0.1</v>
      </c>
      <c r="J7" s="4">
        <v>0.03</v>
      </c>
      <c r="K7" s="4">
        <v>0.2</v>
      </c>
      <c r="L7" s="4" t="s">
        <v>334</v>
      </c>
      <c r="M7" s="4">
        <v>5.0629999999999997</v>
      </c>
      <c r="N7" s="4">
        <v>45.57</v>
      </c>
      <c r="O7" s="4" t="s">
        <v>148</v>
      </c>
    </row>
    <row r="8" spans="1:15" x14ac:dyDescent="0.25">
      <c r="A8" s="4" t="s">
        <v>78</v>
      </c>
      <c r="B8" s="4" t="s">
        <v>259</v>
      </c>
      <c r="C8" s="4" t="str">
        <f t="shared" si="0"/>
        <v>HBV natural history</v>
      </c>
      <c r="D8" s="4" t="s">
        <v>150</v>
      </c>
      <c r="E8" s="4" t="s">
        <v>372</v>
      </c>
      <c r="F8" s="4" t="s">
        <v>327</v>
      </c>
      <c r="G8" s="4" t="s">
        <v>374</v>
      </c>
      <c r="H8" s="4" t="s">
        <v>31</v>
      </c>
      <c r="I8" s="4">
        <v>3.0000000000000001E-3</v>
      </c>
      <c r="J8" s="4">
        <v>0</v>
      </c>
      <c r="K8" s="4">
        <v>6.0000000000000001E-3</v>
      </c>
      <c r="L8" s="4" t="s">
        <v>334</v>
      </c>
      <c r="M8" s="4">
        <v>3.9849999999999999</v>
      </c>
      <c r="N8" s="4">
        <v>1324.35</v>
      </c>
      <c r="O8" s="4" t="s">
        <v>148</v>
      </c>
    </row>
    <row r="9" spans="1:15" x14ac:dyDescent="0.25">
      <c r="A9" s="4" t="s">
        <v>78</v>
      </c>
      <c r="B9" s="4" t="s">
        <v>259</v>
      </c>
      <c r="C9" s="4" t="str">
        <f t="shared" si="0"/>
        <v>HBV natural history</v>
      </c>
      <c r="D9" s="4" t="s">
        <v>150</v>
      </c>
      <c r="E9" s="4" t="s">
        <v>372</v>
      </c>
      <c r="F9" s="4" t="s">
        <v>372</v>
      </c>
      <c r="G9" s="4" t="s">
        <v>374</v>
      </c>
      <c r="H9" s="4" t="s">
        <v>374</v>
      </c>
      <c r="I9" s="4" t="s">
        <v>60</v>
      </c>
      <c r="J9" s="4"/>
      <c r="K9" s="4"/>
      <c r="L9" s="4"/>
      <c r="M9" s="4"/>
      <c r="N9" s="4"/>
      <c r="O9" s="4"/>
    </row>
    <row r="10" spans="1:15" x14ac:dyDescent="0.25">
      <c r="A10" s="4" t="s">
        <v>78</v>
      </c>
      <c r="B10" s="4" t="s">
        <v>259</v>
      </c>
      <c r="C10" s="4" t="str">
        <f t="shared" si="0"/>
        <v>HBV natural history</v>
      </c>
      <c r="D10" s="4" t="s">
        <v>150</v>
      </c>
      <c r="E10" s="4" t="s">
        <v>386</v>
      </c>
      <c r="F10" s="4" t="s">
        <v>378</v>
      </c>
      <c r="G10" s="4" t="s">
        <v>375</v>
      </c>
      <c r="H10" s="4" t="s">
        <v>69</v>
      </c>
      <c r="I10" s="4">
        <v>0.1</v>
      </c>
      <c r="J10" s="4">
        <v>0.03</v>
      </c>
      <c r="K10" s="4">
        <v>0.2</v>
      </c>
      <c r="L10" s="4" t="s">
        <v>334</v>
      </c>
      <c r="M10" s="4">
        <v>5.0629999999999997</v>
      </c>
      <c r="N10" s="4">
        <v>45.57</v>
      </c>
      <c r="O10" s="4" t="s">
        <v>148</v>
      </c>
    </row>
    <row r="11" spans="1:15" x14ac:dyDescent="0.25">
      <c r="A11" s="4" t="s">
        <v>78</v>
      </c>
      <c r="B11" s="4" t="s">
        <v>259</v>
      </c>
      <c r="C11" s="4" t="str">
        <f t="shared" si="0"/>
        <v>HBV natural history</v>
      </c>
      <c r="D11" s="4" t="s">
        <v>150</v>
      </c>
      <c r="E11" s="4" t="s">
        <v>386</v>
      </c>
      <c r="F11" s="4" t="s">
        <v>386</v>
      </c>
      <c r="G11" s="4" t="s">
        <v>375</v>
      </c>
      <c r="H11" s="4" t="s">
        <v>375</v>
      </c>
      <c r="I11" s="4" t="s">
        <v>60</v>
      </c>
      <c r="J11" s="4"/>
      <c r="K11" s="4"/>
      <c r="L11" s="4"/>
      <c r="M11" s="4"/>
      <c r="N11" s="4"/>
      <c r="O11" s="4"/>
    </row>
    <row r="12" spans="1:15" x14ac:dyDescent="0.25">
      <c r="A12" s="23" t="s">
        <v>78</v>
      </c>
      <c r="B12" s="4" t="s">
        <v>259</v>
      </c>
      <c r="C12" s="4" t="str">
        <f t="shared" si="0"/>
        <v>HBV natural history</v>
      </c>
      <c r="D12" s="23" t="s">
        <v>150</v>
      </c>
      <c r="E12" s="4" t="s">
        <v>380</v>
      </c>
      <c r="F12" s="4" t="s">
        <v>381</v>
      </c>
      <c r="G12" s="23" t="s">
        <v>379</v>
      </c>
      <c r="H12" s="23" t="s">
        <v>368</v>
      </c>
      <c r="I12" s="23">
        <v>2.6800000000000001E-2</v>
      </c>
      <c r="J12" s="23">
        <v>1.55E-2</v>
      </c>
      <c r="K12" s="23">
        <v>4.7100000000000003E-2</v>
      </c>
      <c r="L12" s="23" t="s">
        <v>334</v>
      </c>
      <c r="M12" s="23">
        <v>11.173</v>
      </c>
      <c r="N12" s="23">
        <v>405.74</v>
      </c>
      <c r="O12" s="4" t="s">
        <v>148</v>
      </c>
    </row>
    <row r="13" spans="1:15" x14ac:dyDescent="0.25">
      <c r="A13" s="23" t="s">
        <v>78</v>
      </c>
      <c r="B13" s="4" t="s">
        <v>259</v>
      </c>
      <c r="C13" s="4" t="str">
        <f t="shared" si="0"/>
        <v>HBV natural history</v>
      </c>
      <c r="D13" s="23" t="s">
        <v>150</v>
      </c>
      <c r="E13" s="4" t="s">
        <v>380</v>
      </c>
      <c r="F13" s="4" t="s">
        <v>327</v>
      </c>
      <c r="G13" s="23" t="s">
        <v>379</v>
      </c>
      <c r="H13" s="23" t="s">
        <v>31</v>
      </c>
      <c r="I13" s="23">
        <v>6.4999999999999997E-4</v>
      </c>
      <c r="J13" s="23">
        <v>0</v>
      </c>
      <c r="K13" s="23">
        <v>1E-3</v>
      </c>
      <c r="L13" s="23" t="s">
        <v>334</v>
      </c>
      <c r="M13" s="23">
        <v>5.7000000000000002E-2</v>
      </c>
      <c r="N13" s="23">
        <v>94.89</v>
      </c>
      <c r="O13" s="4" t="s">
        <v>148</v>
      </c>
    </row>
    <row r="14" spans="1:15" x14ac:dyDescent="0.25">
      <c r="A14" s="23" t="s">
        <v>78</v>
      </c>
      <c r="B14" s="4" t="s">
        <v>259</v>
      </c>
      <c r="C14" s="4" t="str">
        <f t="shared" si="0"/>
        <v>HBV natural history</v>
      </c>
      <c r="D14" s="23" t="s">
        <v>150</v>
      </c>
      <c r="E14" s="4" t="s">
        <v>380</v>
      </c>
      <c r="F14" s="4" t="s">
        <v>328</v>
      </c>
      <c r="G14" s="23" t="s">
        <v>379</v>
      </c>
      <c r="H14" s="23" t="s">
        <v>64</v>
      </c>
      <c r="I14" s="23">
        <v>0.01</v>
      </c>
      <c r="J14" s="23">
        <v>9.7000000000000003E-3</v>
      </c>
      <c r="K14" s="23">
        <v>2.2599999999999999E-2</v>
      </c>
      <c r="L14" s="23" t="s">
        <v>334</v>
      </c>
      <c r="M14" s="23">
        <v>17.146000000000001</v>
      </c>
      <c r="N14" s="23">
        <v>1257.6500000000001</v>
      </c>
      <c r="O14" s="4" t="s">
        <v>148</v>
      </c>
    </row>
    <row r="15" spans="1:15" x14ac:dyDescent="0.25">
      <c r="A15" s="23" t="s">
        <v>78</v>
      </c>
      <c r="B15" s="4" t="s">
        <v>259</v>
      </c>
      <c r="C15" s="4" t="str">
        <f t="shared" si="0"/>
        <v>HBV natural history</v>
      </c>
      <c r="D15" s="23" t="s">
        <v>150</v>
      </c>
      <c r="E15" s="4" t="s">
        <v>380</v>
      </c>
      <c r="F15" s="4" t="s">
        <v>380</v>
      </c>
      <c r="G15" s="23" t="s">
        <v>379</v>
      </c>
      <c r="H15" s="23" t="s">
        <v>379</v>
      </c>
      <c r="I15" s="23" t="s">
        <v>60</v>
      </c>
      <c r="J15" s="23"/>
      <c r="K15" s="23"/>
      <c r="L15" s="23"/>
      <c r="M15" s="23"/>
      <c r="N15" s="23"/>
      <c r="O15" s="4"/>
    </row>
    <row r="16" spans="1:15" x14ac:dyDescent="0.25">
      <c r="A16" s="23" t="s">
        <v>78</v>
      </c>
      <c r="B16" s="4" t="s">
        <v>259</v>
      </c>
      <c r="C16" s="4" t="str">
        <f t="shared" si="0"/>
        <v>HBV natural history</v>
      </c>
      <c r="D16" s="23" t="s">
        <v>150</v>
      </c>
      <c r="E16" s="4" t="s">
        <v>382</v>
      </c>
      <c r="F16" s="4" t="s">
        <v>383</v>
      </c>
      <c r="G16" s="23" t="s">
        <v>384</v>
      </c>
      <c r="H16" s="23" t="s">
        <v>385</v>
      </c>
      <c r="I16" s="23">
        <v>2.6800000000000001E-2</v>
      </c>
      <c r="J16" s="23">
        <v>1.55E-2</v>
      </c>
      <c r="K16" s="23">
        <v>4.7100000000000003E-2</v>
      </c>
      <c r="L16" s="23" t="s">
        <v>334</v>
      </c>
      <c r="M16" s="23">
        <v>11.173</v>
      </c>
      <c r="N16" s="23">
        <v>405.74</v>
      </c>
      <c r="O16" s="4" t="s">
        <v>148</v>
      </c>
    </row>
    <row r="17" spans="1:15" x14ac:dyDescent="0.25">
      <c r="A17" s="23" t="s">
        <v>78</v>
      </c>
      <c r="B17" s="4" t="s">
        <v>259</v>
      </c>
      <c r="C17" s="4" t="str">
        <f t="shared" si="0"/>
        <v>HBV natural history</v>
      </c>
      <c r="D17" s="23" t="s">
        <v>150</v>
      </c>
      <c r="E17" s="4" t="s">
        <v>382</v>
      </c>
      <c r="F17" s="4" t="s">
        <v>328</v>
      </c>
      <c r="G17" s="23" t="s">
        <v>384</v>
      </c>
      <c r="H17" s="23" t="s">
        <v>64</v>
      </c>
      <c r="I17" s="23">
        <v>0.01</v>
      </c>
      <c r="J17" s="23">
        <v>9.7000000000000003E-3</v>
      </c>
      <c r="K17" s="23">
        <v>2.2599999999999999E-2</v>
      </c>
      <c r="L17" s="23" t="s">
        <v>334</v>
      </c>
      <c r="M17" s="23">
        <v>17.146000000000001</v>
      </c>
      <c r="N17" s="23">
        <v>1257.6500000000001</v>
      </c>
      <c r="O17" s="4" t="s">
        <v>148</v>
      </c>
    </row>
    <row r="18" spans="1:15" x14ac:dyDescent="0.25">
      <c r="A18" s="23" t="s">
        <v>78</v>
      </c>
      <c r="B18" s="4" t="s">
        <v>259</v>
      </c>
      <c r="C18" s="4" t="str">
        <f t="shared" si="0"/>
        <v>HBV natural history</v>
      </c>
      <c r="D18" s="23" t="s">
        <v>150</v>
      </c>
      <c r="E18" s="4" t="s">
        <v>382</v>
      </c>
      <c r="F18" s="4" t="s">
        <v>382</v>
      </c>
      <c r="G18" s="23" t="s">
        <v>384</v>
      </c>
      <c r="H18" s="23" t="s">
        <v>384</v>
      </c>
      <c r="I18" s="23" t="s">
        <v>60</v>
      </c>
      <c r="J18" s="23"/>
      <c r="K18" s="23"/>
      <c r="L18" s="23"/>
      <c r="M18" s="23"/>
      <c r="N18" s="23"/>
      <c r="O18" s="4"/>
    </row>
    <row r="19" spans="1:15" x14ac:dyDescent="0.25">
      <c r="A19" s="23" t="s">
        <v>78</v>
      </c>
      <c r="B19" s="4" t="s">
        <v>259</v>
      </c>
      <c r="C19" s="4" t="str">
        <f t="shared" ref="C19:C28" si="1">A19&amp;" "&amp;LOWER(B19)</f>
        <v>HBV natural history</v>
      </c>
      <c r="D19" s="4" t="s">
        <v>150</v>
      </c>
      <c r="E19" s="4" t="s">
        <v>376</v>
      </c>
      <c r="F19" s="4" t="s">
        <v>381</v>
      </c>
      <c r="G19" s="4" t="s">
        <v>377</v>
      </c>
      <c r="H19" s="4" t="s">
        <v>368</v>
      </c>
      <c r="I19" s="4">
        <v>5.0000000000000001E-3</v>
      </c>
      <c r="J19" s="4">
        <v>0</v>
      </c>
      <c r="K19" s="4">
        <v>0.05</v>
      </c>
      <c r="L19" s="4" t="s">
        <v>334</v>
      </c>
      <c r="M19" s="4">
        <v>0.154</v>
      </c>
      <c r="N19" s="4">
        <v>30.69</v>
      </c>
      <c r="O19" s="4" t="s">
        <v>148</v>
      </c>
    </row>
    <row r="20" spans="1:15" x14ac:dyDescent="0.25">
      <c r="A20" s="23" t="s">
        <v>78</v>
      </c>
      <c r="B20" s="4" t="s">
        <v>259</v>
      </c>
      <c r="C20" s="4" t="str">
        <f t="shared" si="1"/>
        <v>HBV natural history</v>
      </c>
      <c r="D20" s="4" t="s">
        <v>150</v>
      </c>
      <c r="E20" s="4" t="s">
        <v>376</v>
      </c>
      <c r="F20" s="4" t="s">
        <v>380</v>
      </c>
      <c r="G20" s="4" t="s">
        <v>377</v>
      </c>
      <c r="H20" s="23" t="s">
        <v>379</v>
      </c>
      <c r="I20" s="4">
        <v>5.7349999999999998E-2</v>
      </c>
      <c r="J20" s="4">
        <v>4.58E-2</v>
      </c>
      <c r="K20" s="4">
        <v>6.8820000000000006E-2</v>
      </c>
      <c r="L20" s="4" t="s">
        <v>334</v>
      </c>
      <c r="M20" s="4">
        <v>11.971</v>
      </c>
      <c r="N20" s="4">
        <v>196.76</v>
      </c>
      <c r="O20" s="4" t="s">
        <v>148</v>
      </c>
    </row>
    <row r="21" spans="1:15" x14ac:dyDescent="0.25">
      <c r="A21" s="23" t="s">
        <v>78</v>
      </c>
      <c r="B21" s="4" t="s">
        <v>259</v>
      </c>
      <c r="C21" s="4" t="str">
        <f t="shared" si="1"/>
        <v>HBV natural history</v>
      </c>
      <c r="D21" s="4" t="s">
        <v>150</v>
      </c>
      <c r="E21" s="4" t="s">
        <v>376</v>
      </c>
      <c r="F21" s="4" t="s">
        <v>327</v>
      </c>
      <c r="G21" s="4" t="s">
        <v>377</v>
      </c>
      <c r="H21" s="4" t="s">
        <v>31</v>
      </c>
      <c r="I21" s="4">
        <v>6.4999999999999997E-3</v>
      </c>
      <c r="J21" s="4">
        <v>2.7000000000000001E-3</v>
      </c>
      <c r="K21" s="4">
        <v>0.01</v>
      </c>
      <c r="L21" s="4" t="s">
        <v>334</v>
      </c>
      <c r="M21" s="4">
        <v>12.596</v>
      </c>
      <c r="N21" s="4">
        <v>1925.3</v>
      </c>
      <c r="O21" s="4" t="s">
        <v>148</v>
      </c>
    </row>
    <row r="22" spans="1:15" x14ac:dyDescent="0.25">
      <c r="A22" s="23" t="s">
        <v>78</v>
      </c>
      <c r="B22" s="4" t="s">
        <v>259</v>
      </c>
      <c r="C22" s="4" t="str">
        <f t="shared" si="1"/>
        <v>HBV natural history</v>
      </c>
      <c r="D22" s="4" t="s">
        <v>150</v>
      </c>
      <c r="E22" s="4" t="s">
        <v>376</v>
      </c>
      <c r="F22" s="4" t="s">
        <v>376</v>
      </c>
      <c r="G22" s="4" t="s">
        <v>377</v>
      </c>
      <c r="H22" s="4" t="s">
        <v>377</v>
      </c>
      <c r="I22" s="4" t="s">
        <v>60</v>
      </c>
      <c r="J22" s="4"/>
      <c r="K22" s="4"/>
      <c r="L22" s="4"/>
      <c r="M22" s="4"/>
      <c r="N22" s="4"/>
      <c r="O22" s="4"/>
    </row>
    <row r="23" spans="1:15" x14ac:dyDescent="0.25">
      <c r="A23" s="23" t="s">
        <v>78</v>
      </c>
      <c r="B23" s="4" t="s">
        <v>259</v>
      </c>
      <c r="C23" s="4" t="str">
        <f t="shared" si="1"/>
        <v>HBV natural history</v>
      </c>
      <c r="D23" s="4" t="s">
        <v>150</v>
      </c>
      <c r="E23" s="4" t="s">
        <v>381</v>
      </c>
      <c r="F23" s="4" t="s">
        <v>387</v>
      </c>
      <c r="G23" s="4" t="s">
        <v>368</v>
      </c>
      <c r="H23" s="4" t="s">
        <v>366</v>
      </c>
      <c r="I23" s="4">
        <v>0.04</v>
      </c>
      <c r="J23" s="4">
        <v>0.01</v>
      </c>
      <c r="K23" s="4">
        <v>5.1999999999999998E-2</v>
      </c>
      <c r="L23" s="4" t="s">
        <v>334</v>
      </c>
      <c r="M23" s="4">
        <v>11.173</v>
      </c>
      <c r="N23" s="4">
        <v>300.92</v>
      </c>
      <c r="O23" s="4" t="s">
        <v>148</v>
      </c>
    </row>
    <row r="24" spans="1:15" x14ac:dyDescent="0.25">
      <c r="A24" s="23" t="s">
        <v>78</v>
      </c>
      <c r="B24" s="4" t="s">
        <v>259</v>
      </c>
      <c r="C24" s="4" t="str">
        <f t="shared" si="1"/>
        <v>HBV natural history</v>
      </c>
      <c r="D24" s="4" t="s">
        <v>150</v>
      </c>
      <c r="E24" s="4" t="s">
        <v>381</v>
      </c>
      <c r="F24" s="4" t="s">
        <v>327</v>
      </c>
      <c r="G24" s="4" t="s">
        <v>368</v>
      </c>
      <c r="H24" s="4" t="s">
        <v>31</v>
      </c>
      <c r="I24" s="4">
        <v>6.1599999999999997E-3</v>
      </c>
      <c r="J24" s="4">
        <v>2.7000000000000001E-3</v>
      </c>
      <c r="K24" s="4">
        <v>0.01</v>
      </c>
      <c r="L24" s="4" t="s">
        <v>334</v>
      </c>
      <c r="M24" s="4">
        <v>11.3</v>
      </c>
      <c r="N24" s="4">
        <v>1824.5</v>
      </c>
      <c r="O24" s="4" t="s">
        <v>148</v>
      </c>
    </row>
    <row r="25" spans="1:15" x14ac:dyDescent="0.25">
      <c r="A25" s="23" t="s">
        <v>78</v>
      </c>
      <c r="B25" s="4" t="s">
        <v>259</v>
      </c>
      <c r="C25" s="4" t="str">
        <f t="shared" si="1"/>
        <v>HBV natural history</v>
      </c>
      <c r="D25" s="4" t="s">
        <v>150</v>
      </c>
      <c r="E25" s="4" t="s">
        <v>381</v>
      </c>
      <c r="F25" s="4" t="s">
        <v>381</v>
      </c>
      <c r="G25" s="4" t="s">
        <v>368</v>
      </c>
      <c r="H25" s="4" t="s">
        <v>368</v>
      </c>
      <c r="I25" s="4" t="s">
        <v>60</v>
      </c>
      <c r="J25" s="4"/>
      <c r="K25" s="4"/>
      <c r="L25" s="4"/>
      <c r="M25" s="4"/>
      <c r="N25" s="4"/>
      <c r="O25" s="4"/>
    </row>
    <row r="26" spans="1:15" x14ac:dyDescent="0.25">
      <c r="A26" s="23" t="s">
        <v>78</v>
      </c>
      <c r="B26" s="4" t="s">
        <v>259</v>
      </c>
      <c r="C26" s="4" t="str">
        <f t="shared" si="1"/>
        <v>HBV natural history</v>
      </c>
      <c r="D26" s="4" t="s">
        <v>150</v>
      </c>
      <c r="E26" s="4" t="s">
        <v>383</v>
      </c>
      <c r="F26" s="4" t="s">
        <v>388</v>
      </c>
      <c r="G26" s="4" t="s">
        <v>385</v>
      </c>
      <c r="H26" s="4" t="s">
        <v>62</v>
      </c>
      <c r="I26" s="4">
        <v>0.04</v>
      </c>
      <c r="J26" s="4">
        <v>0.01</v>
      </c>
      <c r="K26" s="4">
        <v>5.1999999999999998E-2</v>
      </c>
      <c r="L26" s="4" t="s">
        <v>334</v>
      </c>
      <c r="M26" s="4">
        <v>11.173</v>
      </c>
      <c r="N26" s="4">
        <v>300.92</v>
      </c>
      <c r="O26" s="4" t="s">
        <v>148</v>
      </c>
    </row>
    <row r="27" spans="1:15" x14ac:dyDescent="0.25">
      <c r="A27" s="23" t="s">
        <v>78</v>
      </c>
      <c r="B27" s="4" t="s">
        <v>259</v>
      </c>
      <c r="C27" s="4" t="str">
        <f t="shared" si="1"/>
        <v>HBV natural history</v>
      </c>
      <c r="D27" s="4" t="s">
        <v>150</v>
      </c>
      <c r="E27" s="4" t="s">
        <v>383</v>
      </c>
      <c r="F27" s="4" t="s">
        <v>327</v>
      </c>
      <c r="G27" s="4" t="s">
        <v>385</v>
      </c>
      <c r="H27" s="4" t="s">
        <v>31</v>
      </c>
      <c r="I27" s="4">
        <v>6.1599999999999997E-3</v>
      </c>
      <c r="J27" s="4">
        <v>2.7000000000000001E-3</v>
      </c>
      <c r="K27" s="4">
        <v>0.01</v>
      </c>
      <c r="L27" s="4" t="s">
        <v>334</v>
      </c>
      <c r="M27" s="4">
        <v>11.3</v>
      </c>
      <c r="N27" s="4">
        <v>1824.5</v>
      </c>
      <c r="O27" s="4" t="s">
        <v>148</v>
      </c>
    </row>
    <row r="28" spans="1:15" x14ac:dyDescent="0.25">
      <c r="A28" s="23" t="s">
        <v>78</v>
      </c>
      <c r="B28" s="4" t="s">
        <v>259</v>
      </c>
      <c r="C28" s="4" t="str">
        <f t="shared" si="1"/>
        <v>HBV natural history</v>
      </c>
      <c r="D28" s="4" t="s">
        <v>150</v>
      </c>
      <c r="E28" s="4" t="s">
        <v>383</v>
      </c>
      <c r="F28" s="4" t="s">
        <v>383</v>
      </c>
      <c r="G28" s="4" t="s">
        <v>385</v>
      </c>
      <c r="H28" s="4" t="s">
        <v>385</v>
      </c>
      <c r="I28" s="4" t="s">
        <v>60</v>
      </c>
      <c r="J28" s="4"/>
      <c r="K28" s="4"/>
      <c r="L28" s="4"/>
      <c r="M28" s="4"/>
      <c r="N28" s="4"/>
      <c r="O28" s="4"/>
    </row>
    <row r="29" spans="1:15" x14ac:dyDescent="0.25">
      <c r="A29" s="4" t="s">
        <v>78</v>
      </c>
      <c r="B29" s="4" t="s">
        <v>259</v>
      </c>
      <c r="C29" s="4" t="str">
        <f t="shared" ref="C29:C38" si="2">A29&amp;" "&amp;LOWER(B29)</f>
        <v>HBV natural history</v>
      </c>
      <c r="D29" s="4" t="s">
        <v>150</v>
      </c>
      <c r="E29" s="4" t="s">
        <v>387</v>
      </c>
      <c r="F29" s="4" t="s">
        <v>391</v>
      </c>
      <c r="G29" s="4" t="s">
        <v>366</v>
      </c>
      <c r="H29" s="4" t="s">
        <v>367</v>
      </c>
      <c r="I29" s="4">
        <v>3.9E-2</v>
      </c>
      <c r="J29" s="4">
        <v>3.2000000000000001E-2</v>
      </c>
      <c r="K29" s="4">
        <v>4.5999999999999999E-2</v>
      </c>
      <c r="L29" s="4" t="s">
        <v>334</v>
      </c>
      <c r="M29" s="4">
        <v>2.8479999999999999</v>
      </c>
      <c r="N29" s="4">
        <v>70.180000000000007</v>
      </c>
      <c r="O29" s="4" t="s">
        <v>148</v>
      </c>
    </row>
    <row r="30" spans="1:15" x14ac:dyDescent="0.25">
      <c r="A30" s="4" t="s">
        <v>78</v>
      </c>
      <c r="B30" s="4" t="s">
        <v>259</v>
      </c>
      <c r="C30" s="4" t="str">
        <f t="shared" si="2"/>
        <v>HBV natural history</v>
      </c>
      <c r="D30" s="4" t="s">
        <v>150</v>
      </c>
      <c r="E30" s="4" t="s">
        <v>387</v>
      </c>
      <c r="F30" s="4" t="s">
        <v>327</v>
      </c>
      <c r="G30" s="4" t="s">
        <v>366</v>
      </c>
      <c r="H30" s="4" t="s">
        <v>31</v>
      </c>
      <c r="I30" s="4">
        <v>3.6600000000000001E-2</v>
      </c>
      <c r="J30" s="4">
        <v>8.0000000000000002E-3</v>
      </c>
      <c r="K30" s="4">
        <v>0.08</v>
      </c>
      <c r="L30" s="4" t="s">
        <v>334</v>
      </c>
      <c r="M30" s="4">
        <v>3.9470000000000001</v>
      </c>
      <c r="N30" s="4">
        <v>103.88</v>
      </c>
      <c r="O30" s="4" t="s">
        <v>148</v>
      </c>
    </row>
    <row r="31" spans="1:15" x14ac:dyDescent="0.25">
      <c r="A31" s="4" t="s">
        <v>78</v>
      </c>
      <c r="B31" s="4" t="s">
        <v>259</v>
      </c>
      <c r="C31" s="4" t="str">
        <f t="shared" si="2"/>
        <v>HBV natural history</v>
      </c>
      <c r="D31" s="4" t="s">
        <v>150</v>
      </c>
      <c r="E31" s="4" t="s">
        <v>387</v>
      </c>
      <c r="F31" s="4" t="s">
        <v>329</v>
      </c>
      <c r="G31" s="4" t="s">
        <v>366</v>
      </c>
      <c r="H31" s="4" t="s">
        <v>68</v>
      </c>
      <c r="I31" s="4">
        <v>3.9E-2</v>
      </c>
      <c r="J31" s="4">
        <v>3.9E-2</v>
      </c>
      <c r="K31" s="4">
        <v>0.50700000000000001</v>
      </c>
      <c r="L31" s="4" t="s">
        <v>334</v>
      </c>
      <c r="M31" s="4">
        <v>0.27</v>
      </c>
      <c r="N31" s="4">
        <v>6.66</v>
      </c>
      <c r="O31" s="4" t="s">
        <v>148</v>
      </c>
    </row>
    <row r="32" spans="1:15" x14ac:dyDescent="0.25">
      <c r="A32" s="4" t="s">
        <v>78</v>
      </c>
      <c r="B32" s="4" t="s">
        <v>259</v>
      </c>
      <c r="C32" s="4" t="str">
        <f t="shared" si="2"/>
        <v>HBV natural history</v>
      </c>
      <c r="D32" s="4" t="s">
        <v>150</v>
      </c>
      <c r="E32" s="4" t="s">
        <v>387</v>
      </c>
      <c r="F32" s="4" t="s">
        <v>387</v>
      </c>
      <c r="G32" s="4" t="s">
        <v>366</v>
      </c>
      <c r="H32" s="4" t="s">
        <v>366</v>
      </c>
      <c r="I32" s="4" t="s">
        <v>60</v>
      </c>
      <c r="J32" s="4"/>
      <c r="K32" s="4"/>
      <c r="L32" s="4"/>
      <c r="M32" s="4"/>
      <c r="N32" s="4"/>
      <c r="O32" s="4"/>
    </row>
    <row r="33" spans="1:16" x14ac:dyDescent="0.25">
      <c r="A33" s="4" t="s">
        <v>78</v>
      </c>
      <c r="B33" s="4" t="s">
        <v>259</v>
      </c>
      <c r="C33" s="4" t="str">
        <f t="shared" si="2"/>
        <v>HBV natural history</v>
      </c>
      <c r="D33" s="4" t="s">
        <v>150</v>
      </c>
      <c r="E33" s="4" t="s">
        <v>391</v>
      </c>
      <c r="F33" s="4" t="s">
        <v>327</v>
      </c>
      <c r="G33" s="4" t="s">
        <v>367</v>
      </c>
      <c r="H33" s="4" t="s">
        <v>31</v>
      </c>
      <c r="I33" s="4">
        <v>3.7600000000000001E-2</v>
      </c>
      <c r="J33" s="4">
        <v>2.3E-2</v>
      </c>
      <c r="K33" s="4">
        <v>7.0999999999999994E-2</v>
      </c>
      <c r="L33" s="4" t="s">
        <v>334</v>
      </c>
      <c r="M33" s="4">
        <v>9.4109999999999996</v>
      </c>
      <c r="N33" s="4">
        <v>240.88</v>
      </c>
      <c r="O33" s="4" t="s">
        <v>148</v>
      </c>
    </row>
    <row r="34" spans="1:16" x14ac:dyDescent="0.25">
      <c r="A34" s="4" t="s">
        <v>78</v>
      </c>
      <c r="B34" s="4" t="s">
        <v>259</v>
      </c>
      <c r="C34" s="4" t="str">
        <f t="shared" si="2"/>
        <v>HBV natural history</v>
      </c>
      <c r="D34" s="4" t="s">
        <v>150</v>
      </c>
      <c r="E34" s="4" t="s">
        <v>391</v>
      </c>
      <c r="F34" s="4" t="s">
        <v>329</v>
      </c>
      <c r="G34" s="4" t="s">
        <v>367</v>
      </c>
      <c r="H34" s="4" t="s">
        <v>68</v>
      </c>
      <c r="I34" s="4">
        <v>0.314</v>
      </c>
      <c r="J34" s="4">
        <v>4.2999999999999997E-2</v>
      </c>
      <c r="K34" s="4">
        <v>0.56999999999999995</v>
      </c>
      <c r="L34" s="4" t="s">
        <v>334</v>
      </c>
      <c r="M34" s="4">
        <v>3.5830000000000002</v>
      </c>
      <c r="N34" s="4">
        <v>7.83</v>
      </c>
      <c r="O34" s="4" t="s">
        <v>148</v>
      </c>
    </row>
    <row r="35" spans="1:16" x14ac:dyDescent="0.25">
      <c r="A35" s="4" t="s">
        <v>78</v>
      </c>
      <c r="B35" s="4" t="s">
        <v>259</v>
      </c>
      <c r="C35" s="4" t="str">
        <f t="shared" si="2"/>
        <v>HBV natural history</v>
      </c>
      <c r="D35" s="4" t="s">
        <v>150</v>
      </c>
      <c r="E35" s="4" t="s">
        <v>391</v>
      </c>
      <c r="F35" s="4" t="s">
        <v>391</v>
      </c>
      <c r="G35" s="4" t="s">
        <v>367</v>
      </c>
      <c r="H35" s="4" t="s">
        <v>367</v>
      </c>
      <c r="I35" s="4" t="s">
        <v>60</v>
      </c>
      <c r="J35" s="4"/>
      <c r="K35" s="4"/>
      <c r="L35" s="4"/>
      <c r="M35" s="4"/>
      <c r="N35" s="4"/>
      <c r="O35" s="4"/>
    </row>
    <row r="36" spans="1:16" x14ac:dyDescent="0.25">
      <c r="A36" s="4" t="s">
        <v>78</v>
      </c>
      <c r="B36" s="4" t="s">
        <v>259</v>
      </c>
      <c r="C36" s="4" t="str">
        <f t="shared" si="2"/>
        <v>HBV natural history</v>
      </c>
      <c r="D36" s="4" t="s">
        <v>150</v>
      </c>
      <c r="E36" s="4" t="s">
        <v>327</v>
      </c>
      <c r="F36" s="4" t="s">
        <v>329</v>
      </c>
      <c r="G36" s="4" t="s">
        <v>31</v>
      </c>
      <c r="H36" s="4" t="s">
        <v>68</v>
      </c>
      <c r="I36" s="4">
        <v>0.5</v>
      </c>
      <c r="J36" s="4">
        <v>0.4</v>
      </c>
      <c r="K36" s="4">
        <v>1</v>
      </c>
      <c r="L36" s="4" t="s">
        <v>334</v>
      </c>
      <c r="M36" s="4">
        <v>5.056</v>
      </c>
      <c r="N36" s="4">
        <v>5.0599999999999996</v>
      </c>
      <c r="O36" s="4" t="s">
        <v>148</v>
      </c>
    </row>
    <row r="37" spans="1:16" x14ac:dyDescent="0.25">
      <c r="A37" s="4" t="s">
        <v>78</v>
      </c>
      <c r="B37" s="4" t="s">
        <v>259</v>
      </c>
      <c r="C37" s="4" t="str">
        <f t="shared" si="2"/>
        <v>HBV natural history</v>
      </c>
      <c r="D37" s="4" t="s">
        <v>150</v>
      </c>
      <c r="E37" s="4" t="s">
        <v>327</v>
      </c>
      <c r="F37" s="4" t="s">
        <v>327</v>
      </c>
      <c r="G37" s="4" t="s">
        <v>31</v>
      </c>
      <c r="H37" s="4" t="s">
        <v>31</v>
      </c>
      <c r="I37" s="4" t="s">
        <v>60</v>
      </c>
      <c r="J37" s="4"/>
      <c r="K37" s="4"/>
      <c r="L37" s="4"/>
      <c r="M37" s="4"/>
      <c r="N37" s="4"/>
      <c r="O37" s="4"/>
    </row>
    <row r="38" spans="1:16" x14ac:dyDescent="0.25">
      <c r="A38" s="4" t="s">
        <v>78</v>
      </c>
      <c r="B38" s="4" t="s">
        <v>259</v>
      </c>
      <c r="C38" s="4" t="str">
        <f t="shared" si="2"/>
        <v>HBV natural history</v>
      </c>
      <c r="D38" s="4" t="s">
        <v>150</v>
      </c>
      <c r="E38" s="4" t="s">
        <v>329</v>
      </c>
      <c r="F38" s="4" t="s">
        <v>329</v>
      </c>
      <c r="G38" s="4" t="s">
        <v>68</v>
      </c>
      <c r="H38" s="4" t="s">
        <v>68</v>
      </c>
      <c r="I38" s="4">
        <v>1</v>
      </c>
      <c r="J38" s="4"/>
      <c r="K38" s="4"/>
      <c r="L38" s="4"/>
      <c r="M38" s="4"/>
      <c r="N38" s="4"/>
      <c r="O38" s="4" t="s">
        <v>148</v>
      </c>
    </row>
    <row r="39" spans="1:16" x14ac:dyDescent="0.25">
      <c r="A39" s="44" t="s">
        <v>78</v>
      </c>
      <c r="B39" s="44" t="s">
        <v>260</v>
      </c>
      <c r="C39" s="50" t="str">
        <f t="shared" ref="C39:C50" si="3">A39&amp;" "&amp;LOWER(B39)</f>
        <v>HBV treatment effectiveness</v>
      </c>
      <c r="D39" s="44" t="s">
        <v>150</v>
      </c>
      <c r="E39" s="50" t="s">
        <v>378</v>
      </c>
      <c r="F39" s="50" t="s">
        <v>378</v>
      </c>
      <c r="G39" s="44" t="s">
        <v>69</v>
      </c>
      <c r="H39" s="44" t="s">
        <v>69</v>
      </c>
      <c r="I39" s="44">
        <v>1</v>
      </c>
      <c r="J39" s="44"/>
      <c r="K39" s="44"/>
      <c r="L39" s="44"/>
      <c r="M39" s="44"/>
      <c r="N39" s="44"/>
      <c r="O39" s="44" t="s">
        <v>148</v>
      </c>
    </row>
    <row r="40" spans="1:16" x14ac:dyDescent="0.25">
      <c r="A40" s="44" t="s">
        <v>78</v>
      </c>
      <c r="B40" s="44" t="s">
        <v>260</v>
      </c>
      <c r="C40" s="50" t="str">
        <f t="shared" si="3"/>
        <v>HBV treatment effectiveness</v>
      </c>
      <c r="D40" s="44" t="s">
        <v>150</v>
      </c>
      <c r="E40" s="50" t="s">
        <v>392</v>
      </c>
      <c r="F40" s="50" t="s">
        <v>392</v>
      </c>
      <c r="G40" s="44" t="s">
        <v>61</v>
      </c>
      <c r="H40" s="44" t="s">
        <v>61</v>
      </c>
      <c r="I40" s="44">
        <v>1</v>
      </c>
      <c r="J40" s="44"/>
      <c r="K40" s="44"/>
      <c r="L40" s="44"/>
      <c r="M40" s="44"/>
      <c r="N40" s="44"/>
      <c r="O40" s="44" t="s">
        <v>148</v>
      </c>
    </row>
    <row r="41" spans="1:16" x14ac:dyDescent="0.25">
      <c r="A41" s="44" t="s">
        <v>78</v>
      </c>
      <c r="B41" s="44" t="s">
        <v>260</v>
      </c>
      <c r="C41" s="50" t="str">
        <f t="shared" si="3"/>
        <v>HBV treatment effectiveness</v>
      </c>
      <c r="D41" s="44" t="s">
        <v>150</v>
      </c>
      <c r="E41" s="50" t="s">
        <v>388</v>
      </c>
      <c r="F41" s="50" t="s">
        <v>327</v>
      </c>
      <c r="G41" s="44" t="s">
        <v>62</v>
      </c>
      <c r="H41" s="44" t="s">
        <v>31</v>
      </c>
      <c r="I41" s="44">
        <v>5.0000000000000001E-3</v>
      </c>
      <c r="J41" s="44">
        <v>0</v>
      </c>
      <c r="K41" s="44">
        <v>0.01</v>
      </c>
      <c r="L41" s="44" t="s">
        <v>334</v>
      </c>
      <c r="M41" s="44">
        <v>0.747</v>
      </c>
      <c r="N41" s="44">
        <v>149</v>
      </c>
      <c r="O41" s="44" t="s">
        <v>148</v>
      </c>
    </row>
    <row r="42" spans="1:16" x14ac:dyDescent="0.25">
      <c r="A42" s="44" t="s">
        <v>78</v>
      </c>
      <c r="B42" s="44" t="s">
        <v>260</v>
      </c>
      <c r="C42" s="50" t="str">
        <f t="shared" si="3"/>
        <v>HBV treatment effectiveness</v>
      </c>
      <c r="D42" s="44" t="s">
        <v>150</v>
      </c>
      <c r="E42" s="50" t="s">
        <v>388</v>
      </c>
      <c r="F42" s="50" t="s">
        <v>388</v>
      </c>
      <c r="G42" s="44" t="s">
        <v>62</v>
      </c>
      <c r="H42" s="44" t="s">
        <v>62</v>
      </c>
      <c r="I42" s="44" t="s">
        <v>60</v>
      </c>
      <c r="J42" s="44"/>
      <c r="K42" s="44"/>
      <c r="L42" s="44"/>
      <c r="M42" s="44"/>
      <c r="N42" s="44"/>
      <c r="O42" s="44"/>
    </row>
    <row r="43" spans="1:16" x14ac:dyDescent="0.25">
      <c r="A43" s="44" t="s">
        <v>78</v>
      </c>
      <c r="B43" s="44" t="s">
        <v>260</v>
      </c>
      <c r="C43" s="50" t="str">
        <f t="shared" si="3"/>
        <v>HBV treatment effectiveness</v>
      </c>
      <c r="D43" s="44" t="s">
        <v>150</v>
      </c>
      <c r="E43" s="50" t="s">
        <v>393</v>
      </c>
      <c r="F43" s="50" t="s">
        <v>327</v>
      </c>
      <c r="G43" s="44" t="s">
        <v>70</v>
      </c>
      <c r="H43" s="44" t="s">
        <v>31</v>
      </c>
      <c r="I43" s="44">
        <v>0.01</v>
      </c>
      <c r="J43" s="44">
        <v>0</v>
      </c>
      <c r="K43" s="44">
        <v>4.3999999999999997E-2</v>
      </c>
      <c r="L43" s="44" t="s">
        <v>334</v>
      </c>
      <c r="M43" s="44">
        <v>0.80800000000000005</v>
      </c>
      <c r="N43" s="44">
        <v>80</v>
      </c>
      <c r="O43" s="44" t="s">
        <v>148</v>
      </c>
    </row>
    <row r="44" spans="1:16" x14ac:dyDescent="0.25">
      <c r="A44" s="44" t="s">
        <v>78</v>
      </c>
      <c r="B44" s="44" t="s">
        <v>260</v>
      </c>
      <c r="C44" s="50" t="str">
        <f t="shared" si="3"/>
        <v>HBV treatment effectiveness</v>
      </c>
      <c r="D44" s="44" t="s">
        <v>150</v>
      </c>
      <c r="E44" s="50" t="s">
        <v>393</v>
      </c>
      <c r="F44" s="50" t="s">
        <v>393</v>
      </c>
      <c r="G44" s="44" t="s">
        <v>70</v>
      </c>
      <c r="H44" s="44" t="s">
        <v>70</v>
      </c>
      <c r="I44" s="44" t="s">
        <v>60</v>
      </c>
      <c r="J44" s="44"/>
      <c r="K44" s="44"/>
      <c r="L44" s="44"/>
      <c r="M44" s="44"/>
      <c r="N44" s="44"/>
      <c r="O44" s="44"/>
    </row>
    <row r="45" spans="1:16" s="49" customFormat="1" x14ac:dyDescent="0.25">
      <c r="A45" s="65" t="s">
        <v>78</v>
      </c>
      <c r="B45" s="8" t="s">
        <v>258</v>
      </c>
      <c r="C45" s="8" t="str">
        <f>A45&amp;" "&amp;LOWER(B45)</f>
        <v>HBV treatment uptake</v>
      </c>
      <c r="D45" s="8" t="s">
        <v>150</v>
      </c>
      <c r="E45" s="65" t="s">
        <v>23</v>
      </c>
      <c r="F45" s="65" t="s">
        <v>389</v>
      </c>
      <c r="G45" s="65" t="s">
        <v>73</v>
      </c>
      <c r="H45" s="65" t="s">
        <v>373</v>
      </c>
      <c r="I45" s="65">
        <v>0.1</v>
      </c>
      <c r="J45" s="65">
        <v>0</v>
      </c>
      <c r="K45" s="65">
        <v>0.25</v>
      </c>
      <c r="L45" s="65" t="s">
        <v>261</v>
      </c>
      <c r="M45" s="65"/>
      <c r="N45" s="65"/>
      <c r="O45" s="8" t="s">
        <v>457</v>
      </c>
      <c r="P45"/>
    </row>
    <row r="46" spans="1:16" s="49" customFormat="1" x14ac:dyDescent="0.25">
      <c r="A46" s="65" t="s">
        <v>78</v>
      </c>
      <c r="B46" s="8" t="s">
        <v>258</v>
      </c>
      <c r="C46" s="8" t="str">
        <f>A46&amp;" "&amp;LOWER(B46)</f>
        <v>HBV treatment uptake</v>
      </c>
      <c r="D46" s="8" t="s">
        <v>150</v>
      </c>
      <c r="E46" s="65" t="s">
        <v>23</v>
      </c>
      <c r="F46" s="65" t="s">
        <v>371</v>
      </c>
      <c r="G46" s="65" t="s">
        <v>73</v>
      </c>
      <c r="H46" s="65" t="s">
        <v>369</v>
      </c>
      <c r="I46" s="65" t="s">
        <v>60</v>
      </c>
      <c r="J46" s="65"/>
      <c r="K46" s="65"/>
      <c r="L46" s="65"/>
      <c r="M46" s="65"/>
      <c r="N46" s="65"/>
      <c r="O46" s="65"/>
      <c r="P46"/>
    </row>
    <row r="47" spans="1:16" x14ac:dyDescent="0.25">
      <c r="A47" s="8" t="s">
        <v>78</v>
      </c>
      <c r="B47" s="8" t="s">
        <v>258</v>
      </c>
      <c r="C47" s="8" t="str">
        <f t="shared" si="3"/>
        <v>HBV treatment uptake</v>
      </c>
      <c r="D47" s="8" t="s">
        <v>150</v>
      </c>
      <c r="E47" s="8" t="s">
        <v>381</v>
      </c>
      <c r="F47" s="8" t="s">
        <v>383</v>
      </c>
      <c r="G47" s="8" t="s">
        <v>368</v>
      </c>
      <c r="H47" s="8" t="s">
        <v>385</v>
      </c>
      <c r="I47" s="8">
        <v>0.05</v>
      </c>
      <c r="J47" s="8">
        <v>0.01</v>
      </c>
      <c r="K47" s="8">
        <v>0.2</v>
      </c>
      <c r="L47" s="8" t="s">
        <v>261</v>
      </c>
      <c r="M47" s="8"/>
      <c r="N47" s="8"/>
      <c r="O47" s="8" t="s">
        <v>457</v>
      </c>
    </row>
    <row r="48" spans="1:16" x14ac:dyDescent="0.25">
      <c r="A48" s="8" t="s">
        <v>78</v>
      </c>
      <c r="B48" s="8" t="s">
        <v>258</v>
      </c>
      <c r="C48" s="8" t="str">
        <f t="shared" si="3"/>
        <v>HBV treatment uptake</v>
      </c>
      <c r="D48" s="8" t="s">
        <v>150</v>
      </c>
      <c r="E48" s="8" t="s">
        <v>383</v>
      </c>
      <c r="F48" s="8" t="s">
        <v>392</v>
      </c>
      <c r="G48" s="8" t="s">
        <v>385</v>
      </c>
      <c r="H48" s="8" t="s">
        <v>61</v>
      </c>
      <c r="I48" s="8">
        <v>0.09</v>
      </c>
      <c r="J48" s="8">
        <v>0.04</v>
      </c>
      <c r="K48" s="8">
        <v>0.18</v>
      </c>
      <c r="L48" s="8" t="s">
        <v>261</v>
      </c>
      <c r="M48" s="8"/>
      <c r="N48" s="8"/>
      <c r="O48" s="8" t="s">
        <v>457</v>
      </c>
    </row>
    <row r="49" spans="1:15" x14ac:dyDescent="0.25">
      <c r="A49" s="8" t="s">
        <v>78</v>
      </c>
      <c r="B49" s="8" t="s">
        <v>258</v>
      </c>
      <c r="C49" s="8" t="str">
        <f t="shared" si="3"/>
        <v>HBV treatment uptake</v>
      </c>
      <c r="D49" s="8" t="s">
        <v>150</v>
      </c>
      <c r="E49" s="8" t="s">
        <v>387</v>
      </c>
      <c r="F49" s="8" t="s">
        <v>388</v>
      </c>
      <c r="G49" s="8" t="s">
        <v>366</v>
      </c>
      <c r="H49" s="8" t="s">
        <v>62</v>
      </c>
      <c r="I49" s="8">
        <v>0.3</v>
      </c>
      <c r="J49" s="8">
        <v>0.1</v>
      </c>
      <c r="K49" s="8">
        <v>0.4</v>
      </c>
      <c r="L49" s="8" t="s">
        <v>261</v>
      </c>
      <c r="M49" s="8"/>
      <c r="N49" s="8"/>
      <c r="O49" s="8" t="s">
        <v>457</v>
      </c>
    </row>
    <row r="50" spans="1:15" x14ac:dyDescent="0.25">
      <c r="A50" s="8" t="s">
        <v>78</v>
      </c>
      <c r="B50" s="8" t="s">
        <v>258</v>
      </c>
      <c r="C50" s="8" t="str">
        <f t="shared" si="3"/>
        <v>HBV treatment uptake</v>
      </c>
      <c r="D50" s="8" t="s">
        <v>150</v>
      </c>
      <c r="E50" s="8" t="s">
        <v>391</v>
      </c>
      <c r="F50" s="8" t="s">
        <v>393</v>
      </c>
      <c r="G50" s="8" t="s">
        <v>367</v>
      </c>
      <c r="H50" s="8" t="s">
        <v>70</v>
      </c>
      <c r="I50" s="8">
        <v>0.7</v>
      </c>
      <c r="J50" s="8">
        <v>0.5</v>
      </c>
      <c r="K50" s="8">
        <v>0.9</v>
      </c>
      <c r="L50" s="8" t="s">
        <v>261</v>
      </c>
      <c r="M50" s="8"/>
      <c r="N50" s="8"/>
      <c r="O50" s="8" t="s">
        <v>457</v>
      </c>
    </row>
    <row r="51" spans="1:15" x14ac:dyDescent="0.25">
      <c r="A51" s="23" t="s">
        <v>77</v>
      </c>
      <c r="B51" s="4" t="s">
        <v>259</v>
      </c>
      <c r="C51" s="4" t="str">
        <f t="shared" ref="C51:C62" si="4">A51&amp;" "&amp;LOWER(B51)</f>
        <v>HCV natural history</v>
      </c>
      <c r="D51" s="23" t="s">
        <v>150</v>
      </c>
      <c r="E51" s="4" t="s">
        <v>371</v>
      </c>
      <c r="F51" s="4" t="s">
        <v>328</v>
      </c>
      <c r="G51" s="23" t="s">
        <v>369</v>
      </c>
      <c r="H51" s="23" t="s">
        <v>64</v>
      </c>
      <c r="I51" s="23">
        <v>0.31</v>
      </c>
      <c r="J51" s="23">
        <v>0.15</v>
      </c>
      <c r="K51" s="23">
        <v>0.4</v>
      </c>
      <c r="L51" s="23" t="s">
        <v>261</v>
      </c>
      <c r="M51" s="23"/>
      <c r="N51" s="23"/>
      <c r="O51" s="23" t="s">
        <v>458</v>
      </c>
    </row>
    <row r="52" spans="1:15" x14ac:dyDescent="0.25">
      <c r="A52" s="23" t="s">
        <v>77</v>
      </c>
      <c r="B52" s="4" t="s">
        <v>259</v>
      </c>
      <c r="C52" s="4" t="str">
        <f t="shared" si="4"/>
        <v>HCV natural history</v>
      </c>
      <c r="D52" s="23" t="s">
        <v>150</v>
      </c>
      <c r="E52" s="4" t="s">
        <v>371</v>
      </c>
      <c r="F52" s="4" t="s">
        <v>395</v>
      </c>
      <c r="G52" s="23" t="s">
        <v>369</v>
      </c>
      <c r="H52" s="23" t="s">
        <v>368</v>
      </c>
      <c r="I52" s="23" t="s">
        <v>60</v>
      </c>
      <c r="J52" s="23"/>
      <c r="K52" s="23"/>
      <c r="L52" s="23"/>
      <c r="M52" s="23"/>
      <c r="N52" s="23"/>
      <c r="O52" s="23"/>
    </row>
    <row r="53" spans="1:15" x14ac:dyDescent="0.25">
      <c r="A53" s="23" t="s">
        <v>77</v>
      </c>
      <c r="B53" s="4" t="s">
        <v>259</v>
      </c>
      <c r="C53" s="4" t="str">
        <f t="shared" si="4"/>
        <v>HCV natural history</v>
      </c>
      <c r="D53" s="23" t="s">
        <v>150</v>
      </c>
      <c r="E53" s="4" t="s">
        <v>328</v>
      </c>
      <c r="F53" s="4" t="s">
        <v>328</v>
      </c>
      <c r="G53" s="23" t="s">
        <v>64</v>
      </c>
      <c r="H53" s="23" t="s">
        <v>64</v>
      </c>
      <c r="I53" s="23">
        <v>1</v>
      </c>
      <c r="J53" s="23"/>
      <c r="K53" s="23"/>
      <c r="L53" s="23"/>
      <c r="M53" s="23"/>
      <c r="N53" s="23"/>
      <c r="O53" s="23"/>
    </row>
    <row r="54" spans="1:15" x14ac:dyDescent="0.25">
      <c r="A54" s="4" t="s">
        <v>77</v>
      </c>
      <c r="B54" s="4" t="s">
        <v>259</v>
      </c>
      <c r="C54" s="4" t="str">
        <f t="shared" si="4"/>
        <v>HCV natural history</v>
      </c>
      <c r="D54" s="4" t="s">
        <v>150</v>
      </c>
      <c r="E54" s="4" t="s">
        <v>395</v>
      </c>
      <c r="F54" s="4" t="s">
        <v>387</v>
      </c>
      <c r="G54" s="4" t="s">
        <v>368</v>
      </c>
      <c r="H54" s="4" t="s">
        <v>366</v>
      </c>
      <c r="I54" s="4">
        <v>1.0999999999999999E-2</v>
      </c>
      <c r="J54" s="4">
        <v>5.0000000000000001E-3</v>
      </c>
      <c r="K54" s="4">
        <v>1.7999999999999999E-2</v>
      </c>
      <c r="L54" s="4" t="s">
        <v>261</v>
      </c>
      <c r="M54" s="4"/>
      <c r="N54" s="4"/>
      <c r="O54" s="4" t="s">
        <v>625</v>
      </c>
    </row>
    <row r="55" spans="1:15" x14ac:dyDescent="0.25">
      <c r="A55" s="4" t="s">
        <v>77</v>
      </c>
      <c r="B55" s="4" t="s">
        <v>259</v>
      </c>
      <c r="C55" s="4" t="str">
        <f t="shared" si="4"/>
        <v>HCV natural history</v>
      </c>
      <c r="D55" s="4" t="s">
        <v>150</v>
      </c>
      <c r="E55" s="4" t="s">
        <v>395</v>
      </c>
      <c r="F55" s="4" t="s">
        <v>395</v>
      </c>
      <c r="G55" s="4" t="s">
        <v>368</v>
      </c>
      <c r="H55" s="4" t="s">
        <v>368</v>
      </c>
      <c r="I55" s="4" t="s">
        <v>60</v>
      </c>
      <c r="J55" s="4"/>
      <c r="K55" s="4"/>
      <c r="L55" s="4"/>
      <c r="M55" s="4"/>
      <c r="N55" s="4"/>
      <c r="O55" s="4"/>
    </row>
    <row r="56" spans="1:15" x14ac:dyDescent="0.25">
      <c r="A56" s="4" t="s">
        <v>77</v>
      </c>
      <c r="B56" s="4" t="s">
        <v>259</v>
      </c>
      <c r="C56" s="4" t="str">
        <f t="shared" si="4"/>
        <v>HCV natural history</v>
      </c>
      <c r="D56" s="4" t="s">
        <v>150</v>
      </c>
      <c r="E56" s="4" t="s">
        <v>396</v>
      </c>
      <c r="F56" s="4" t="s">
        <v>400</v>
      </c>
      <c r="G56" s="4" t="s">
        <v>364</v>
      </c>
      <c r="H56" s="4" t="s">
        <v>365</v>
      </c>
      <c r="I56" s="4">
        <v>1.0999999999999999E-2</v>
      </c>
      <c r="J56" s="4">
        <v>5.0000000000000001E-3</v>
      </c>
      <c r="K56" s="4">
        <v>1.7999999999999999E-2</v>
      </c>
      <c r="L56" s="4" t="s">
        <v>261</v>
      </c>
      <c r="M56" s="4"/>
      <c r="N56" s="4"/>
      <c r="O56" s="4" t="s">
        <v>625</v>
      </c>
    </row>
    <row r="57" spans="1:15" x14ac:dyDescent="0.25">
      <c r="A57" s="4" t="s">
        <v>77</v>
      </c>
      <c r="B57" s="4" t="s">
        <v>259</v>
      </c>
      <c r="C57" s="4" t="str">
        <f t="shared" si="4"/>
        <v>HCV natural history</v>
      </c>
      <c r="D57" s="4" t="s">
        <v>150</v>
      </c>
      <c r="E57" s="4" t="s">
        <v>396</v>
      </c>
      <c r="F57" s="4" t="s">
        <v>396</v>
      </c>
      <c r="G57" s="4" t="s">
        <v>364</v>
      </c>
      <c r="H57" s="4" t="s">
        <v>364</v>
      </c>
      <c r="I57" s="4" t="s">
        <v>60</v>
      </c>
      <c r="J57" s="4"/>
      <c r="K57" s="4"/>
      <c r="L57" s="4"/>
      <c r="M57" s="4"/>
      <c r="N57" s="4"/>
      <c r="O57" s="4"/>
    </row>
    <row r="58" spans="1:15" x14ac:dyDescent="0.25">
      <c r="A58" s="4" t="s">
        <v>77</v>
      </c>
      <c r="B58" s="4" t="s">
        <v>259</v>
      </c>
      <c r="C58" s="4" t="str">
        <f t="shared" si="4"/>
        <v>HCV natural history</v>
      </c>
      <c r="D58" s="4" t="s">
        <v>150</v>
      </c>
      <c r="E58" s="4" t="s">
        <v>387</v>
      </c>
      <c r="F58" s="4" t="s">
        <v>391</v>
      </c>
      <c r="G58" s="4" t="s">
        <v>366</v>
      </c>
      <c r="H58" s="4" t="s">
        <v>367</v>
      </c>
      <c r="I58" s="4">
        <v>6.4000000000000001E-2</v>
      </c>
      <c r="J58" s="4">
        <v>0.03</v>
      </c>
      <c r="K58" s="4">
        <v>7.0000000000000007E-2</v>
      </c>
      <c r="L58" s="4" t="s">
        <v>261</v>
      </c>
      <c r="M58" s="4"/>
      <c r="N58" s="4"/>
      <c r="O58" s="4" t="s">
        <v>625</v>
      </c>
    </row>
    <row r="59" spans="1:15" x14ac:dyDescent="0.25">
      <c r="A59" s="4" t="s">
        <v>77</v>
      </c>
      <c r="B59" s="4" t="s">
        <v>259</v>
      </c>
      <c r="C59" s="4" t="str">
        <f t="shared" si="4"/>
        <v>HCV natural history</v>
      </c>
      <c r="D59" s="4" t="s">
        <v>150</v>
      </c>
      <c r="E59" s="4" t="s">
        <v>387</v>
      </c>
      <c r="F59" s="4" t="s">
        <v>327</v>
      </c>
      <c r="G59" s="4" t="s">
        <v>366</v>
      </c>
      <c r="H59" s="4" t="s">
        <v>31</v>
      </c>
      <c r="I59" s="4">
        <v>3.5999999999999997E-2</v>
      </c>
      <c r="J59" s="4">
        <v>1.4999999999999999E-2</v>
      </c>
      <c r="K59" s="4">
        <v>0.04</v>
      </c>
      <c r="L59" s="4" t="s">
        <v>261</v>
      </c>
      <c r="M59" s="4"/>
      <c r="N59" s="4"/>
      <c r="O59" s="4" t="s">
        <v>625</v>
      </c>
    </row>
    <row r="60" spans="1:15" x14ac:dyDescent="0.25">
      <c r="A60" s="4" t="s">
        <v>77</v>
      </c>
      <c r="B60" s="4" t="s">
        <v>259</v>
      </c>
      <c r="C60" s="4" t="str">
        <f t="shared" si="4"/>
        <v>HCV natural history</v>
      </c>
      <c r="D60" s="4" t="s">
        <v>150</v>
      </c>
      <c r="E60" s="4" t="s">
        <v>387</v>
      </c>
      <c r="F60" s="4" t="s">
        <v>387</v>
      </c>
      <c r="G60" s="4" t="s">
        <v>366</v>
      </c>
      <c r="H60" s="4" t="s">
        <v>366</v>
      </c>
      <c r="I60" s="4" t="s">
        <v>60</v>
      </c>
      <c r="J60" s="4"/>
      <c r="K60" s="4"/>
      <c r="L60" s="4"/>
      <c r="M60" s="4"/>
      <c r="N60" s="4"/>
      <c r="O60" s="4"/>
    </row>
    <row r="61" spans="1:15" x14ac:dyDescent="0.25">
      <c r="A61" s="4" t="s">
        <v>77</v>
      </c>
      <c r="B61" s="4" t="s">
        <v>259</v>
      </c>
      <c r="C61" s="4" t="str">
        <f t="shared" si="4"/>
        <v>HCV natural history</v>
      </c>
      <c r="D61" s="4" t="s">
        <v>150</v>
      </c>
      <c r="E61" s="4" t="s">
        <v>400</v>
      </c>
      <c r="F61" s="4" t="s">
        <v>399</v>
      </c>
      <c r="G61" s="4" t="s">
        <v>365</v>
      </c>
      <c r="H61" s="4" t="s">
        <v>370</v>
      </c>
      <c r="I61" s="4">
        <v>6.4000000000000001E-2</v>
      </c>
      <c r="J61" s="4">
        <v>0.03</v>
      </c>
      <c r="K61" s="4">
        <v>7.0000000000000007E-2</v>
      </c>
      <c r="L61" s="4" t="s">
        <v>261</v>
      </c>
      <c r="M61" s="4"/>
      <c r="N61" s="4"/>
      <c r="O61" s="4" t="s">
        <v>625</v>
      </c>
    </row>
    <row r="62" spans="1:15" x14ac:dyDescent="0.25">
      <c r="A62" s="4" t="s">
        <v>77</v>
      </c>
      <c r="B62" s="4" t="s">
        <v>259</v>
      </c>
      <c r="C62" s="4" t="str">
        <f t="shared" si="4"/>
        <v>HCV natural history</v>
      </c>
      <c r="D62" s="4" t="s">
        <v>150</v>
      </c>
      <c r="E62" s="4" t="s">
        <v>400</v>
      </c>
      <c r="F62" s="4" t="s">
        <v>327</v>
      </c>
      <c r="G62" s="4" t="s">
        <v>365</v>
      </c>
      <c r="H62" s="4" t="s">
        <v>31</v>
      </c>
      <c r="I62" s="4">
        <v>3.5999999999999997E-2</v>
      </c>
      <c r="J62" s="4">
        <v>1.4999999999999999E-2</v>
      </c>
      <c r="K62" s="4">
        <v>0.04</v>
      </c>
      <c r="L62" s="4" t="s">
        <v>261</v>
      </c>
      <c r="M62" s="4"/>
      <c r="N62" s="4"/>
      <c r="O62" s="4" t="s">
        <v>625</v>
      </c>
    </row>
    <row r="63" spans="1:15" x14ac:dyDescent="0.25">
      <c r="A63" s="4" t="s">
        <v>77</v>
      </c>
      <c r="B63" s="4" t="s">
        <v>259</v>
      </c>
      <c r="C63" s="4" t="str">
        <f t="shared" ref="C63:C68" si="5">A63&amp;" "&amp;LOWER(B63)</f>
        <v>HCV natural history</v>
      </c>
      <c r="D63" s="4" t="s">
        <v>150</v>
      </c>
      <c r="E63" s="4" t="s">
        <v>400</v>
      </c>
      <c r="F63" s="4" t="s">
        <v>400</v>
      </c>
      <c r="G63" s="4" t="s">
        <v>365</v>
      </c>
      <c r="H63" s="4" t="s">
        <v>365</v>
      </c>
      <c r="I63" s="4" t="s">
        <v>60</v>
      </c>
      <c r="J63" s="4"/>
      <c r="K63" s="4"/>
      <c r="L63" s="4"/>
      <c r="M63" s="4"/>
      <c r="N63" s="4"/>
      <c r="O63" s="4"/>
    </row>
    <row r="64" spans="1:15" x14ac:dyDescent="0.25">
      <c r="A64" s="4" t="s">
        <v>77</v>
      </c>
      <c r="B64" s="4" t="s">
        <v>259</v>
      </c>
      <c r="C64" s="4" t="str">
        <f t="shared" si="5"/>
        <v>HCV natural history</v>
      </c>
      <c r="D64" s="4" t="s">
        <v>150</v>
      </c>
      <c r="E64" s="4" t="s">
        <v>391</v>
      </c>
      <c r="F64" s="4" t="s">
        <v>327</v>
      </c>
      <c r="G64" s="4" t="s">
        <v>367</v>
      </c>
      <c r="H64" s="4" t="s">
        <v>31</v>
      </c>
      <c r="I64" s="4">
        <v>6.8000000000000005E-2</v>
      </c>
      <c r="J64" s="4">
        <v>4.1000000000000002E-2</v>
      </c>
      <c r="K64" s="4">
        <v>9.9000000000000005E-2</v>
      </c>
      <c r="L64" s="4" t="s">
        <v>261</v>
      </c>
      <c r="M64" s="4"/>
      <c r="N64" s="4"/>
      <c r="O64" s="4" t="s">
        <v>625</v>
      </c>
    </row>
    <row r="65" spans="1:15" x14ac:dyDescent="0.25">
      <c r="A65" s="4" t="s">
        <v>77</v>
      </c>
      <c r="B65" s="4" t="s">
        <v>259</v>
      </c>
      <c r="C65" s="4" t="str">
        <f t="shared" si="5"/>
        <v>HCV natural history</v>
      </c>
      <c r="D65" s="4" t="s">
        <v>150</v>
      </c>
      <c r="E65" s="4" t="s">
        <v>391</v>
      </c>
      <c r="F65" s="4" t="s">
        <v>330</v>
      </c>
      <c r="G65" s="4" t="s">
        <v>367</v>
      </c>
      <c r="H65" s="4" t="s">
        <v>63</v>
      </c>
      <c r="I65" s="4">
        <v>0.16800000000000001</v>
      </c>
      <c r="J65" s="4">
        <v>0.12</v>
      </c>
      <c r="K65" s="4">
        <v>0.4</v>
      </c>
      <c r="L65" s="4" t="s">
        <v>261</v>
      </c>
      <c r="M65" s="4"/>
      <c r="N65" s="4"/>
      <c r="O65" s="4" t="s">
        <v>625</v>
      </c>
    </row>
    <row r="66" spans="1:15" x14ac:dyDescent="0.25">
      <c r="A66" s="4" t="s">
        <v>77</v>
      </c>
      <c r="B66" s="4" t="s">
        <v>259</v>
      </c>
      <c r="C66" s="4" t="str">
        <f t="shared" si="5"/>
        <v>HCV natural history</v>
      </c>
      <c r="D66" s="4" t="s">
        <v>150</v>
      </c>
      <c r="E66" s="4" t="s">
        <v>391</v>
      </c>
      <c r="F66" s="4" t="s">
        <v>391</v>
      </c>
      <c r="G66" s="4" t="s">
        <v>367</v>
      </c>
      <c r="H66" s="4" t="s">
        <v>367</v>
      </c>
      <c r="I66" s="4" t="s">
        <v>60</v>
      </c>
      <c r="J66" s="4"/>
      <c r="K66" s="4"/>
      <c r="L66" s="4"/>
      <c r="M66" s="4"/>
      <c r="N66" s="4"/>
      <c r="O66" s="4"/>
    </row>
    <row r="67" spans="1:15" x14ac:dyDescent="0.25">
      <c r="A67" s="4" t="s">
        <v>77</v>
      </c>
      <c r="B67" s="4" t="s">
        <v>259</v>
      </c>
      <c r="C67" s="4" t="str">
        <f t="shared" si="5"/>
        <v>HCV natural history</v>
      </c>
      <c r="D67" s="4" t="s">
        <v>150</v>
      </c>
      <c r="E67" s="4" t="s">
        <v>399</v>
      </c>
      <c r="F67" s="4" t="s">
        <v>327</v>
      </c>
      <c r="G67" s="4" t="s">
        <v>370</v>
      </c>
      <c r="H67" s="4" t="s">
        <v>31</v>
      </c>
      <c r="I67" s="4">
        <v>6.8000000000000005E-2</v>
      </c>
      <c r="J67" s="4">
        <v>4.1000000000000002E-2</v>
      </c>
      <c r="K67" s="4">
        <v>9.9000000000000005E-2</v>
      </c>
      <c r="L67" s="4" t="s">
        <v>261</v>
      </c>
      <c r="M67" s="4"/>
      <c r="N67" s="4"/>
      <c r="O67" s="4" t="s">
        <v>625</v>
      </c>
    </row>
    <row r="68" spans="1:15" x14ac:dyDescent="0.25">
      <c r="A68" s="4" t="s">
        <v>77</v>
      </c>
      <c r="B68" s="4" t="s">
        <v>259</v>
      </c>
      <c r="C68" s="4" t="str">
        <f t="shared" si="5"/>
        <v>HCV natural history</v>
      </c>
      <c r="D68" s="4" t="s">
        <v>150</v>
      </c>
      <c r="E68" s="4" t="s">
        <v>399</v>
      </c>
      <c r="F68" s="4" t="s">
        <v>330</v>
      </c>
      <c r="G68" s="4" t="s">
        <v>370</v>
      </c>
      <c r="H68" s="4" t="s">
        <v>63</v>
      </c>
      <c r="I68" s="4">
        <v>0.16800000000000001</v>
      </c>
      <c r="J68" s="4">
        <v>0.12</v>
      </c>
      <c r="K68" s="4">
        <v>0.4</v>
      </c>
      <c r="L68" s="4" t="s">
        <v>261</v>
      </c>
      <c r="M68" s="4"/>
      <c r="N68" s="4"/>
      <c r="O68" s="4" t="s">
        <v>625</v>
      </c>
    </row>
    <row r="69" spans="1:15" x14ac:dyDescent="0.25">
      <c r="A69" s="4" t="s">
        <v>77</v>
      </c>
      <c r="B69" s="4" t="s">
        <v>259</v>
      </c>
      <c r="C69" s="4" t="str">
        <f>A69&amp;" "&amp;LOWER(B69)</f>
        <v>HCV natural history</v>
      </c>
      <c r="D69" s="4" t="s">
        <v>150</v>
      </c>
      <c r="E69" s="4" t="s">
        <v>399</v>
      </c>
      <c r="F69" s="4" t="s">
        <v>399</v>
      </c>
      <c r="G69" s="4" t="s">
        <v>370</v>
      </c>
      <c r="H69" s="4" t="s">
        <v>370</v>
      </c>
      <c r="I69" s="4" t="s">
        <v>60</v>
      </c>
      <c r="J69" s="4"/>
      <c r="K69" s="4"/>
      <c r="L69" s="4"/>
      <c r="M69" s="4"/>
      <c r="N69" s="4"/>
      <c r="O69" s="4"/>
    </row>
    <row r="70" spans="1:15" x14ac:dyDescent="0.25">
      <c r="A70" s="4" t="s">
        <v>77</v>
      </c>
      <c r="B70" s="4" t="s">
        <v>259</v>
      </c>
      <c r="C70" s="4" t="str">
        <f>A70&amp;" "&amp;LOWER(B70)</f>
        <v>HCV natural history</v>
      </c>
      <c r="D70" s="4" t="s">
        <v>150</v>
      </c>
      <c r="E70" s="4" t="s">
        <v>327</v>
      </c>
      <c r="F70" s="4" t="s">
        <v>330</v>
      </c>
      <c r="G70" s="4" t="s">
        <v>31</v>
      </c>
      <c r="H70" s="4" t="s">
        <v>63</v>
      </c>
      <c r="I70" s="4">
        <v>0.60499999999999998</v>
      </c>
      <c r="J70" s="4">
        <v>0.3</v>
      </c>
      <c r="K70" s="4">
        <v>0.8</v>
      </c>
      <c r="L70" s="4" t="s">
        <v>261</v>
      </c>
      <c r="M70" s="4"/>
      <c r="N70" s="4"/>
      <c r="O70" s="4" t="s">
        <v>625</v>
      </c>
    </row>
    <row r="71" spans="1:15" x14ac:dyDescent="0.25">
      <c r="A71" s="4" t="s">
        <v>77</v>
      </c>
      <c r="B71" s="4" t="s">
        <v>259</v>
      </c>
      <c r="C71" s="4" t="str">
        <f>A71&amp;" "&amp;LOWER(B71)</f>
        <v>HCV natural history</v>
      </c>
      <c r="D71" s="4" t="s">
        <v>150</v>
      </c>
      <c r="E71" s="4" t="s">
        <v>327</v>
      </c>
      <c r="F71" s="4" t="s">
        <v>327</v>
      </c>
      <c r="G71" s="4" t="s">
        <v>31</v>
      </c>
      <c r="H71" s="4" t="s">
        <v>31</v>
      </c>
      <c r="I71" s="4" t="s">
        <v>60</v>
      </c>
      <c r="J71" s="4"/>
      <c r="K71" s="4"/>
      <c r="L71" s="4"/>
      <c r="M71" s="4"/>
      <c r="N71" s="4"/>
      <c r="O71" s="4"/>
    </row>
    <row r="72" spans="1:15" x14ac:dyDescent="0.25">
      <c r="A72" s="4" t="s">
        <v>77</v>
      </c>
      <c r="B72" s="4" t="s">
        <v>259</v>
      </c>
      <c r="C72" s="4" t="str">
        <f>A72&amp;" "&amp;LOWER(B72)</f>
        <v>HCV natural history</v>
      </c>
      <c r="D72" s="4" t="s">
        <v>150</v>
      </c>
      <c r="E72" s="4" t="s">
        <v>330</v>
      </c>
      <c r="F72" s="4" t="s">
        <v>330</v>
      </c>
      <c r="G72" s="4" t="s">
        <v>63</v>
      </c>
      <c r="H72" s="4" t="s">
        <v>63</v>
      </c>
      <c r="I72" s="4">
        <v>1</v>
      </c>
      <c r="J72" s="4"/>
      <c r="K72" s="4"/>
      <c r="L72" s="4"/>
      <c r="M72" s="4"/>
      <c r="N72" s="4"/>
      <c r="O72" s="4" t="s">
        <v>625</v>
      </c>
    </row>
    <row r="73" spans="1:15" x14ac:dyDescent="0.25">
      <c r="A73" s="55" t="s">
        <v>77</v>
      </c>
      <c r="B73" s="55" t="s">
        <v>260</v>
      </c>
      <c r="C73" s="55" t="str">
        <f t="shared" ref="C73:C85" si="6">A73&amp;" "&amp;LOWER(B73)</f>
        <v>HCV treatment effectiveness</v>
      </c>
      <c r="D73" s="55" t="s">
        <v>150</v>
      </c>
      <c r="E73" s="55" t="s">
        <v>394</v>
      </c>
      <c r="F73" s="55" t="s">
        <v>397</v>
      </c>
      <c r="G73" s="55" t="s">
        <v>255</v>
      </c>
      <c r="H73" s="55" t="s">
        <v>64</v>
      </c>
      <c r="I73" s="55">
        <v>0.95</v>
      </c>
      <c r="J73" s="55">
        <v>0.9</v>
      </c>
      <c r="K73" s="55">
        <v>0.99</v>
      </c>
      <c r="L73" s="55" t="s">
        <v>261</v>
      </c>
      <c r="M73" s="55"/>
      <c r="N73" s="55"/>
      <c r="O73" s="55" t="s">
        <v>625</v>
      </c>
    </row>
    <row r="74" spans="1:15" x14ac:dyDescent="0.25">
      <c r="A74" s="50" t="s">
        <v>77</v>
      </c>
      <c r="B74" s="50" t="s">
        <v>260</v>
      </c>
      <c r="C74" s="50" t="str">
        <f t="shared" si="6"/>
        <v>HCV treatment effectiveness</v>
      </c>
      <c r="D74" s="50" t="s">
        <v>150</v>
      </c>
      <c r="E74" s="50" t="s">
        <v>394</v>
      </c>
      <c r="F74" s="50" t="s">
        <v>396</v>
      </c>
      <c r="G74" s="50" t="s">
        <v>255</v>
      </c>
      <c r="H74" s="50" t="s">
        <v>364</v>
      </c>
      <c r="I74" s="50" t="s">
        <v>60</v>
      </c>
      <c r="J74" s="50"/>
      <c r="K74" s="50"/>
      <c r="L74" s="50"/>
      <c r="M74" s="50"/>
      <c r="N74" s="50"/>
      <c r="O74" s="50"/>
    </row>
    <row r="75" spans="1:15" x14ac:dyDescent="0.25">
      <c r="A75" s="50" t="s">
        <v>77</v>
      </c>
      <c r="B75" s="50" t="s">
        <v>260</v>
      </c>
      <c r="C75" s="50" t="str">
        <f t="shared" si="6"/>
        <v>HCV treatment effectiveness</v>
      </c>
      <c r="D75" s="50" t="s">
        <v>150</v>
      </c>
      <c r="E75" s="50" t="s">
        <v>398</v>
      </c>
      <c r="F75" s="50" t="s">
        <v>328</v>
      </c>
      <c r="G75" s="50" t="s">
        <v>61</v>
      </c>
      <c r="H75" s="50" t="s">
        <v>64</v>
      </c>
      <c r="I75" s="50">
        <v>0.95</v>
      </c>
      <c r="J75" s="50">
        <v>0.9</v>
      </c>
      <c r="K75" s="50">
        <v>0.99</v>
      </c>
      <c r="L75" s="50" t="s">
        <v>261</v>
      </c>
      <c r="M75" s="50"/>
      <c r="N75" s="50"/>
      <c r="O75" s="50" t="s">
        <v>625</v>
      </c>
    </row>
    <row r="76" spans="1:15" x14ac:dyDescent="0.25">
      <c r="A76" s="50" t="s">
        <v>77</v>
      </c>
      <c r="B76" s="50" t="s">
        <v>260</v>
      </c>
      <c r="C76" s="50" t="str">
        <f t="shared" si="6"/>
        <v>HCV treatment effectiveness</v>
      </c>
      <c r="D76" s="50" t="s">
        <v>150</v>
      </c>
      <c r="E76" s="50" t="s">
        <v>398</v>
      </c>
      <c r="F76" s="50" t="s">
        <v>396</v>
      </c>
      <c r="G76" s="50" t="s">
        <v>61</v>
      </c>
      <c r="H76" s="50" t="s">
        <v>364</v>
      </c>
      <c r="I76" s="50" t="s">
        <v>60</v>
      </c>
      <c r="J76" s="50"/>
      <c r="K76" s="50"/>
      <c r="L76" s="50"/>
      <c r="M76" s="50"/>
      <c r="N76" s="50"/>
      <c r="O76" s="50"/>
    </row>
    <row r="77" spans="1:15" x14ac:dyDescent="0.25">
      <c r="A77" s="50" t="s">
        <v>77</v>
      </c>
      <c r="B77" s="50" t="s">
        <v>260</v>
      </c>
      <c r="C77" s="50" t="str">
        <f t="shared" si="6"/>
        <v>HCV treatment effectiveness</v>
      </c>
      <c r="D77" s="50" t="s">
        <v>150</v>
      </c>
      <c r="E77" s="50" t="s">
        <v>388</v>
      </c>
      <c r="F77" s="50" t="s">
        <v>328</v>
      </c>
      <c r="G77" s="50" t="s">
        <v>62</v>
      </c>
      <c r="H77" s="50" t="s">
        <v>64</v>
      </c>
      <c r="I77" s="50">
        <v>0.95</v>
      </c>
      <c r="J77" s="50">
        <v>0.9</v>
      </c>
      <c r="K77" s="50">
        <v>0.99</v>
      </c>
      <c r="L77" s="50" t="s">
        <v>261</v>
      </c>
      <c r="M77" s="50"/>
      <c r="N77" s="50"/>
      <c r="O77" s="50" t="s">
        <v>625</v>
      </c>
    </row>
    <row r="78" spans="1:15" x14ac:dyDescent="0.25">
      <c r="A78" s="50" t="s">
        <v>77</v>
      </c>
      <c r="B78" s="50" t="s">
        <v>260</v>
      </c>
      <c r="C78" s="50" t="str">
        <f t="shared" si="6"/>
        <v>HCV treatment effectiveness</v>
      </c>
      <c r="D78" s="50" t="s">
        <v>150</v>
      </c>
      <c r="E78" s="50" t="s">
        <v>388</v>
      </c>
      <c r="F78" s="50" t="s">
        <v>400</v>
      </c>
      <c r="G78" s="50" t="s">
        <v>62</v>
      </c>
      <c r="H78" s="50" t="s">
        <v>365</v>
      </c>
      <c r="I78" s="50" t="s">
        <v>60</v>
      </c>
      <c r="J78" s="50"/>
      <c r="K78" s="50"/>
      <c r="L78" s="50"/>
      <c r="M78" s="50"/>
      <c r="N78" s="50"/>
      <c r="O78" s="50"/>
    </row>
    <row r="79" spans="1:15" x14ac:dyDescent="0.25">
      <c r="A79" s="50" t="s">
        <v>77</v>
      </c>
      <c r="B79" s="50" t="s">
        <v>260</v>
      </c>
      <c r="C79" s="50" t="str">
        <f t="shared" si="6"/>
        <v>HCV treatment effectiveness</v>
      </c>
      <c r="D79" s="50" t="s">
        <v>150</v>
      </c>
      <c r="E79" s="50" t="s">
        <v>393</v>
      </c>
      <c r="F79" s="50" t="s">
        <v>328</v>
      </c>
      <c r="G79" s="50" t="s">
        <v>70</v>
      </c>
      <c r="H79" s="50" t="s">
        <v>64</v>
      </c>
      <c r="I79" s="50">
        <v>0.95</v>
      </c>
      <c r="J79" s="50">
        <v>0.9</v>
      </c>
      <c r="K79" s="50">
        <v>0.99</v>
      </c>
      <c r="L79" s="50" t="s">
        <v>261</v>
      </c>
      <c r="M79" s="50"/>
      <c r="N79" s="50"/>
      <c r="O79" s="50" t="s">
        <v>625</v>
      </c>
    </row>
    <row r="80" spans="1:15" x14ac:dyDescent="0.25">
      <c r="A80" s="50" t="s">
        <v>77</v>
      </c>
      <c r="B80" s="50" t="s">
        <v>260</v>
      </c>
      <c r="C80" s="50" t="str">
        <f t="shared" si="6"/>
        <v>HCV treatment effectiveness</v>
      </c>
      <c r="D80" s="50" t="s">
        <v>150</v>
      </c>
      <c r="E80" s="50" t="s">
        <v>393</v>
      </c>
      <c r="F80" s="50" t="s">
        <v>399</v>
      </c>
      <c r="G80" s="50" t="s">
        <v>70</v>
      </c>
      <c r="H80" s="50" t="s">
        <v>370</v>
      </c>
      <c r="I80" s="50" t="s">
        <v>60</v>
      </c>
      <c r="J80" s="50"/>
      <c r="K80" s="50"/>
      <c r="L80" s="50"/>
      <c r="M80" s="50"/>
      <c r="N80" s="50"/>
      <c r="O80" s="50"/>
    </row>
    <row r="81" spans="1:16" x14ac:dyDescent="0.25">
      <c r="A81" s="8" t="s">
        <v>77</v>
      </c>
      <c r="B81" s="8" t="s">
        <v>258</v>
      </c>
      <c r="C81" s="8" t="str">
        <f>A81&amp;" "&amp;LOWER(B81)</f>
        <v>HCV treatment uptake</v>
      </c>
      <c r="D81" s="8" t="s">
        <v>150</v>
      </c>
      <c r="E81" s="8" t="s">
        <v>23</v>
      </c>
      <c r="F81" s="8" t="s">
        <v>394</v>
      </c>
      <c r="G81" s="8" t="s">
        <v>73</v>
      </c>
      <c r="H81" s="8" t="s">
        <v>255</v>
      </c>
      <c r="I81" s="8">
        <v>0.1</v>
      </c>
      <c r="J81" s="8">
        <v>0</v>
      </c>
      <c r="K81" s="8">
        <v>0.25</v>
      </c>
      <c r="L81" s="8" t="s">
        <v>261</v>
      </c>
      <c r="M81" s="8"/>
      <c r="N81" s="8"/>
      <c r="O81" s="8" t="s">
        <v>457</v>
      </c>
    </row>
    <row r="82" spans="1:16" x14ac:dyDescent="0.25">
      <c r="A82" s="8" t="s">
        <v>77</v>
      </c>
      <c r="B82" s="8" t="s">
        <v>258</v>
      </c>
      <c r="C82" s="8" t="str">
        <f>A82&amp;" "&amp;LOWER(B82)</f>
        <v>HCV treatment uptake</v>
      </c>
      <c r="D82" s="8" t="s">
        <v>150</v>
      </c>
      <c r="E82" s="8" t="s">
        <v>23</v>
      </c>
      <c r="F82" s="8" t="s">
        <v>371</v>
      </c>
      <c r="G82" s="8" t="s">
        <v>73</v>
      </c>
      <c r="H82" s="8" t="s">
        <v>369</v>
      </c>
      <c r="I82" s="8" t="s">
        <v>60</v>
      </c>
      <c r="J82" s="8"/>
      <c r="K82" s="8"/>
      <c r="L82" s="8"/>
      <c r="M82" s="8"/>
      <c r="N82" s="8"/>
      <c r="O82" s="8"/>
    </row>
    <row r="83" spans="1:16" x14ac:dyDescent="0.25">
      <c r="A83" s="8" t="s">
        <v>77</v>
      </c>
      <c r="B83" s="8" t="s">
        <v>258</v>
      </c>
      <c r="C83" s="8" t="str">
        <f t="shared" si="6"/>
        <v>HCV treatment uptake</v>
      </c>
      <c r="D83" s="8" t="s">
        <v>150</v>
      </c>
      <c r="E83" s="8" t="s">
        <v>395</v>
      </c>
      <c r="F83" s="8" t="s">
        <v>398</v>
      </c>
      <c r="G83" s="8" t="s">
        <v>368</v>
      </c>
      <c r="H83" s="8" t="s">
        <v>61</v>
      </c>
      <c r="I83" s="8">
        <v>0.1</v>
      </c>
      <c r="J83" s="8">
        <v>0.05</v>
      </c>
      <c r="K83" s="8">
        <v>0.3</v>
      </c>
      <c r="L83" s="8" t="s">
        <v>261</v>
      </c>
      <c r="M83" s="8"/>
      <c r="N83" s="8"/>
      <c r="O83" s="8" t="s">
        <v>457</v>
      </c>
    </row>
    <row r="84" spans="1:16" x14ac:dyDescent="0.25">
      <c r="A84" s="8" t="s">
        <v>77</v>
      </c>
      <c r="B84" s="8" t="s">
        <v>258</v>
      </c>
      <c r="C84" s="8" t="str">
        <f t="shared" si="6"/>
        <v>HCV treatment uptake</v>
      </c>
      <c r="D84" s="8" t="s">
        <v>150</v>
      </c>
      <c r="E84" s="8" t="s">
        <v>387</v>
      </c>
      <c r="F84" s="8" t="s">
        <v>388</v>
      </c>
      <c r="G84" s="8" t="s">
        <v>366</v>
      </c>
      <c r="H84" s="8" t="s">
        <v>62</v>
      </c>
      <c r="I84" s="8">
        <v>0.3</v>
      </c>
      <c r="J84" s="8">
        <v>0.1</v>
      </c>
      <c r="K84" s="8">
        <v>0.4</v>
      </c>
      <c r="L84" s="8" t="s">
        <v>261</v>
      </c>
      <c r="M84" s="8"/>
      <c r="N84" s="8"/>
      <c r="O84" s="8" t="s">
        <v>457</v>
      </c>
    </row>
    <row r="85" spans="1:16" x14ac:dyDescent="0.25">
      <c r="A85" s="8" t="s">
        <v>77</v>
      </c>
      <c r="B85" s="8" t="s">
        <v>258</v>
      </c>
      <c r="C85" s="8" t="str">
        <f t="shared" si="6"/>
        <v>HCV treatment uptake</v>
      </c>
      <c r="D85" s="8" t="s">
        <v>150</v>
      </c>
      <c r="E85" s="8" t="s">
        <v>391</v>
      </c>
      <c r="F85" s="8" t="s">
        <v>393</v>
      </c>
      <c r="G85" s="8" t="s">
        <v>367</v>
      </c>
      <c r="H85" s="8" t="s">
        <v>70</v>
      </c>
      <c r="I85" s="8">
        <v>0.7</v>
      </c>
      <c r="J85" s="8">
        <v>0.5</v>
      </c>
      <c r="K85" s="8">
        <v>0.9</v>
      </c>
      <c r="L85" s="8" t="s">
        <v>261</v>
      </c>
      <c r="M85" s="8"/>
      <c r="N85" s="8"/>
      <c r="O85" s="8" t="s">
        <v>457</v>
      </c>
    </row>
    <row r="86" spans="1:16" s="24" customFormat="1" x14ac:dyDescent="0.25">
      <c r="A86" s="4" t="s">
        <v>28</v>
      </c>
      <c r="B86" s="4" t="s">
        <v>259</v>
      </c>
      <c r="C86" s="4" t="str">
        <f>A86&amp;" "&amp;LOWER(B86)</f>
        <v>HIV natural history</v>
      </c>
      <c r="D86" s="23" t="s">
        <v>150</v>
      </c>
      <c r="E86" s="23" t="s">
        <v>679</v>
      </c>
      <c r="F86" s="23" t="s">
        <v>680</v>
      </c>
      <c r="G86" s="23" t="s">
        <v>469</v>
      </c>
      <c r="H86" s="23" t="s">
        <v>470</v>
      </c>
      <c r="I86" s="23">
        <v>1</v>
      </c>
      <c r="J86" s="23"/>
      <c r="K86" s="23"/>
      <c r="L86" s="23"/>
      <c r="M86" s="23"/>
      <c r="N86" s="23"/>
      <c r="O86" s="23"/>
      <c r="P86"/>
    </row>
    <row r="87" spans="1:16" s="24" customFormat="1" x14ac:dyDescent="0.25">
      <c r="A87" s="4" t="s">
        <v>28</v>
      </c>
      <c r="B87" s="4" t="s">
        <v>259</v>
      </c>
      <c r="C87" s="4" t="str">
        <f>A87&amp;" "&amp;LOWER(B87)</f>
        <v>HIV natural history</v>
      </c>
      <c r="D87" s="23" t="s">
        <v>150</v>
      </c>
      <c r="E87" s="23" t="s">
        <v>680</v>
      </c>
      <c r="F87" s="23" t="s">
        <v>681</v>
      </c>
      <c r="G87" s="23" t="s">
        <v>470</v>
      </c>
      <c r="H87" s="23" t="s">
        <v>471</v>
      </c>
      <c r="I87" s="23">
        <v>1</v>
      </c>
      <c r="J87" s="23"/>
      <c r="K87" s="23"/>
      <c r="L87" s="23"/>
      <c r="M87" s="23"/>
      <c r="N87" s="23"/>
      <c r="O87" s="23"/>
      <c r="P87"/>
    </row>
    <row r="88" spans="1:16" x14ac:dyDescent="0.25">
      <c r="A88" s="4" t="s">
        <v>28</v>
      </c>
      <c r="B88" s="4" t="s">
        <v>259</v>
      </c>
      <c r="C88" s="4" t="str">
        <f t="shared" ref="C88:C103" si="7">A88&amp;" "&amp;LOWER(B88)</f>
        <v>HIV natural history</v>
      </c>
      <c r="D88" s="4" t="s">
        <v>191</v>
      </c>
      <c r="E88" s="4" t="s">
        <v>681</v>
      </c>
      <c r="F88" s="4" t="s">
        <v>337</v>
      </c>
      <c r="G88" s="4" t="s">
        <v>471</v>
      </c>
      <c r="H88" s="4" t="s">
        <v>472</v>
      </c>
      <c r="I88" s="4">
        <v>4.2099999999999999E-2</v>
      </c>
      <c r="J88" s="4">
        <v>3.0700000000000002E-2</v>
      </c>
      <c r="K88" s="4">
        <v>5.62E-2</v>
      </c>
      <c r="L88" s="4" t="s">
        <v>261</v>
      </c>
      <c r="M88" s="4"/>
      <c r="N88" s="4"/>
      <c r="O88" s="4" t="s">
        <v>459</v>
      </c>
    </row>
    <row r="89" spans="1:16" x14ac:dyDescent="0.25">
      <c r="A89" s="4" t="s">
        <v>28</v>
      </c>
      <c r="B89" s="4" t="s">
        <v>259</v>
      </c>
      <c r="C89" s="4" t="str">
        <f t="shared" si="7"/>
        <v>HIV natural history</v>
      </c>
      <c r="D89" s="4" t="s">
        <v>154</v>
      </c>
      <c r="E89" s="4" t="s">
        <v>681</v>
      </c>
      <c r="F89" s="4" t="s">
        <v>338</v>
      </c>
      <c r="G89" s="4" t="s">
        <v>471</v>
      </c>
      <c r="H89" s="4" t="s">
        <v>472</v>
      </c>
      <c r="I89" s="4">
        <v>0.15</v>
      </c>
      <c r="J89" s="4">
        <v>0.1012</v>
      </c>
      <c r="K89" s="4">
        <v>0.2258</v>
      </c>
      <c r="L89" s="4" t="s">
        <v>261</v>
      </c>
      <c r="M89" s="4"/>
      <c r="N89" s="4"/>
      <c r="O89" s="4" t="s">
        <v>459</v>
      </c>
    </row>
    <row r="90" spans="1:16" x14ac:dyDescent="0.25">
      <c r="A90" s="4" t="s">
        <v>28</v>
      </c>
      <c r="B90" s="4" t="s">
        <v>259</v>
      </c>
      <c r="C90" s="4" t="str">
        <f t="shared" si="7"/>
        <v>HIV natural history</v>
      </c>
      <c r="D90" s="4" t="s">
        <v>191</v>
      </c>
      <c r="E90" s="4" t="s">
        <v>681</v>
      </c>
      <c r="F90" s="4" t="s">
        <v>339</v>
      </c>
      <c r="G90" s="4" t="s">
        <v>471</v>
      </c>
      <c r="H90" s="4" t="s">
        <v>192</v>
      </c>
      <c r="I90" s="4">
        <v>1.4999999999999999E-2</v>
      </c>
      <c r="J90" s="4">
        <v>0</v>
      </c>
      <c r="K90" s="4">
        <v>6.9000000000000006E-2</v>
      </c>
      <c r="L90" s="4" t="s">
        <v>261</v>
      </c>
      <c r="M90" s="4"/>
      <c r="N90" s="4"/>
      <c r="O90" s="4" t="s">
        <v>459</v>
      </c>
    </row>
    <row r="91" spans="1:16" x14ac:dyDescent="0.25">
      <c r="A91" s="4" t="s">
        <v>28</v>
      </c>
      <c r="B91" s="4" t="s">
        <v>259</v>
      </c>
      <c r="C91" s="4" t="str">
        <f t="shared" si="7"/>
        <v>HIV natural history</v>
      </c>
      <c r="D91" s="4" t="s">
        <v>154</v>
      </c>
      <c r="E91" s="4" t="s">
        <v>681</v>
      </c>
      <c r="F91" s="4" t="s">
        <v>340</v>
      </c>
      <c r="G91" s="4" t="s">
        <v>471</v>
      </c>
      <c r="H91" s="4" t="s">
        <v>192</v>
      </c>
      <c r="I91" s="4">
        <v>0</v>
      </c>
      <c r="J91" s="4">
        <v>0</v>
      </c>
      <c r="K91" s="4">
        <v>5.5E-2</v>
      </c>
      <c r="L91" s="4" t="s">
        <v>261</v>
      </c>
      <c r="M91" s="4"/>
      <c r="N91" s="4"/>
      <c r="O91" s="4" t="s">
        <v>459</v>
      </c>
    </row>
    <row r="92" spans="1:16" x14ac:dyDescent="0.25">
      <c r="A92" s="4" t="s">
        <v>28</v>
      </c>
      <c r="B92" s="4" t="s">
        <v>259</v>
      </c>
      <c r="C92" s="4" t="str">
        <f t="shared" si="7"/>
        <v>HIV natural history</v>
      </c>
      <c r="D92" s="4" t="s">
        <v>150</v>
      </c>
      <c r="E92" s="4" t="s">
        <v>681</v>
      </c>
      <c r="F92" s="4" t="s">
        <v>681</v>
      </c>
      <c r="G92" s="4" t="s">
        <v>471</v>
      </c>
      <c r="H92" s="4" t="s">
        <v>471</v>
      </c>
      <c r="I92" s="4" t="s">
        <v>60</v>
      </c>
      <c r="J92" s="4"/>
      <c r="K92" s="4"/>
      <c r="L92" s="4"/>
      <c r="M92" s="4"/>
      <c r="N92" s="4"/>
      <c r="O92" s="4"/>
    </row>
    <row r="93" spans="1:16" x14ac:dyDescent="0.25">
      <c r="A93" s="4" t="s">
        <v>28</v>
      </c>
      <c r="B93" s="4" t="s">
        <v>259</v>
      </c>
      <c r="C93" s="4" t="str">
        <f t="shared" si="7"/>
        <v>HIV natural history</v>
      </c>
      <c r="D93" s="4" t="s">
        <v>191</v>
      </c>
      <c r="E93" s="4" t="s">
        <v>499</v>
      </c>
      <c r="F93" s="4" t="s">
        <v>339</v>
      </c>
      <c r="G93" s="4" t="s">
        <v>472</v>
      </c>
      <c r="H93" s="4" t="s">
        <v>192</v>
      </c>
      <c r="I93" s="4">
        <v>0.60199999999999998</v>
      </c>
      <c r="J93" s="4">
        <v>0.32400000000000001</v>
      </c>
      <c r="K93" s="4">
        <v>0.7</v>
      </c>
      <c r="L93" s="4" t="s">
        <v>261</v>
      </c>
      <c r="M93" s="4"/>
      <c r="N93" s="4"/>
      <c r="O93" s="4" t="s">
        <v>459</v>
      </c>
    </row>
    <row r="94" spans="1:16" x14ac:dyDescent="0.25">
      <c r="A94" s="4" t="s">
        <v>28</v>
      </c>
      <c r="B94" s="4" t="s">
        <v>259</v>
      </c>
      <c r="C94" s="4" t="str">
        <f t="shared" si="7"/>
        <v>HIV natural history</v>
      </c>
      <c r="D94" s="4" t="s">
        <v>154</v>
      </c>
      <c r="E94" s="4" t="s">
        <v>499</v>
      </c>
      <c r="F94" s="4" t="s">
        <v>340</v>
      </c>
      <c r="G94" s="4" t="s">
        <v>472</v>
      </c>
      <c r="H94" s="4" t="s">
        <v>192</v>
      </c>
      <c r="I94" s="4">
        <v>0.61499999999999999</v>
      </c>
      <c r="J94" s="4">
        <v>0.28599999999999998</v>
      </c>
      <c r="K94" s="4">
        <v>0.7</v>
      </c>
      <c r="L94" s="4" t="s">
        <v>261</v>
      </c>
      <c r="M94" s="4"/>
      <c r="N94" s="4"/>
      <c r="O94" s="4" t="s">
        <v>459</v>
      </c>
    </row>
    <row r="95" spans="1:16" x14ac:dyDescent="0.25">
      <c r="A95" s="4" t="s">
        <v>28</v>
      </c>
      <c r="B95" s="4" t="s">
        <v>259</v>
      </c>
      <c r="C95" s="4" t="str">
        <f t="shared" si="7"/>
        <v>HIV natural history</v>
      </c>
      <c r="D95" s="4" t="s">
        <v>150</v>
      </c>
      <c r="E95" s="4" t="s">
        <v>499</v>
      </c>
      <c r="F95" s="4" t="s">
        <v>499</v>
      </c>
      <c r="G95" s="4" t="s">
        <v>472</v>
      </c>
      <c r="H95" s="4" t="s">
        <v>472</v>
      </c>
      <c r="I95" s="4" t="s">
        <v>60</v>
      </c>
      <c r="J95" s="4"/>
      <c r="K95" s="4"/>
      <c r="L95" s="4"/>
      <c r="M95" s="4"/>
      <c r="N95" s="4"/>
      <c r="O95" s="4"/>
    </row>
    <row r="96" spans="1:16" x14ac:dyDescent="0.25">
      <c r="A96" s="4" t="s">
        <v>28</v>
      </c>
      <c r="B96" s="4" t="s">
        <v>259</v>
      </c>
      <c r="C96" s="4" t="str">
        <f t="shared" si="7"/>
        <v>HIV natural history</v>
      </c>
      <c r="D96" s="4" t="s">
        <v>150</v>
      </c>
      <c r="E96" s="4" t="s">
        <v>404</v>
      </c>
      <c r="F96" s="4" t="s">
        <v>404</v>
      </c>
      <c r="G96" s="4" t="s">
        <v>192</v>
      </c>
      <c r="H96" s="4" t="s">
        <v>192</v>
      </c>
      <c r="I96" s="4">
        <v>1</v>
      </c>
      <c r="J96" s="4"/>
      <c r="K96" s="4"/>
      <c r="L96" s="4"/>
      <c r="M96" s="4"/>
      <c r="N96" s="4"/>
      <c r="O96" s="4" t="s">
        <v>459</v>
      </c>
    </row>
    <row r="97" spans="1:15" x14ac:dyDescent="0.25">
      <c r="A97" s="8" t="s">
        <v>28</v>
      </c>
      <c r="B97" s="8" t="s">
        <v>258</v>
      </c>
      <c r="C97" s="8" t="str">
        <f>A97&amp;" "&amp;LOWER(B97)</f>
        <v>HIV treatment uptake</v>
      </c>
      <c r="D97" s="8" t="s">
        <v>150</v>
      </c>
      <c r="E97" s="8" t="s">
        <v>23</v>
      </c>
      <c r="F97" s="8" t="s">
        <v>746</v>
      </c>
      <c r="G97" s="8" t="s">
        <v>73</v>
      </c>
      <c r="H97" s="8" t="s">
        <v>56</v>
      </c>
      <c r="I97" s="8">
        <v>7.4999999999999997E-2</v>
      </c>
      <c r="J97" s="8">
        <v>0</v>
      </c>
      <c r="K97" s="8">
        <v>0.15</v>
      </c>
      <c r="L97" s="8" t="s">
        <v>261</v>
      </c>
      <c r="M97" s="8"/>
      <c r="N97" s="8"/>
      <c r="O97" s="8" t="s">
        <v>457</v>
      </c>
    </row>
    <row r="98" spans="1:15" x14ac:dyDescent="0.25">
      <c r="A98" s="8" t="s">
        <v>28</v>
      </c>
      <c r="B98" s="8" t="s">
        <v>258</v>
      </c>
      <c r="C98" s="8" t="str">
        <f>A98&amp;" "&amp;LOWER(B98)</f>
        <v>HIV treatment uptake</v>
      </c>
      <c r="D98" s="8" t="s">
        <v>150</v>
      </c>
      <c r="E98" s="8" t="s">
        <v>23</v>
      </c>
      <c r="F98" s="8" t="s">
        <v>496</v>
      </c>
      <c r="G98" s="8" t="s">
        <v>73</v>
      </c>
      <c r="H98" s="8" t="s">
        <v>469</v>
      </c>
      <c r="I98" s="8" t="s">
        <v>60</v>
      </c>
      <c r="J98" s="8"/>
      <c r="K98" s="8"/>
      <c r="L98" s="8"/>
      <c r="M98" s="8"/>
      <c r="N98" s="8"/>
      <c r="O98" s="8"/>
    </row>
    <row r="99" spans="1:15" x14ac:dyDescent="0.25">
      <c r="A99" s="8" t="s">
        <v>28</v>
      </c>
      <c r="B99" s="8" t="s">
        <v>258</v>
      </c>
      <c r="C99" s="8" t="str">
        <f t="shared" si="7"/>
        <v>HIV treatment uptake</v>
      </c>
      <c r="D99" s="8" t="s">
        <v>150</v>
      </c>
      <c r="E99" s="8" t="s">
        <v>496</v>
      </c>
      <c r="F99" s="8" t="s">
        <v>746</v>
      </c>
      <c r="G99" s="8" t="s">
        <v>469</v>
      </c>
      <c r="H99" s="8" t="s">
        <v>56</v>
      </c>
      <c r="I99" s="8">
        <v>7.0999999999999994E-2</v>
      </c>
      <c r="J99" s="8">
        <v>0</v>
      </c>
      <c r="K99" s="8">
        <v>0.13</v>
      </c>
      <c r="L99" s="8" t="s">
        <v>261</v>
      </c>
      <c r="M99" s="8"/>
      <c r="N99" s="8"/>
      <c r="O99" s="8" t="s">
        <v>457</v>
      </c>
    </row>
    <row r="100" spans="1:15" x14ac:dyDescent="0.25">
      <c r="A100" s="8" t="s">
        <v>28</v>
      </c>
      <c r="B100" s="8" t="s">
        <v>258</v>
      </c>
      <c r="C100" s="8" t="str">
        <f t="shared" si="7"/>
        <v>HIV treatment uptake</v>
      </c>
      <c r="D100" s="8" t="s">
        <v>150</v>
      </c>
      <c r="E100" s="8" t="s">
        <v>497</v>
      </c>
      <c r="F100" s="8" t="s">
        <v>746</v>
      </c>
      <c r="G100" s="8" t="s">
        <v>470</v>
      </c>
      <c r="H100" s="8" t="s">
        <v>56</v>
      </c>
      <c r="I100" s="8">
        <v>0.186</v>
      </c>
      <c r="J100" s="8">
        <v>7.0000000000000007E-2</v>
      </c>
      <c r="K100" s="8">
        <v>0.31</v>
      </c>
      <c r="L100" s="8" t="s">
        <v>261</v>
      </c>
      <c r="M100" s="8"/>
      <c r="N100" s="8"/>
      <c r="O100" s="8" t="s">
        <v>457</v>
      </c>
    </row>
    <row r="101" spans="1:15" x14ac:dyDescent="0.25">
      <c r="A101" s="8" t="s">
        <v>28</v>
      </c>
      <c r="B101" s="8" t="s">
        <v>258</v>
      </c>
      <c r="C101" s="8" t="str">
        <f t="shared" si="7"/>
        <v>HIV treatment uptake</v>
      </c>
      <c r="D101" s="8" t="s">
        <v>150</v>
      </c>
      <c r="E101" s="8" t="s">
        <v>498</v>
      </c>
      <c r="F101" s="8" t="s">
        <v>746</v>
      </c>
      <c r="G101" s="8" t="s">
        <v>471</v>
      </c>
      <c r="H101" s="8" t="s">
        <v>56</v>
      </c>
      <c r="I101" s="8">
        <v>0.3</v>
      </c>
      <c r="J101" s="8">
        <v>0.14000000000000001</v>
      </c>
      <c r="K101" s="8">
        <v>0.47</v>
      </c>
      <c r="L101" s="8" t="s">
        <v>261</v>
      </c>
      <c r="M101" s="8"/>
      <c r="N101" s="8"/>
      <c r="O101" s="8" t="s">
        <v>457</v>
      </c>
    </row>
    <row r="102" spans="1:15" x14ac:dyDescent="0.25">
      <c r="A102" s="8" t="s">
        <v>28</v>
      </c>
      <c r="B102" s="8" t="s">
        <v>258</v>
      </c>
      <c r="C102" s="8" t="str">
        <f>A102&amp;" "&amp;LOWER(B102)</f>
        <v>HIV treatment uptake</v>
      </c>
      <c r="D102" s="8" t="s">
        <v>150</v>
      </c>
      <c r="E102" s="8" t="s">
        <v>499</v>
      </c>
      <c r="F102" s="8" t="s">
        <v>747</v>
      </c>
      <c r="G102" s="8" t="s">
        <v>472</v>
      </c>
      <c r="H102" s="8" t="s">
        <v>473</v>
      </c>
      <c r="I102" s="8">
        <v>0.5</v>
      </c>
      <c r="J102" s="8">
        <v>0.3</v>
      </c>
      <c r="K102" s="8">
        <v>0.7</v>
      </c>
      <c r="L102" s="8" t="s">
        <v>261</v>
      </c>
      <c r="M102" s="8"/>
      <c r="N102" s="8"/>
      <c r="O102" s="8" t="s">
        <v>457</v>
      </c>
    </row>
    <row r="103" spans="1:15" x14ac:dyDescent="0.25">
      <c r="A103" s="50" t="s">
        <v>28</v>
      </c>
      <c r="B103" s="50" t="s">
        <v>260</v>
      </c>
      <c r="C103" s="50" t="str">
        <f t="shared" si="7"/>
        <v>HIV treatment effectiveness</v>
      </c>
      <c r="D103" s="50" t="s">
        <v>150</v>
      </c>
      <c r="E103" s="50" t="s">
        <v>746</v>
      </c>
      <c r="F103" s="50" t="s">
        <v>748</v>
      </c>
      <c r="G103" s="50" t="s">
        <v>56</v>
      </c>
      <c r="H103" s="50" t="s">
        <v>57</v>
      </c>
      <c r="I103" s="50">
        <v>1</v>
      </c>
      <c r="J103" s="50"/>
      <c r="K103" s="50"/>
      <c r="L103" s="50"/>
      <c r="M103" s="50"/>
      <c r="N103" s="50"/>
      <c r="O103" s="50" t="s">
        <v>390</v>
      </c>
    </row>
    <row r="104" spans="1:15" x14ac:dyDescent="0.25">
      <c r="A104" s="50" t="s">
        <v>28</v>
      </c>
      <c r="B104" s="50" t="s">
        <v>260</v>
      </c>
      <c r="C104" s="50" t="str">
        <f t="shared" ref="C104:C111" si="8">A104&amp;" "&amp;LOWER(B104)</f>
        <v>HIV treatment effectiveness</v>
      </c>
      <c r="D104" s="50" t="s">
        <v>150</v>
      </c>
      <c r="E104" s="50" t="s">
        <v>748</v>
      </c>
      <c r="F104" s="50" t="s">
        <v>749</v>
      </c>
      <c r="G104" s="50" t="s">
        <v>57</v>
      </c>
      <c r="H104" s="50" t="s">
        <v>58</v>
      </c>
      <c r="I104" s="50">
        <v>1</v>
      </c>
      <c r="J104" s="50"/>
      <c r="K104" s="50"/>
      <c r="L104" s="50"/>
      <c r="M104" s="50"/>
      <c r="N104" s="50"/>
      <c r="O104" s="50" t="s">
        <v>390</v>
      </c>
    </row>
    <row r="105" spans="1:15" x14ac:dyDescent="0.25">
      <c r="A105" s="50" t="s">
        <v>28</v>
      </c>
      <c r="B105" s="50" t="s">
        <v>260</v>
      </c>
      <c r="C105" s="50" t="str">
        <f t="shared" si="8"/>
        <v>HIV treatment effectiveness</v>
      </c>
      <c r="D105" s="50" t="s">
        <v>150</v>
      </c>
      <c r="E105" s="50" t="s">
        <v>749</v>
      </c>
      <c r="F105" s="50" t="s">
        <v>750</v>
      </c>
      <c r="G105" s="50" t="s">
        <v>58</v>
      </c>
      <c r="H105" s="50" t="s">
        <v>59</v>
      </c>
      <c r="I105" s="50">
        <v>1</v>
      </c>
      <c r="J105" s="50"/>
      <c r="K105" s="50"/>
      <c r="L105" s="50"/>
      <c r="M105" s="50"/>
      <c r="N105" s="50"/>
      <c r="O105" s="50" t="s">
        <v>390</v>
      </c>
    </row>
    <row r="106" spans="1:15" x14ac:dyDescent="0.25">
      <c r="A106" s="50" t="s">
        <v>28</v>
      </c>
      <c r="B106" s="50" t="s">
        <v>260</v>
      </c>
      <c r="C106" s="50" t="str">
        <f t="shared" si="8"/>
        <v>HIV treatment effectiveness</v>
      </c>
      <c r="D106" s="50" t="s">
        <v>150</v>
      </c>
      <c r="E106" s="50" t="s">
        <v>750</v>
      </c>
      <c r="F106" s="50" t="s">
        <v>750</v>
      </c>
      <c r="G106" s="50" t="s">
        <v>59</v>
      </c>
      <c r="H106" s="50" t="s">
        <v>59</v>
      </c>
      <c r="I106" s="50">
        <v>1</v>
      </c>
      <c r="J106" s="50"/>
      <c r="K106" s="50"/>
      <c r="L106" s="50"/>
      <c r="M106" s="50"/>
      <c r="N106" s="50"/>
      <c r="O106" s="50" t="s">
        <v>390</v>
      </c>
    </row>
    <row r="107" spans="1:15" x14ac:dyDescent="0.25">
      <c r="A107" s="50" t="s">
        <v>28</v>
      </c>
      <c r="B107" s="50" t="s">
        <v>260</v>
      </c>
      <c r="C107" s="50" t="str">
        <f t="shared" si="8"/>
        <v>HIV treatment effectiveness</v>
      </c>
      <c r="D107" s="50" t="s">
        <v>150</v>
      </c>
      <c r="E107" s="50" t="s">
        <v>747</v>
      </c>
      <c r="F107" s="50" t="s">
        <v>404</v>
      </c>
      <c r="G107" s="50" t="s">
        <v>473</v>
      </c>
      <c r="H107" s="50" t="s">
        <v>192</v>
      </c>
      <c r="I107" s="50">
        <v>0.3</v>
      </c>
      <c r="J107" s="50">
        <v>0.15</v>
      </c>
      <c r="K107" s="50">
        <v>0.4</v>
      </c>
      <c r="L107" s="50" t="s">
        <v>261</v>
      </c>
      <c r="M107" s="50"/>
      <c r="N107" s="50"/>
      <c r="O107" s="50" t="s">
        <v>457</v>
      </c>
    </row>
    <row r="108" spans="1:15" x14ac:dyDescent="0.25">
      <c r="A108" s="50" t="s">
        <v>28</v>
      </c>
      <c r="B108" s="50" t="s">
        <v>260</v>
      </c>
      <c r="C108" s="50" t="str">
        <f t="shared" si="8"/>
        <v>HIV treatment effectiveness</v>
      </c>
      <c r="D108" s="50" t="s">
        <v>150</v>
      </c>
      <c r="E108" s="50" t="s">
        <v>747</v>
      </c>
      <c r="F108" s="50" t="s">
        <v>751</v>
      </c>
      <c r="G108" s="50" t="s">
        <v>473</v>
      </c>
      <c r="H108" s="50" t="s">
        <v>474</v>
      </c>
      <c r="I108" s="50" t="s">
        <v>60</v>
      </c>
      <c r="J108" s="50"/>
      <c r="K108" s="50"/>
      <c r="L108" s="50"/>
      <c r="M108" s="50"/>
      <c r="N108" s="50"/>
      <c r="O108" s="50"/>
    </row>
    <row r="109" spans="1:15" x14ac:dyDescent="0.25">
      <c r="A109" s="50" t="s">
        <v>28</v>
      </c>
      <c r="B109" s="50" t="s">
        <v>260</v>
      </c>
      <c r="C109" s="50" t="str">
        <f t="shared" si="8"/>
        <v>HIV treatment effectiveness</v>
      </c>
      <c r="D109" s="50" t="s">
        <v>150</v>
      </c>
      <c r="E109" s="50" t="s">
        <v>751</v>
      </c>
      <c r="F109" s="50" t="s">
        <v>404</v>
      </c>
      <c r="G109" s="50" t="s">
        <v>474</v>
      </c>
      <c r="H109" s="50" t="s">
        <v>192</v>
      </c>
      <c r="I109" s="50">
        <v>0.15</v>
      </c>
      <c r="J109" s="50">
        <v>0</v>
      </c>
      <c r="K109" s="50">
        <v>0.3</v>
      </c>
      <c r="L109" s="50" t="s">
        <v>261</v>
      </c>
      <c r="M109" s="50"/>
      <c r="N109" s="50"/>
      <c r="O109" s="50" t="s">
        <v>457</v>
      </c>
    </row>
    <row r="110" spans="1:15" x14ac:dyDescent="0.25">
      <c r="A110" s="50" t="s">
        <v>28</v>
      </c>
      <c r="B110" s="50" t="s">
        <v>260</v>
      </c>
      <c r="C110" s="50" t="str">
        <f>A110&amp;" "&amp;LOWER(B110)</f>
        <v>HIV treatment effectiveness</v>
      </c>
      <c r="D110" s="50" t="s">
        <v>150</v>
      </c>
      <c r="E110" s="50" t="s">
        <v>751</v>
      </c>
      <c r="F110" s="50" t="s">
        <v>752</v>
      </c>
      <c r="G110" s="50" t="s">
        <v>474</v>
      </c>
      <c r="H110" s="50" t="s">
        <v>742</v>
      </c>
      <c r="I110" s="50">
        <v>0.35</v>
      </c>
      <c r="J110" s="50">
        <v>0.15</v>
      </c>
      <c r="K110" s="50">
        <v>0.55000000000000004</v>
      </c>
      <c r="L110" s="50" t="s">
        <v>261</v>
      </c>
      <c r="M110" s="50"/>
      <c r="N110" s="50"/>
      <c r="O110" s="50" t="s">
        <v>457</v>
      </c>
    </row>
    <row r="111" spans="1:15" x14ac:dyDescent="0.25">
      <c r="A111" s="50" t="s">
        <v>28</v>
      </c>
      <c r="B111" s="50" t="s">
        <v>260</v>
      </c>
      <c r="C111" s="50" t="str">
        <f t="shared" si="8"/>
        <v>HIV treatment effectiveness</v>
      </c>
      <c r="D111" s="50" t="s">
        <v>150</v>
      </c>
      <c r="E111" s="50" t="s">
        <v>751</v>
      </c>
      <c r="F111" s="50" t="s">
        <v>749</v>
      </c>
      <c r="G111" s="50" t="s">
        <v>474</v>
      </c>
      <c r="H111" s="50" t="s">
        <v>58</v>
      </c>
      <c r="I111" s="50" t="s">
        <v>60</v>
      </c>
      <c r="J111" s="50"/>
      <c r="K111" s="50"/>
      <c r="L111" s="50"/>
      <c r="M111" s="50"/>
      <c r="N111" s="50"/>
      <c r="O111" s="50"/>
    </row>
    <row r="112" spans="1:15" x14ac:dyDescent="0.25">
      <c r="A112" s="50" t="s">
        <v>28</v>
      </c>
      <c r="B112" s="50" t="s">
        <v>260</v>
      </c>
      <c r="C112" s="50" t="str">
        <f t="shared" ref="C112" si="9">A112&amp;" "&amp;LOWER(B112)</f>
        <v>HIV treatment effectiveness</v>
      </c>
      <c r="D112" s="50" t="s">
        <v>150</v>
      </c>
      <c r="E112" s="50" t="s">
        <v>753</v>
      </c>
      <c r="F112" s="50" t="s">
        <v>404</v>
      </c>
      <c r="G112" s="50" t="s">
        <v>742</v>
      </c>
      <c r="H112" s="50" t="s">
        <v>192</v>
      </c>
      <c r="I112" s="50">
        <v>0.15</v>
      </c>
      <c r="J112" s="50">
        <v>0</v>
      </c>
      <c r="K112" s="50">
        <v>0.3</v>
      </c>
      <c r="L112" s="50" t="s">
        <v>261</v>
      </c>
      <c r="M112" s="50"/>
      <c r="N112" s="50"/>
      <c r="O112" s="50" t="s">
        <v>457</v>
      </c>
    </row>
    <row r="113" spans="1:15" x14ac:dyDescent="0.25">
      <c r="A113" s="50" t="s">
        <v>28</v>
      </c>
      <c r="B113" s="50" t="s">
        <v>260</v>
      </c>
      <c r="C113" s="50" t="str">
        <f t="shared" ref="C113" si="10">A113&amp;" "&amp;LOWER(B113)</f>
        <v>HIV treatment effectiveness</v>
      </c>
      <c r="D113" s="50" t="s">
        <v>150</v>
      </c>
      <c r="E113" s="50" t="s">
        <v>753</v>
      </c>
      <c r="F113" s="50" t="s">
        <v>753</v>
      </c>
      <c r="G113" s="50" t="s">
        <v>742</v>
      </c>
      <c r="H113" s="50" t="s">
        <v>742</v>
      </c>
      <c r="I113" s="50" t="s">
        <v>60</v>
      </c>
      <c r="J113" s="50"/>
      <c r="K113" s="50"/>
      <c r="L113" s="50"/>
      <c r="M113" s="50"/>
      <c r="N113" s="50"/>
      <c r="O113" s="50"/>
    </row>
  </sheetData>
  <autoFilter ref="A1:O111" xr:uid="{C20ACE74-B0B1-4FE2-A082-3DFADF6547F6}"/>
  <phoneticPr fontId="18" type="noConversion"/>
  <conditionalFormatting sqref="P2:P109">
    <cfRule type="dataBar" priority="1">
      <dataBar>
        <cfvo type="min"/>
        <cfvo type="max"/>
        <color rgb="FF638EC6"/>
      </dataBar>
      <extLst>
        <ext xmlns:x14="http://schemas.microsoft.com/office/spreadsheetml/2009/9/main" uri="{B025F937-C7B1-47D3-B67F-A62EFF666E3E}">
          <x14:id>{D7BE234E-F8A1-4436-B35B-A4AEA17BCE34}</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D7BE234E-F8A1-4436-B35B-A4AEA17BCE34}">
            <x14:dataBar minLength="0" maxLength="100" border="1" negativeBarBorderColorSameAsPositive="0">
              <x14:cfvo type="autoMin"/>
              <x14:cfvo type="autoMax"/>
              <x14:borderColor rgb="FF638EC6"/>
              <x14:negativeFillColor rgb="FFFF0000"/>
              <x14:negativeBorderColor rgb="FFFF0000"/>
              <x14:axisColor rgb="FF000000"/>
            </x14:dataBar>
          </x14:cfRule>
          <xm:sqref>P2:P109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159B8-DD6E-4BF8-9803-DB553BDDBCD5}">
  <dimension ref="A1:D50"/>
  <sheetViews>
    <sheetView workbookViewId="0">
      <selection activeCell="B47" sqref="B47"/>
    </sheetView>
  </sheetViews>
  <sheetFormatPr defaultRowHeight="15" x14ac:dyDescent="0.25"/>
  <cols>
    <col min="1" max="1" width="10.140625" bestFit="1" customWidth="1"/>
    <col min="2" max="2" width="40" bestFit="1" customWidth="1"/>
    <col min="3" max="3" width="13.7109375" bestFit="1" customWidth="1"/>
    <col min="4" max="4" width="17.5703125" bestFit="1" customWidth="1"/>
  </cols>
  <sheetData>
    <row r="1" spans="1:4" s="2" customFormat="1" x14ac:dyDescent="0.25">
      <c r="A1" s="2" t="s">
        <v>71</v>
      </c>
      <c r="B1" s="2" t="s">
        <v>450</v>
      </c>
      <c r="C1" s="2" t="s">
        <v>83</v>
      </c>
      <c r="D1" s="2" t="s">
        <v>451</v>
      </c>
    </row>
    <row r="2" spans="1:4" x14ac:dyDescent="0.25">
      <c r="A2" t="s">
        <v>78</v>
      </c>
      <c r="B2" t="s">
        <v>389</v>
      </c>
      <c r="C2" t="s">
        <v>373</v>
      </c>
      <c r="D2" t="str">
        <f t="shared" ref="D2:D50" si="0">_xlfn.CONCAT(A2&amp;C2)</f>
        <v>HBVacute_CM</v>
      </c>
    </row>
    <row r="3" spans="1:4" x14ac:dyDescent="0.25">
      <c r="A3" t="s">
        <v>78</v>
      </c>
      <c r="B3" t="s">
        <v>371</v>
      </c>
      <c r="C3" t="s">
        <v>369</v>
      </c>
      <c r="D3" t="str">
        <f t="shared" si="0"/>
        <v>HBVacute_SC</v>
      </c>
    </row>
    <row r="4" spans="1:4" x14ac:dyDescent="0.25">
      <c r="A4" t="s">
        <v>78</v>
      </c>
      <c r="B4" t="s">
        <v>382</v>
      </c>
      <c r="C4" t="s">
        <v>384</v>
      </c>
      <c r="D4" t="str">
        <f t="shared" si="0"/>
        <v>HBVcarrier_CM</v>
      </c>
    </row>
    <row r="5" spans="1:4" x14ac:dyDescent="0.25">
      <c r="A5" t="s">
        <v>78</v>
      </c>
      <c r="B5" t="s">
        <v>380</v>
      </c>
      <c r="C5" t="s">
        <v>379</v>
      </c>
      <c r="D5" t="str">
        <f t="shared" si="0"/>
        <v>HBVcarrier_SC</v>
      </c>
    </row>
    <row r="6" spans="1:4" x14ac:dyDescent="0.25">
      <c r="A6" t="s">
        <v>78</v>
      </c>
      <c r="B6" t="s">
        <v>387</v>
      </c>
      <c r="C6" t="s">
        <v>366</v>
      </c>
      <c r="D6" t="str">
        <f t="shared" si="0"/>
        <v>HBVCC_SC</v>
      </c>
    </row>
    <row r="7" spans="1:4" x14ac:dyDescent="0.25">
      <c r="A7" t="s">
        <v>78</v>
      </c>
      <c r="B7" t="s">
        <v>388</v>
      </c>
      <c r="C7" t="s">
        <v>62</v>
      </c>
      <c r="D7" t="str">
        <f t="shared" si="0"/>
        <v>HBVCC_T</v>
      </c>
    </row>
    <row r="8" spans="1:4" x14ac:dyDescent="0.25">
      <c r="A8" t="s">
        <v>78</v>
      </c>
      <c r="B8" t="s">
        <v>383</v>
      </c>
      <c r="C8" t="s">
        <v>385</v>
      </c>
      <c r="D8" t="str">
        <f t="shared" si="0"/>
        <v>HBVchronic_CM</v>
      </c>
    </row>
    <row r="9" spans="1:4" x14ac:dyDescent="0.25">
      <c r="A9" t="s">
        <v>78</v>
      </c>
      <c r="B9" t="s">
        <v>381</v>
      </c>
      <c r="C9" t="s">
        <v>368</v>
      </c>
      <c r="D9" t="str">
        <f t="shared" si="0"/>
        <v>HBVchronic_SC</v>
      </c>
    </row>
    <row r="10" spans="1:4" x14ac:dyDescent="0.25">
      <c r="A10" t="s">
        <v>78</v>
      </c>
      <c r="B10" t="s">
        <v>392</v>
      </c>
      <c r="C10" t="s">
        <v>61</v>
      </c>
      <c r="D10" t="str">
        <f t="shared" si="0"/>
        <v>HBVchronic_T</v>
      </c>
    </row>
    <row r="11" spans="1:4" x14ac:dyDescent="0.25">
      <c r="A11" t="s">
        <v>78</v>
      </c>
      <c r="B11" t="s">
        <v>391</v>
      </c>
      <c r="C11" t="s">
        <v>367</v>
      </c>
      <c r="D11" t="str">
        <f t="shared" si="0"/>
        <v>HBVDCC_SC</v>
      </c>
    </row>
    <row r="12" spans="1:4" x14ac:dyDescent="0.25">
      <c r="A12" t="s">
        <v>78</v>
      </c>
      <c r="B12" t="s">
        <v>393</v>
      </c>
      <c r="C12" t="s">
        <v>70</v>
      </c>
      <c r="D12" t="str">
        <f t="shared" si="0"/>
        <v>HBVDCC_T</v>
      </c>
    </row>
    <row r="13" spans="1:4" x14ac:dyDescent="0.25">
      <c r="A13" t="s">
        <v>78</v>
      </c>
      <c r="B13" t="s">
        <v>329</v>
      </c>
      <c r="C13" t="s">
        <v>68</v>
      </c>
      <c r="D13" t="str">
        <f t="shared" si="0"/>
        <v>HBVHBV_death</v>
      </c>
    </row>
    <row r="14" spans="1:4" x14ac:dyDescent="0.25">
      <c r="A14" t="s">
        <v>78</v>
      </c>
      <c r="B14" t="s">
        <v>327</v>
      </c>
      <c r="C14" t="s">
        <v>31</v>
      </c>
      <c r="D14" t="str">
        <f t="shared" si="0"/>
        <v>HBVHCC</v>
      </c>
    </row>
    <row r="15" spans="1:4" x14ac:dyDescent="0.25">
      <c r="A15" t="s">
        <v>78</v>
      </c>
      <c r="B15" t="s">
        <v>376</v>
      </c>
      <c r="C15" t="s">
        <v>377</v>
      </c>
      <c r="D15" t="str">
        <f t="shared" si="0"/>
        <v>HBVimm_react_SC</v>
      </c>
    </row>
    <row r="16" spans="1:4" x14ac:dyDescent="0.25">
      <c r="A16" t="s">
        <v>78</v>
      </c>
      <c r="B16" t="s">
        <v>378</v>
      </c>
      <c r="C16" t="s">
        <v>69</v>
      </c>
      <c r="D16" t="str">
        <f t="shared" si="0"/>
        <v>HBVimm_react_T</v>
      </c>
    </row>
    <row r="17" spans="1:4" x14ac:dyDescent="0.25">
      <c r="A17" t="s">
        <v>78</v>
      </c>
      <c r="B17" t="s">
        <v>386</v>
      </c>
      <c r="C17" t="s">
        <v>375</v>
      </c>
      <c r="D17" t="str">
        <f t="shared" si="0"/>
        <v>HBVimm_tol_CM</v>
      </c>
    </row>
    <row r="18" spans="1:4" x14ac:dyDescent="0.25">
      <c r="A18" t="s">
        <v>78</v>
      </c>
      <c r="B18" t="s">
        <v>372</v>
      </c>
      <c r="C18" t="s">
        <v>374</v>
      </c>
      <c r="D18" t="str">
        <f t="shared" si="0"/>
        <v>HBVimm_tol_SC</v>
      </c>
    </row>
    <row r="19" spans="1:4" x14ac:dyDescent="0.25">
      <c r="A19" t="s">
        <v>78</v>
      </c>
      <c r="B19" t="s">
        <v>23</v>
      </c>
      <c r="C19" t="s">
        <v>73</v>
      </c>
      <c r="D19" t="str">
        <f t="shared" si="0"/>
        <v>HBVinit</v>
      </c>
    </row>
    <row r="20" spans="1:4" x14ac:dyDescent="0.25">
      <c r="A20" t="s">
        <v>78</v>
      </c>
      <c r="B20" t="s">
        <v>328</v>
      </c>
      <c r="C20" t="s">
        <v>64</v>
      </c>
      <c r="D20" t="str">
        <f t="shared" si="0"/>
        <v>HBVno_infection</v>
      </c>
    </row>
    <row r="21" spans="1:4" x14ac:dyDescent="0.25">
      <c r="A21" t="s">
        <v>77</v>
      </c>
      <c r="B21" t="s">
        <v>371</v>
      </c>
      <c r="C21" t="s">
        <v>369</v>
      </c>
      <c r="D21" t="str">
        <f t="shared" si="0"/>
        <v>HCVacute_SC</v>
      </c>
    </row>
    <row r="22" spans="1:4" x14ac:dyDescent="0.25">
      <c r="A22" t="s">
        <v>77</v>
      </c>
      <c r="B22" t="s">
        <v>394</v>
      </c>
      <c r="C22" t="s">
        <v>255</v>
      </c>
      <c r="D22" t="str">
        <f t="shared" si="0"/>
        <v>HCVacute_T</v>
      </c>
    </row>
    <row r="23" spans="1:4" x14ac:dyDescent="0.25">
      <c r="A23" t="s">
        <v>77</v>
      </c>
      <c r="B23" t="s">
        <v>387</v>
      </c>
      <c r="C23" t="s">
        <v>366</v>
      </c>
      <c r="D23" t="str">
        <f t="shared" si="0"/>
        <v>HCVCC_SC</v>
      </c>
    </row>
    <row r="24" spans="1:4" x14ac:dyDescent="0.25">
      <c r="A24" t="s">
        <v>77</v>
      </c>
      <c r="B24" t="s">
        <v>388</v>
      </c>
      <c r="C24" t="s">
        <v>62</v>
      </c>
      <c r="D24" t="str">
        <f t="shared" si="0"/>
        <v>HCVCC_T</v>
      </c>
    </row>
    <row r="25" spans="1:4" x14ac:dyDescent="0.25">
      <c r="A25" t="s">
        <v>77</v>
      </c>
      <c r="B25" t="s">
        <v>400</v>
      </c>
      <c r="C25" t="s">
        <v>365</v>
      </c>
      <c r="D25" t="str">
        <f t="shared" si="0"/>
        <v>HCVCC_TF</v>
      </c>
    </row>
    <row r="26" spans="1:4" x14ac:dyDescent="0.25">
      <c r="A26" t="s">
        <v>77</v>
      </c>
      <c r="B26" t="s">
        <v>395</v>
      </c>
      <c r="C26" t="s">
        <v>368</v>
      </c>
      <c r="D26" t="str">
        <f t="shared" si="0"/>
        <v>HCVchronic_SC</v>
      </c>
    </row>
    <row r="27" spans="1:4" x14ac:dyDescent="0.25">
      <c r="A27" t="s">
        <v>77</v>
      </c>
      <c r="B27" t="s">
        <v>398</v>
      </c>
      <c r="C27" t="s">
        <v>61</v>
      </c>
      <c r="D27" t="str">
        <f t="shared" si="0"/>
        <v>HCVchronic_T</v>
      </c>
    </row>
    <row r="28" spans="1:4" x14ac:dyDescent="0.25">
      <c r="A28" t="s">
        <v>77</v>
      </c>
      <c r="B28" t="s">
        <v>396</v>
      </c>
      <c r="C28" t="s">
        <v>364</v>
      </c>
      <c r="D28" t="str">
        <f t="shared" si="0"/>
        <v>HCVchronic_TF</v>
      </c>
    </row>
    <row r="29" spans="1:4" x14ac:dyDescent="0.25">
      <c r="A29" t="s">
        <v>77</v>
      </c>
      <c r="B29" t="s">
        <v>391</v>
      </c>
      <c r="C29" t="s">
        <v>367</v>
      </c>
      <c r="D29" t="str">
        <f t="shared" si="0"/>
        <v>HCVDCC_SC</v>
      </c>
    </row>
    <row r="30" spans="1:4" x14ac:dyDescent="0.25">
      <c r="A30" t="s">
        <v>77</v>
      </c>
      <c r="B30" t="s">
        <v>393</v>
      </c>
      <c r="C30" t="s">
        <v>70</v>
      </c>
      <c r="D30" t="str">
        <f t="shared" si="0"/>
        <v>HCVDCC_T</v>
      </c>
    </row>
    <row r="31" spans="1:4" x14ac:dyDescent="0.25">
      <c r="A31" t="s">
        <v>77</v>
      </c>
      <c r="B31" t="s">
        <v>399</v>
      </c>
      <c r="C31" t="s">
        <v>370</v>
      </c>
      <c r="D31" t="str">
        <f t="shared" si="0"/>
        <v>HCVDCC_TF</v>
      </c>
    </row>
    <row r="32" spans="1:4" x14ac:dyDescent="0.25">
      <c r="A32" t="s">
        <v>77</v>
      </c>
      <c r="B32" t="s">
        <v>327</v>
      </c>
      <c r="C32" t="s">
        <v>31</v>
      </c>
      <c r="D32" t="str">
        <f t="shared" si="0"/>
        <v>HCVHCC</v>
      </c>
    </row>
    <row r="33" spans="1:4" x14ac:dyDescent="0.25">
      <c r="A33" t="s">
        <v>77</v>
      </c>
      <c r="B33" t="s">
        <v>330</v>
      </c>
      <c r="C33" t="s">
        <v>63</v>
      </c>
      <c r="D33" t="str">
        <f t="shared" si="0"/>
        <v>HCVHCV_death</v>
      </c>
    </row>
    <row r="34" spans="1:4" x14ac:dyDescent="0.25">
      <c r="A34" t="s">
        <v>77</v>
      </c>
      <c r="B34" t="s">
        <v>23</v>
      </c>
      <c r="C34" t="s">
        <v>73</v>
      </c>
      <c r="D34" t="str">
        <f t="shared" si="0"/>
        <v>HCVinit</v>
      </c>
    </row>
    <row r="35" spans="1:4" x14ac:dyDescent="0.25">
      <c r="A35" t="s">
        <v>77</v>
      </c>
      <c r="B35" t="s">
        <v>328</v>
      </c>
      <c r="C35" t="s">
        <v>64</v>
      </c>
      <c r="D35" t="str">
        <f t="shared" si="0"/>
        <v>HCVno_infection</v>
      </c>
    </row>
    <row r="36" spans="1:4" x14ac:dyDescent="0.25">
      <c r="A36" t="s">
        <v>28</v>
      </c>
      <c r="B36" t="s">
        <v>502</v>
      </c>
      <c r="C36" t="s">
        <v>472</v>
      </c>
      <c r="D36" t="str">
        <f t="shared" si="0"/>
        <v>HIVAIDS_SC</v>
      </c>
    </row>
    <row r="37" spans="1:4" x14ac:dyDescent="0.25">
      <c r="A37" t="s">
        <v>28</v>
      </c>
      <c r="B37" t="s">
        <v>49</v>
      </c>
      <c r="C37" t="s">
        <v>56</v>
      </c>
      <c r="D37" t="str">
        <f t="shared" si="0"/>
        <v>HIVART_1</v>
      </c>
    </row>
    <row r="38" spans="1:4" x14ac:dyDescent="0.25">
      <c r="A38" t="s">
        <v>28</v>
      </c>
      <c r="B38" t="s">
        <v>50</v>
      </c>
      <c r="C38" t="s">
        <v>57</v>
      </c>
      <c r="D38" t="str">
        <f t="shared" si="0"/>
        <v>HIVART_2</v>
      </c>
    </row>
    <row r="39" spans="1:4" x14ac:dyDescent="0.25">
      <c r="A39" t="s">
        <v>28</v>
      </c>
      <c r="B39" t="s">
        <v>51</v>
      </c>
      <c r="C39" t="s">
        <v>58</v>
      </c>
      <c r="D39" t="str">
        <f t="shared" si="0"/>
        <v>HIVART_3</v>
      </c>
    </row>
    <row r="40" spans="1:4" x14ac:dyDescent="0.25">
      <c r="A40" t="s">
        <v>28</v>
      </c>
      <c r="B40" t="s">
        <v>52</v>
      </c>
      <c r="C40" t="s">
        <v>59</v>
      </c>
      <c r="D40" t="str">
        <f t="shared" si="0"/>
        <v>HIVART_4</v>
      </c>
    </row>
    <row r="41" spans="1:4" x14ac:dyDescent="0.25">
      <c r="A41" t="s">
        <v>28</v>
      </c>
      <c r="B41" t="s">
        <v>404</v>
      </c>
      <c r="C41" t="s">
        <v>192</v>
      </c>
      <c r="D41" t="str">
        <f t="shared" si="0"/>
        <v>HIVHIV_death</v>
      </c>
    </row>
    <row r="42" spans="1:4" x14ac:dyDescent="0.25">
      <c r="A42" t="s">
        <v>28</v>
      </c>
      <c r="B42" t="s">
        <v>503</v>
      </c>
      <c r="C42" t="s">
        <v>469</v>
      </c>
      <c r="D42" t="str">
        <f t="shared" si="0"/>
        <v>HIVHIV_SC_1</v>
      </c>
    </row>
    <row r="43" spans="1:4" x14ac:dyDescent="0.25">
      <c r="A43" t="s">
        <v>28</v>
      </c>
      <c r="B43" t="s">
        <v>504</v>
      </c>
      <c r="C43" t="s">
        <v>470</v>
      </c>
      <c r="D43" t="str">
        <f t="shared" si="0"/>
        <v>HIVHIV_SC_2</v>
      </c>
    </row>
    <row r="44" spans="1:4" x14ac:dyDescent="0.25">
      <c r="A44" t="s">
        <v>28</v>
      </c>
      <c r="B44" t="s">
        <v>505</v>
      </c>
      <c r="C44" t="s">
        <v>471</v>
      </c>
      <c r="D44" t="str">
        <f t="shared" si="0"/>
        <v>HIVHIV_SC_3</v>
      </c>
    </row>
    <row r="45" spans="1:4" x14ac:dyDescent="0.25">
      <c r="A45" t="s">
        <v>28</v>
      </c>
      <c r="B45" t="s">
        <v>500</v>
      </c>
      <c r="C45" t="s">
        <v>473</v>
      </c>
      <c r="D45" t="str">
        <f t="shared" si="0"/>
        <v>HIVAIDS_ART_1</v>
      </c>
    </row>
    <row r="46" spans="1:4" x14ac:dyDescent="0.25">
      <c r="A46" t="s">
        <v>28</v>
      </c>
      <c r="B46" t="s">
        <v>501</v>
      </c>
      <c r="C46" t="s">
        <v>474</v>
      </c>
      <c r="D46" t="str">
        <f t="shared" si="0"/>
        <v>HIVAIDS_ART_2</v>
      </c>
    </row>
    <row r="47" spans="1:4" x14ac:dyDescent="0.25">
      <c r="A47" t="s">
        <v>28</v>
      </c>
      <c r="B47" t="s">
        <v>753</v>
      </c>
      <c r="C47" t="s">
        <v>742</v>
      </c>
      <c r="D47" t="str">
        <f t="shared" si="0"/>
        <v>HIVAIDS_RD</v>
      </c>
    </row>
    <row r="48" spans="1:4" x14ac:dyDescent="0.25">
      <c r="A48" t="s">
        <v>28</v>
      </c>
      <c r="B48" t="s">
        <v>452</v>
      </c>
      <c r="C48" t="s">
        <v>55</v>
      </c>
      <c r="D48" t="str">
        <f t="shared" si="0"/>
        <v>HIVdeath</v>
      </c>
    </row>
    <row r="49" spans="1:4" x14ac:dyDescent="0.25">
      <c r="A49" t="s">
        <v>77</v>
      </c>
      <c r="B49" t="s">
        <v>452</v>
      </c>
      <c r="C49" t="s">
        <v>55</v>
      </c>
      <c r="D49" t="str">
        <f t="shared" si="0"/>
        <v>HCVdeath</v>
      </c>
    </row>
    <row r="50" spans="1:4" x14ac:dyDescent="0.25">
      <c r="A50" t="s">
        <v>78</v>
      </c>
      <c r="B50" t="s">
        <v>452</v>
      </c>
      <c r="C50" t="s">
        <v>55</v>
      </c>
      <c r="D50" t="str">
        <f t="shared" si="0"/>
        <v>HBVdeath</v>
      </c>
    </row>
  </sheetData>
  <autoFilter ref="A1:D44" xr:uid="{EB03D487-6792-418A-B052-C5E6B33AAAC3}"/>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75A8A-757F-4D42-A25B-61CDC1A42A2F}">
  <dimension ref="A1:J62"/>
  <sheetViews>
    <sheetView zoomScale="85" zoomScaleNormal="85" workbookViewId="0">
      <selection activeCell="B4" sqref="B4"/>
    </sheetView>
  </sheetViews>
  <sheetFormatPr defaultRowHeight="15" x14ac:dyDescent="0.25"/>
  <cols>
    <col min="1" max="1" width="14.85546875" customWidth="1"/>
    <col min="2" max="2" width="36.7109375" customWidth="1"/>
    <col min="6" max="6" width="31.28515625" customWidth="1"/>
    <col min="7" max="7" width="85.7109375" bestFit="1" customWidth="1"/>
    <col min="8" max="8" width="30.42578125" customWidth="1"/>
    <col min="9" max="9" width="17.5703125" customWidth="1"/>
  </cols>
  <sheetData>
    <row r="1" spans="1:10" x14ac:dyDescent="0.25">
      <c r="A1" s="43" t="s">
        <v>71</v>
      </c>
      <c r="B1" s="43" t="s">
        <v>196</v>
      </c>
      <c r="C1" s="43" t="s">
        <v>198</v>
      </c>
      <c r="D1" s="43" t="s">
        <v>26</v>
      </c>
      <c r="E1" s="43" t="s">
        <v>27</v>
      </c>
      <c r="F1" s="43" t="s">
        <v>197</v>
      </c>
      <c r="G1" s="2" t="s">
        <v>295</v>
      </c>
      <c r="H1" s="2" t="s">
        <v>257</v>
      </c>
      <c r="I1" s="46" t="s">
        <v>72</v>
      </c>
      <c r="J1" s="38" t="s">
        <v>291</v>
      </c>
    </row>
    <row r="2" spans="1:10" x14ac:dyDescent="0.25">
      <c r="A2" s="4" t="s">
        <v>195</v>
      </c>
      <c r="B2" s="41" t="s">
        <v>695</v>
      </c>
      <c r="C2" s="106">
        <v>7.1999999999999995E-2</v>
      </c>
      <c r="D2" s="106">
        <f>C2*0.8</f>
        <v>5.7599999999999998E-2</v>
      </c>
      <c r="E2" s="106">
        <f>C2*1.2</f>
        <v>8.6399999999999991E-2</v>
      </c>
      <c r="F2" s="4" t="s">
        <v>669</v>
      </c>
      <c r="G2" t="str">
        <f t="shared" ref="G2:G33" si="0">IF(A2&lt;&gt;"General",B2&amp;", "&amp;A2,B2)</f>
        <v>Inpatient mortality (no adverse event)</v>
      </c>
      <c r="H2" s="2" t="s">
        <v>696</v>
      </c>
      <c r="I2" t="s">
        <v>667</v>
      </c>
      <c r="J2" s="4" t="s">
        <v>261</v>
      </c>
    </row>
    <row r="3" spans="1:10" ht="30" x14ac:dyDescent="0.25">
      <c r="A3" s="4" t="s">
        <v>195</v>
      </c>
      <c r="B3" s="41" t="s">
        <v>792</v>
      </c>
      <c r="C3" s="4">
        <v>0.45</v>
      </c>
      <c r="D3" s="4">
        <v>0.1</v>
      </c>
      <c r="E3" s="4">
        <v>0.8</v>
      </c>
      <c r="F3" s="4" t="s">
        <v>668</v>
      </c>
      <c r="G3" t="str">
        <f t="shared" si="0"/>
        <v>Acute adverse event costs incurred if inpatient mortality</v>
      </c>
      <c r="H3" s="2" t="s">
        <v>696</v>
      </c>
      <c r="I3" t="s">
        <v>457</v>
      </c>
      <c r="J3" s="4" t="s">
        <v>261</v>
      </c>
    </row>
    <row r="4" spans="1:10" x14ac:dyDescent="0.25">
      <c r="A4" s="4" t="s">
        <v>100</v>
      </c>
      <c r="B4" s="4" t="s">
        <v>293</v>
      </c>
      <c r="C4" s="4">
        <v>0.5</v>
      </c>
      <c r="D4" s="4">
        <v>0.4</v>
      </c>
      <c r="E4" s="4">
        <v>0.6</v>
      </c>
      <c r="F4" s="4" t="s">
        <v>212</v>
      </c>
      <c r="G4" t="str">
        <f t="shared" si="0"/>
        <v>Additional inpatient day, FNHTR</v>
      </c>
      <c r="H4" s="2" t="s">
        <v>696</v>
      </c>
      <c r="I4" t="s">
        <v>457</v>
      </c>
      <c r="J4" s="4" t="s">
        <v>261</v>
      </c>
    </row>
    <row r="5" spans="1:10" x14ac:dyDescent="0.25">
      <c r="A5" s="4" t="s">
        <v>94</v>
      </c>
      <c r="B5" s="41" t="s">
        <v>293</v>
      </c>
      <c r="C5" s="4">
        <v>0.05</v>
      </c>
      <c r="D5" s="4">
        <v>0.01</v>
      </c>
      <c r="E5" s="4">
        <v>0.09</v>
      </c>
      <c r="F5" s="4" t="s">
        <v>204</v>
      </c>
      <c r="G5" t="str">
        <f t="shared" si="0"/>
        <v>Additional inpatient day, Malaria</v>
      </c>
      <c r="H5" s="2" t="s">
        <v>696</v>
      </c>
      <c r="I5" t="s">
        <v>457</v>
      </c>
      <c r="J5" s="4" t="s">
        <v>261</v>
      </c>
    </row>
    <row r="6" spans="1:10" x14ac:dyDescent="0.25">
      <c r="A6" s="4" t="s">
        <v>94</v>
      </c>
      <c r="B6" s="41" t="s">
        <v>302</v>
      </c>
      <c r="C6" s="4">
        <v>0.5</v>
      </c>
      <c r="D6" s="4">
        <v>0.4</v>
      </c>
      <c r="E6" s="4">
        <v>0.6</v>
      </c>
      <c r="F6" s="4" t="s">
        <v>206</v>
      </c>
      <c r="G6" t="str">
        <f t="shared" si="0"/>
        <v>Outpatient clinic visit, Malaria</v>
      </c>
      <c r="H6" s="2" t="s">
        <v>696</v>
      </c>
      <c r="I6" t="s">
        <v>457</v>
      </c>
      <c r="J6" s="4" t="s">
        <v>261</v>
      </c>
    </row>
    <row r="7" spans="1:10" x14ac:dyDescent="0.25">
      <c r="A7" s="4" t="s">
        <v>88</v>
      </c>
      <c r="B7" s="41" t="s">
        <v>301</v>
      </c>
      <c r="C7" s="4">
        <v>0.9</v>
      </c>
      <c r="D7" s="4">
        <v>0.8</v>
      </c>
      <c r="E7" s="4">
        <v>1</v>
      </c>
      <c r="F7" s="4" t="s">
        <v>210</v>
      </c>
      <c r="G7" t="str">
        <f t="shared" si="0"/>
        <v>Medication, Sepsis</v>
      </c>
      <c r="H7" s="2" t="s">
        <v>696</v>
      </c>
      <c r="I7" t="s">
        <v>457</v>
      </c>
      <c r="J7" s="4" t="s">
        <v>261</v>
      </c>
    </row>
    <row r="8" spans="1:10" x14ac:dyDescent="0.25">
      <c r="A8" s="4" t="s">
        <v>214</v>
      </c>
      <c r="B8" s="41" t="s">
        <v>310</v>
      </c>
      <c r="C8" s="4">
        <v>0.1</v>
      </c>
      <c r="D8" s="4">
        <v>0.05</v>
      </c>
      <c r="E8" s="4">
        <v>0.2</v>
      </c>
      <c r="F8" s="4" t="s">
        <v>215</v>
      </c>
      <c r="G8" t="str">
        <f t="shared" si="0"/>
        <v>Diagnosis &amp; treatment, Syphilis</v>
      </c>
      <c r="H8" s="2" t="s">
        <v>696</v>
      </c>
      <c r="I8" t="s">
        <v>457</v>
      </c>
      <c r="J8" s="4" t="s">
        <v>261</v>
      </c>
    </row>
    <row r="9" spans="1:10" x14ac:dyDescent="0.25">
      <c r="A9" s="4" t="s">
        <v>195</v>
      </c>
      <c r="B9" s="4" t="s">
        <v>293</v>
      </c>
      <c r="C9" s="42">
        <v>60</v>
      </c>
      <c r="D9" s="42">
        <v>40</v>
      </c>
      <c r="E9" s="42">
        <v>80</v>
      </c>
      <c r="F9" s="4" t="s">
        <v>199</v>
      </c>
      <c r="G9" t="str">
        <f t="shared" si="0"/>
        <v>Additional inpatient day</v>
      </c>
      <c r="H9" t="s">
        <v>336</v>
      </c>
      <c r="I9" t="s">
        <v>457</v>
      </c>
      <c r="J9" s="4" t="s">
        <v>261</v>
      </c>
    </row>
    <row r="10" spans="1:10" x14ac:dyDescent="0.25">
      <c r="A10" s="4" t="s">
        <v>195</v>
      </c>
      <c r="B10" s="41" t="s">
        <v>306</v>
      </c>
      <c r="C10" s="4">
        <v>13</v>
      </c>
      <c r="D10" s="4">
        <v>11</v>
      </c>
      <c r="E10" s="4">
        <v>15</v>
      </c>
      <c r="F10" s="4" t="s">
        <v>221</v>
      </c>
      <c r="G10" t="str">
        <f t="shared" si="0"/>
        <v>Liver function test</v>
      </c>
      <c r="H10" t="s">
        <v>336</v>
      </c>
      <c r="I10" t="s">
        <v>457</v>
      </c>
      <c r="J10" s="4" t="s">
        <v>261</v>
      </c>
    </row>
    <row r="11" spans="1:10" x14ac:dyDescent="0.25">
      <c r="A11" s="4" t="s">
        <v>195</v>
      </c>
      <c r="B11" s="41" t="s">
        <v>307</v>
      </c>
      <c r="C11" s="4">
        <v>7.7</v>
      </c>
      <c r="D11" s="4">
        <v>6.3</v>
      </c>
      <c r="E11" s="4">
        <v>9</v>
      </c>
      <c r="F11" s="4" t="s">
        <v>222</v>
      </c>
      <c r="G11" t="str">
        <f t="shared" si="0"/>
        <v>International normalized ratio test</v>
      </c>
      <c r="H11" t="s">
        <v>336</v>
      </c>
      <c r="I11" t="s">
        <v>457</v>
      </c>
      <c r="J11" s="4" t="s">
        <v>261</v>
      </c>
    </row>
    <row r="12" spans="1:10" x14ac:dyDescent="0.25">
      <c r="A12" s="4" t="s">
        <v>195</v>
      </c>
      <c r="B12" s="41" t="s">
        <v>308</v>
      </c>
      <c r="C12" s="4">
        <v>6.4</v>
      </c>
      <c r="D12" s="4">
        <v>5.5</v>
      </c>
      <c r="E12" s="4">
        <v>7.3</v>
      </c>
      <c r="F12" s="4" t="s">
        <v>223</v>
      </c>
      <c r="G12" t="str">
        <f t="shared" si="0"/>
        <v>Full blood count</v>
      </c>
      <c r="H12" t="s">
        <v>336</v>
      </c>
      <c r="I12" t="s">
        <v>457</v>
      </c>
      <c r="J12" s="4" t="s">
        <v>261</v>
      </c>
    </row>
    <row r="13" spans="1:10" ht="30" x14ac:dyDescent="0.25">
      <c r="A13" s="4" t="s">
        <v>195</v>
      </c>
      <c r="B13" s="41" t="s">
        <v>309</v>
      </c>
      <c r="C13" s="4">
        <v>11.5</v>
      </c>
      <c r="D13" s="4">
        <v>10</v>
      </c>
      <c r="E13" s="4">
        <v>13</v>
      </c>
      <c r="F13" s="4" t="s">
        <v>224</v>
      </c>
      <c r="G13" t="str">
        <f t="shared" si="0"/>
        <v>Blood urea nitrogen, creatinine, &amp; electrolytes</v>
      </c>
      <c r="H13" t="s">
        <v>336</v>
      </c>
      <c r="I13" t="s">
        <v>457</v>
      </c>
      <c r="J13" s="4" t="s">
        <v>261</v>
      </c>
    </row>
    <row r="14" spans="1:10" x14ac:dyDescent="0.25">
      <c r="A14" s="4" t="s">
        <v>195</v>
      </c>
      <c r="B14" s="41" t="s">
        <v>311</v>
      </c>
      <c r="C14" s="4">
        <v>11.5</v>
      </c>
      <c r="D14" s="4">
        <v>11</v>
      </c>
      <c r="E14" s="4">
        <v>12</v>
      </c>
      <c r="F14" s="4" t="s">
        <v>225</v>
      </c>
      <c r="G14" t="str">
        <f t="shared" si="0"/>
        <v>Alpha fetoprotein</v>
      </c>
      <c r="H14" t="s">
        <v>336</v>
      </c>
      <c r="I14" t="s">
        <v>457</v>
      </c>
      <c r="J14" s="4" t="s">
        <v>261</v>
      </c>
    </row>
    <row r="15" spans="1:10" x14ac:dyDescent="0.25">
      <c r="A15" s="4" t="s">
        <v>195</v>
      </c>
      <c r="B15" s="41" t="s">
        <v>454</v>
      </c>
      <c r="C15" s="4">
        <v>6</v>
      </c>
      <c r="D15" s="4">
        <v>4</v>
      </c>
      <c r="E15" s="4">
        <v>8</v>
      </c>
      <c r="F15" s="4" t="s">
        <v>226</v>
      </c>
      <c r="G15" t="str">
        <f t="shared" si="0"/>
        <v>Brief outpatient visit</v>
      </c>
      <c r="H15" t="s">
        <v>336</v>
      </c>
      <c r="I15" t="s">
        <v>457</v>
      </c>
      <c r="J15" s="4" t="s">
        <v>261</v>
      </c>
    </row>
    <row r="16" spans="1:10" x14ac:dyDescent="0.25">
      <c r="A16" s="4" t="s">
        <v>195</v>
      </c>
      <c r="B16" s="41" t="s">
        <v>312</v>
      </c>
      <c r="C16" s="4">
        <v>12</v>
      </c>
      <c r="D16" s="4">
        <v>8</v>
      </c>
      <c r="E16" s="4">
        <v>16</v>
      </c>
      <c r="F16" s="4" t="s">
        <v>227</v>
      </c>
      <c r="G16" t="str">
        <f t="shared" si="0"/>
        <v>Extensive outpatient visit</v>
      </c>
      <c r="H16" t="s">
        <v>336</v>
      </c>
      <c r="I16" t="s">
        <v>457</v>
      </c>
      <c r="J16" s="4" t="s">
        <v>261</v>
      </c>
    </row>
    <row r="17" spans="1:10" x14ac:dyDescent="0.25">
      <c r="A17" s="4" t="s">
        <v>195</v>
      </c>
      <c r="B17" s="41" t="s">
        <v>313</v>
      </c>
      <c r="C17" s="4">
        <v>10</v>
      </c>
      <c r="D17" s="4">
        <v>8</v>
      </c>
      <c r="E17" s="4">
        <v>12</v>
      </c>
      <c r="F17" s="4" t="s">
        <v>228</v>
      </c>
      <c r="G17" t="str">
        <f t="shared" si="0"/>
        <v>Abdominal ultrasonography</v>
      </c>
      <c r="H17" t="s">
        <v>336</v>
      </c>
      <c r="I17" t="s">
        <v>457</v>
      </c>
      <c r="J17" s="4" t="s">
        <v>261</v>
      </c>
    </row>
    <row r="18" spans="1:10" x14ac:dyDescent="0.25">
      <c r="A18" s="4" t="s">
        <v>195</v>
      </c>
      <c r="B18" s="41" t="s">
        <v>314</v>
      </c>
      <c r="C18" s="4">
        <v>271.5</v>
      </c>
      <c r="D18" s="4">
        <v>245</v>
      </c>
      <c r="E18" s="4">
        <v>350</v>
      </c>
      <c r="F18" s="4" t="s">
        <v>229</v>
      </c>
      <c r="G18" t="str">
        <f t="shared" si="0"/>
        <v>Endoscopy with band ligation</v>
      </c>
      <c r="H18" t="s">
        <v>336</v>
      </c>
      <c r="I18" t="s">
        <v>457</v>
      </c>
      <c r="J18" s="4" t="s">
        <v>261</v>
      </c>
    </row>
    <row r="19" spans="1:10" x14ac:dyDescent="0.25">
      <c r="A19" s="4" t="s">
        <v>195</v>
      </c>
      <c r="B19" s="41" t="s">
        <v>315</v>
      </c>
      <c r="C19" s="4">
        <v>350</v>
      </c>
      <c r="D19" s="4">
        <v>182.5</v>
      </c>
      <c r="E19" s="4">
        <v>782</v>
      </c>
      <c r="F19" s="4" t="s">
        <v>230</v>
      </c>
      <c r="G19" t="str">
        <f t="shared" si="0"/>
        <v>Spironolactone</v>
      </c>
      <c r="H19" t="s">
        <v>336</v>
      </c>
      <c r="I19" t="s">
        <v>457</v>
      </c>
      <c r="J19" s="4" t="s">
        <v>261</v>
      </c>
    </row>
    <row r="20" spans="1:10" x14ac:dyDescent="0.25">
      <c r="A20" s="4" t="s">
        <v>195</v>
      </c>
      <c r="B20" s="41" t="s">
        <v>316</v>
      </c>
      <c r="C20" s="4">
        <v>60.8</v>
      </c>
      <c r="D20" s="4">
        <v>55</v>
      </c>
      <c r="E20" s="4">
        <v>66</v>
      </c>
      <c r="F20" s="4" t="s">
        <v>231</v>
      </c>
      <c r="G20" t="str">
        <f t="shared" si="0"/>
        <v>Furosemide</v>
      </c>
      <c r="H20" t="s">
        <v>336</v>
      </c>
      <c r="I20" t="s">
        <v>457</v>
      </c>
      <c r="J20" s="4" t="s">
        <v>261</v>
      </c>
    </row>
    <row r="21" spans="1:10" x14ac:dyDescent="0.25">
      <c r="A21" s="4" t="s">
        <v>195</v>
      </c>
      <c r="B21" s="41" t="s">
        <v>317</v>
      </c>
      <c r="C21" s="4">
        <v>1811</v>
      </c>
      <c r="D21" s="4">
        <v>1400</v>
      </c>
      <c r="E21" s="4">
        <v>2200</v>
      </c>
      <c r="F21" s="4" t="s">
        <v>253</v>
      </c>
      <c r="G21" t="str">
        <f t="shared" si="0"/>
        <v>Transarterial chemoembolization</v>
      </c>
      <c r="H21" t="s">
        <v>336</v>
      </c>
      <c r="I21" t="s">
        <v>457</v>
      </c>
      <c r="J21" s="4" t="s">
        <v>261</v>
      </c>
    </row>
    <row r="22" spans="1:10" x14ac:dyDescent="0.25">
      <c r="A22" s="4" t="s">
        <v>195</v>
      </c>
      <c r="B22" s="41" t="s">
        <v>318</v>
      </c>
      <c r="C22" s="4">
        <v>173</v>
      </c>
      <c r="D22" s="4">
        <v>150</v>
      </c>
      <c r="E22" s="4">
        <v>196</v>
      </c>
      <c r="F22" s="4" t="s">
        <v>232</v>
      </c>
      <c r="G22" t="str">
        <f t="shared" si="0"/>
        <v>Triphasic CT scan</v>
      </c>
      <c r="H22" t="s">
        <v>336</v>
      </c>
      <c r="I22" t="s">
        <v>457</v>
      </c>
      <c r="J22" s="4" t="s">
        <v>261</v>
      </c>
    </row>
    <row r="23" spans="1:10" x14ac:dyDescent="0.25">
      <c r="A23" s="4" t="s">
        <v>195</v>
      </c>
      <c r="B23" s="41" t="s">
        <v>319</v>
      </c>
      <c r="C23" s="4">
        <v>1916.5</v>
      </c>
      <c r="D23" s="4">
        <v>1643</v>
      </c>
      <c r="E23" s="4">
        <v>2190</v>
      </c>
      <c r="F23" s="4" t="s">
        <v>233</v>
      </c>
      <c r="G23" t="str">
        <f t="shared" si="0"/>
        <v>Sorafenib (9-12 tablets)</v>
      </c>
      <c r="H23" t="s">
        <v>336</v>
      </c>
      <c r="I23" t="s">
        <v>457</v>
      </c>
      <c r="J23" s="4" t="s">
        <v>261</v>
      </c>
    </row>
    <row r="24" spans="1:10" x14ac:dyDescent="0.25">
      <c r="A24" s="4" t="s">
        <v>100</v>
      </c>
      <c r="B24" s="41" t="s">
        <v>303</v>
      </c>
      <c r="C24" s="4">
        <v>25</v>
      </c>
      <c r="D24" s="4">
        <v>20</v>
      </c>
      <c r="E24" s="4">
        <v>30</v>
      </c>
      <c r="F24" s="4" t="s">
        <v>211</v>
      </c>
      <c r="G24" t="str">
        <f t="shared" si="0"/>
        <v>Consultation and medication, FNHTR</v>
      </c>
      <c r="H24" t="s">
        <v>336</v>
      </c>
      <c r="I24" t="s">
        <v>457</v>
      </c>
      <c r="J24" s="4" t="s">
        <v>261</v>
      </c>
    </row>
    <row r="25" spans="1:10" x14ac:dyDescent="0.25">
      <c r="A25" s="4" t="s">
        <v>78</v>
      </c>
      <c r="B25" s="41" t="s">
        <v>323</v>
      </c>
      <c r="C25" s="4">
        <v>3.78</v>
      </c>
      <c r="D25" s="4">
        <v>2.16</v>
      </c>
      <c r="E25" s="4">
        <v>5.4</v>
      </c>
      <c r="F25" s="4" t="s">
        <v>238</v>
      </c>
      <c r="G25" t="str">
        <f t="shared" si="0"/>
        <v>HBsAg test, HBV</v>
      </c>
      <c r="H25" t="s">
        <v>336</v>
      </c>
      <c r="I25" t="s">
        <v>457</v>
      </c>
      <c r="J25" s="4" t="s">
        <v>261</v>
      </c>
    </row>
    <row r="26" spans="1:10" x14ac:dyDescent="0.25">
      <c r="A26" s="4" t="s">
        <v>78</v>
      </c>
      <c r="B26" s="41" t="s">
        <v>325</v>
      </c>
      <c r="C26" s="4">
        <v>35.1</v>
      </c>
      <c r="D26" s="4">
        <v>21.6</v>
      </c>
      <c r="E26" s="4">
        <v>48.6</v>
      </c>
      <c r="F26" s="4" t="s">
        <v>239</v>
      </c>
      <c r="G26" t="str">
        <f t="shared" si="0"/>
        <v>HBV profile test, HBV</v>
      </c>
      <c r="H26" t="s">
        <v>336</v>
      </c>
      <c r="I26" t="s">
        <v>457</v>
      </c>
      <c r="J26" s="4" t="s">
        <v>261</v>
      </c>
    </row>
    <row r="27" spans="1:10" x14ac:dyDescent="0.25">
      <c r="A27" s="4" t="s">
        <v>78</v>
      </c>
      <c r="B27" s="41" t="s">
        <v>324</v>
      </c>
      <c r="C27" s="4">
        <v>73.8</v>
      </c>
      <c r="D27" s="4">
        <v>72</v>
      </c>
      <c r="E27" s="4">
        <v>75.599999999999994</v>
      </c>
      <c r="F27" s="4" t="s">
        <v>240</v>
      </c>
      <c r="G27" t="str">
        <f t="shared" si="0"/>
        <v>HBV DNA test, HBV</v>
      </c>
      <c r="H27" t="s">
        <v>336</v>
      </c>
      <c r="I27" t="s">
        <v>457</v>
      </c>
      <c r="J27" s="4" t="s">
        <v>261</v>
      </c>
    </row>
    <row r="28" spans="1:10" x14ac:dyDescent="0.25">
      <c r="A28" s="4" t="s">
        <v>78</v>
      </c>
      <c r="B28" s="41" t="s">
        <v>477</v>
      </c>
      <c r="C28" s="4">
        <v>325.93</v>
      </c>
      <c r="D28" s="4">
        <v>260.74</v>
      </c>
      <c r="E28" s="4">
        <v>391.12</v>
      </c>
      <c r="F28" s="4" t="s">
        <v>241</v>
      </c>
      <c r="G28" t="str">
        <f t="shared" si="0"/>
        <v>AVT for non-cirrhotic patients, HBV</v>
      </c>
      <c r="H28" t="s">
        <v>336</v>
      </c>
      <c r="I28" t="s">
        <v>457</v>
      </c>
      <c r="J28" s="4" t="s">
        <v>261</v>
      </c>
    </row>
    <row r="29" spans="1:10" x14ac:dyDescent="0.25">
      <c r="A29" s="4" t="s">
        <v>78</v>
      </c>
      <c r="B29" s="41" t="s">
        <v>478</v>
      </c>
      <c r="C29" s="4">
        <v>869.14</v>
      </c>
      <c r="D29" s="4">
        <v>325.93</v>
      </c>
      <c r="E29" s="45">
        <v>3585.18</v>
      </c>
      <c r="F29" s="4" t="s">
        <v>242</v>
      </c>
      <c r="G29" t="str">
        <f t="shared" si="0"/>
        <v>AVT with cirrhosis, HBV</v>
      </c>
      <c r="H29" t="s">
        <v>336</v>
      </c>
      <c r="I29" t="s">
        <v>457</v>
      </c>
      <c r="J29" s="4" t="s">
        <v>261</v>
      </c>
    </row>
    <row r="30" spans="1:10" x14ac:dyDescent="0.25">
      <c r="A30" s="4" t="s">
        <v>77</v>
      </c>
      <c r="B30" s="41" t="s">
        <v>320</v>
      </c>
      <c r="C30" s="4">
        <v>9</v>
      </c>
      <c r="D30" s="4">
        <v>7</v>
      </c>
      <c r="E30" s="4">
        <v>13</v>
      </c>
      <c r="F30" s="4" t="s">
        <v>218</v>
      </c>
      <c r="G30" t="str">
        <f t="shared" si="0"/>
        <v>Ab screen and confirmation, HCV</v>
      </c>
      <c r="H30" t="s">
        <v>336</v>
      </c>
      <c r="I30" t="s">
        <v>457</v>
      </c>
      <c r="J30" s="4" t="s">
        <v>261</v>
      </c>
    </row>
    <row r="31" spans="1:10" x14ac:dyDescent="0.25">
      <c r="A31" s="4" t="s">
        <v>77</v>
      </c>
      <c r="B31" s="41" t="s">
        <v>321</v>
      </c>
      <c r="C31" s="4">
        <v>145</v>
      </c>
      <c r="D31" s="4">
        <v>120</v>
      </c>
      <c r="E31" s="4">
        <v>170</v>
      </c>
      <c r="F31" s="4" t="s">
        <v>219</v>
      </c>
      <c r="G31" t="str">
        <f t="shared" si="0"/>
        <v>RNA test, HCV</v>
      </c>
      <c r="H31" t="s">
        <v>336</v>
      </c>
      <c r="I31" t="s">
        <v>457</v>
      </c>
      <c r="J31" s="4" t="s">
        <v>261</v>
      </c>
    </row>
    <row r="32" spans="1:10" x14ac:dyDescent="0.25">
      <c r="A32" s="4" t="s">
        <v>77</v>
      </c>
      <c r="B32" s="41" t="s">
        <v>455</v>
      </c>
      <c r="C32" s="4">
        <v>163</v>
      </c>
      <c r="D32" s="4">
        <v>140</v>
      </c>
      <c r="E32" s="4">
        <v>186</v>
      </c>
      <c r="F32" s="4" t="s">
        <v>220</v>
      </c>
      <c r="G32" t="str">
        <f t="shared" si="0"/>
        <v>Genotyping, HCV</v>
      </c>
      <c r="H32" t="s">
        <v>336</v>
      </c>
      <c r="I32" t="s">
        <v>457</v>
      </c>
      <c r="J32" s="4" t="s">
        <v>261</v>
      </c>
    </row>
    <row r="33" spans="1:10" x14ac:dyDescent="0.25">
      <c r="A33" s="4" t="s">
        <v>77</v>
      </c>
      <c r="B33" s="41" t="s">
        <v>322</v>
      </c>
      <c r="C33" s="4">
        <v>650</v>
      </c>
      <c r="D33" s="4">
        <v>547.5</v>
      </c>
      <c r="E33" s="4">
        <v>1087</v>
      </c>
      <c r="F33" s="4" t="s">
        <v>234</v>
      </c>
      <c r="G33" t="str">
        <f t="shared" si="0"/>
        <v>Antiviral medication, HCV</v>
      </c>
      <c r="H33" t="s">
        <v>336</v>
      </c>
      <c r="I33" t="s">
        <v>457</v>
      </c>
      <c r="J33" s="4" t="s">
        <v>261</v>
      </c>
    </row>
    <row r="34" spans="1:10" x14ac:dyDescent="0.25">
      <c r="A34" s="4" t="s">
        <v>77</v>
      </c>
      <c r="B34" s="41" t="s">
        <v>479</v>
      </c>
      <c r="C34" s="4">
        <v>1634</v>
      </c>
      <c r="D34" s="4">
        <v>1095</v>
      </c>
      <c r="E34" s="4">
        <v>2173</v>
      </c>
      <c r="F34" s="4" t="s">
        <v>256</v>
      </c>
      <c r="G34" t="str">
        <f t="shared" ref="G34:G62" si="1">IF(A34&lt;&gt;"General",B34&amp;", "&amp;A34,B34)</f>
        <v>AVT for decompensated cirrhosis, HCV</v>
      </c>
      <c r="H34" t="s">
        <v>336</v>
      </c>
      <c r="I34" t="s">
        <v>457</v>
      </c>
      <c r="J34" s="4" t="s">
        <v>261</v>
      </c>
    </row>
    <row r="35" spans="1:10" x14ac:dyDescent="0.25">
      <c r="A35" s="4" t="s">
        <v>28</v>
      </c>
      <c r="B35" s="41" t="s">
        <v>476</v>
      </c>
      <c r="C35" s="40">
        <v>584.55999999999995</v>
      </c>
      <c r="D35" s="40">
        <v>436.30000000000007</v>
      </c>
      <c r="E35" s="40">
        <v>732.82</v>
      </c>
      <c r="F35" s="4" t="s">
        <v>494</v>
      </c>
      <c r="G35" t="str">
        <f t="shared" si="1"/>
        <v>AIDS care first year on AVT, HIV</v>
      </c>
      <c r="H35" t="s">
        <v>336</v>
      </c>
      <c r="I35" t="s">
        <v>457</v>
      </c>
      <c r="J35" s="4" t="s">
        <v>261</v>
      </c>
    </row>
    <row r="36" spans="1:10" x14ac:dyDescent="0.25">
      <c r="A36" s="4" t="s">
        <v>28</v>
      </c>
      <c r="B36" s="41" t="s">
        <v>493</v>
      </c>
      <c r="C36" s="40">
        <v>329.56</v>
      </c>
      <c r="D36" s="40">
        <v>266.3</v>
      </c>
      <c r="E36" s="40">
        <v>392.82</v>
      </c>
      <c r="F36" s="4" t="s">
        <v>495</v>
      </c>
      <c r="G36" t="str">
        <f t="shared" si="1"/>
        <v>AIDS care second year on AVT, HIV</v>
      </c>
      <c r="H36" t="s">
        <v>336</v>
      </c>
      <c r="I36" t="s">
        <v>457</v>
      </c>
      <c r="J36" s="4" t="s">
        <v>261</v>
      </c>
    </row>
    <row r="37" spans="1:10" x14ac:dyDescent="0.25">
      <c r="A37" s="4" t="s">
        <v>28</v>
      </c>
      <c r="B37" s="41" t="s">
        <v>753</v>
      </c>
      <c r="C37" s="40">
        <v>1150</v>
      </c>
      <c r="D37" s="40">
        <v>1000</v>
      </c>
      <c r="E37" s="40">
        <v>1500</v>
      </c>
      <c r="F37" s="4" t="s">
        <v>745</v>
      </c>
      <c r="G37" t="str">
        <f t="shared" si="1"/>
        <v>Residual disability from AIDS on AVT, HIV</v>
      </c>
      <c r="H37" t="s">
        <v>336</v>
      </c>
      <c r="I37" t="s">
        <v>457</v>
      </c>
      <c r="J37" s="4" t="s">
        <v>261</v>
      </c>
    </row>
    <row r="38" spans="1:10" x14ac:dyDescent="0.25">
      <c r="A38" s="4" t="s">
        <v>94</v>
      </c>
      <c r="B38" s="41" t="s">
        <v>302</v>
      </c>
      <c r="C38" s="4">
        <v>15</v>
      </c>
      <c r="D38" s="4">
        <v>10</v>
      </c>
      <c r="E38" s="4">
        <v>20</v>
      </c>
      <c r="F38" s="4" t="s">
        <v>208</v>
      </c>
      <c r="G38" t="str">
        <f t="shared" si="1"/>
        <v>Outpatient clinic visit, Malaria</v>
      </c>
      <c r="H38" t="s">
        <v>336</v>
      </c>
      <c r="I38" t="s">
        <v>457</v>
      </c>
      <c r="J38" s="4" t="s">
        <v>261</v>
      </c>
    </row>
    <row r="39" spans="1:10" x14ac:dyDescent="0.25">
      <c r="A39" s="4" t="s">
        <v>94</v>
      </c>
      <c r="B39" s="41" t="s">
        <v>201</v>
      </c>
      <c r="C39" s="4">
        <v>3</v>
      </c>
      <c r="D39" s="4">
        <v>1</v>
      </c>
      <c r="E39" s="4">
        <v>5</v>
      </c>
      <c r="F39" s="4" t="s">
        <v>209</v>
      </c>
      <c r="G39" t="str">
        <f t="shared" si="1"/>
        <v>RDT + Microscopy, Malaria</v>
      </c>
      <c r="H39" t="s">
        <v>336</v>
      </c>
      <c r="I39" t="s">
        <v>457</v>
      </c>
      <c r="J39" s="4" t="s">
        <v>261</v>
      </c>
    </row>
    <row r="40" spans="1:10" x14ac:dyDescent="0.25">
      <c r="A40" s="4" t="s">
        <v>94</v>
      </c>
      <c r="B40" s="41" t="s">
        <v>301</v>
      </c>
      <c r="C40" s="4">
        <v>12</v>
      </c>
      <c r="D40" s="4">
        <v>4</v>
      </c>
      <c r="E40" s="4">
        <v>20</v>
      </c>
      <c r="F40" s="4" t="s">
        <v>203</v>
      </c>
      <c r="G40" t="str">
        <f t="shared" si="1"/>
        <v>Medication, Malaria</v>
      </c>
      <c r="H40" t="s">
        <v>336</v>
      </c>
      <c r="I40" t="s">
        <v>457</v>
      </c>
      <c r="J40" s="4" t="s">
        <v>261</v>
      </c>
    </row>
    <row r="41" spans="1:10" x14ac:dyDescent="0.25">
      <c r="A41" s="4" t="s">
        <v>88</v>
      </c>
      <c r="B41" s="41" t="s">
        <v>301</v>
      </c>
      <c r="C41" s="4">
        <v>372</v>
      </c>
      <c r="D41" s="4">
        <v>300</v>
      </c>
      <c r="E41" s="45">
        <v>732</v>
      </c>
      <c r="F41" s="4" t="s">
        <v>202</v>
      </c>
      <c r="G41" t="str">
        <f t="shared" si="1"/>
        <v>Medication, Sepsis</v>
      </c>
      <c r="H41" t="s">
        <v>336</v>
      </c>
      <c r="I41" t="s">
        <v>457</v>
      </c>
      <c r="J41" s="4" t="s">
        <v>261</v>
      </c>
    </row>
    <row r="42" spans="1:10" x14ac:dyDescent="0.25">
      <c r="A42" s="4" t="s">
        <v>214</v>
      </c>
      <c r="B42" s="41" t="s">
        <v>304</v>
      </c>
      <c r="C42" s="4">
        <v>15</v>
      </c>
      <c r="D42" s="4">
        <v>10</v>
      </c>
      <c r="E42" s="4">
        <v>40</v>
      </c>
      <c r="F42" s="4" t="s">
        <v>216</v>
      </c>
      <c r="G42" t="str">
        <f t="shared" si="1"/>
        <v>Diagnosis, Syphilis</v>
      </c>
      <c r="H42" t="s">
        <v>336</v>
      </c>
      <c r="I42" t="s">
        <v>457</v>
      </c>
      <c r="J42" s="4" t="s">
        <v>261</v>
      </c>
    </row>
    <row r="43" spans="1:10" x14ac:dyDescent="0.25">
      <c r="A43" s="4" t="s">
        <v>214</v>
      </c>
      <c r="B43" s="41" t="s">
        <v>305</v>
      </c>
      <c r="C43" s="4">
        <v>12</v>
      </c>
      <c r="D43" s="4">
        <v>5</v>
      </c>
      <c r="E43" s="4">
        <v>20</v>
      </c>
      <c r="F43" s="4" t="s">
        <v>217</v>
      </c>
      <c r="G43" t="str">
        <f t="shared" si="1"/>
        <v>Treatment, Syphilis</v>
      </c>
      <c r="H43" t="s">
        <v>336</v>
      </c>
      <c r="I43" t="s">
        <v>457</v>
      </c>
      <c r="J43" s="4" t="s">
        <v>261</v>
      </c>
    </row>
    <row r="44" spans="1:10" x14ac:dyDescent="0.25">
      <c r="A44" s="4" t="s">
        <v>28</v>
      </c>
      <c r="B44" s="41" t="s">
        <v>744</v>
      </c>
      <c r="C44" s="40">
        <v>150</v>
      </c>
      <c r="D44" s="40">
        <v>600</v>
      </c>
      <c r="E44" s="40">
        <v>50</v>
      </c>
      <c r="F44" s="4" t="s">
        <v>475</v>
      </c>
      <c r="G44" t="str">
        <f t="shared" si="1"/>
        <v>AIDS care undetected, HIV</v>
      </c>
      <c r="H44" t="s">
        <v>336</v>
      </c>
      <c r="I44" t="s">
        <v>456</v>
      </c>
      <c r="J44" s="4" t="s">
        <v>261</v>
      </c>
    </row>
    <row r="45" spans="1:10" x14ac:dyDescent="0.25">
      <c r="A45" s="4" t="s">
        <v>28</v>
      </c>
      <c r="B45" s="41" t="s">
        <v>480</v>
      </c>
      <c r="C45" s="40">
        <v>186.7</v>
      </c>
      <c r="D45" s="40">
        <v>149.35999999999999</v>
      </c>
      <c r="E45" s="40">
        <v>224.04</v>
      </c>
      <c r="F45" s="4" t="s">
        <v>249</v>
      </c>
      <c r="G45" t="str">
        <f t="shared" si="1"/>
        <v>HIV care first year on AVT, HIV</v>
      </c>
      <c r="H45" t="s">
        <v>336</v>
      </c>
      <c r="I45" t="s">
        <v>456</v>
      </c>
      <c r="J45" s="4" t="s">
        <v>261</v>
      </c>
    </row>
    <row r="46" spans="1:10" x14ac:dyDescent="0.25">
      <c r="A46" s="4" t="s">
        <v>28</v>
      </c>
      <c r="B46" s="41" t="s">
        <v>481</v>
      </c>
      <c r="C46" s="40">
        <v>64.521795064417915</v>
      </c>
      <c r="D46" s="40">
        <v>51.617436051534334</v>
      </c>
      <c r="E46" s="40">
        <v>77.42615407730149</v>
      </c>
      <c r="F46" s="4" t="s">
        <v>250</v>
      </c>
      <c r="G46" t="str">
        <f t="shared" si="1"/>
        <v>HIV care second year on AVT, HIV</v>
      </c>
      <c r="H46" t="s">
        <v>336</v>
      </c>
      <c r="I46" t="s">
        <v>456</v>
      </c>
      <c r="J46" s="4" t="s">
        <v>261</v>
      </c>
    </row>
    <row r="47" spans="1:10" x14ac:dyDescent="0.25">
      <c r="A47" s="4" t="s">
        <v>28</v>
      </c>
      <c r="B47" s="41" t="s">
        <v>482</v>
      </c>
      <c r="C47" s="40">
        <v>57.015127896931176</v>
      </c>
      <c r="D47" s="40">
        <v>45.612102317544945</v>
      </c>
      <c r="E47" s="40">
        <v>68.418153476317414</v>
      </c>
      <c r="F47" s="4" t="s">
        <v>251</v>
      </c>
      <c r="G47" t="str">
        <f t="shared" si="1"/>
        <v>HIV care third year on AVT, HIV</v>
      </c>
      <c r="H47" t="s">
        <v>336</v>
      </c>
      <c r="I47" t="s">
        <v>456</v>
      </c>
      <c r="J47" s="4" t="s">
        <v>261</v>
      </c>
    </row>
    <row r="48" spans="1:10" ht="30" x14ac:dyDescent="0.25">
      <c r="A48" s="4" t="s">
        <v>28</v>
      </c>
      <c r="B48" s="41" t="s">
        <v>483</v>
      </c>
      <c r="C48" s="40">
        <v>46.35</v>
      </c>
      <c r="D48" s="40">
        <v>37.08</v>
      </c>
      <c r="E48" s="40">
        <v>55.62</v>
      </c>
      <c r="F48" s="4" t="s">
        <v>252</v>
      </c>
      <c r="G48" t="str">
        <f t="shared" si="1"/>
        <v>HIV care annual cost after third year on AVT, HIV</v>
      </c>
      <c r="H48" t="s">
        <v>336</v>
      </c>
      <c r="I48" t="s">
        <v>456</v>
      </c>
      <c r="J48" s="4" t="s">
        <v>261</v>
      </c>
    </row>
    <row r="49" spans="1:10" x14ac:dyDescent="0.25">
      <c r="A49" s="4" t="s">
        <v>100</v>
      </c>
      <c r="B49" s="4" t="s">
        <v>293</v>
      </c>
      <c r="C49" s="4">
        <v>2</v>
      </c>
      <c r="D49" s="4">
        <v>1</v>
      </c>
      <c r="E49" s="4">
        <v>3</v>
      </c>
      <c r="F49" s="4" t="s">
        <v>213</v>
      </c>
      <c r="G49" t="str">
        <f t="shared" si="1"/>
        <v>Additional inpatient day, FNHTR</v>
      </c>
      <c r="H49" t="s">
        <v>294</v>
      </c>
      <c r="I49" t="s">
        <v>457</v>
      </c>
      <c r="J49" s="4" t="s">
        <v>261</v>
      </c>
    </row>
    <row r="50" spans="1:10" ht="45" x14ac:dyDescent="0.25">
      <c r="A50" s="4" t="s">
        <v>78</v>
      </c>
      <c r="B50" s="41" t="s">
        <v>484</v>
      </c>
      <c r="C50" s="4">
        <v>3</v>
      </c>
      <c r="D50" s="4">
        <v>2</v>
      </c>
      <c r="E50" s="4">
        <v>4</v>
      </c>
      <c r="F50" s="4" t="s">
        <v>243</v>
      </c>
      <c r="G50" t="str">
        <f t="shared" si="1"/>
        <v>Annual brief outpatient visits for chronic HBeAg-negative infection no AVT, HBV</v>
      </c>
      <c r="H50" t="s">
        <v>294</v>
      </c>
      <c r="I50" t="s">
        <v>457</v>
      </c>
      <c r="J50" s="4" t="s">
        <v>261</v>
      </c>
    </row>
    <row r="51" spans="1:10" ht="45" x14ac:dyDescent="0.25">
      <c r="A51" s="4" t="s">
        <v>78</v>
      </c>
      <c r="B51" s="41" t="s">
        <v>485</v>
      </c>
      <c r="C51" s="4">
        <v>1</v>
      </c>
      <c r="D51" s="4">
        <v>0</v>
      </c>
      <c r="E51" s="4">
        <v>2</v>
      </c>
      <c r="F51" s="4" t="s">
        <v>244</v>
      </c>
      <c r="G51" t="str">
        <f t="shared" si="1"/>
        <v>Annual brief outpatient visits for chronic HBeAg-negative infection with AVT, HBV</v>
      </c>
      <c r="H51" t="s">
        <v>294</v>
      </c>
      <c r="I51" t="s">
        <v>457</v>
      </c>
      <c r="J51" s="4" t="s">
        <v>261</v>
      </c>
    </row>
    <row r="52" spans="1:10" ht="30" x14ac:dyDescent="0.25">
      <c r="A52" s="4" t="s">
        <v>78</v>
      </c>
      <c r="B52" s="41" t="s">
        <v>486</v>
      </c>
      <c r="C52" s="4">
        <v>3</v>
      </c>
      <c r="D52" s="4">
        <v>2</v>
      </c>
      <c r="E52" s="4">
        <v>4</v>
      </c>
      <c r="F52" s="4" t="s">
        <v>245</v>
      </c>
      <c r="G52" t="str">
        <f t="shared" si="1"/>
        <v>Annual brief outpatient visits for compensated cirrhosis no AVT, HBV</v>
      </c>
      <c r="H52" t="s">
        <v>294</v>
      </c>
      <c r="I52" t="s">
        <v>457</v>
      </c>
      <c r="J52" s="4" t="s">
        <v>261</v>
      </c>
    </row>
    <row r="53" spans="1:10" ht="30" x14ac:dyDescent="0.25">
      <c r="A53" s="4" t="s">
        <v>78</v>
      </c>
      <c r="B53" s="41" t="s">
        <v>487</v>
      </c>
      <c r="C53" s="4">
        <v>3</v>
      </c>
      <c r="D53" s="4">
        <v>2</v>
      </c>
      <c r="E53" s="4">
        <v>4</v>
      </c>
      <c r="F53" s="4" t="s">
        <v>246</v>
      </c>
      <c r="G53" t="str">
        <f t="shared" si="1"/>
        <v>Annual brief outpatient visits for compensated cirrhosis with AVT, HBV</v>
      </c>
      <c r="H53" t="s">
        <v>294</v>
      </c>
      <c r="I53" t="s">
        <v>457</v>
      </c>
      <c r="J53" s="4" t="s">
        <v>261</v>
      </c>
    </row>
    <row r="54" spans="1:10" ht="30" x14ac:dyDescent="0.25">
      <c r="A54" s="4" t="s">
        <v>78</v>
      </c>
      <c r="B54" s="41" t="s">
        <v>488</v>
      </c>
      <c r="C54" s="4">
        <v>4</v>
      </c>
      <c r="D54" s="4">
        <v>2</v>
      </c>
      <c r="E54" s="4">
        <v>6</v>
      </c>
      <c r="F54" s="4" t="s">
        <v>247</v>
      </c>
      <c r="G54" t="str">
        <f t="shared" si="1"/>
        <v>Annual brief outpatient visits for decompensated cirrhosis no AVT, HBV</v>
      </c>
      <c r="H54" t="s">
        <v>294</v>
      </c>
      <c r="I54" t="s">
        <v>457</v>
      </c>
      <c r="J54" s="4" t="s">
        <v>261</v>
      </c>
    </row>
    <row r="55" spans="1:10" ht="30" x14ac:dyDescent="0.25">
      <c r="A55" s="4" t="s">
        <v>78</v>
      </c>
      <c r="B55" s="41" t="s">
        <v>489</v>
      </c>
      <c r="C55" s="4">
        <v>4</v>
      </c>
      <c r="D55" s="4">
        <v>2</v>
      </c>
      <c r="E55" s="4">
        <v>6</v>
      </c>
      <c r="F55" s="4" t="s">
        <v>248</v>
      </c>
      <c r="G55" t="str">
        <f t="shared" si="1"/>
        <v>Annual brief outpatient visits for decompensated cirrhosis with AVT, HBV</v>
      </c>
      <c r="H55" t="s">
        <v>294</v>
      </c>
      <c r="I55" t="s">
        <v>457</v>
      </c>
      <c r="J55" s="4" t="s">
        <v>261</v>
      </c>
    </row>
    <row r="56" spans="1:10" ht="30" x14ac:dyDescent="0.25">
      <c r="A56" s="4" t="s">
        <v>77</v>
      </c>
      <c r="B56" s="41" t="s">
        <v>490</v>
      </c>
      <c r="C56" s="4">
        <v>3</v>
      </c>
      <c r="D56" s="4">
        <v>2</v>
      </c>
      <c r="E56" s="4">
        <v>4</v>
      </c>
      <c r="F56" s="4" t="s">
        <v>254</v>
      </c>
      <c r="G56" t="str">
        <f t="shared" si="1"/>
        <v>Annual brief outpatient visits for acute infection with AVT, HCV</v>
      </c>
      <c r="H56" t="s">
        <v>294</v>
      </c>
      <c r="I56" t="s">
        <v>457</v>
      </c>
      <c r="J56" s="4" t="s">
        <v>261</v>
      </c>
    </row>
    <row r="57" spans="1:10" ht="30" x14ac:dyDescent="0.25">
      <c r="A57" s="4" t="s">
        <v>77</v>
      </c>
      <c r="B57" s="41" t="s">
        <v>491</v>
      </c>
      <c r="C57" s="4">
        <v>3</v>
      </c>
      <c r="D57" s="4">
        <v>2</v>
      </c>
      <c r="E57" s="4">
        <v>4</v>
      </c>
      <c r="F57" s="4" t="s">
        <v>235</v>
      </c>
      <c r="G57" t="str">
        <f t="shared" si="1"/>
        <v>Annual brief outpatient visits for chronic HCV without cirrhosis no AVT, HCV</v>
      </c>
      <c r="H57" t="s">
        <v>294</v>
      </c>
      <c r="I57" t="s">
        <v>457</v>
      </c>
      <c r="J57" s="4" t="s">
        <v>261</v>
      </c>
    </row>
    <row r="58" spans="1:10" ht="30" x14ac:dyDescent="0.25">
      <c r="A58" s="4" t="s">
        <v>77</v>
      </c>
      <c r="B58" s="41" t="s">
        <v>486</v>
      </c>
      <c r="C58" s="4">
        <v>4</v>
      </c>
      <c r="D58" s="4">
        <v>2</v>
      </c>
      <c r="E58" s="4">
        <v>6</v>
      </c>
      <c r="F58" s="4" t="s">
        <v>236</v>
      </c>
      <c r="G58" t="str">
        <f t="shared" si="1"/>
        <v>Annual brief outpatient visits for compensated cirrhosis no AVT, HCV</v>
      </c>
      <c r="H58" t="s">
        <v>294</v>
      </c>
      <c r="I58" t="s">
        <v>457</v>
      </c>
      <c r="J58" s="4" t="s">
        <v>261</v>
      </c>
    </row>
    <row r="59" spans="1:10" ht="30" x14ac:dyDescent="0.25">
      <c r="A59" s="4" t="s">
        <v>77</v>
      </c>
      <c r="B59" s="41" t="s">
        <v>492</v>
      </c>
      <c r="C59" s="4">
        <v>4</v>
      </c>
      <c r="D59" s="4">
        <v>2</v>
      </c>
      <c r="E59" s="4">
        <v>6</v>
      </c>
      <c r="F59" s="4" t="s">
        <v>237</v>
      </c>
      <c r="G59" t="str">
        <f t="shared" si="1"/>
        <v>Annual brief outpatient visits with decompensated cirrhosis no AVT, HCV</v>
      </c>
      <c r="H59" t="s">
        <v>294</v>
      </c>
      <c r="I59" t="s">
        <v>457</v>
      </c>
      <c r="J59" s="4" t="s">
        <v>261</v>
      </c>
    </row>
    <row r="60" spans="1:10" x14ac:dyDescent="0.25">
      <c r="A60" s="4" t="s">
        <v>94</v>
      </c>
      <c r="B60" s="4" t="s">
        <v>293</v>
      </c>
      <c r="C60" s="4">
        <v>1.5</v>
      </c>
      <c r="D60" s="4">
        <v>1</v>
      </c>
      <c r="E60" s="4">
        <v>2</v>
      </c>
      <c r="F60" s="4" t="s">
        <v>205</v>
      </c>
      <c r="G60" t="str">
        <f t="shared" si="1"/>
        <v>Additional inpatient day, Malaria</v>
      </c>
      <c r="H60" t="s">
        <v>294</v>
      </c>
      <c r="I60" t="s">
        <v>457</v>
      </c>
      <c r="J60" s="4" t="s">
        <v>261</v>
      </c>
    </row>
    <row r="61" spans="1:10" x14ac:dyDescent="0.25">
      <c r="A61" s="4" t="s">
        <v>94</v>
      </c>
      <c r="B61" s="41" t="s">
        <v>302</v>
      </c>
      <c r="C61" s="4">
        <v>1.2</v>
      </c>
      <c r="D61" s="4">
        <v>1</v>
      </c>
      <c r="E61" s="4">
        <v>2</v>
      </c>
      <c r="F61" s="4" t="s">
        <v>207</v>
      </c>
      <c r="G61" t="str">
        <f t="shared" si="1"/>
        <v>Outpatient clinic visit, Malaria</v>
      </c>
      <c r="H61" t="s">
        <v>294</v>
      </c>
      <c r="I61" t="s">
        <v>457</v>
      </c>
      <c r="J61" s="4" t="s">
        <v>261</v>
      </c>
    </row>
    <row r="62" spans="1:10" x14ac:dyDescent="0.25">
      <c r="A62" s="4" t="s">
        <v>88</v>
      </c>
      <c r="B62" s="4" t="s">
        <v>293</v>
      </c>
      <c r="C62" s="4">
        <v>6</v>
      </c>
      <c r="D62" s="4">
        <v>4</v>
      </c>
      <c r="E62" s="4">
        <v>8</v>
      </c>
      <c r="F62" s="4" t="s">
        <v>200</v>
      </c>
      <c r="G62" t="str">
        <f t="shared" si="1"/>
        <v>Additional inpatient day, Sepsis</v>
      </c>
      <c r="H62" t="s">
        <v>294</v>
      </c>
      <c r="I62" t="s">
        <v>457</v>
      </c>
      <c r="J62" s="4" t="s">
        <v>261</v>
      </c>
    </row>
  </sheetData>
  <autoFilter ref="A1:J62" xr:uid="{7C28F1B7-3548-41D6-B54C-173C6DD89128}"/>
  <sortState xmlns:xlrd2="http://schemas.microsoft.com/office/spreadsheetml/2017/richdata2" ref="A27:I62">
    <sortCondition ref="H27:H62"/>
    <sortCondition ref="A27:A62" customList="General,Sepsis,Malaria,Syphilis,FNHTR,HBV,HCV,HIV"/>
  </sortState>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4D1F4-20A2-47A1-9EB9-4C4C664E02FB}">
  <dimension ref="A1:M26"/>
  <sheetViews>
    <sheetView topLeftCell="C1" zoomScale="130" zoomScaleNormal="130" workbookViewId="0">
      <selection activeCell="C12" sqref="C12"/>
    </sheetView>
  </sheetViews>
  <sheetFormatPr defaultRowHeight="15" x14ac:dyDescent="0.25"/>
  <cols>
    <col min="1" max="1" width="47.42578125" bestFit="1" customWidth="1"/>
    <col min="2" max="4" width="33.85546875" customWidth="1"/>
    <col min="5" max="6" width="10.5703125" bestFit="1" customWidth="1"/>
    <col min="7" max="7" width="11.5703125" bestFit="1" customWidth="1"/>
    <col min="8" max="8" width="6.140625" bestFit="1" customWidth="1"/>
    <col min="9" max="10" width="7.5703125" bestFit="1" customWidth="1"/>
    <col min="11" max="12" width="15.85546875" customWidth="1"/>
    <col min="13" max="13" width="27" bestFit="1" customWidth="1"/>
  </cols>
  <sheetData>
    <row r="1" spans="1:13" x14ac:dyDescent="0.25">
      <c r="A1" s="38" t="s">
        <v>196</v>
      </c>
      <c r="B1" s="38" t="s">
        <v>71</v>
      </c>
      <c r="C1" s="38" t="s">
        <v>257</v>
      </c>
      <c r="D1" s="38" t="s">
        <v>295</v>
      </c>
      <c r="E1" s="38" t="s">
        <v>198</v>
      </c>
      <c r="F1" s="38" t="s">
        <v>26</v>
      </c>
      <c r="G1" s="38" t="s">
        <v>27</v>
      </c>
      <c r="H1" s="38" t="s">
        <v>291</v>
      </c>
      <c r="I1" s="38" t="s">
        <v>79</v>
      </c>
      <c r="J1" s="38" t="s">
        <v>80</v>
      </c>
      <c r="K1" s="38" t="s">
        <v>197</v>
      </c>
      <c r="L1" s="38" t="s">
        <v>297</v>
      </c>
      <c r="M1" s="38" t="s">
        <v>72</v>
      </c>
    </row>
    <row r="2" spans="1:13" x14ac:dyDescent="0.25">
      <c r="A2" s="4" t="s">
        <v>264</v>
      </c>
      <c r="B2" s="4"/>
      <c r="C2" s="4" t="s">
        <v>335</v>
      </c>
      <c r="D2" s="4" t="s">
        <v>296</v>
      </c>
      <c r="E2" s="40">
        <v>0.19</v>
      </c>
      <c r="F2" s="40">
        <v>0.15</v>
      </c>
      <c r="G2" s="40">
        <v>0.25</v>
      </c>
      <c r="H2" s="4" t="s">
        <v>261</v>
      </c>
      <c r="I2" s="4"/>
      <c r="J2" s="4"/>
      <c r="K2" s="4" t="s">
        <v>267</v>
      </c>
      <c r="L2" s="4" t="s">
        <v>292</v>
      </c>
      <c r="M2" s="4" t="s">
        <v>782</v>
      </c>
    </row>
    <row r="3" spans="1:13" x14ac:dyDescent="0.25">
      <c r="A3" s="4" t="s">
        <v>326</v>
      </c>
      <c r="B3" s="4"/>
      <c r="C3" s="4" t="s">
        <v>335</v>
      </c>
      <c r="D3" s="4" t="s">
        <v>262</v>
      </c>
      <c r="E3" s="40">
        <v>160295</v>
      </c>
      <c r="F3" s="40">
        <v>128236</v>
      </c>
      <c r="G3" s="40">
        <v>192354</v>
      </c>
      <c r="H3" s="4" t="s">
        <v>261</v>
      </c>
      <c r="I3" s="4"/>
      <c r="J3" s="4"/>
      <c r="K3" s="4" t="s">
        <v>268</v>
      </c>
      <c r="L3" s="4" t="s">
        <v>299</v>
      </c>
      <c r="M3" s="4" t="s">
        <v>460</v>
      </c>
    </row>
    <row r="4" spans="1:13" x14ac:dyDescent="0.25">
      <c r="A4" s="4" t="s">
        <v>263</v>
      </c>
      <c r="B4" s="4"/>
      <c r="C4" s="4" t="s">
        <v>335</v>
      </c>
      <c r="D4" s="4" t="s">
        <v>263</v>
      </c>
      <c r="E4" s="40">
        <v>0.09</v>
      </c>
      <c r="F4" s="40">
        <v>0.01</v>
      </c>
      <c r="G4" s="40">
        <v>0.17</v>
      </c>
      <c r="H4" s="4" t="s">
        <v>261</v>
      </c>
      <c r="I4" s="4"/>
      <c r="J4" s="4"/>
      <c r="K4" s="4" t="s">
        <v>269</v>
      </c>
      <c r="L4" s="4" t="s">
        <v>292</v>
      </c>
      <c r="M4" s="4" t="s">
        <v>461</v>
      </c>
    </row>
    <row r="5" spans="1:13" x14ac:dyDescent="0.25">
      <c r="A5" s="4" t="s">
        <v>777</v>
      </c>
      <c r="B5" s="4"/>
      <c r="C5" s="4" t="s">
        <v>335</v>
      </c>
      <c r="D5" s="4" t="s">
        <v>777</v>
      </c>
      <c r="E5" s="40">
        <v>46</v>
      </c>
      <c r="F5" s="40">
        <v>36.800000000000004</v>
      </c>
      <c r="G5" s="40">
        <v>55.199999999999996</v>
      </c>
      <c r="H5" s="4" t="s">
        <v>261</v>
      </c>
      <c r="I5" s="4"/>
      <c r="J5" s="4"/>
      <c r="K5" s="4" t="s">
        <v>453</v>
      </c>
      <c r="L5" s="4" t="s">
        <v>300</v>
      </c>
      <c r="M5" s="4" t="s">
        <v>461</v>
      </c>
    </row>
    <row r="6" spans="1:13" x14ac:dyDescent="0.25">
      <c r="A6" s="4" t="s">
        <v>265</v>
      </c>
      <c r="B6" s="4" t="s">
        <v>28</v>
      </c>
      <c r="C6" s="4" t="s">
        <v>265</v>
      </c>
      <c r="D6" s="4" t="s">
        <v>28</v>
      </c>
      <c r="E6" s="4">
        <v>1.1199999999999999E-3</v>
      </c>
      <c r="F6" s="4">
        <v>3.6000000000000002E-4</v>
      </c>
      <c r="G6" s="4">
        <v>3.2399999999999998E-3</v>
      </c>
      <c r="H6" s="4" t="s">
        <v>261</v>
      </c>
      <c r="I6" s="4"/>
      <c r="J6" s="4"/>
      <c r="K6" s="4" t="s">
        <v>270</v>
      </c>
      <c r="L6" s="4" t="s">
        <v>292</v>
      </c>
      <c r="M6" s="4" t="s">
        <v>462</v>
      </c>
    </row>
    <row r="7" spans="1:13" x14ac:dyDescent="0.25">
      <c r="A7" s="4" t="s">
        <v>265</v>
      </c>
      <c r="B7" s="4" t="s">
        <v>88</v>
      </c>
      <c r="C7" s="4" t="s">
        <v>265</v>
      </c>
      <c r="D7" s="4" t="s">
        <v>781</v>
      </c>
      <c r="E7">
        <v>0.15114235500878734</v>
      </c>
      <c r="F7">
        <v>0.11799999999999999</v>
      </c>
      <c r="G7">
        <v>0.188</v>
      </c>
      <c r="H7" s="4" t="s">
        <v>147</v>
      </c>
      <c r="I7" s="4">
        <v>86</v>
      </c>
      <c r="J7" s="4">
        <v>483</v>
      </c>
      <c r="K7" s="4" t="s">
        <v>273</v>
      </c>
      <c r="L7" s="4" t="s">
        <v>292</v>
      </c>
      <c r="M7" s="4" t="s">
        <v>775</v>
      </c>
    </row>
    <row r="8" spans="1:13" x14ac:dyDescent="0.25">
      <c r="A8" s="4" t="s">
        <v>265</v>
      </c>
      <c r="B8" s="4" t="s">
        <v>77</v>
      </c>
      <c r="C8" s="4" t="s">
        <v>265</v>
      </c>
      <c r="D8" s="4" t="s">
        <v>77</v>
      </c>
      <c r="E8" s="4">
        <v>5.4000000000000003E-3</v>
      </c>
      <c r="F8" s="4">
        <v>1.3500000000000001E-3</v>
      </c>
      <c r="G8" s="4">
        <v>1.2160000000000001E-2</v>
      </c>
      <c r="H8" s="4" t="s">
        <v>261</v>
      </c>
      <c r="I8" s="4"/>
      <c r="J8" s="4"/>
      <c r="K8" s="4" t="s">
        <v>271</v>
      </c>
      <c r="L8" s="4" t="s">
        <v>292</v>
      </c>
      <c r="M8" s="4" t="s">
        <v>462</v>
      </c>
    </row>
    <row r="9" spans="1:13" x14ac:dyDescent="0.25">
      <c r="A9" s="4" t="s">
        <v>265</v>
      </c>
      <c r="B9" s="4" t="s">
        <v>78</v>
      </c>
      <c r="C9" s="4" t="s">
        <v>265</v>
      </c>
      <c r="D9" s="4" t="s">
        <v>78</v>
      </c>
      <c r="E9" s="4">
        <v>9.4000000000000004E-3</v>
      </c>
      <c r="F9" s="4">
        <v>2.3500000000000001E-3</v>
      </c>
      <c r="G9" s="4">
        <v>2.1160000000000002E-2</v>
      </c>
      <c r="H9" s="4" t="s">
        <v>261</v>
      </c>
      <c r="I9" s="4"/>
      <c r="J9" s="4"/>
      <c r="K9" s="4" t="s">
        <v>272</v>
      </c>
      <c r="L9" s="4" t="s">
        <v>292</v>
      </c>
      <c r="M9" s="4" t="s">
        <v>462</v>
      </c>
    </row>
    <row r="10" spans="1:13" x14ac:dyDescent="0.25">
      <c r="A10" s="4" t="s">
        <v>265</v>
      </c>
      <c r="B10" s="4" t="s">
        <v>214</v>
      </c>
      <c r="C10" s="4" t="s">
        <v>265</v>
      </c>
      <c r="D10" s="4" t="s">
        <v>214</v>
      </c>
      <c r="E10" s="4">
        <v>6.4000000000000005E-4</v>
      </c>
      <c r="F10" s="4">
        <v>3.4000000000000002E-4</v>
      </c>
      <c r="G10" s="4">
        <v>9.2000000000000003E-4</v>
      </c>
      <c r="H10" s="4" t="s">
        <v>261</v>
      </c>
      <c r="I10" s="4"/>
      <c r="J10" s="4"/>
      <c r="K10" s="4" t="s">
        <v>274</v>
      </c>
      <c r="L10" s="4" t="s">
        <v>292</v>
      </c>
      <c r="M10" s="4" t="s">
        <v>461</v>
      </c>
    </row>
    <row r="11" spans="1:13" x14ac:dyDescent="0.25">
      <c r="A11" s="4" t="s">
        <v>265</v>
      </c>
      <c r="B11" s="4" t="s">
        <v>94</v>
      </c>
      <c r="C11" s="4" t="s">
        <v>265</v>
      </c>
      <c r="D11" s="4" t="s">
        <v>94</v>
      </c>
      <c r="E11" s="4">
        <v>0.25</v>
      </c>
      <c r="F11" s="4">
        <v>0.19800000000000001</v>
      </c>
      <c r="G11" s="4">
        <v>0.30199999999999999</v>
      </c>
      <c r="H11" s="4" t="s">
        <v>147</v>
      </c>
      <c r="I11" s="4">
        <v>91</v>
      </c>
      <c r="J11" s="4">
        <v>276</v>
      </c>
      <c r="K11" s="4" t="s">
        <v>275</v>
      </c>
      <c r="L11" s="4" t="s">
        <v>292</v>
      </c>
      <c r="M11" s="4" t="s">
        <v>463</v>
      </c>
    </row>
    <row r="12" spans="1:13" x14ac:dyDescent="0.25">
      <c r="A12" s="4" t="s">
        <v>265</v>
      </c>
      <c r="B12" s="4" t="s">
        <v>100</v>
      </c>
      <c r="C12" s="4" t="s">
        <v>265</v>
      </c>
      <c r="D12" s="4" t="s">
        <v>100</v>
      </c>
      <c r="E12" s="4">
        <v>3.6256135653726013E-2</v>
      </c>
      <c r="F12" s="4">
        <v>2.1960779999999999E-2</v>
      </c>
      <c r="G12" s="4">
        <v>5.4340779999999998E-2</v>
      </c>
      <c r="H12" s="4" t="s">
        <v>147</v>
      </c>
      <c r="I12" s="4">
        <v>26</v>
      </c>
      <c r="J12" s="4">
        <v>691.12</v>
      </c>
      <c r="K12" s="4" t="s">
        <v>276</v>
      </c>
      <c r="L12" s="4" t="s">
        <v>292</v>
      </c>
      <c r="M12" s="4" t="s">
        <v>464</v>
      </c>
    </row>
    <row r="13" spans="1:13" x14ac:dyDescent="0.25">
      <c r="A13" s="4" t="s">
        <v>539</v>
      </c>
      <c r="B13" s="8" t="s">
        <v>28</v>
      </c>
      <c r="C13" s="8" t="s">
        <v>266</v>
      </c>
      <c r="D13" s="8" t="s">
        <v>28</v>
      </c>
      <c r="E13" s="8">
        <v>0.98299999999999998</v>
      </c>
      <c r="F13" s="8">
        <v>0.5</v>
      </c>
      <c r="G13" s="8">
        <v>1</v>
      </c>
      <c r="H13" s="8" t="s">
        <v>261</v>
      </c>
      <c r="I13" s="8"/>
      <c r="J13" s="8"/>
      <c r="K13" s="8" t="s">
        <v>277</v>
      </c>
      <c r="L13" s="8" t="s">
        <v>292</v>
      </c>
      <c r="M13" s="8" t="s">
        <v>465</v>
      </c>
    </row>
    <row r="14" spans="1:13" x14ac:dyDescent="0.25">
      <c r="A14" s="4" t="s">
        <v>539</v>
      </c>
      <c r="B14" s="4" t="s">
        <v>88</v>
      </c>
      <c r="C14" s="4" t="s">
        <v>266</v>
      </c>
      <c r="D14" s="4" t="s">
        <v>88</v>
      </c>
      <c r="E14" s="23">
        <v>0.41699999999999998</v>
      </c>
      <c r="F14" s="23">
        <v>0.05</v>
      </c>
      <c r="G14" s="23">
        <v>0.7</v>
      </c>
      <c r="H14" s="4" t="s">
        <v>261</v>
      </c>
      <c r="I14" s="4"/>
      <c r="J14" s="4"/>
      <c r="K14" s="4" t="s">
        <v>280</v>
      </c>
      <c r="L14" s="4" t="s">
        <v>292</v>
      </c>
      <c r="M14" s="4" t="s">
        <v>466</v>
      </c>
    </row>
    <row r="15" spans="1:13" x14ac:dyDescent="0.25">
      <c r="A15" s="4" t="s">
        <v>539</v>
      </c>
      <c r="B15" s="8" t="s">
        <v>77</v>
      </c>
      <c r="C15" s="8" t="s">
        <v>266</v>
      </c>
      <c r="D15" s="8" t="s">
        <v>77</v>
      </c>
      <c r="E15" s="8">
        <v>1</v>
      </c>
      <c r="F15" s="8">
        <v>0.5</v>
      </c>
      <c r="G15" s="8">
        <v>1</v>
      </c>
      <c r="H15" s="8"/>
      <c r="I15" s="8"/>
      <c r="J15" s="8"/>
      <c r="K15" s="8" t="s">
        <v>278</v>
      </c>
      <c r="L15" s="8" t="s">
        <v>292</v>
      </c>
      <c r="M15" s="8" t="s">
        <v>467</v>
      </c>
    </row>
    <row r="16" spans="1:13" x14ac:dyDescent="0.25">
      <c r="A16" s="4" t="s">
        <v>539</v>
      </c>
      <c r="B16" s="4" t="s">
        <v>78</v>
      </c>
      <c r="C16" s="4" t="s">
        <v>266</v>
      </c>
      <c r="D16" s="4" t="s">
        <v>78</v>
      </c>
      <c r="E16" s="4">
        <v>0.46</v>
      </c>
      <c r="F16" s="4">
        <v>0.4</v>
      </c>
      <c r="G16" s="4">
        <v>0.7</v>
      </c>
      <c r="H16" s="4" t="s">
        <v>261</v>
      </c>
      <c r="I16" s="4"/>
      <c r="J16" s="4"/>
      <c r="K16" s="4" t="s">
        <v>279</v>
      </c>
      <c r="L16" s="4" t="s">
        <v>292</v>
      </c>
      <c r="M16" s="4" t="s">
        <v>540</v>
      </c>
    </row>
    <row r="17" spans="1:13" x14ac:dyDescent="0.25">
      <c r="A17" s="4" t="s">
        <v>539</v>
      </c>
      <c r="B17" s="4" t="s">
        <v>214</v>
      </c>
      <c r="C17" s="4" t="s">
        <v>266</v>
      </c>
      <c r="D17" s="4" t="s">
        <v>214</v>
      </c>
      <c r="E17" s="4">
        <v>0.56999999999999995</v>
      </c>
      <c r="F17" s="4">
        <v>0</v>
      </c>
      <c r="G17" s="4">
        <v>1</v>
      </c>
      <c r="H17" s="4" t="s">
        <v>261</v>
      </c>
      <c r="I17" s="4"/>
      <c r="J17" s="4"/>
      <c r="K17" s="4" t="s">
        <v>281</v>
      </c>
      <c r="L17" s="4" t="s">
        <v>292</v>
      </c>
      <c r="M17" s="4" t="s">
        <v>468</v>
      </c>
    </row>
    <row r="18" spans="1:13" x14ac:dyDescent="0.25">
      <c r="A18" s="4" t="s">
        <v>539</v>
      </c>
      <c r="B18" s="4" t="s">
        <v>94</v>
      </c>
      <c r="C18" s="4" t="s">
        <v>266</v>
      </c>
      <c r="D18" s="4" t="s">
        <v>94</v>
      </c>
      <c r="E18" s="4">
        <v>0.185</v>
      </c>
      <c r="F18" s="4">
        <v>8.4000000000000005E-2</v>
      </c>
      <c r="G18" s="4">
        <v>0.33700000000000002</v>
      </c>
      <c r="H18" s="4" t="s">
        <v>261</v>
      </c>
      <c r="I18" s="4"/>
      <c r="J18" s="4"/>
      <c r="K18" s="4" t="s">
        <v>282</v>
      </c>
      <c r="L18" s="4" t="s">
        <v>292</v>
      </c>
      <c r="M18" s="4" t="s">
        <v>464</v>
      </c>
    </row>
    <row r="19" spans="1:13" x14ac:dyDescent="0.25">
      <c r="A19" s="4" t="s">
        <v>539</v>
      </c>
      <c r="B19" s="4" t="s">
        <v>100</v>
      </c>
      <c r="C19" s="4" t="s">
        <v>266</v>
      </c>
      <c r="D19" s="4" t="s">
        <v>100</v>
      </c>
      <c r="E19" s="4">
        <v>1</v>
      </c>
      <c r="F19" s="4"/>
      <c r="G19" s="4"/>
      <c r="H19" s="4"/>
      <c r="I19" s="4"/>
      <c r="J19" s="4"/>
      <c r="K19" s="4" t="s">
        <v>283</v>
      </c>
      <c r="L19" s="4" t="s">
        <v>292</v>
      </c>
      <c r="M19" s="4" t="s">
        <v>390</v>
      </c>
    </row>
    <row r="20" spans="1:13" x14ac:dyDescent="0.25">
      <c r="A20" s="4" t="s">
        <v>776</v>
      </c>
      <c r="B20" s="4" t="s">
        <v>28</v>
      </c>
      <c r="C20" s="4" t="s">
        <v>776</v>
      </c>
      <c r="D20" s="4" t="s">
        <v>28</v>
      </c>
      <c r="E20" s="4">
        <v>10</v>
      </c>
      <c r="F20" s="4">
        <v>5</v>
      </c>
      <c r="G20" s="4">
        <v>20</v>
      </c>
      <c r="H20" s="4" t="s">
        <v>261</v>
      </c>
      <c r="I20" s="4"/>
      <c r="J20" s="4"/>
      <c r="K20" s="4" t="s">
        <v>284</v>
      </c>
      <c r="L20" s="4" t="s">
        <v>298</v>
      </c>
      <c r="M20" s="4" t="s">
        <v>467</v>
      </c>
    </row>
    <row r="21" spans="1:13" x14ac:dyDescent="0.25">
      <c r="A21" s="4" t="s">
        <v>776</v>
      </c>
      <c r="B21" s="4" t="s">
        <v>88</v>
      </c>
      <c r="C21" s="4" t="s">
        <v>776</v>
      </c>
      <c r="D21" s="4" t="s">
        <v>88</v>
      </c>
      <c r="E21" s="4">
        <v>25</v>
      </c>
      <c r="F21" s="4">
        <v>10</v>
      </c>
      <c r="G21" s="4">
        <v>40</v>
      </c>
      <c r="H21" s="4" t="s">
        <v>261</v>
      </c>
      <c r="I21" s="4"/>
      <c r="J21" s="4"/>
      <c r="K21" s="4" t="s">
        <v>287</v>
      </c>
      <c r="L21" s="4" t="s">
        <v>298</v>
      </c>
      <c r="M21" s="4" t="s">
        <v>457</v>
      </c>
    </row>
    <row r="22" spans="1:13" x14ac:dyDescent="0.25">
      <c r="A22" s="4" t="s">
        <v>776</v>
      </c>
      <c r="B22" s="4" t="s">
        <v>77</v>
      </c>
      <c r="C22" s="4" t="s">
        <v>776</v>
      </c>
      <c r="D22" s="4" t="s">
        <v>77</v>
      </c>
      <c r="E22" s="4">
        <v>10</v>
      </c>
      <c r="F22" s="4">
        <v>5</v>
      </c>
      <c r="G22" s="4">
        <v>20</v>
      </c>
      <c r="H22" s="4" t="s">
        <v>261</v>
      </c>
      <c r="I22" s="4"/>
      <c r="J22" s="4"/>
      <c r="K22" s="4" t="s">
        <v>285</v>
      </c>
      <c r="L22" s="4" t="s">
        <v>298</v>
      </c>
      <c r="M22" s="4" t="s">
        <v>467</v>
      </c>
    </row>
    <row r="23" spans="1:13" x14ac:dyDescent="0.25">
      <c r="A23" s="4" t="s">
        <v>776</v>
      </c>
      <c r="B23" s="4" t="s">
        <v>78</v>
      </c>
      <c r="C23" s="4" t="s">
        <v>776</v>
      </c>
      <c r="D23" s="4" t="s">
        <v>78</v>
      </c>
      <c r="E23" s="4">
        <v>10</v>
      </c>
      <c r="F23" s="4">
        <v>5</v>
      </c>
      <c r="G23" s="4">
        <v>20</v>
      </c>
      <c r="H23" s="4" t="s">
        <v>261</v>
      </c>
      <c r="I23" s="4"/>
      <c r="J23" s="4"/>
      <c r="K23" s="4" t="s">
        <v>286</v>
      </c>
      <c r="L23" s="4" t="s">
        <v>298</v>
      </c>
      <c r="M23" s="4" t="s">
        <v>467</v>
      </c>
    </row>
    <row r="24" spans="1:13" x14ac:dyDescent="0.25">
      <c r="A24" s="4" t="s">
        <v>776</v>
      </c>
      <c r="B24" s="4" t="s">
        <v>214</v>
      </c>
      <c r="C24" s="4" t="s">
        <v>776</v>
      </c>
      <c r="D24" s="4" t="s">
        <v>214</v>
      </c>
      <c r="E24" s="4">
        <v>20</v>
      </c>
      <c r="F24" s="4">
        <v>10</v>
      </c>
      <c r="G24" s="4">
        <v>40</v>
      </c>
      <c r="H24" s="4" t="s">
        <v>261</v>
      </c>
      <c r="I24" s="4"/>
      <c r="J24" s="4"/>
      <c r="K24" s="4" t="s">
        <v>288</v>
      </c>
      <c r="L24" s="4" t="s">
        <v>298</v>
      </c>
      <c r="M24" s="4" t="s">
        <v>467</v>
      </c>
    </row>
    <row r="25" spans="1:13" x14ac:dyDescent="0.25">
      <c r="A25" s="4" t="s">
        <v>776</v>
      </c>
      <c r="B25" s="4" t="s">
        <v>94</v>
      </c>
      <c r="C25" s="4" t="s">
        <v>776</v>
      </c>
      <c r="D25" s="4" t="s">
        <v>94</v>
      </c>
      <c r="E25" s="4">
        <v>6.0540000000000003</v>
      </c>
      <c r="F25" s="4">
        <v>1</v>
      </c>
      <c r="G25" s="4">
        <v>20</v>
      </c>
      <c r="H25" s="4" t="s">
        <v>261</v>
      </c>
      <c r="I25" s="4"/>
      <c r="J25" s="4"/>
      <c r="K25" s="4" t="s">
        <v>289</v>
      </c>
      <c r="L25" s="4" t="s">
        <v>298</v>
      </c>
      <c r="M25" s="4" t="s">
        <v>463</v>
      </c>
    </row>
    <row r="26" spans="1:13" x14ac:dyDescent="0.25">
      <c r="A26" s="4" t="s">
        <v>776</v>
      </c>
      <c r="B26" s="4" t="s">
        <v>100</v>
      </c>
      <c r="C26" s="4" t="s">
        <v>776</v>
      </c>
      <c r="D26" s="4" t="s">
        <v>100</v>
      </c>
      <c r="E26" s="4">
        <v>1.5</v>
      </c>
      <c r="F26" s="4">
        <v>1</v>
      </c>
      <c r="G26" s="4">
        <v>3</v>
      </c>
      <c r="H26" s="4" t="s">
        <v>261</v>
      </c>
      <c r="I26" s="4"/>
      <c r="J26" s="4"/>
      <c r="K26" s="4" t="s">
        <v>290</v>
      </c>
      <c r="L26" s="4" t="s">
        <v>298</v>
      </c>
      <c r="M26" s="4" t="s">
        <v>457</v>
      </c>
    </row>
  </sheetData>
  <phoneticPr fontId="1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A1D9A-205F-4BF6-AF36-1DC1C536FC02}">
  <dimension ref="A1:K54"/>
  <sheetViews>
    <sheetView zoomScale="115" zoomScaleNormal="115" workbookViewId="0">
      <pane ySplit="1" topLeftCell="A12" activePane="bottomLeft" state="frozen"/>
      <selection pane="bottomLeft" activeCell="I17" sqref="I17"/>
    </sheetView>
  </sheetViews>
  <sheetFormatPr defaultRowHeight="15" x14ac:dyDescent="0.25"/>
  <cols>
    <col min="1" max="1" width="32.140625" customWidth="1"/>
    <col min="2" max="2" width="45.140625" bestFit="1" customWidth="1"/>
    <col min="3" max="4" width="12" bestFit="1" customWidth="1"/>
    <col min="5" max="5" width="9.5703125" bestFit="1" customWidth="1"/>
    <col min="6" max="7" width="22" customWidth="1"/>
    <col min="8" max="8" width="8" customWidth="1"/>
    <col min="9" max="9" width="23.28515625" customWidth="1"/>
    <col min="10" max="10" width="9.140625" customWidth="1"/>
  </cols>
  <sheetData>
    <row r="1" spans="1:10" ht="15.75" thickBot="1" x14ac:dyDescent="0.3">
      <c r="A1" s="135" t="s">
        <v>257</v>
      </c>
      <c r="B1" s="136" t="s">
        <v>295</v>
      </c>
      <c r="C1" s="136" t="s">
        <v>198</v>
      </c>
      <c r="D1" s="136" t="s">
        <v>26</v>
      </c>
      <c r="E1" s="136" t="s">
        <v>27</v>
      </c>
      <c r="F1" s="136" t="s">
        <v>197</v>
      </c>
      <c r="G1" s="136" t="s">
        <v>703</v>
      </c>
      <c r="H1" s="136" t="s">
        <v>297</v>
      </c>
      <c r="I1" s="136" t="s">
        <v>72</v>
      </c>
      <c r="J1" s="137" t="s">
        <v>71</v>
      </c>
    </row>
    <row r="2" spans="1:10" x14ac:dyDescent="0.25">
      <c r="A2" s="108" t="s">
        <v>672</v>
      </c>
      <c r="B2" s="109" t="s">
        <v>676</v>
      </c>
      <c r="C2" s="110">
        <v>0.5</v>
      </c>
      <c r="D2" s="110">
        <v>0.4</v>
      </c>
      <c r="E2" s="110">
        <v>0.6</v>
      </c>
      <c r="F2" s="109" t="s">
        <v>685</v>
      </c>
      <c r="G2" s="109" t="s">
        <v>685</v>
      </c>
      <c r="H2" s="109" t="s">
        <v>298</v>
      </c>
      <c r="I2" s="130" t="s">
        <v>763</v>
      </c>
      <c r="J2" s="131" t="s">
        <v>702</v>
      </c>
    </row>
    <row r="3" spans="1:10" ht="12.75" customHeight="1" x14ac:dyDescent="0.25">
      <c r="A3" s="111" t="s">
        <v>672</v>
      </c>
      <c r="B3" s="41" t="s">
        <v>693</v>
      </c>
      <c r="C3" s="66">
        <v>0.19</v>
      </c>
      <c r="D3" s="66">
        <v>0.12</v>
      </c>
      <c r="E3" s="66">
        <v>0.28999999999999998</v>
      </c>
      <c r="F3" s="4" t="s">
        <v>686</v>
      </c>
      <c r="G3" s="4" t="s">
        <v>686</v>
      </c>
      <c r="H3" s="4" t="s">
        <v>292</v>
      </c>
      <c r="I3" s="129" t="s">
        <v>764</v>
      </c>
      <c r="J3" s="132" t="s">
        <v>702</v>
      </c>
    </row>
    <row r="4" spans="1:10" x14ac:dyDescent="0.25">
      <c r="A4" s="111" t="s">
        <v>672</v>
      </c>
      <c r="B4" s="4" t="s">
        <v>670</v>
      </c>
      <c r="C4" s="66">
        <v>0.15</v>
      </c>
      <c r="D4" s="66">
        <v>0.1</v>
      </c>
      <c r="E4" s="66">
        <v>0.2</v>
      </c>
      <c r="F4" s="4" t="s">
        <v>687</v>
      </c>
      <c r="G4" s="4" t="s">
        <v>687</v>
      </c>
      <c r="H4" s="4" t="s">
        <v>292</v>
      </c>
      <c r="I4" s="129" t="s">
        <v>763</v>
      </c>
      <c r="J4" s="132" t="s">
        <v>702</v>
      </c>
    </row>
    <row r="5" spans="1:10" x14ac:dyDescent="0.25">
      <c r="A5" s="111" t="s">
        <v>672</v>
      </c>
      <c r="B5" s="4" t="s">
        <v>671</v>
      </c>
      <c r="C5" s="107">
        <v>20</v>
      </c>
      <c r="D5" s="107">
        <v>14</v>
      </c>
      <c r="E5" s="107">
        <v>30</v>
      </c>
      <c r="F5" s="4" t="s">
        <v>689</v>
      </c>
      <c r="G5" s="4" t="s">
        <v>689</v>
      </c>
      <c r="H5" s="4" t="s">
        <v>298</v>
      </c>
      <c r="I5" s="4" t="s">
        <v>390</v>
      </c>
      <c r="J5" s="132" t="s">
        <v>702</v>
      </c>
    </row>
    <row r="6" spans="1:10" ht="15.75" thickBot="1" x14ac:dyDescent="0.3">
      <c r="A6" s="112" t="s">
        <v>672</v>
      </c>
      <c r="B6" s="113" t="s">
        <v>694</v>
      </c>
      <c r="C6" s="114">
        <v>0.69</v>
      </c>
      <c r="D6" s="114">
        <v>0.59</v>
      </c>
      <c r="E6" s="114">
        <v>0.79</v>
      </c>
      <c r="F6" s="113" t="s">
        <v>688</v>
      </c>
      <c r="G6" s="113" t="s">
        <v>688</v>
      </c>
      <c r="H6" s="113" t="s">
        <v>298</v>
      </c>
      <c r="I6" s="133" t="s">
        <v>763</v>
      </c>
      <c r="J6" s="134" t="s">
        <v>702</v>
      </c>
    </row>
    <row r="7" spans="1:10" x14ac:dyDescent="0.25">
      <c r="A7" s="125" t="s">
        <v>673</v>
      </c>
      <c r="B7" s="125" t="s">
        <v>683</v>
      </c>
      <c r="C7" s="126">
        <v>5.0999999999999997E-2</v>
      </c>
      <c r="D7" s="126">
        <v>3.2000000000000001E-2</v>
      </c>
      <c r="E7" s="126">
        <v>7.3999999999999996E-2</v>
      </c>
      <c r="F7" s="125" t="s">
        <v>697</v>
      </c>
      <c r="G7" s="125" t="s">
        <v>697</v>
      </c>
      <c r="H7" s="125" t="s">
        <v>298</v>
      </c>
      <c r="I7" s="125" t="s">
        <v>390</v>
      </c>
      <c r="J7" s="125" t="s">
        <v>702</v>
      </c>
    </row>
    <row r="8" spans="1:10" x14ac:dyDescent="0.25">
      <c r="A8" s="4" t="s">
        <v>673</v>
      </c>
      <c r="B8" s="4" t="s">
        <v>684</v>
      </c>
      <c r="C8" s="107">
        <v>14</v>
      </c>
      <c r="D8" s="107">
        <v>7</v>
      </c>
      <c r="E8" s="107">
        <v>30</v>
      </c>
      <c r="F8" s="4" t="s">
        <v>698</v>
      </c>
      <c r="G8" s="4" t="s">
        <v>698</v>
      </c>
      <c r="H8" s="4" t="s">
        <v>299</v>
      </c>
      <c r="I8" s="4" t="s">
        <v>390</v>
      </c>
      <c r="J8" s="4" t="s">
        <v>702</v>
      </c>
    </row>
    <row r="9" spans="1:10" x14ac:dyDescent="0.25">
      <c r="A9" s="4" t="s">
        <v>674</v>
      </c>
      <c r="B9" s="4" t="s">
        <v>683</v>
      </c>
      <c r="C9" s="107">
        <f>1-0.88</f>
        <v>0.12</v>
      </c>
      <c r="D9" s="107">
        <f>1-0.91</f>
        <v>8.9999999999999969E-2</v>
      </c>
      <c r="E9" s="107">
        <f>1-0.85</f>
        <v>0.15000000000000002</v>
      </c>
      <c r="F9" s="4" t="s">
        <v>760</v>
      </c>
      <c r="G9" s="4" t="s">
        <v>690</v>
      </c>
      <c r="H9" s="4" t="s">
        <v>298</v>
      </c>
      <c r="I9" s="129" t="s">
        <v>763</v>
      </c>
      <c r="J9" s="23" t="s">
        <v>702</v>
      </c>
    </row>
    <row r="10" spans="1:10" x14ac:dyDescent="0.25">
      <c r="A10" s="4" t="s">
        <v>674</v>
      </c>
      <c r="B10" s="4" t="s">
        <v>684</v>
      </c>
      <c r="C10" s="107">
        <f>3*30</f>
        <v>90</v>
      </c>
      <c r="D10" s="107">
        <f>2*30</f>
        <v>60</v>
      </c>
      <c r="E10" s="107">
        <f>6*30</f>
        <v>180</v>
      </c>
      <c r="F10" s="4" t="s">
        <v>761</v>
      </c>
      <c r="G10" s="4" t="s">
        <v>761</v>
      </c>
      <c r="H10" s="4" t="s">
        <v>299</v>
      </c>
      <c r="I10" s="4" t="s">
        <v>390</v>
      </c>
      <c r="J10" s="23" t="s">
        <v>702</v>
      </c>
    </row>
    <row r="11" spans="1:10" x14ac:dyDescent="0.25">
      <c r="A11" s="4" t="s">
        <v>682</v>
      </c>
      <c r="B11" s="4" t="s">
        <v>683</v>
      </c>
      <c r="C11" s="107">
        <v>5.0999999999999997E-2</v>
      </c>
      <c r="D11" s="107">
        <v>3.2000000000000001E-2</v>
      </c>
      <c r="E11" s="107">
        <v>7.3999999999999996E-2</v>
      </c>
      <c r="F11" s="4" t="s">
        <v>691</v>
      </c>
      <c r="G11" s="4" t="s">
        <v>691</v>
      </c>
      <c r="H11" s="4" t="s">
        <v>298</v>
      </c>
      <c r="I11" s="129" t="s">
        <v>765</v>
      </c>
      <c r="J11" s="23" t="s">
        <v>702</v>
      </c>
    </row>
    <row r="12" spans="1:10" x14ac:dyDescent="0.25">
      <c r="A12" s="4" t="s">
        <v>682</v>
      </c>
      <c r="B12" s="4" t="s">
        <v>684</v>
      </c>
      <c r="C12" s="107">
        <v>9</v>
      </c>
      <c r="D12" s="107">
        <v>7</v>
      </c>
      <c r="E12" s="107">
        <v>20</v>
      </c>
      <c r="F12" s="4" t="s">
        <v>692</v>
      </c>
      <c r="G12" s="4" t="s">
        <v>692</v>
      </c>
      <c r="H12" s="4" t="s">
        <v>299</v>
      </c>
      <c r="I12" s="4" t="s">
        <v>390</v>
      </c>
      <c r="J12" s="23" t="s">
        <v>702</v>
      </c>
    </row>
    <row r="13" spans="1:10" ht="15.75" thickBot="1" x14ac:dyDescent="0.3">
      <c r="A13" s="120" t="s">
        <v>682</v>
      </c>
      <c r="B13" s="120" t="s">
        <v>759</v>
      </c>
      <c r="C13" s="127">
        <v>2.5000000000000001E-2</v>
      </c>
      <c r="D13" s="128">
        <v>0</v>
      </c>
      <c r="E13" s="128">
        <v>0.05</v>
      </c>
      <c r="F13" s="120" t="s">
        <v>762</v>
      </c>
      <c r="G13" s="120" t="s">
        <v>762</v>
      </c>
      <c r="H13" s="120" t="s">
        <v>292</v>
      </c>
      <c r="I13" s="4" t="s">
        <v>390</v>
      </c>
      <c r="J13" s="23" t="s">
        <v>702</v>
      </c>
    </row>
    <row r="14" spans="1:10" x14ac:dyDescent="0.25">
      <c r="A14" s="108" t="s">
        <v>677</v>
      </c>
      <c r="B14" s="109" t="s">
        <v>371</v>
      </c>
      <c r="C14" s="110">
        <v>0</v>
      </c>
      <c r="D14" s="110">
        <v>0</v>
      </c>
      <c r="E14" s="110">
        <v>0</v>
      </c>
      <c r="F14" s="109" t="s">
        <v>369</v>
      </c>
      <c r="G14" s="109" t="s">
        <v>704</v>
      </c>
      <c r="H14" s="109" t="s">
        <v>298</v>
      </c>
      <c r="I14" s="4" t="s">
        <v>390</v>
      </c>
      <c r="J14" s="4" t="s">
        <v>699</v>
      </c>
    </row>
    <row r="15" spans="1:10" x14ac:dyDescent="0.25">
      <c r="A15" s="111" t="s">
        <v>677</v>
      </c>
      <c r="B15" s="4" t="s">
        <v>328</v>
      </c>
      <c r="C15" s="107">
        <v>0</v>
      </c>
      <c r="D15" s="107">
        <v>0</v>
      </c>
      <c r="E15" s="107">
        <v>0</v>
      </c>
      <c r="F15" s="4" t="s">
        <v>64</v>
      </c>
      <c r="G15" s="4" t="s">
        <v>705</v>
      </c>
      <c r="H15" s="4" t="s">
        <v>298</v>
      </c>
      <c r="I15" s="4" t="s">
        <v>390</v>
      </c>
      <c r="J15" s="4" t="s">
        <v>699</v>
      </c>
    </row>
    <row r="16" spans="1:10" x14ac:dyDescent="0.25">
      <c r="A16" s="111" t="s">
        <v>677</v>
      </c>
      <c r="B16" s="4" t="s">
        <v>394</v>
      </c>
      <c r="C16" s="107">
        <f>(C18-C17)+0.054</f>
        <v>9.4000000000000028E-2</v>
      </c>
      <c r="D16" s="107">
        <v>0</v>
      </c>
      <c r="E16" s="107">
        <v>0.15</v>
      </c>
      <c r="F16" s="4" t="s">
        <v>255</v>
      </c>
      <c r="G16" s="4" t="s">
        <v>706</v>
      </c>
      <c r="H16" s="4" t="s">
        <v>298</v>
      </c>
      <c r="I16" s="4" t="s">
        <v>791</v>
      </c>
      <c r="J16" s="4" t="s">
        <v>699</v>
      </c>
    </row>
    <row r="17" spans="1:11" x14ac:dyDescent="0.25">
      <c r="A17" s="111" t="s">
        <v>677</v>
      </c>
      <c r="B17" s="4" t="s">
        <v>395</v>
      </c>
      <c r="C17" s="107">
        <f>1-0.79</f>
        <v>0.20999999999999996</v>
      </c>
      <c r="D17" s="107">
        <f>1-0.82</f>
        <v>0.18000000000000005</v>
      </c>
      <c r="E17" s="107">
        <f>1-0.74</f>
        <v>0.26</v>
      </c>
      <c r="F17" s="4" t="s">
        <v>368</v>
      </c>
      <c r="G17" s="4" t="s">
        <v>707</v>
      </c>
      <c r="H17" s="4" t="s">
        <v>298</v>
      </c>
      <c r="I17" s="129" t="s">
        <v>625</v>
      </c>
      <c r="J17" s="4" t="s">
        <v>699</v>
      </c>
    </row>
    <row r="18" spans="1:11" x14ac:dyDescent="0.25">
      <c r="A18" s="111" t="s">
        <v>677</v>
      </c>
      <c r="B18" s="4" t="s">
        <v>398</v>
      </c>
      <c r="C18" s="107">
        <f>1-0.75</f>
        <v>0.25</v>
      </c>
      <c r="D18" s="107">
        <f>1-0.91</f>
        <v>8.9999999999999969E-2</v>
      </c>
      <c r="E18" s="107">
        <f>1-0.59</f>
        <v>0.41000000000000003</v>
      </c>
      <c r="F18" s="4" t="s">
        <v>61</v>
      </c>
      <c r="G18" s="4" t="s">
        <v>708</v>
      </c>
      <c r="H18" s="4" t="s">
        <v>298</v>
      </c>
      <c r="I18" s="129" t="s">
        <v>625</v>
      </c>
      <c r="J18" s="4" t="s">
        <v>699</v>
      </c>
    </row>
    <row r="19" spans="1:11" x14ac:dyDescent="0.25">
      <c r="A19" s="111" t="s">
        <v>677</v>
      </c>
      <c r="B19" s="4" t="s">
        <v>396</v>
      </c>
      <c r="C19" s="107">
        <f>1-0.79</f>
        <v>0.20999999999999996</v>
      </c>
      <c r="D19" s="107">
        <f>1-0.82</f>
        <v>0.18000000000000005</v>
      </c>
      <c r="E19" s="107">
        <f>1-0.74</f>
        <v>0.26</v>
      </c>
      <c r="F19" s="4" t="s">
        <v>364</v>
      </c>
      <c r="G19" s="4" t="s">
        <v>709</v>
      </c>
      <c r="H19" s="4" t="s">
        <v>298</v>
      </c>
      <c r="I19" s="129" t="s">
        <v>625</v>
      </c>
      <c r="J19" s="4" t="s">
        <v>699</v>
      </c>
    </row>
    <row r="20" spans="1:11" x14ac:dyDescent="0.25">
      <c r="A20" s="111" t="s">
        <v>677</v>
      </c>
      <c r="B20" s="4" t="s">
        <v>387</v>
      </c>
      <c r="C20" s="107">
        <f>1-0.748</f>
        <v>0.252</v>
      </c>
      <c r="D20" s="107">
        <f>1-0.77</f>
        <v>0.22999999999999998</v>
      </c>
      <c r="E20" s="107">
        <f>1-0.74</f>
        <v>0.26</v>
      </c>
      <c r="F20" s="4" t="s">
        <v>366</v>
      </c>
      <c r="G20" s="4" t="s">
        <v>710</v>
      </c>
      <c r="H20" s="4" t="s">
        <v>298</v>
      </c>
      <c r="I20" s="129" t="s">
        <v>625</v>
      </c>
      <c r="J20" s="4" t="s">
        <v>699</v>
      </c>
    </row>
    <row r="21" spans="1:11" x14ac:dyDescent="0.25">
      <c r="A21" s="111" t="s">
        <v>677</v>
      </c>
      <c r="B21" s="4" t="s">
        <v>388</v>
      </c>
      <c r="C21" s="107">
        <f>1-0.701</f>
        <v>0.29900000000000004</v>
      </c>
      <c r="D21" s="107">
        <f>1-0.85</f>
        <v>0.15000000000000002</v>
      </c>
      <c r="E21" s="107">
        <f>1-0.55</f>
        <v>0.44999999999999996</v>
      </c>
      <c r="F21" s="4" t="s">
        <v>62</v>
      </c>
      <c r="G21" s="4" t="s">
        <v>711</v>
      </c>
      <c r="H21" s="4" t="s">
        <v>298</v>
      </c>
      <c r="I21" s="129" t="s">
        <v>625</v>
      </c>
      <c r="J21" s="4" t="s">
        <v>699</v>
      </c>
    </row>
    <row r="22" spans="1:11" x14ac:dyDescent="0.25">
      <c r="A22" s="124" t="s">
        <v>677</v>
      </c>
      <c r="B22" s="125" t="s">
        <v>400</v>
      </c>
      <c r="C22" s="126">
        <f>1-0.748</f>
        <v>0.252</v>
      </c>
      <c r="D22" s="126">
        <f>1-0.77</f>
        <v>0.22999999999999998</v>
      </c>
      <c r="E22" s="126">
        <f>1-0.74</f>
        <v>0.26</v>
      </c>
      <c r="F22" s="125" t="s">
        <v>365</v>
      </c>
      <c r="G22" s="125" t="s">
        <v>712</v>
      </c>
      <c r="H22" s="125" t="s">
        <v>298</v>
      </c>
      <c r="I22" s="129" t="s">
        <v>625</v>
      </c>
      <c r="J22" s="4" t="s">
        <v>699</v>
      </c>
    </row>
    <row r="23" spans="1:11" x14ac:dyDescent="0.25">
      <c r="A23" s="111" t="s">
        <v>677</v>
      </c>
      <c r="B23" s="4" t="s">
        <v>391</v>
      </c>
      <c r="C23" s="107">
        <f>1-0.672</f>
        <v>0.32799999999999996</v>
      </c>
      <c r="D23" s="107">
        <f>1-0.69</f>
        <v>0.31000000000000005</v>
      </c>
      <c r="E23" s="107">
        <f>1-0.6</f>
        <v>0.4</v>
      </c>
      <c r="F23" s="4" t="s">
        <v>367</v>
      </c>
      <c r="G23" s="4" t="s">
        <v>713</v>
      </c>
      <c r="H23" s="4" t="s">
        <v>298</v>
      </c>
      <c r="I23" s="129" t="s">
        <v>625</v>
      </c>
      <c r="J23" s="4" t="s">
        <v>699</v>
      </c>
    </row>
    <row r="24" spans="1:11" x14ac:dyDescent="0.25">
      <c r="A24" s="111" t="s">
        <v>677</v>
      </c>
      <c r="B24" s="4" t="s">
        <v>393</v>
      </c>
      <c r="C24" s="76">
        <f>C23*($C$21/$C$20)</f>
        <v>0.38917460317460317</v>
      </c>
      <c r="D24" s="76">
        <f>D23*($C$21/$C$20)</f>
        <v>0.36781746031746043</v>
      </c>
      <c r="E24" s="76">
        <f>E23*($C$21/$C$20)</f>
        <v>0.47460317460317469</v>
      </c>
      <c r="F24" s="4" t="s">
        <v>70</v>
      </c>
      <c r="G24" s="4" t="s">
        <v>714</v>
      </c>
      <c r="H24" s="4" t="s">
        <v>298</v>
      </c>
      <c r="I24" s="129" t="s">
        <v>625</v>
      </c>
      <c r="J24" s="4" t="s">
        <v>699</v>
      </c>
    </row>
    <row r="25" spans="1:11" x14ac:dyDescent="0.25">
      <c r="A25" s="111" t="s">
        <v>677</v>
      </c>
      <c r="B25" s="4" t="s">
        <v>399</v>
      </c>
      <c r="C25" s="107">
        <f>1-0.672</f>
        <v>0.32799999999999996</v>
      </c>
      <c r="D25" s="107">
        <f>1-0.69</f>
        <v>0.31000000000000005</v>
      </c>
      <c r="E25" s="107">
        <f>1-0.6</f>
        <v>0.4</v>
      </c>
      <c r="F25" s="4" t="s">
        <v>370</v>
      </c>
      <c r="G25" s="4" t="s">
        <v>715</v>
      </c>
      <c r="H25" s="4" t="s">
        <v>298</v>
      </c>
      <c r="I25" s="129" t="s">
        <v>625</v>
      </c>
      <c r="J25" s="4" t="s">
        <v>699</v>
      </c>
    </row>
    <row r="26" spans="1:11" ht="15.75" thickBot="1" x14ac:dyDescent="0.3">
      <c r="A26" s="119" t="s">
        <v>677</v>
      </c>
      <c r="B26" s="120" t="s">
        <v>327</v>
      </c>
      <c r="C26" s="121">
        <f>1-0.61</f>
        <v>0.39</v>
      </c>
      <c r="D26" s="121">
        <f>1-0.67</f>
        <v>0.32999999999999996</v>
      </c>
      <c r="E26" s="121">
        <f>1-0.2</f>
        <v>0.8</v>
      </c>
      <c r="F26" s="120" t="s">
        <v>31</v>
      </c>
      <c r="G26" s="120" t="s">
        <v>716</v>
      </c>
      <c r="H26" s="120" t="s">
        <v>298</v>
      </c>
      <c r="I26" s="138" t="s">
        <v>625</v>
      </c>
      <c r="J26" s="120" t="s">
        <v>699</v>
      </c>
    </row>
    <row r="27" spans="1:11" x14ac:dyDescent="0.25">
      <c r="A27" s="108" t="s">
        <v>678</v>
      </c>
      <c r="B27" s="109" t="s">
        <v>381</v>
      </c>
      <c r="C27" s="110">
        <f>0.053/2</f>
        <v>2.6499999999999999E-2</v>
      </c>
      <c r="D27" s="110">
        <v>0</v>
      </c>
      <c r="E27" s="110">
        <f>0.07/2</f>
        <v>3.5000000000000003E-2</v>
      </c>
      <c r="F27" s="109" t="s">
        <v>368</v>
      </c>
      <c r="G27" s="109" t="str">
        <f>J27&amp;"_"&amp;F27</f>
        <v>hbv_chronic_SC</v>
      </c>
      <c r="H27" s="109" t="s">
        <v>298</v>
      </c>
      <c r="I27" s="130" t="s">
        <v>390</v>
      </c>
      <c r="J27" s="131" t="s">
        <v>700</v>
      </c>
      <c r="K27" s="59"/>
    </row>
    <row r="28" spans="1:11" x14ac:dyDescent="0.25">
      <c r="A28" s="111" t="s">
        <v>678</v>
      </c>
      <c r="B28" s="4" t="s">
        <v>383</v>
      </c>
      <c r="C28" s="107">
        <f>0.053/2</f>
        <v>2.6499999999999999E-2</v>
      </c>
      <c r="D28" s="107">
        <v>0</v>
      </c>
      <c r="E28" s="107">
        <f>0.07/2</f>
        <v>3.5000000000000003E-2</v>
      </c>
      <c r="F28" s="4" t="s">
        <v>385</v>
      </c>
      <c r="G28" s="4" t="str">
        <f t="shared" ref="G28:G43" si="0">J28&amp;"_"&amp;F28</f>
        <v>hbv_chronic_CM</v>
      </c>
      <c r="H28" s="4" t="s">
        <v>298</v>
      </c>
      <c r="I28" s="129" t="s">
        <v>390</v>
      </c>
      <c r="J28" s="132" t="s">
        <v>700</v>
      </c>
      <c r="K28" s="59"/>
    </row>
    <row r="29" spans="1:11" x14ac:dyDescent="0.25">
      <c r="A29" s="111" t="s">
        <v>678</v>
      </c>
      <c r="B29" s="4" t="s">
        <v>387</v>
      </c>
      <c r="C29" s="107">
        <f>1-0.748</f>
        <v>0.252</v>
      </c>
      <c r="D29" s="107">
        <f>1-0.77</f>
        <v>0.22999999999999998</v>
      </c>
      <c r="E29" s="107">
        <f>1-0.74</f>
        <v>0.26</v>
      </c>
      <c r="F29" s="4" t="s">
        <v>366</v>
      </c>
      <c r="G29" s="4" t="str">
        <f t="shared" si="0"/>
        <v>hbv_CC_SC</v>
      </c>
      <c r="H29" s="4" t="s">
        <v>298</v>
      </c>
      <c r="I29" s="129" t="s">
        <v>625</v>
      </c>
      <c r="J29" s="132" t="s">
        <v>700</v>
      </c>
      <c r="K29" s="59"/>
    </row>
    <row r="30" spans="1:11" x14ac:dyDescent="0.25">
      <c r="A30" s="111" t="s">
        <v>678</v>
      </c>
      <c r="B30" s="4" t="s">
        <v>391</v>
      </c>
      <c r="C30" s="107">
        <f>1-0.672</f>
        <v>0.32799999999999996</v>
      </c>
      <c r="D30" s="107">
        <f>1-0.69</f>
        <v>0.31000000000000005</v>
      </c>
      <c r="E30" s="107">
        <f>1-0.6</f>
        <v>0.4</v>
      </c>
      <c r="F30" s="4" t="s">
        <v>367</v>
      </c>
      <c r="G30" s="4" t="str">
        <f t="shared" si="0"/>
        <v>hbv_DCC_SC</v>
      </c>
      <c r="H30" s="4" t="s">
        <v>298</v>
      </c>
      <c r="I30" s="129" t="s">
        <v>625</v>
      </c>
      <c r="J30" s="132" t="s">
        <v>700</v>
      </c>
      <c r="K30" s="59"/>
    </row>
    <row r="31" spans="1:11" x14ac:dyDescent="0.25">
      <c r="A31" s="111" t="s">
        <v>678</v>
      </c>
      <c r="B31" s="4" t="s">
        <v>327</v>
      </c>
      <c r="C31" s="107">
        <f>1-0.61</f>
        <v>0.39</v>
      </c>
      <c r="D31" s="107">
        <f>1-0.67</f>
        <v>0.32999999999999996</v>
      </c>
      <c r="E31" s="107">
        <f>1-0.2</f>
        <v>0.8</v>
      </c>
      <c r="F31" s="4" t="s">
        <v>31</v>
      </c>
      <c r="G31" s="4" t="str">
        <f t="shared" si="0"/>
        <v>hbv_HCC</v>
      </c>
      <c r="H31" s="4" t="s">
        <v>298</v>
      </c>
      <c r="I31" s="129" t="s">
        <v>625</v>
      </c>
      <c r="J31" s="132" t="s">
        <v>700</v>
      </c>
      <c r="K31" s="59"/>
    </row>
    <row r="32" spans="1:11" x14ac:dyDescent="0.25">
      <c r="A32" s="111" t="s">
        <v>678</v>
      </c>
      <c r="B32" s="4" t="s">
        <v>378</v>
      </c>
      <c r="C32" s="107">
        <v>5.2999999999999999E-2</v>
      </c>
      <c r="D32" s="107">
        <f t="shared" ref="D32:D38" si="1">0.8*C32</f>
        <v>4.24E-2</v>
      </c>
      <c r="E32" s="107">
        <f t="shared" ref="E32:E38" si="2">1.2*C32</f>
        <v>6.359999999999999E-2</v>
      </c>
      <c r="F32" s="4" t="s">
        <v>69</v>
      </c>
      <c r="G32" s="4" t="str">
        <f t="shared" si="0"/>
        <v>hbv_imm_react_T</v>
      </c>
      <c r="H32" s="4" t="s">
        <v>298</v>
      </c>
      <c r="I32" s="129" t="s">
        <v>148</v>
      </c>
      <c r="J32" s="132" t="s">
        <v>700</v>
      </c>
      <c r="K32" s="59"/>
    </row>
    <row r="33" spans="1:11" x14ac:dyDescent="0.25">
      <c r="A33" s="111" t="s">
        <v>678</v>
      </c>
      <c r="B33" s="4" t="s">
        <v>392</v>
      </c>
      <c r="C33" s="107">
        <v>5.2999999999999999E-2</v>
      </c>
      <c r="D33" s="107">
        <f t="shared" si="1"/>
        <v>4.24E-2</v>
      </c>
      <c r="E33" s="107">
        <f t="shared" si="2"/>
        <v>6.359999999999999E-2</v>
      </c>
      <c r="F33" s="4" t="s">
        <v>61</v>
      </c>
      <c r="G33" s="4" t="str">
        <f t="shared" si="0"/>
        <v>hbv_chronic_T</v>
      </c>
      <c r="H33" s="4" t="s">
        <v>298</v>
      </c>
      <c r="I33" s="129" t="s">
        <v>148</v>
      </c>
      <c r="J33" s="132" t="s">
        <v>700</v>
      </c>
      <c r="K33" s="59"/>
    </row>
    <row r="34" spans="1:11" x14ac:dyDescent="0.25">
      <c r="A34" s="111" t="s">
        <v>678</v>
      </c>
      <c r="B34" s="4" t="s">
        <v>388</v>
      </c>
      <c r="C34" s="107">
        <v>5.2999999999999999E-2</v>
      </c>
      <c r="D34" s="107">
        <f t="shared" si="1"/>
        <v>4.24E-2</v>
      </c>
      <c r="E34" s="107">
        <f t="shared" si="2"/>
        <v>6.359999999999999E-2</v>
      </c>
      <c r="F34" s="4" t="s">
        <v>62</v>
      </c>
      <c r="G34" s="4" t="str">
        <f t="shared" si="0"/>
        <v>hbv_CC_T</v>
      </c>
      <c r="H34" s="4" t="s">
        <v>298</v>
      </c>
      <c r="I34" s="129" t="s">
        <v>148</v>
      </c>
      <c r="J34" s="132" t="s">
        <v>700</v>
      </c>
      <c r="K34" s="59"/>
    </row>
    <row r="35" spans="1:11" x14ac:dyDescent="0.25">
      <c r="A35" s="111" t="s">
        <v>678</v>
      </c>
      <c r="B35" s="4" t="s">
        <v>393</v>
      </c>
      <c r="C35" s="107">
        <v>0.127</v>
      </c>
      <c r="D35" s="107">
        <f t="shared" si="1"/>
        <v>0.10160000000000001</v>
      </c>
      <c r="E35" s="107">
        <f t="shared" si="2"/>
        <v>0.15240000000000001</v>
      </c>
      <c r="F35" s="4" t="s">
        <v>70</v>
      </c>
      <c r="G35" s="4" t="str">
        <f t="shared" si="0"/>
        <v>hbv_DCC_T</v>
      </c>
      <c r="H35" s="4" t="s">
        <v>298</v>
      </c>
      <c r="I35" s="129" t="s">
        <v>148</v>
      </c>
      <c r="J35" s="132" t="s">
        <v>700</v>
      </c>
      <c r="K35" s="59"/>
    </row>
    <row r="36" spans="1:11" x14ac:dyDescent="0.25">
      <c r="A36" s="111" t="s">
        <v>678</v>
      </c>
      <c r="B36" s="4" t="s">
        <v>371</v>
      </c>
      <c r="C36" s="107">
        <v>0</v>
      </c>
      <c r="D36" s="107">
        <f t="shared" si="1"/>
        <v>0</v>
      </c>
      <c r="E36" s="107">
        <f t="shared" si="2"/>
        <v>0</v>
      </c>
      <c r="F36" s="4" t="s">
        <v>369</v>
      </c>
      <c r="G36" s="4" t="str">
        <f t="shared" si="0"/>
        <v>hbv_acute_SC</v>
      </c>
      <c r="H36" s="4" t="s">
        <v>298</v>
      </c>
      <c r="I36" s="129" t="s">
        <v>390</v>
      </c>
      <c r="J36" s="132" t="s">
        <v>700</v>
      </c>
      <c r="K36" s="59"/>
    </row>
    <row r="37" spans="1:11" x14ac:dyDescent="0.25">
      <c r="A37" s="111" t="s">
        <v>678</v>
      </c>
      <c r="B37" s="4" t="s">
        <v>389</v>
      </c>
      <c r="C37" s="107">
        <v>5.2999999999999999E-2</v>
      </c>
      <c r="D37" s="107">
        <f t="shared" si="1"/>
        <v>4.24E-2</v>
      </c>
      <c r="E37" s="107">
        <f t="shared" si="2"/>
        <v>6.359999999999999E-2</v>
      </c>
      <c r="F37" s="4" t="s">
        <v>373</v>
      </c>
      <c r="G37" s="4" t="str">
        <f t="shared" si="0"/>
        <v>hbv_acute_CM</v>
      </c>
      <c r="H37" s="4" t="s">
        <v>298</v>
      </c>
      <c r="I37" s="129" t="s">
        <v>790</v>
      </c>
      <c r="J37" s="132" t="s">
        <v>700</v>
      </c>
      <c r="K37" s="59"/>
    </row>
    <row r="38" spans="1:11" x14ac:dyDescent="0.25">
      <c r="A38" s="111" t="s">
        <v>678</v>
      </c>
      <c r="B38" s="4" t="s">
        <v>328</v>
      </c>
      <c r="C38" s="107">
        <v>0</v>
      </c>
      <c r="D38" s="107">
        <f t="shared" si="1"/>
        <v>0</v>
      </c>
      <c r="E38" s="107">
        <f t="shared" si="2"/>
        <v>0</v>
      </c>
      <c r="F38" s="4" t="s">
        <v>64</v>
      </c>
      <c r="G38" s="4" t="str">
        <f t="shared" si="0"/>
        <v>hbv_no_infection</v>
      </c>
      <c r="H38" s="4" t="s">
        <v>298</v>
      </c>
      <c r="I38" s="129" t="s">
        <v>390</v>
      </c>
      <c r="J38" s="132" t="s">
        <v>700</v>
      </c>
      <c r="K38" s="59"/>
    </row>
    <row r="39" spans="1:11" x14ac:dyDescent="0.25">
      <c r="A39" s="111" t="s">
        <v>678</v>
      </c>
      <c r="B39" s="4" t="s">
        <v>372</v>
      </c>
      <c r="C39" s="107">
        <v>0</v>
      </c>
      <c r="D39" s="107">
        <v>0</v>
      </c>
      <c r="E39" s="107">
        <v>0</v>
      </c>
      <c r="F39" s="4" t="s">
        <v>374</v>
      </c>
      <c r="G39" s="4" t="str">
        <f t="shared" si="0"/>
        <v>hbv_imm_tol_SC</v>
      </c>
      <c r="H39" s="4" t="s">
        <v>298</v>
      </c>
      <c r="I39" s="129" t="s">
        <v>390</v>
      </c>
      <c r="J39" s="132" t="s">
        <v>700</v>
      </c>
      <c r="K39" s="59"/>
    </row>
    <row r="40" spans="1:11" x14ac:dyDescent="0.25">
      <c r="A40" s="111" t="s">
        <v>678</v>
      </c>
      <c r="B40" s="4" t="s">
        <v>386</v>
      </c>
      <c r="C40" s="107">
        <v>0</v>
      </c>
      <c r="D40" s="107">
        <v>0</v>
      </c>
      <c r="E40" s="107">
        <v>0</v>
      </c>
      <c r="F40" s="4" t="s">
        <v>375</v>
      </c>
      <c r="G40" s="4" t="str">
        <f t="shared" si="0"/>
        <v>hbv_imm_tol_CM</v>
      </c>
      <c r="H40" s="4" t="s">
        <v>298</v>
      </c>
      <c r="I40" s="129" t="s">
        <v>390</v>
      </c>
      <c r="J40" s="132" t="s">
        <v>700</v>
      </c>
      <c r="K40" s="59"/>
    </row>
    <row r="41" spans="1:11" x14ac:dyDescent="0.25">
      <c r="A41" s="111" t="s">
        <v>678</v>
      </c>
      <c r="B41" s="4" t="s">
        <v>380</v>
      </c>
      <c r="C41" s="107">
        <v>0</v>
      </c>
      <c r="D41" s="107">
        <v>0</v>
      </c>
      <c r="E41" s="107">
        <v>0</v>
      </c>
      <c r="F41" s="4" t="s">
        <v>379</v>
      </c>
      <c r="G41" s="4" t="str">
        <f t="shared" si="0"/>
        <v>hbv_carrier_SC</v>
      </c>
      <c r="H41" s="4" t="s">
        <v>298</v>
      </c>
      <c r="I41" s="129" t="s">
        <v>390</v>
      </c>
      <c r="J41" s="132" t="s">
        <v>700</v>
      </c>
      <c r="K41" s="59"/>
    </row>
    <row r="42" spans="1:11" x14ac:dyDescent="0.25">
      <c r="A42" s="111" t="s">
        <v>678</v>
      </c>
      <c r="B42" s="4" t="s">
        <v>382</v>
      </c>
      <c r="C42" s="107">
        <v>0</v>
      </c>
      <c r="D42" s="107">
        <v>0</v>
      </c>
      <c r="E42" s="107">
        <v>0</v>
      </c>
      <c r="F42" s="4" t="s">
        <v>384</v>
      </c>
      <c r="G42" s="4" t="str">
        <f t="shared" si="0"/>
        <v>hbv_carrier_CM</v>
      </c>
      <c r="H42" s="4" t="s">
        <v>298</v>
      </c>
      <c r="I42" s="129" t="s">
        <v>390</v>
      </c>
      <c r="J42" s="132" t="s">
        <v>700</v>
      </c>
      <c r="K42" s="59"/>
    </row>
    <row r="43" spans="1:11" ht="15.75" thickBot="1" x14ac:dyDescent="0.3">
      <c r="A43" s="112" t="s">
        <v>678</v>
      </c>
      <c r="B43" s="113" t="s">
        <v>376</v>
      </c>
      <c r="C43" s="114">
        <v>5.2999999999999999E-2</v>
      </c>
      <c r="D43" s="114">
        <v>0</v>
      </c>
      <c r="E43" s="114">
        <f>1.2*C43</f>
        <v>6.359999999999999E-2</v>
      </c>
      <c r="F43" s="113" t="s">
        <v>377</v>
      </c>
      <c r="G43" s="113" t="str">
        <f t="shared" si="0"/>
        <v>hbv_imm_react_SC</v>
      </c>
      <c r="H43" s="113" t="s">
        <v>298</v>
      </c>
      <c r="I43" s="133" t="s">
        <v>148</v>
      </c>
      <c r="J43" s="134" t="s">
        <v>700</v>
      </c>
      <c r="K43" s="59"/>
    </row>
    <row r="44" spans="1:11" x14ac:dyDescent="0.25">
      <c r="A44" s="125" t="s">
        <v>675</v>
      </c>
      <c r="B44" s="125" t="s">
        <v>739</v>
      </c>
      <c r="C44" s="126">
        <v>0</v>
      </c>
      <c r="D44" s="126">
        <v>0</v>
      </c>
      <c r="E44" s="126">
        <v>0</v>
      </c>
      <c r="F44" s="125" t="s">
        <v>469</v>
      </c>
      <c r="G44" s="125" t="s">
        <v>718</v>
      </c>
      <c r="H44" s="125" t="s">
        <v>298</v>
      </c>
      <c r="I44" s="125" t="s">
        <v>390</v>
      </c>
      <c r="J44" s="125" t="s">
        <v>701</v>
      </c>
    </row>
    <row r="45" spans="1:11" x14ac:dyDescent="0.25">
      <c r="A45" s="4" t="s">
        <v>675</v>
      </c>
      <c r="B45" s="4" t="s">
        <v>740</v>
      </c>
      <c r="C45" s="107">
        <v>0</v>
      </c>
      <c r="D45" s="107">
        <v>0</v>
      </c>
      <c r="E45" s="107">
        <v>0</v>
      </c>
      <c r="F45" s="4" t="s">
        <v>470</v>
      </c>
      <c r="G45" s="4" t="s">
        <v>719</v>
      </c>
      <c r="H45" s="4" t="s">
        <v>298</v>
      </c>
      <c r="I45" s="4" t="s">
        <v>390</v>
      </c>
      <c r="J45" s="4" t="s">
        <v>701</v>
      </c>
    </row>
    <row r="46" spans="1:11" x14ac:dyDescent="0.25">
      <c r="A46" s="4" t="s">
        <v>675</v>
      </c>
      <c r="B46" s="4" t="s">
        <v>741</v>
      </c>
      <c r="C46" s="107">
        <v>0</v>
      </c>
      <c r="D46" s="107">
        <v>0</v>
      </c>
      <c r="E46" s="107">
        <v>0</v>
      </c>
      <c r="F46" s="4" t="s">
        <v>471</v>
      </c>
      <c r="G46" s="4" t="s">
        <v>720</v>
      </c>
      <c r="H46" s="4" t="s">
        <v>298</v>
      </c>
      <c r="I46" s="4" t="s">
        <v>390</v>
      </c>
      <c r="J46" s="4" t="s">
        <v>701</v>
      </c>
    </row>
    <row r="47" spans="1:11" x14ac:dyDescent="0.25">
      <c r="A47" s="4" t="s">
        <v>675</v>
      </c>
      <c r="B47" s="4" t="s">
        <v>738</v>
      </c>
      <c r="C47" s="107">
        <f>0.5*0.274</f>
        <v>0.13700000000000001</v>
      </c>
      <c r="D47" s="107">
        <f>0.5*0.184</f>
        <v>9.1999999999999998E-2</v>
      </c>
      <c r="E47" s="107">
        <f>0.5*0.377</f>
        <v>0.1885</v>
      </c>
      <c r="F47" s="4" t="s">
        <v>472</v>
      </c>
      <c r="G47" s="4" t="s">
        <v>717</v>
      </c>
      <c r="H47" s="4" t="s">
        <v>298</v>
      </c>
      <c r="I47" s="4" t="s">
        <v>390</v>
      </c>
      <c r="J47" s="4" t="s">
        <v>701</v>
      </c>
    </row>
    <row r="48" spans="1:11" x14ac:dyDescent="0.25">
      <c r="A48" s="4" t="s">
        <v>675</v>
      </c>
      <c r="B48" s="4" t="s">
        <v>746</v>
      </c>
      <c r="C48" s="4">
        <f>0.25*0.274+0.75*0.078</f>
        <v>0.127</v>
      </c>
      <c r="D48" s="4">
        <f>0.75*0.052+0.25*0.184</f>
        <v>8.4999999999999992E-2</v>
      </c>
      <c r="E48" s="4">
        <f>0.75*0.111+0.25*0.377</f>
        <v>0.17749999999999999</v>
      </c>
      <c r="F48" s="4" t="s">
        <v>56</v>
      </c>
      <c r="G48" s="4" t="s">
        <v>721</v>
      </c>
      <c r="H48" s="4" t="s">
        <v>298</v>
      </c>
      <c r="I48" s="129" t="s">
        <v>765</v>
      </c>
      <c r="J48" s="4" t="s">
        <v>701</v>
      </c>
    </row>
    <row r="49" spans="1:10" x14ac:dyDescent="0.25">
      <c r="A49" s="4" t="s">
        <v>675</v>
      </c>
      <c r="B49" s="4" t="s">
        <v>748</v>
      </c>
      <c r="C49" s="107">
        <v>7.8E-2</v>
      </c>
      <c r="D49" s="107">
        <v>5.1999999999999998E-2</v>
      </c>
      <c r="E49" s="107">
        <v>0.111</v>
      </c>
      <c r="F49" s="4" t="s">
        <v>57</v>
      </c>
      <c r="G49" s="4" t="s">
        <v>722</v>
      </c>
      <c r="H49" s="4" t="s">
        <v>298</v>
      </c>
      <c r="I49" s="129" t="s">
        <v>765</v>
      </c>
      <c r="J49" s="4" t="s">
        <v>701</v>
      </c>
    </row>
    <row r="50" spans="1:10" x14ac:dyDescent="0.25">
      <c r="A50" s="4" t="s">
        <v>675</v>
      </c>
      <c r="B50" s="4" t="s">
        <v>749</v>
      </c>
      <c r="C50" s="107">
        <v>7.8E-2</v>
      </c>
      <c r="D50" s="107">
        <v>5.1999999999999998E-2</v>
      </c>
      <c r="E50" s="107">
        <v>0.111</v>
      </c>
      <c r="F50" s="4" t="s">
        <v>58</v>
      </c>
      <c r="G50" s="4" t="s">
        <v>723</v>
      </c>
      <c r="H50" s="4" t="s">
        <v>298</v>
      </c>
      <c r="I50" s="129" t="s">
        <v>765</v>
      </c>
      <c r="J50" s="4" t="s">
        <v>701</v>
      </c>
    </row>
    <row r="51" spans="1:10" x14ac:dyDescent="0.25">
      <c r="A51" s="4" t="s">
        <v>675</v>
      </c>
      <c r="B51" s="4" t="s">
        <v>750</v>
      </c>
      <c r="C51" s="107">
        <v>7.8E-2</v>
      </c>
      <c r="D51" s="107">
        <v>5.1999999999999998E-2</v>
      </c>
      <c r="E51" s="107">
        <v>0.111</v>
      </c>
      <c r="F51" s="4" t="s">
        <v>59</v>
      </c>
      <c r="G51" s="4" t="s">
        <v>724</v>
      </c>
      <c r="H51" s="4" t="s">
        <v>298</v>
      </c>
      <c r="I51" s="129" t="s">
        <v>765</v>
      </c>
      <c r="J51" s="4" t="s">
        <v>701</v>
      </c>
    </row>
    <row r="52" spans="1:10" x14ac:dyDescent="0.25">
      <c r="A52" s="4" t="s">
        <v>675</v>
      </c>
      <c r="B52" s="4" t="s">
        <v>747</v>
      </c>
      <c r="C52" s="4">
        <f>0.5*0.582+0.5*0.078</f>
        <v>0.32999999999999996</v>
      </c>
      <c r="D52" s="4">
        <f>0.5*0.052+0.5*0.406</f>
        <v>0.22900000000000001</v>
      </c>
      <c r="E52" s="4">
        <f>0.5*0.111+0.5*0.743</f>
        <v>0.42699999999999999</v>
      </c>
      <c r="F52" s="4" t="s">
        <v>473</v>
      </c>
      <c r="G52" s="4" t="s">
        <v>725</v>
      </c>
      <c r="H52" s="4" t="s">
        <v>298</v>
      </c>
      <c r="I52" s="129" t="s">
        <v>765</v>
      </c>
      <c r="J52" s="4" t="s">
        <v>701</v>
      </c>
    </row>
    <row r="53" spans="1:10" x14ac:dyDescent="0.25">
      <c r="A53" s="4" t="s">
        <v>675</v>
      </c>
      <c r="B53" s="4" t="s">
        <v>751</v>
      </c>
      <c r="C53" s="4">
        <f>0.75*0.078+0.25*0.582</f>
        <v>0.20399999999999999</v>
      </c>
      <c r="D53" s="4">
        <f>0.75*0.052+0.25*0.406</f>
        <v>0.14050000000000001</v>
      </c>
      <c r="E53" s="4">
        <f>0.75*0.111+0.25*0.743</f>
        <v>0.26900000000000002</v>
      </c>
      <c r="F53" s="4" t="s">
        <v>474</v>
      </c>
      <c r="G53" s="4" t="s">
        <v>726</v>
      </c>
      <c r="H53" s="4" t="s">
        <v>298</v>
      </c>
      <c r="I53" s="129" t="s">
        <v>765</v>
      </c>
      <c r="J53" s="4" t="s">
        <v>701</v>
      </c>
    </row>
    <row r="54" spans="1:10" x14ac:dyDescent="0.25">
      <c r="A54" s="4" t="s">
        <v>675</v>
      </c>
      <c r="B54" t="s">
        <v>753</v>
      </c>
      <c r="C54" s="4">
        <f>0.75*0.078+0.25*0.582</f>
        <v>0.20399999999999999</v>
      </c>
      <c r="D54" s="4">
        <f>0.75*0.052+0.25*0.406</f>
        <v>0.14050000000000001</v>
      </c>
      <c r="E54" s="4">
        <f>0.75*0.111+0.25*0.743</f>
        <v>0.26900000000000002</v>
      </c>
      <c r="F54" s="4" t="s">
        <v>742</v>
      </c>
      <c r="G54" s="4" t="s">
        <v>743</v>
      </c>
      <c r="H54" s="4" t="s">
        <v>298</v>
      </c>
      <c r="I54" s="129" t="s">
        <v>765</v>
      </c>
      <c r="J54" s="4" t="s">
        <v>701</v>
      </c>
    </row>
  </sheetData>
  <phoneticPr fontId="1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A9842-D5BC-4BD1-B374-8DA85CC7011F}">
  <dimension ref="A1:B40"/>
  <sheetViews>
    <sheetView workbookViewId="0">
      <selection activeCell="D11" sqref="D11"/>
    </sheetView>
  </sheetViews>
  <sheetFormatPr defaultRowHeight="15" x14ac:dyDescent="0.25"/>
  <cols>
    <col min="1" max="1" width="31.85546875" customWidth="1"/>
    <col min="2" max="2" width="55.28515625" style="47" customWidth="1"/>
  </cols>
  <sheetData>
    <row r="1" spans="1:2" x14ac:dyDescent="0.25">
      <c r="A1" s="63" t="s">
        <v>83</v>
      </c>
      <c r="B1" s="63" t="s">
        <v>341</v>
      </c>
    </row>
    <row r="2" spans="1:2" ht="30.75" customHeight="1" x14ac:dyDescent="0.25">
      <c r="A2" s="64" t="s">
        <v>88</v>
      </c>
      <c r="B2" s="64" t="s">
        <v>350</v>
      </c>
    </row>
    <row r="3" spans="1:2" ht="60" x14ac:dyDescent="0.25">
      <c r="A3" s="64" t="s">
        <v>94</v>
      </c>
      <c r="B3" s="64" t="s">
        <v>351</v>
      </c>
    </row>
    <row r="4" spans="1:2" ht="30" x14ac:dyDescent="0.25">
      <c r="A4" s="64" t="s">
        <v>100</v>
      </c>
      <c r="B4" s="64" t="s">
        <v>352</v>
      </c>
    </row>
    <row r="5" spans="1:2" ht="30" x14ac:dyDescent="0.25">
      <c r="A5" s="64" t="s">
        <v>214</v>
      </c>
      <c r="B5" s="64" t="s">
        <v>353</v>
      </c>
    </row>
    <row r="6" spans="1:2" ht="75" x14ac:dyDescent="0.25">
      <c r="A6" s="64" t="s">
        <v>421</v>
      </c>
      <c r="B6" s="64" t="s">
        <v>354</v>
      </c>
    </row>
    <row r="7" spans="1:2" x14ac:dyDescent="0.25">
      <c r="A7" s="64" t="s">
        <v>342</v>
      </c>
      <c r="B7" s="64">
        <v>0</v>
      </c>
    </row>
    <row r="8" spans="1:2" x14ac:dyDescent="0.25">
      <c r="A8" s="64" t="s">
        <v>344</v>
      </c>
      <c r="B8" s="64">
        <v>0</v>
      </c>
    </row>
    <row r="9" spans="1:2" ht="75" x14ac:dyDescent="0.25">
      <c r="A9" s="64" t="s">
        <v>422</v>
      </c>
      <c r="B9" s="64" t="s">
        <v>355</v>
      </c>
    </row>
    <row r="10" spans="1:2" x14ac:dyDescent="0.25">
      <c r="A10" s="64" t="s">
        <v>423</v>
      </c>
      <c r="B10" s="64">
        <v>0</v>
      </c>
    </row>
    <row r="11" spans="1:2" x14ac:dyDescent="0.25">
      <c r="A11" s="64" t="s">
        <v>424</v>
      </c>
      <c r="B11" s="64">
        <v>0</v>
      </c>
    </row>
    <row r="12" spans="1:2" x14ac:dyDescent="0.25">
      <c r="A12" s="64" t="s">
        <v>425</v>
      </c>
      <c r="B12" s="64">
        <v>0</v>
      </c>
    </row>
    <row r="13" spans="1:2" ht="90" x14ac:dyDescent="0.25">
      <c r="A13" s="64" t="s">
        <v>426</v>
      </c>
      <c r="B13" s="64" t="s">
        <v>357</v>
      </c>
    </row>
    <row r="14" spans="1:2" x14ac:dyDescent="0.25">
      <c r="A14" s="64" t="s">
        <v>431</v>
      </c>
      <c r="B14" s="64">
        <v>0</v>
      </c>
    </row>
    <row r="15" spans="1:2" ht="135" x14ac:dyDescent="0.25">
      <c r="A15" s="64" t="s">
        <v>432</v>
      </c>
      <c r="B15" s="64" t="s">
        <v>358</v>
      </c>
    </row>
    <row r="16" spans="1:2" ht="120" x14ac:dyDescent="0.25">
      <c r="A16" s="64" t="s">
        <v>439</v>
      </c>
      <c r="B16" s="64" t="s">
        <v>438</v>
      </c>
    </row>
    <row r="17" spans="1:2" x14ac:dyDescent="0.25">
      <c r="A17" s="64" t="s">
        <v>433</v>
      </c>
      <c r="B17" s="64">
        <v>0</v>
      </c>
    </row>
    <row r="18" spans="1:2" ht="120" x14ac:dyDescent="0.25">
      <c r="A18" s="64" t="s">
        <v>434</v>
      </c>
      <c r="B18" s="64" t="s">
        <v>356</v>
      </c>
    </row>
    <row r="19" spans="1:2" ht="30" x14ac:dyDescent="0.25">
      <c r="A19" s="64" t="s">
        <v>435</v>
      </c>
      <c r="B19" s="64">
        <v>0</v>
      </c>
    </row>
    <row r="20" spans="1:2" ht="135" x14ac:dyDescent="0.25">
      <c r="A20" s="64" t="s">
        <v>436</v>
      </c>
      <c r="B20" s="64" t="s">
        <v>359</v>
      </c>
    </row>
    <row r="21" spans="1:2" ht="30" x14ac:dyDescent="0.25">
      <c r="A21" s="64" t="s">
        <v>437</v>
      </c>
      <c r="B21" s="64">
        <v>0</v>
      </c>
    </row>
    <row r="22" spans="1:2" ht="120" x14ac:dyDescent="0.25">
      <c r="A22" s="64" t="s">
        <v>343</v>
      </c>
      <c r="B22" s="64" t="s">
        <v>793</v>
      </c>
    </row>
    <row r="23" spans="1:2" ht="30" x14ac:dyDescent="0.25">
      <c r="A23" s="64" t="s">
        <v>345</v>
      </c>
      <c r="B23" s="64">
        <v>0</v>
      </c>
    </row>
    <row r="24" spans="1:2" x14ac:dyDescent="0.25">
      <c r="A24" s="64" t="s">
        <v>346</v>
      </c>
      <c r="B24" s="64">
        <v>0</v>
      </c>
    </row>
    <row r="25" spans="1:2" ht="105" x14ac:dyDescent="0.25">
      <c r="A25" s="64" t="s">
        <v>427</v>
      </c>
      <c r="B25" s="64" t="s">
        <v>360</v>
      </c>
    </row>
    <row r="26" spans="1:2" x14ac:dyDescent="0.25">
      <c r="A26" s="64" t="s">
        <v>347</v>
      </c>
      <c r="B26" s="64">
        <v>0</v>
      </c>
    </row>
    <row r="27" spans="1:2" x14ac:dyDescent="0.25">
      <c r="A27" s="64" t="s">
        <v>440</v>
      </c>
      <c r="B27" s="64">
        <v>0</v>
      </c>
    </row>
    <row r="28" spans="1:2" ht="135" x14ac:dyDescent="0.25">
      <c r="A28" s="64" t="s">
        <v>428</v>
      </c>
      <c r="B28" s="64" t="s">
        <v>443</v>
      </c>
    </row>
    <row r="29" spans="1:2" ht="120" x14ac:dyDescent="0.25">
      <c r="A29" s="64" t="s">
        <v>446</v>
      </c>
      <c r="B29" s="64" t="s">
        <v>361</v>
      </c>
    </row>
    <row r="30" spans="1:2" ht="30" x14ac:dyDescent="0.25">
      <c r="A30" s="64" t="s">
        <v>441</v>
      </c>
      <c r="B30" s="64">
        <v>0</v>
      </c>
    </row>
    <row r="31" spans="1:2" ht="150" x14ac:dyDescent="0.25">
      <c r="A31" s="64" t="s">
        <v>429</v>
      </c>
      <c r="B31" s="64" t="s">
        <v>444</v>
      </c>
    </row>
    <row r="32" spans="1:2" ht="135" x14ac:dyDescent="0.25">
      <c r="A32" s="64" t="s">
        <v>447</v>
      </c>
      <c r="B32" s="64" t="s">
        <v>362</v>
      </c>
    </row>
    <row r="33" spans="1:2" ht="30" x14ac:dyDescent="0.25">
      <c r="A33" s="64" t="s">
        <v>442</v>
      </c>
      <c r="B33" s="64">
        <v>0</v>
      </c>
    </row>
    <row r="34" spans="1:2" ht="195" x14ac:dyDescent="0.25">
      <c r="A34" s="64" t="s">
        <v>430</v>
      </c>
      <c r="B34" s="64" t="s">
        <v>445</v>
      </c>
    </row>
    <row r="35" spans="1:2" ht="180" x14ac:dyDescent="0.25">
      <c r="A35" s="64" t="s">
        <v>448</v>
      </c>
      <c r="B35" s="64" t="s">
        <v>363</v>
      </c>
    </row>
    <row r="36" spans="1:2" ht="120" x14ac:dyDescent="0.25">
      <c r="A36" s="64" t="s">
        <v>348</v>
      </c>
      <c r="B36" s="64" t="s">
        <v>793</v>
      </c>
    </row>
    <row r="37" spans="1:2" ht="30" x14ac:dyDescent="0.25">
      <c r="A37" s="64" t="s">
        <v>349</v>
      </c>
      <c r="B37" s="64">
        <v>0</v>
      </c>
    </row>
    <row r="38" spans="1:2" ht="30" x14ac:dyDescent="0.25">
      <c r="A38" s="122" t="s">
        <v>755</v>
      </c>
      <c r="B38" s="123" t="s">
        <v>756</v>
      </c>
    </row>
    <row r="39" spans="1:2" ht="30" x14ac:dyDescent="0.25">
      <c r="A39" s="122" t="s">
        <v>754</v>
      </c>
      <c r="B39" s="123" t="s">
        <v>757</v>
      </c>
    </row>
    <row r="40" spans="1:2" ht="30" x14ac:dyDescent="0.25">
      <c r="A40" s="122" t="s">
        <v>753</v>
      </c>
      <c r="B40" s="123" t="s">
        <v>758</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591B1-1B50-4B45-8BB5-D17F662ED96B}">
  <dimension ref="A1:E101"/>
  <sheetViews>
    <sheetView zoomScale="145" zoomScaleNormal="145" workbookViewId="0">
      <selection activeCell="G97" sqref="G97"/>
    </sheetView>
  </sheetViews>
  <sheetFormatPr defaultRowHeight="15" x14ac:dyDescent="0.25"/>
  <cols>
    <col min="1" max="1" width="43.7109375" bestFit="1" customWidth="1"/>
    <col min="2" max="2" width="13.7109375" bestFit="1" customWidth="1"/>
    <col min="3" max="3" width="26.42578125" bestFit="1" customWidth="1"/>
    <col min="4" max="4" width="13.140625" bestFit="1" customWidth="1"/>
    <col min="5" max="5" width="12" bestFit="1" customWidth="1"/>
    <col min="6" max="6" width="7.42578125" bestFit="1" customWidth="1"/>
    <col min="7" max="7" width="12" bestFit="1" customWidth="1"/>
  </cols>
  <sheetData>
    <row r="1" spans="1:5" x14ac:dyDescent="0.25">
      <c r="A1" s="2" t="s">
        <v>83</v>
      </c>
      <c r="B1" s="2" t="s">
        <v>71</v>
      </c>
      <c r="C1" s="2" t="s">
        <v>683</v>
      </c>
      <c r="D1" s="2" t="s">
        <v>161</v>
      </c>
      <c r="E1" s="2" t="s">
        <v>162</v>
      </c>
    </row>
    <row r="2" spans="1:5" x14ac:dyDescent="0.25">
      <c r="A2" t="s">
        <v>735</v>
      </c>
      <c r="B2" t="s">
        <v>734</v>
      </c>
      <c r="C2" s="59">
        <v>0.5</v>
      </c>
      <c r="D2" s="59">
        <v>0.4</v>
      </c>
      <c r="E2" s="59">
        <v>0.6</v>
      </c>
    </row>
    <row r="3" spans="1:5" x14ac:dyDescent="0.25">
      <c r="A3" t="s">
        <v>737</v>
      </c>
      <c r="B3" t="s">
        <v>734</v>
      </c>
      <c r="C3" s="59">
        <v>0.69</v>
      </c>
      <c r="D3" s="59">
        <v>0.59</v>
      </c>
      <c r="E3" s="59">
        <v>0.79</v>
      </c>
    </row>
    <row r="4" spans="1:5" x14ac:dyDescent="0.25">
      <c r="A4" t="s">
        <v>732</v>
      </c>
      <c r="B4" t="s">
        <v>734</v>
      </c>
      <c r="C4" s="59">
        <v>5.0999999999999997E-2</v>
      </c>
      <c r="D4" s="59">
        <v>3.2000000000000001E-2</v>
      </c>
      <c r="E4" s="59">
        <v>7.3999999999999996E-2</v>
      </c>
    </row>
    <row r="5" spans="1:5" x14ac:dyDescent="0.25">
      <c r="A5" t="s">
        <v>733</v>
      </c>
      <c r="B5" t="s">
        <v>734</v>
      </c>
      <c r="C5" s="59">
        <v>5.0999999999999997E-2</v>
      </c>
      <c r="D5" s="59">
        <v>3.2000000000000001E-2</v>
      </c>
      <c r="E5" s="59">
        <v>7.3999999999999996E-2</v>
      </c>
    </row>
    <row r="6" spans="1:5" x14ac:dyDescent="0.25">
      <c r="A6" t="s">
        <v>736</v>
      </c>
      <c r="B6" t="s">
        <v>734</v>
      </c>
      <c r="C6">
        <v>0.12</v>
      </c>
      <c r="D6">
        <v>8.9999999999999969E-2</v>
      </c>
      <c r="E6">
        <v>0.15000000000000002</v>
      </c>
    </row>
    <row r="7" spans="1:5" x14ac:dyDescent="0.25">
      <c r="A7" t="s">
        <v>381</v>
      </c>
      <c r="B7" t="s">
        <v>78</v>
      </c>
      <c r="C7">
        <v>5.2999999999999999E-2</v>
      </c>
      <c r="D7">
        <v>0</v>
      </c>
      <c r="E7">
        <v>6.359999999999999E-2</v>
      </c>
    </row>
    <row r="8" spans="1:5" x14ac:dyDescent="0.25">
      <c r="A8" t="s">
        <v>383</v>
      </c>
      <c r="B8" t="s">
        <v>78</v>
      </c>
      <c r="C8">
        <v>5.2999999999999999E-2</v>
      </c>
      <c r="D8">
        <v>0</v>
      </c>
      <c r="E8">
        <v>6.359999999999999E-2</v>
      </c>
    </row>
    <row r="9" spans="1:5" x14ac:dyDescent="0.25">
      <c r="A9" t="s">
        <v>387</v>
      </c>
      <c r="B9" t="s">
        <v>78</v>
      </c>
      <c r="C9">
        <v>0.127</v>
      </c>
      <c r="D9">
        <v>0.10160000000000001</v>
      </c>
      <c r="E9">
        <v>0.15240000000000001</v>
      </c>
    </row>
    <row r="10" spans="1:5" x14ac:dyDescent="0.25">
      <c r="A10" t="s">
        <v>391</v>
      </c>
      <c r="B10" t="s">
        <v>78</v>
      </c>
      <c r="C10">
        <v>0.127</v>
      </c>
      <c r="D10">
        <v>0.10160000000000001</v>
      </c>
      <c r="E10">
        <v>0.15240000000000001</v>
      </c>
    </row>
    <row r="11" spans="1:5" x14ac:dyDescent="0.25">
      <c r="A11" t="s">
        <v>327</v>
      </c>
      <c r="B11" t="s">
        <v>78</v>
      </c>
      <c r="C11">
        <v>0.51900000000000002</v>
      </c>
      <c r="D11">
        <v>0.41520000000000001</v>
      </c>
      <c r="E11">
        <v>0.62280000000000002</v>
      </c>
    </row>
    <row r="12" spans="1:5" x14ac:dyDescent="0.25">
      <c r="A12" t="s">
        <v>378</v>
      </c>
      <c r="B12" t="s">
        <v>78</v>
      </c>
      <c r="C12">
        <v>5.2999999999999999E-2</v>
      </c>
      <c r="D12">
        <v>4.24E-2</v>
      </c>
      <c r="E12">
        <v>6.359999999999999E-2</v>
      </c>
    </row>
    <row r="13" spans="1:5" x14ac:dyDescent="0.25">
      <c r="A13" t="s">
        <v>392</v>
      </c>
      <c r="B13" t="s">
        <v>78</v>
      </c>
      <c r="C13">
        <v>5.2999999999999999E-2</v>
      </c>
      <c r="D13">
        <v>4.24E-2</v>
      </c>
      <c r="E13">
        <v>6.359999999999999E-2</v>
      </c>
    </row>
    <row r="14" spans="1:5" x14ac:dyDescent="0.25">
      <c r="A14" t="s">
        <v>388</v>
      </c>
      <c r="B14" t="s">
        <v>78</v>
      </c>
      <c r="C14">
        <v>5.2999999999999999E-2</v>
      </c>
      <c r="D14">
        <v>4.24E-2</v>
      </c>
      <c r="E14">
        <v>6.359999999999999E-2</v>
      </c>
    </row>
    <row r="15" spans="1:5" x14ac:dyDescent="0.25">
      <c r="A15" t="s">
        <v>393</v>
      </c>
      <c r="B15" t="s">
        <v>78</v>
      </c>
      <c r="C15">
        <v>0.127</v>
      </c>
      <c r="D15">
        <v>0.10160000000000001</v>
      </c>
      <c r="E15">
        <v>0.15240000000000001</v>
      </c>
    </row>
    <row r="16" spans="1:5" x14ac:dyDescent="0.25">
      <c r="A16" t="s">
        <v>371</v>
      </c>
      <c r="B16" t="s">
        <v>78</v>
      </c>
      <c r="C16">
        <v>0</v>
      </c>
      <c r="D16">
        <v>0</v>
      </c>
      <c r="E16">
        <v>0</v>
      </c>
    </row>
    <row r="17" spans="1:5" x14ac:dyDescent="0.25">
      <c r="A17" t="s">
        <v>389</v>
      </c>
      <c r="B17" t="s">
        <v>78</v>
      </c>
      <c r="C17">
        <v>0</v>
      </c>
      <c r="D17">
        <v>0</v>
      </c>
      <c r="E17">
        <v>0</v>
      </c>
    </row>
    <row r="18" spans="1:5" x14ac:dyDescent="0.25">
      <c r="A18" t="s">
        <v>328</v>
      </c>
      <c r="B18" t="s">
        <v>78</v>
      </c>
      <c r="C18">
        <v>0</v>
      </c>
      <c r="D18">
        <v>0</v>
      </c>
      <c r="E18">
        <v>0</v>
      </c>
    </row>
    <row r="19" spans="1:5" x14ac:dyDescent="0.25">
      <c r="A19" t="s">
        <v>372</v>
      </c>
      <c r="B19" t="s">
        <v>78</v>
      </c>
      <c r="C19">
        <v>5.2999999999999999E-2</v>
      </c>
      <c r="D19">
        <v>0</v>
      </c>
      <c r="E19">
        <v>6.359999999999999E-2</v>
      </c>
    </row>
    <row r="20" spans="1:5" x14ac:dyDescent="0.25">
      <c r="A20" t="s">
        <v>386</v>
      </c>
      <c r="B20" t="s">
        <v>78</v>
      </c>
      <c r="C20">
        <v>5.2999999999999999E-2</v>
      </c>
      <c r="D20">
        <v>0</v>
      </c>
      <c r="E20">
        <v>6.359999999999999E-2</v>
      </c>
    </row>
    <row r="21" spans="1:5" x14ac:dyDescent="0.25">
      <c r="A21" t="s">
        <v>380</v>
      </c>
      <c r="B21" t="s">
        <v>78</v>
      </c>
      <c r="C21">
        <v>5.2999999999999999E-2</v>
      </c>
      <c r="D21">
        <v>0</v>
      </c>
      <c r="E21">
        <v>6.359999999999999E-2</v>
      </c>
    </row>
    <row r="22" spans="1:5" x14ac:dyDescent="0.25">
      <c r="A22" t="s">
        <v>382</v>
      </c>
      <c r="B22" t="s">
        <v>78</v>
      </c>
      <c r="C22">
        <v>5.2999999999999999E-2</v>
      </c>
      <c r="D22">
        <v>0</v>
      </c>
      <c r="E22">
        <v>6.359999999999999E-2</v>
      </c>
    </row>
    <row r="23" spans="1:5" x14ac:dyDescent="0.25">
      <c r="A23" t="s">
        <v>376</v>
      </c>
      <c r="B23" t="s">
        <v>78</v>
      </c>
      <c r="C23">
        <v>5.2999999999999999E-2</v>
      </c>
      <c r="D23">
        <v>0</v>
      </c>
      <c r="E23">
        <v>6.359999999999999E-2</v>
      </c>
    </row>
    <row r="24" spans="1:5" x14ac:dyDescent="0.25">
      <c r="A24" t="s">
        <v>371</v>
      </c>
      <c r="B24" t="s">
        <v>77</v>
      </c>
      <c r="C24" s="59">
        <v>0</v>
      </c>
      <c r="D24" s="59">
        <v>0</v>
      </c>
      <c r="E24" s="59">
        <v>0</v>
      </c>
    </row>
    <row r="25" spans="1:5" x14ac:dyDescent="0.25">
      <c r="A25" t="s">
        <v>328</v>
      </c>
      <c r="B25" t="s">
        <v>77</v>
      </c>
      <c r="C25" s="59">
        <v>0</v>
      </c>
      <c r="D25" s="59">
        <v>0</v>
      </c>
      <c r="E25" s="59">
        <v>0</v>
      </c>
    </row>
    <row r="26" spans="1:5" x14ac:dyDescent="0.25">
      <c r="A26" t="s">
        <v>394</v>
      </c>
      <c r="B26" t="s">
        <v>77</v>
      </c>
      <c r="C26" s="59">
        <v>4.0000000000000036E-2</v>
      </c>
      <c r="D26" s="59">
        <v>0</v>
      </c>
      <c r="E26" s="59">
        <v>0.08</v>
      </c>
    </row>
    <row r="27" spans="1:5" x14ac:dyDescent="0.25">
      <c r="A27" t="s">
        <v>395</v>
      </c>
      <c r="B27" t="s">
        <v>77</v>
      </c>
      <c r="C27" s="59">
        <v>0.20999999999999996</v>
      </c>
      <c r="D27" s="59">
        <v>0.18000000000000005</v>
      </c>
      <c r="E27" s="59">
        <v>0.26</v>
      </c>
    </row>
    <row r="28" spans="1:5" x14ac:dyDescent="0.25">
      <c r="A28" t="s">
        <v>398</v>
      </c>
      <c r="B28" t="s">
        <v>77</v>
      </c>
      <c r="C28" s="59">
        <v>0.25</v>
      </c>
      <c r="D28" s="59">
        <v>8.9999999999999969E-2</v>
      </c>
      <c r="E28" s="59">
        <v>0.41000000000000003</v>
      </c>
    </row>
    <row r="29" spans="1:5" x14ac:dyDescent="0.25">
      <c r="A29" t="s">
        <v>396</v>
      </c>
      <c r="B29" t="s">
        <v>77</v>
      </c>
      <c r="C29" s="59">
        <v>0.20999999999999996</v>
      </c>
      <c r="D29" s="59">
        <v>0.18000000000000005</v>
      </c>
      <c r="E29" s="59">
        <v>0.26</v>
      </c>
    </row>
    <row r="30" spans="1:5" x14ac:dyDescent="0.25">
      <c r="A30" t="s">
        <v>387</v>
      </c>
      <c r="B30" t="s">
        <v>77</v>
      </c>
      <c r="C30" s="59">
        <v>0.252</v>
      </c>
      <c r="D30" s="59">
        <v>0.22999999999999998</v>
      </c>
      <c r="E30" s="59">
        <v>0.26</v>
      </c>
    </row>
    <row r="31" spans="1:5" x14ac:dyDescent="0.25">
      <c r="A31" t="s">
        <v>388</v>
      </c>
      <c r="B31" t="s">
        <v>77</v>
      </c>
      <c r="C31" s="59">
        <v>0.29900000000000004</v>
      </c>
      <c r="D31" s="59">
        <v>0.15000000000000002</v>
      </c>
      <c r="E31" s="59">
        <v>0.44999999999999996</v>
      </c>
    </row>
    <row r="32" spans="1:5" x14ac:dyDescent="0.25">
      <c r="A32" t="s">
        <v>400</v>
      </c>
      <c r="B32" t="s">
        <v>77</v>
      </c>
      <c r="C32" s="59">
        <v>0.252</v>
      </c>
      <c r="D32" s="59">
        <v>0.22999999999999998</v>
      </c>
      <c r="E32" s="59">
        <v>0.26</v>
      </c>
    </row>
    <row r="33" spans="1:5" x14ac:dyDescent="0.25">
      <c r="A33" t="s">
        <v>391</v>
      </c>
      <c r="B33" t="s">
        <v>77</v>
      </c>
      <c r="C33" s="59">
        <v>0.32799999999999996</v>
      </c>
      <c r="D33" s="59">
        <v>0.4</v>
      </c>
      <c r="E33" s="59">
        <v>0.31000000000000005</v>
      </c>
    </row>
    <row r="34" spans="1:5" x14ac:dyDescent="0.25">
      <c r="A34" t="s">
        <v>393</v>
      </c>
      <c r="B34" t="s">
        <v>77</v>
      </c>
      <c r="C34" s="59">
        <v>0.38917460317460317</v>
      </c>
      <c r="D34" s="59">
        <v>0.47460317460317469</v>
      </c>
      <c r="E34" s="59">
        <v>0.36781746031746043</v>
      </c>
    </row>
    <row r="35" spans="1:5" x14ac:dyDescent="0.25">
      <c r="A35" t="s">
        <v>399</v>
      </c>
      <c r="B35" t="s">
        <v>77</v>
      </c>
      <c r="C35" s="59">
        <v>0.32799999999999996</v>
      </c>
      <c r="D35" s="59">
        <v>0.4</v>
      </c>
      <c r="E35" s="59">
        <v>0.31000000000000005</v>
      </c>
    </row>
    <row r="36" spans="1:5" x14ac:dyDescent="0.25">
      <c r="A36" t="s">
        <v>327</v>
      </c>
      <c r="B36" t="s">
        <v>77</v>
      </c>
      <c r="C36" s="59">
        <v>0.39</v>
      </c>
      <c r="D36" s="59">
        <v>0.32999999999999996</v>
      </c>
      <c r="E36" s="59">
        <v>0.8</v>
      </c>
    </row>
    <row r="37" spans="1:5" x14ac:dyDescent="0.25">
      <c r="A37" t="s">
        <v>738</v>
      </c>
      <c r="B37" t="s">
        <v>28</v>
      </c>
      <c r="C37" s="59">
        <v>0.13700000000000001</v>
      </c>
      <c r="D37" s="59">
        <v>9.1999999999999998E-2</v>
      </c>
      <c r="E37" s="59">
        <v>0.1885</v>
      </c>
    </row>
    <row r="38" spans="1:5" x14ac:dyDescent="0.25">
      <c r="A38" t="s">
        <v>49</v>
      </c>
      <c r="B38" t="s">
        <v>28</v>
      </c>
      <c r="C38">
        <v>0.127</v>
      </c>
      <c r="D38">
        <v>8.4999999999999992E-2</v>
      </c>
      <c r="E38">
        <v>0.17749999999999999</v>
      </c>
    </row>
    <row r="39" spans="1:5" x14ac:dyDescent="0.25">
      <c r="A39" t="s">
        <v>50</v>
      </c>
      <c r="B39" t="s">
        <v>28</v>
      </c>
      <c r="C39">
        <v>7.8E-2</v>
      </c>
      <c r="D39">
        <v>5.1999999999999998E-2</v>
      </c>
      <c r="E39">
        <v>0.111</v>
      </c>
    </row>
    <row r="40" spans="1:5" x14ac:dyDescent="0.25">
      <c r="A40" t="s">
        <v>51</v>
      </c>
      <c r="B40" t="s">
        <v>28</v>
      </c>
      <c r="C40">
        <v>7.8E-2</v>
      </c>
      <c r="D40">
        <v>5.1999999999999998E-2</v>
      </c>
      <c r="E40">
        <v>0.111</v>
      </c>
    </row>
    <row r="41" spans="1:5" x14ac:dyDescent="0.25">
      <c r="A41" t="s">
        <v>52</v>
      </c>
      <c r="B41" t="s">
        <v>28</v>
      </c>
      <c r="C41">
        <v>7.8E-2</v>
      </c>
      <c r="D41">
        <v>5.1999999999999998E-2</v>
      </c>
      <c r="E41">
        <v>0.111</v>
      </c>
    </row>
    <row r="42" spans="1:5" x14ac:dyDescent="0.25">
      <c r="A42" t="s">
        <v>500</v>
      </c>
      <c r="B42" t="s">
        <v>28</v>
      </c>
      <c r="C42">
        <v>0.32999999999999996</v>
      </c>
      <c r="D42">
        <v>0.22900000000000001</v>
      </c>
      <c r="E42">
        <v>0.42699999999999999</v>
      </c>
    </row>
    <row r="43" spans="1:5" x14ac:dyDescent="0.25">
      <c r="A43" t="s">
        <v>501</v>
      </c>
      <c r="B43" t="s">
        <v>28</v>
      </c>
      <c r="C43">
        <v>0.20399999999999999</v>
      </c>
      <c r="D43">
        <v>0.14050000000000001</v>
      </c>
      <c r="E43">
        <v>0.26900000000000002</v>
      </c>
    </row>
    <row r="44" spans="1:5" x14ac:dyDescent="0.25">
      <c r="A44" t="s">
        <v>753</v>
      </c>
      <c r="B44" t="s">
        <v>28</v>
      </c>
      <c r="C44">
        <v>0.20399999999999999</v>
      </c>
      <c r="D44">
        <v>0.14050000000000001</v>
      </c>
      <c r="E44">
        <v>0.26900000000000002</v>
      </c>
    </row>
    <row r="53" spans="1:4" x14ac:dyDescent="0.25">
      <c r="A53" s="115" t="s">
        <v>728</v>
      </c>
      <c r="B53" t="s">
        <v>731</v>
      </c>
      <c r="C53" t="s">
        <v>727</v>
      </c>
      <c r="D53" t="s">
        <v>730</v>
      </c>
    </row>
    <row r="54" spans="1:4" x14ac:dyDescent="0.25">
      <c r="A54" s="116" t="s">
        <v>78</v>
      </c>
      <c r="B54" s="118">
        <v>0.1009411764705883</v>
      </c>
      <c r="C54" s="118">
        <v>8.4117647058823505E-2</v>
      </c>
      <c r="D54" s="118">
        <v>4.9835294117647061E-2</v>
      </c>
    </row>
    <row r="55" spans="1:4" x14ac:dyDescent="0.25">
      <c r="A55" s="117" t="s">
        <v>371</v>
      </c>
      <c r="B55" s="118">
        <v>0</v>
      </c>
      <c r="C55" s="118">
        <v>0</v>
      </c>
      <c r="D55" s="118">
        <v>0</v>
      </c>
    </row>
    <row r="56" spans="1:4" x14ac:dyDescent="0.25">
      <c r="A56" s="117" t="s">
        <v>328</v>
      </c>
      <c r="B56" s="118">
        <v>0</v>
      </c>
      <c r="C56" s="118">
        <v>0</v>
      </c>
      <c r="D56" s="118">
        <v>0</v>
      </c>
    </row>
    <row r="57" spans="1:4" x14ac:dyDescent="0.25">
      <c r="A57" s="117" t="s">
        <v>387</v>
      </c>
      <c r="B57" s="118">
        <v>0.15240000000000001</v>
      </c>
      <c r="C57" s="118">
        <v>0.127</v>
      </c>
      <c r="D57" s="118">
        <v>0.10160000000000001</v>
      </c>
    </row>
    <row r="58" spans="1:4" x14ac:dyDescent="0.25">
      <c r="A58" s="117" t="s">
        <v>388</v>
      </c>
      <c r="B58" s="118">
        <v>6.359999999999999E-2</v>
      </c>
      <c r="C58" s="118">
        <v>5.2999999999999999E-2</v>
      </c>
      <c r="D58" s="118">
        <v>4.24E-2</v>
      </c>
    </row>
    <row r="59" spans="1:4" x14ac:dyDescent="0.25">
      <c r="A59" s="117" t="s">
        <v>391</v>
      </c>
      <c r="B59" s="118">
        <v>0.15240000000000001</v>
      </c>
      <c r="C59" s="118">
        <v>0.127</v>
      </c>
      <c r="D59" s="118">
        <v>0.10160000000000001</v>
      </c>
    </row>
    <row r="60" spans="1:4" x14ac:dyDescent="0.25">
      <c r="A60" s="117" t="s">
        <v>393</v>
      </c>
      <c r="B60" s="118">
        <v>0.15240000000000001</v>
      </c>
      <c r="C60" s="118">
        <v>0.127</v>
      </c>
      <c r="D60" s="118">
        <v>0.10160000000000001</v>
      </c>
    </row>
    <row r="61" spans="1:4" x14ac:dyDescent="0.25">
      <c r="A61" s="117" t="s">
        <v>327</v>
      </c>
      <c r="B61" s="118">
        <v>0.62280000000000002</v>
      </c>
      <c r="C61" s="118">
        <v>0.51900000000000002</v>
      </c>
      <c r="D61" s="118">
        <v>0.41520000000000001</v>
      </c>
    </row>
    <row r="62" spans="1:4" x14ac:dyDescent="0.25">
      <c r="A62" s="117" t="s">
        <v>381</v>
      </c>
      <c r="B62" s="118">
        <v>6.359999999999999E-2</v>
      </c>
      <c r="C62" s="118">
        <v>5.2999999999999999E-2</v>
      </c>
      <c r="D62" s="118">
        <v>0</v>
      </c>
    </row>
    <row r="63" spans="1:4" x14ac:dyDescent="0.25">
      <c r="A63" s="117" t="s">
        <v>383</v>
      </c>
      <c r="B63" s="118">
        <v>6.359999999999999E-2</v>
      </c>
      <c r="C63" s="118">
        <v>5.2999999999999999E-2</v>
      </c>
      <c r="D63" s="118">
        <v>0</v>
      </c>
    </row>
    <row r="64" spans="1:4" x14ac:dyDescent="0.25">
      <c r="A64" s="117" t="s">
        <v>378</v>
      </c>
      <c r="B64" s="118">
        <v>6.359999999999999E-2</v>
      </c>
      <c r="C64" s="118">
        <v>5.2999999999999999E-2</v>
      </c>
      <c r="D64" s="118">
        <v>4.24E-2</v>
      </c>
    </row>
    <row r="65" spans="1:4" x14ac:dyDescent="0.25">
      <c r="A65" s="117" t="s">
        <v>392</v>
      </c>
      <c r="B65" s="118">
        <v>6.359999999999999E-2</v>
      </c>
      <c r="C65" s="118">
        <v>5.2999999999999999E-2</v>
      </c>
      <c r="D65" s="118">
        <v>4.24E-2</v>
      </c>
    </row>
    <row r="66" spans="1:4" x14ac:dyDescent="0.25">
      <c r="A66" s="117" t="s">
        <v>389</v>
      </c>
      <c r="B66" s="118">
        <v>0</v>
      </c>
      <c r="C66" s="118">
        <v>0</v>
      </c>
      <c r="D66" s="118">
        <v>0</v>
      </c>
    </row>
    <row r="67" spans="1:4" x14ac:dyDescent="0.25">
      <c r="A67" s="117" t="s">
        <v>372</v>
      </c>
      <c r="B67" s="118">
        <v>6.359999999999999E-2</v>
      </c>
      <c r="C67" s="118">
        <v>5.2999999999999999E-2</v>
      </c>
      <c r="D67" s="118">
        <v>0</v>
      </c>
    </row>
    <row r="68" spans="1:4" x14ac:dyDescent="0.25">
      <c r="A68" s="117" t="s">
        <v>386</v>
      </c>
      <c r="B68" s="118">
        <v>6.359999999999999E-2</v>
      </c>
      <c r="C68" s="118">
        <v>5.2999999999999999E-2</v>
      </c>
      <c r="D68" s="118">
        <v>0</v>
      </c>
    </row>
    <row r="69" spans="1:4" x14ac:dyDescent="0.25">
      <c r="A69" s="117" t="s">
        <v>380</v>
      </c>
      <c r="B69" s="118">
        <v>6.359999999999999E-2</v>
      </c>
      <c r="C69" s="118">
        <v>5.2999999999999999E-2</v>
      </c>
      <c r="D69" s="118">
        <v>0</v>
      </c>
    </row>
    <row r="70" spans="1:4" x14ac:dyDescent="0.25">
      <c r="A70" s="117" t="s">
        <v>382</v>
      </c>
      <c r="B70" s="118">
        <v>6.359999999999999E-2</v>
      </c>
      <c r="C70" s="118">
        <v>5.2999999999999999E-2</v>
      </c>
      <c r="D70" s="118">
        <v>0</v>
      </c>
    </row>
    <row r="71" spans="1:4" x14ac:dyDescent="0.25">
      <c r="A71" s="117" t="s">
        <v>376</v>
      </c>
      <c r="B71" s="118">
        <v>6.359999999999999E-2</v>
      </c>
      <c r="C71" s="118">
        <v>5.2999999999999999E-2</v>
      </c>
      <c r="D71" s="118">
        <v>0</v>
      </c>
    </row>
    <row r="72" spans="1:4" x14ac:dyDescent="0.25">
      <c r="A72" s="116" t="s">
        <v>77</v>
      </c>
      <c r="B72" s="118">
        <v>0.28983211233211237</v>
      </c>
      <c r="C72" s="118">
        <v>0.22678266178266179</v>
      </c>
      <c r="D72" s="118">
        <v>0.20496947496947499</v>
      </c>
    </row>
    <row r="73" spans="1:4" x14ac:dyDescent="0.25">
      <c r="A73" s="117" t="s">
        <v>371</v>
      </c>
      <c r="B73" s="118">
        <v>0</v>
      </c>
      <c r="C73" s="118">
        <v>0</v>
      </c>
      <c r="D73" s="118">
        <v>0</v>
      </c>
    </row>
    <row r="74" spans="1:4" x14ac:dyDescent="0.25">
      <c r="A74" s="117" t="s">
        <v>328</v>
      </c>
      <c r="B74" s="118">
        <v>0</v>
      </c>
      <c r="C74" s="118">
        <v>0</v>
      </c>
      <c r="D74" s="118">
        <v>0</v>
      </c>
    </row>
    <row r="75" spans="1:4" x14ac:dyDescent="0.25">
      <c r="A75" s="117" t="s">
        <v>394</v>
      </c>
      <c r="B75" s="118">
        <v>0.08</v>
      </c>
      <c r="C75" s="118">
        <v>4.0000000000000036E-2</v>
      </c>
      <c r="D75" s="118">
        <v>0</v>
      </c>
    </row>
    <row r="76" spans="1:4" x14ac:dyDescent="0.25">
      <c r="A76" s="117" t="s">
        <v>395</v>
      </c>
      <c r="B76" s="118">
        <v>0.26</v>
      </c>
      <c r="C76" s="118">
        <v>0.20999999999999996</v>
      </c>
      <c r="D76" s="118">
        <v>0.18000000000000005</v>
      </c>
    </row>
    <row r="77" spans="1:4" x14ac:dyDescent="0.25">
      <c r="A77" s="117" t="s">
        <v>398</v>
      </c>
      <c r="B77" s="118">
        <v>0.41000000000000003</v>
      </c>
      <c r="C77" s="118">
        <v>0.25</v>
      </c>
      <c r="D77" s="118">
        <v>8.9999999999999969E-2</v>
      </c>
    </row>
    <row r="78" spans="1:4" x14ac:dyDescent="0.25">
      <c r="A78" s="117" t="s">
        <v>396</v>
      </c>
      <c r="B78" s="118">
        <v>0.26</v>
      </c>
      <c r="C78" s="118">
        <v>0.20999999999999996</v>
      </c>
      <c r="D78" s="118">
        <v>0.18000000000000005</v>
      </c>
    </row>
    <row r="79" spans="1:4" x14ac:dyDescent="0.25">
      <c r="A79" s="117" t="s">
        <v>387</v>
      </c>
      <c r="B79" s="118">
        <v>0.26</v>
      </c>
      <c r="C79" s="118">
        <v>0.252</v>
      </c>
      <c r="D79" s="118">
        <v>0.22999999999999998</v>
      </c>
    </row>
    <row r="80" spans="1:4" x14ac:dyDescent="0.25">
      <c r="A80" s="117" t="s">
        <v>388</v>
      </c>
      <c r="B80" s="118">
        <v>0.44999999999999996</v>
      </c>
      <c r="C80" s="118">
        <v>0.29900000000000004</v>
      </c>
      <c r="D80" s="118">
        <v>0.15000000000000002</v>
      </c>
    </row>
    <row r="81" spans="1:4" x14ac:dyDescent="0.25">
      <c r="A81" s="117" t="s">
        <v>400</v>
      </c>
      <c r="B81" s="118">
        <v>0.26</v>
      </c>
      <c r="C81" s="118">
        <v>0.252</v>
      </c>
      <c r="D81" s="118">
        <v>0.22999999999999998</v>
      </c>
    </row>
    <row r="82" spans="1:4" x14ac:dyDescent="0.25">
      <c r="A82" s="117" t="s">
        <v>391</v>
      </c>
      <c r="B82" s="118">
        <v>0.31000000000000005</v>
      </c>
      <c r="C82" s="118">
        <v>0.32799999999999996</v>
      </c>
      <c r="D82" s="118">
        <v>0.4</v>
      </c>
    </row>
    <row r="83" spans="1:4" x14ac:dyDescent="0.25">
      <c r="A83" s="117" t="s">
        <v>393</v>
      </c>
      <c r="B83" s="118">
        <v>0.36781746031746043</v>
      </c>
      <c r="C83" s="118">
        <v>0.38917460317460317</v>
      </c>
      <c r="D83" s="118">
        <v>0.47460317460317469</v>
      </c>
    </row>
    <row r="84" spans="1:4" x14ac:dyDescent="0.25">
      <c r="A84" s="117" t="s">
        <v>399</v>
      </c>
      <c r="B84" s="118">
        <v>0.31000000000000005</v>
      </c>
      <c r="C84" s="118">
        <v>0.32799999999999996</v>
      </c>
      <c r="D84" s="118">
        <v>0.4</v>
      </c>
    </row>
    <row r="85" spans="1:4" x14ac:dyDescent="0.25">
      <c r="A85" s="117" t="s">
        <v>327</v>
      </c>
      <c r="B85" s="118">
        <v>0.8</v>
      </c>
      <c r="C85" s="118">
        <v>0.39</v>
      </c>
      <c r="D85" s="118">
        <v>0.32999999999999996</v>
      </c>
    </row>
    <row r="86" spans="1:4" x14ac:dyDescent="0.25">
      <c r="A86" s="116" t="s">
        <v>28</v>
      </c>
      <c r="B86" s="118">
        <v>0.20800000000000002</v>
      </c>
      <c r="C86" s="118">
        <v>0.1545</v>
      </c>
      <c r="D86" s="118">
        <v>0.105375</v>
      </c>
    </row>
    <row r="87" spans="1:4" x14ac:dyDescent="0.25">
      <c r="A87" s="117" t="s">
        <v>738</v>
      </c>
      <c r="B87" s="118">
        <v>0.1885</v>
      </c>
      <c r="C87" s="118">
        <v>0.13700000000000001</v>
      </c>
      <c r="D87" s="118">
        <v>9.1999999999999998E-2</v>
      </c>
    </row>
    <row r="88" spans="1:4" x14ac:dyDescent="0.25">
      <c r="A88" s="117" t="s">
        <v>49</v>
      </c>
      <c r="B88" s="118">
        <v>0.17749999999999999</v>
      </c>
      <c r="C88" s="118">
        <v>0.127</v>
      </c>
      <c r="D88" s="118">
        <v>8.4999999999999992E-2</v>
      </c>
    </row>
    <row r="89" spans="1:4" x14ac:dyDescent="0.25">
      <c r="A89" s="117" t="s">
        <v>50</v>
      </c>
      <c r="B89" s="118">
        <v>0.111</v>
      </c>
      <c r="C89" s="118">
        <v>7.8E-2</v>
      </c>
      <c r="D89" s="118">
        <v>5.1999999999999998E-2</v>
      </c>
    </row>
    <row r="90" spans="1:4" x14ac:dyDescent="0.25">
      <c r="A90" s="117" t="s">
        <v>51</v>
      </c>
      <c r="B90" s="118">
        <v>0.111</v>
      </c>
      <c r="C90" s="118">
        <v>7.8E-2</v>
      </c>
      <c r="D90" s="118">
        <v>5.1999999999999998E-2</v>
      </c>
    </row>
    <row r="91" spans="1:4" x14ac:dyDescent="0.25">
      <c r="A91" s="117" t="s">
        <v>52</v>
      </c>
      <c r="B91" s="118">
        <v>0.111</v>
      </c>
      <c r="C91" s="118">
        <v>7.8E-2</v>
      </c>
      <c r="D91" s="118">
        <v>5.1999999999999998E-2</v>
      </c>
    </row>
    <row r="92" spans="1:4" x14ac:dyDescent="0.25">
      <c r="A92" s="117" t="s">
        <v>500</v>
      </c>
      <c r="B92" s="118">
        <v>0.42699999999999999</v>
      </c>
      <c r="C92" s="118">
        <v>0.32999999999999996</v>
      </c>
      <c r="D92" s="118">
        <v>0.22900000000000001</v>
      </c>
    </row>
    <row r="93" spans="1:4" x14ac:dyDescent="0.25">
      <c r="A93" s="117" t="s">
        <v>501</v>
      </c>
      <c r="B93" s="118">
        <v>0.26900000000000002</v>
      </c>
      <c r="C93" s="118">
        <v>0.20399999999999999</v>
      </c>
      <c r="D93" s="118">
        <v>0.14050000000000001</v>
      </c>
    </row>
    <row r="94" spans="1:4" x14ac:dyDescent="0.25">
      <c r="A94" s="117" t="s">
        <v>753</v>
      </c>
      <c r="B94" s="118">
        <v>0.26900000000000002</v>
      </c>
      <c r="C94" s="118">
        <v>0.20399999999999999</v>
      </c>
      <c r="D94" s="118">
        <v>0.14050000000000001</v>
      </c>
    </row>
    <row r="95" spans="1:4" x14ac:dyDescent="0.25">
      <c r="A95" s="116" t="s">
        <v>734</v>
      </c>
      <c r="B95" s="118">
        <v>0.33760000000000001</v>
      </c>
      <c r="C95" s="118">
        <v>0.28239999999999998</v>
      </c>
      <c r="D95" s="118">
        <v>0.22880000000000003</v>
      </c>
    </row>
    <row r="96" spans="1:4" x14ac:dyDescent="0.25">
      <c r="A96" s="117" t="s">
        <v>732</v>
      </c>
      <c r="B96" s="118">
        <v>7.3999999999999996E-2</v>
      </c>
      <c r="C96" s="118">
        <v>5.0999999999999997E-2</v>
      </c>
      <c r="D96" s="118">
        <v>3.2000000000000001E-2</v>
      </c>
    </row>
    <row r="97" spans="1:4" x14ac:dyDescent="0.25">
      <c r="A97" s="117" t="s">
        <v>733</v>
      </c>
      <c r="B97" s="118">
        <v>7.3999999999999996E-2</v>
      </c>
      <c r="C97" s="118">
        <v>5.0999999999999997E-2</v>
      </c>
      <c r="D97" s="118">
        <v>3.2000000000000001E-2</v>
      </c>
    </row>
    <row r="98" spans="1:4" x14ac:dyDescent="0.25">
      <c r="A98" s="117" t="s">
        <v>735</v>
      </c>
      <c r="B98" s="118">
        <v>0.6</v>
      </c>
      <c r="C98" s="118">
        <v>0.5</v>
      </c>
      <c r="D98" s="118">
        <v>0.4</v>
      </c>
    </row>
    <row r="99" spans="1:4" x14ac:dyDescent="0.25">
      <c r="A99" s="117" t="s">
        <v>736</v>
      </c>
      <c r="B99" s="118">
        <v>0.15000000000000002</v>
      </c>
      <c r="C99" s="118">
        <v>0.12</v>
      </c>
      <c r="D99" s="118">
        <v>8.9999999999999969E-2</v>
      </c>
    </row>
    <row r="100" spans="1:4" x14ac:dyDescent="0.25">
      <c r="A100" s="117" t="s">
        <v>737</v>
      </c>
      <c r="B100" s="118">
        <v>0.79</v>
      </c>
      <c r="C100" s="118">
        <v>0.69</v>
      </c>
      <c r="D100" s="118">
        <v>0.59</v>
      </c>
    </row>
    <row r="101" spans="1:4" x14ac:dyDescent="0.25">
      <c r="A101" s="116" t="s">
        <v>729</v>
      </c>
      <c r="B101" s="118">
        <v>0.20548412698412691</v>
      </c>
      <c r="C101" s="118">
        <v>0.16339940937615355</v>
      </c>
      <c r="D101" s="118">
        <v>0.12787914359542268</v>
      </c>
    </row>
  </sheetData>
  <autoFilter ref="A1:E37" xr:uid="{EE7960A7-7668-48E3-83B1-E5F451FAF3D0}">
    <sortState xmlns:xlrd2="http://schemas.microsoft.com/office/spreadsheetml/2017/richdata2" ref="A2:E37">
      <sortCondition ref="B1:B37"/>
    </sortState>
  </autoFilter>
  <phoneticPr fontId="18"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8C1D5-3276-444F-A085-CCD692755813}">
  <dimension ref="A1:H7"/>
  <sheetViews>
    <sheetView workbookViewId="0">
      <selection activeCell="H4" sqref="H4"/>
    </sheetView>
  </sheetViews>
  <sheetFormatPr defaultRowHeight="15" x14ac:dyDescent="0.25"/>
  <cols>
    <col min="1" max="1" width="18" bestFit="1" customWidth="1"/>
    <col min="2" max="2" width="32.140625" bestFit="1" customWidth="1"/>
    <col min="3" max="3" width="29.85546875" bestFit="1" customWidth="1"/>
    <col min="7" max="7" width="12.42578125" bestFit="1" customWidth="1"/>
    <col min="8" max="8" width="6.140625" bestFit="1" customWidth="1"/>
  </cols>
  <sheetData>
    <row r="1" spans="1:8" x14ac:dyDescent="0.25">
      <c r="A1" t="s">
        <v>657</v>
      </c>
    </row>
    <row r="4" spans="1:8" x14ac:dyDescent="0.25">
      <c r="A4" t="s">
        <v>658</v>
      </c>
      <c r="B4" t="s">
        <v>662</v>
      </c>
      <c r="C4" t="s">
        <v>663</v>
      </c>
      <c r="D4" t="s">
        <v>664</v>
      </c>
      <c r="G4" t="s">
        <v>665</v>
      </c>
      <c r="H4" s="105">
        <f>(D5*C5+D6*C6)/(C5+C6)</f>
        <v>7.1079069767441855E-2</v>
      </c>
    </row>
    <row r="5" spans="1:8" x14ac:dyDescent="0.25">
      <c r="A5" t="s">
        <v>659</v>
      </c>
      <c r="B5" s="103">
        <v>8.8999999999999996E-2</v>
      </c>
      <c r="C5" s="103">
        <f>$B5/SUM($B$5:$B$7)</f>
        <v>8.8822355289421159E-2</v>
      </c>
      <c r="D5" s="103">
        <v>0.108</v>
      </c>
      <c r="G5" t="s">
        <v>666</v>
      </c>
      <c r="H5" s="105">
        <f>D7</f>
        <v>7.2999999999999995E-2</v>
      </c>
    </row>
    <row r="6" spans="1:8" x14ac:dyDescent="0.25">
      <c r="A6" s="102" t="s">
        <v>661</v>
      </c>
      <c r="B6" s="103">
        <v>0.126</v>
      </c>
      <c r="C6" s="103">
        <f>$B6/SUM($B$5:$B$7)</f>
        <v>0.12574850299401197</v>
      </c>
      <c r="D6" s="103">
        <v>4.4999999999999998E-2</v>
      </c>
      <c r="G6" t="s">
        <v>155</v>
      </c>
      <c r="H6" s="104">
        <f>SUMPRODUCT(D5:D7,C5:C7)/SUM(C5:C7)</f>
        <v>7.2587824351297403E-2</v>
      </c>
    </row>
    <row r="7" spans="1:8" x14ac:dyDescent="0.25">
      <c r="A7" t="s">
        <v>660</v>
      </c>
      <c r="B7" s="103">
        <v>0.78700000000000003</v>
      </c>
      <c r="C7" s="103">
        <f>$B7/SUM($B$5:$B$7)</f>
        <v>0.78542914171656686</v>
      </c>
      <c r="D7" s="103">
        <v>7.2999999999999995E-2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16</vt:i4>
      </vt:variant>
      <vt:variant>
        <vt:lpstr>Charts</vt:lpstr>
      </vt:variant>
      <vt:variant>
        <vt:i4>1</vt:i4>
      </vt:variant>
      <vt:variant>
        <vt:lpstr>Named Ranges</vt:lpstr>
      </vt:variant>
      <vt:variant>
        <vt:i4>2</vt:i4>
      </vt:variant>
    </vt:vector>
  </HeadingPairs>
  <TitlesOfParts>
    <vt:vector size="19" baseType="lpstr">
      <vt:lpstr>All_cause_mort</vt:lpstr>
      <vt:lpstr>Markov_probs</vt:lpstr>
      <vt:lpstr>chronic_state_lookup</vt:lpstr>
      <vt:lpstr>Microcost_params</vt:lpstr>
      <vt:lpstr>riskmod_params</vt:lpstr>
      <vt:lpstr>daly_params</vt:lpstr>
      <vt:lpstr>Microcost_eqns</vt:lpstr>
      <vt:lpstr>daly_viz_data</vt:lpstr>
      <vt:lpstr>IP mortality</vt:lpstr>
      <vt:lpstr>matrices</vt:lpstr>
      <vt:lpstr>HIVcosting</vt:lpstr>
      <vt:lpstr>sepsis</vt:lpstr>
      <vt:lpstr>Microcosting</vt:lpstr>
      <vt:lpstr>HIV calib targets</vt:lpstr>
      <vt:lpstr>Malaria trans</vt:lpstr>
      <vt:lpstr>HBV clinical risk</vt:lpstr>
      <vt:lpstr>daly_viz</vt:lpstr>
      <vt:lpstr>num_components</vt:lpstr>
      <vt:lpstr>PRT_cost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Alton Russell</dc:creator>
  <cp:lastModifiedBy>Alton Russell</cp:lastModifiedBy>
  <dcterms:created xsi:type="dcterms:W3CDTF">2019-12-14T19:34:55Z</dcterms:created>
  <dcterms:modified xsi:type="dcterms:W3CDTF">2021-03-29T12:42:32Z</dcterms:modified>
</cp:coreProperties>
</file>