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4V1D/Downloads/ULL/UYA/uya_proyecto_final/docs/usabilidad/"/>
    </mc:Choice>
  </mc:AlternateContent>
  <bookViews>
    <workbookView xWindow="140" yWindow="460" windowWidth="25360" windowHeight="15420" tabRatio="889" firstSheet="5" activeTab="11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/>
  <c r="G4" i="3"/>
  <c r="D6" i="3"/>
  <c r="D8" i="3"/>
  <c r="G8" i="3"/>
  <c r="D3" i="3"/>
  <c r="D5" i="3"/>
  <c r="D7" i="3"/>
  <c r="D9" i="3"/>
  <c r="D5" i="8"/>
  <c r="D4" i="8"/>
  <c r="G4" i="8"/>
  <c r="D3" i="8"/>
  <c r="D5" i="9"/>
  <c r="D7" i="9"/>
  <c r="D3" i="9"/>
  <c r="G3" i="9"/>
  <c r="D4" i="9"/>
  <c r="D6" i="9"/>
  <c r="G6" i="9"/>
  <c r="D8" i="9"/>
  <c r="D3" i="4"/>
  <c r="D4" i="4"/>
  <c r="D5" i="6"/>
  <c r="G5" i="6"/>
  <c r="D4" i="6"/>
  <c r="D3" i="6"/>
  <c r="D5" i="4"/>
  <c r="G5" i="4"/>
  <c r="D6" i="4"/>
  <c r="G6" i="4"/>
  <c r="D5" i="2"/>
  <c r="G5" i="2"/>
  <c r="D7" i="2"/>
  <c r="G7" i="2"/>
  <c r="D9" i="2"/>
  <c r="G9" i="2"/>
  <c r="D4" i="2"/>
  <c r="G4" i="2"/>
  <c r="D6" i="2"/>
  <c r="G6" i="2"/>
  <c r="D8" i="2"/>
  <c r="G8" i="2"/>
  <c r="D5" i="11"/>
  <c r="G5" i="11"/>
  <c r="D7" i="11"/>
  <c r="G7" i="11"/>
  <c r="D4" i="11"/>
  <c r="G4" i="11"/>
  <c r="D6" i="11"/>
  <c r="G6" i="11"/>
  <c r="D3" i="11"/>
  <c r="G3" i="11"/>
  <c r="D10" i="2"/>
  <c r="G10" i="2"/>
  <c r="D12" i="2"/>
  <c r="G12" i="2"/>
  <c r="D11" i="2"/>
  <c r="G11" i="2"/>
  <c r="D6" i="8"/>
  <c r="G6" i="8"/>
  <c r="D8" i="8"/>
  <c r="G8" i="8"/>
  <c r="D10" i="8"/>
  <c r="G10" i="8"/>
  <c r="D12" i="8"/>
  <c r="G12" i="8"/>
  <c r="D7" i="8"/>
  <c r="G7" i="8"/>
  <c r="D9" i="8"/>
  <c r="G9" i="8"/>
  <c r="D11" i="8"/>
  <c r="G11" i="8"/>
  <c r="D4" i="7"/>
  <c r="G4" i="7"/>
  <c r="D6" i="7"/>
  <c r="G6" i="7"/>
  <c r="D8" i="7"/>
  <c r="G8" i="7"/>
  <c r="D5" i="7"/>
  <c r="G5" i="7"/>
  <c r="D7" i="7"/>
  <c r="G7" i="7"/>
  <c r="D9" i="7"/>
  <c r="G9" i="7"/>
  <c r="D7" i="6"/>
  <c r="G7" i="6"/>
  <c r="D9" i="6"/>
  <c r="G9" i="6"/>
  <c r="D11" i="6"/>
  <c r="G11" i="6"/>
  <c r="D6" i="6"/>
  <c r="G6" i="6"/>
  <c r="D8" i="6"/>
  <c r="G8" i="6"/>
  <c r="D10" i="6"/>
  <c r="G10" i="6"/>
  <c r="D12" i="6"/>
  <c r="G12" i="6"/>
  <c r="D5" i="5"/>
  <c r="G5" i="5"/>
  <c r="D7" i="5"/>
  <c r="G7" i="5"/>
  <c r="D4" i="5"/>
  <c r="G4" i="5"/>
  <c r="D6" i="5"/>
  <c r="G6" i="5"/>
  <c r="D8" i="5"/>
  <c r="G8" i="5"/>
  <c r="D7" i="4"/>
  <c r="G7" i="4"/>
  <c r="D9" i="4"/>
  <c r="G9" i="4"/>
  <c r="D11" i="4"/>
  <c r="G11" i="4"/>
  <c r="D13" i="4"/>
  <c r="G13" i="4"/>
  <c r="D15" i="4"/>
  <c r="G15" i="4"/>
  <c r="D8" i="4"/>
  <c r="G8" i="4"/>
  <c r="D10" i="4"/>
  <c r="G10" i="4"/>
  <c r="D12" i="4"/>
  <c r="G12" i="4"/>
  <c r="D14" i="4"/>
  <c r="G14" i="4"/>
  <c r="D16" i="4"/>
  <c r="G16" i="4"/>
  <c r="G3" i="2"/>
  <c r="G6" i="3"/>
  <c r="G3" i="4"/>
  <c r="G3" i="5"/>
  <c r="G3" i="6"/>
  <c r="G3" i="7"/>
  <c r="G4" i="9"/>
  <c r="G8" i="9"/>
  <c r="G4" i="10"/>
  <c r="G6" i="10"/>
  <c r="G8" i="10"/>
  <c r="G10" i="10"/>
  <c r="G3" i="3"/>
  <c r="G5" i="3"/>
  <c r="G7" i="3"/>
  <c r="G9" i="3"/>
  <c r="G4" i="4"/>
  <c r="G4" i="6"/>
  <c r="G3" i="8"/>
  <c r="G5" i="8"/>
  <c r="G5" i="9"/>
  <c r="G7" i="9"/>
  <c r="G3" i="10"/>
  <c r="G5" i="10"/>
  <c r="G7" i="10"/>
  <c r="G9" i="10"/>
  <c r="G8" i="11"/>
  <c r="G13" i="2"/>
  <c r="G11" i="10"/>
  <c r="G9" i="9"/>
  <c r="G13" i="8"/>
  <c r="G13" i="6"/>
  <c r="G9" i="5"/>
  <c r="G10" i="7"/>
  <c r="G17" i="4"/>
  <c r="G10" i="3"/>
  <c r="L7" i="11"/>
  <c r="L10" i="10"/>
  <c r="L8" i="9"/>
  <c r="L12" i="8"/>
  <c r="L9" i="7"/>
  <c r="L12" i="6"/>
  <c r="L8" i="5"/>
  <c r="L16" i="4"/>
  <c r="L9" i="3"/>
  <c r="L12" i="2"/>
  <c r="F4" i="13"/>
  <c r="F5" i="13"/>
  <c r="H7" i="8"/>
  <c r="H9" i="2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/>
  <c r="H6" i="3"/>
  <c r="H9" i="3"/>
  <c r="H5" i="3"/>
  <c r="H8" i="3"/>
  <c r="H4" i="3"/>
  <c r="J3" i="3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/>
  <c r="F6" i="13"/>
  <c r="B4" i="13"/>
</calcChain>
</file>

<file path=xl/sharedStrings.xml><?xml version="1.0" encoding="utf-8"?>
<sst xmlns="http://schemas.openxmlformats.org/spreadsheetml/2006/main" count="1996" uniqueCount="292">
  <si>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</si>
  <si>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</si>
  <si>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</si>
  <si>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</si>
  <si>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</si>
  <si>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</si>
  <si>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</si>
  <si>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</si>
  <si>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</si>
  <si>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</si>
  <si>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</si>
  <si>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</si>
  <si>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</si>
  <si>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</si>
  <si>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</si>
  <si>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</si>
  <si>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</si>
  <si>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</si>
  <si>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</si>
  <si>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</si>
  <si>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</si>
  <si>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</si>
  <si>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</si>
  <si>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</si>
  <si>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</si>
  <si>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</si>
  <si>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</si>
  <si>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</si>
  <si>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</si>
  <si>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</si>
  <si>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</si>
  <si>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</si>
  <si>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</si>
  <si>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</si>
  <si>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</si>
  <si>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</si>
  <si>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</si>
  <si>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</si>
  <si>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</si>
  <si>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</si>
  <si>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</si>
  <si>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</si>
  <si>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</si>
  <si>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</si>
  <si>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</si>
  <si>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</si>
  <si>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</si>
  <si>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</si>
  <si>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</si>
  <si>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</si>
  <si>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</si>
  <si>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</si>
  <si>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</si>
  <si>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</si>
  <si>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</si>
  <si>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</si>
  <si>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</si>
  <si>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</si>
  <si>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</si>
  <si>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</si>
  <si>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</si>
  <si>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</si>
  <si>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</si>
  <si>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</si>
  <si>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</si>
  <si>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</si>
  <si>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</si>
  <si>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</si>
  <si>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</si>
  <si>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</si>
  <si>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</si>
  <si>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</si>
  <si>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</si>
  <si>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</si>
  <si>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</si>
  <si>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</si>
  <si>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</si>
  <si>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</si>
  <si>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</si>
  <si>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</si>
  <si>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</si>
  <si>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</si>
  <si>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</si>
  <si>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</si>
  <si>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</si>
  <si>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</si>
  <si>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</si>
  <si>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</si>
  <si>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</si>
  <si>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</si>
  <si>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</si>
  <si>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</si>
  <si>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</si>
  <si>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</si>
  <si>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</si>
  <si>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</si>
  <si>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</si>
  <si>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</si>
  <si>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</si>
  <si>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</si>
  <si>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</si>
  <si>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</si>
  <si>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</si>
  <si>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</si>
  <si>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</si>
  <si>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</si>
  <si>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</si>
  <si>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</si>
  <si>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</si>
  <si>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</si>
  <si>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</si>
  <si>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</si>
  <si>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</si>
  <si>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</si>
  <si>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</si>
  <si>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</si>
  <si>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</si>
  <si>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</si>
  <si>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</si>
  <si>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</si>
  <si>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</si>
  <si>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</si>
  <si>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</si>
  <si>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</si>
  <si>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</si>
  <si>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</si>
  <si>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</si>
  <si>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</si>
  <si>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</si>
  <si>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</si>
  <si>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</si>
  <si>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</si>
  <si>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</si>
  <si>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</si>
  <si>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</si>
  <si>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</si>
  <si>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</si>
  <si>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</si>
  <si>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</si>
  <si>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</si>
  <si>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</si>
  <si>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</si>
  <si>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</si>
  <si>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</si>
  <si>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</si>
  <si>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</si>
  <si>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</si>
  <si>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</si>
  <si>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</si>
  <si>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</si>
  <si>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</si>
  <si>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</si>
  <si>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</si>
  <si>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</si>
  <si>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</si>
  <si>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</si>
  <si>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</si>
  <si>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</si>
  <si>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</si>
  <si>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</si>
  <si>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</si>
  <si>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</si>
  <si>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</si>
  <si>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</si>
  <si>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</si>
  <si>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</si>
  <si>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</si>
  <si>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</si>
  <si>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</si>
  <si>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</si>
  <si>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</si>
  <si>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</si>
  <si>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</si>
  <si>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</si>
  <si>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</si>
  <si>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</si>
  <si>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</si>
  <si>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</si>
  <si>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</si>
  <si>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</si>
  <si>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</si>
  <si>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</si>
  <si>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</si>
  <si>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</si>
  <si>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</si>
  <si>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</si>
  <si>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</si>
  <si>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</si>
  <si>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</si>
  <si>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</si>
  <si>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</si>
  <si>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</si>
  <si>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</si>
  <si>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</si>
  <si>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</si>
  <si>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</si>
  <si>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</si>
  <si>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</si>
  <si>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</si>
  <si>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</si>
  <si>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</si>
  <si>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</si>
  <si>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</si>
  <si>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</si>
  <si>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</si>
  <si>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</si>
  <si>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</si>
  <si>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</si>
  <si>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</si>
  <si>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</si>
  <si>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</si>
  <si>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</si>
  <si>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</si>
  <si>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</si>
  <si>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</si>
  <si>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</si>
  <si>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</si>
  <si>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</si>
  <si>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</si>
  <si>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</si>
  <si>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</si>
  <si>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</si>
  <si>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</si>
  <si>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</si>
  <si>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</si>
  <si>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</si>
  <si>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</si>
  <si>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</si>
  <si>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</si>
  <si>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</si>
  <si>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</si>
  <si>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</si>
  <si>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</si>
  <si>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</si>
  <si>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</si>
  <si>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</si>
  <si>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</si>
  <si>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</si>
  <si>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</si>
  <si>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</si>
  <si>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</si>
  <si>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</si>
  <si>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</si>
  <si>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</si>
  <si>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</si>
  <si>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</si>
  <si>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</si>
  <si>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</si>
  <si>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</si>
  <si>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</si>
  <si>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</si>
  <si>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</si>
  <si>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</si>
  <si>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</si>
  <si>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</si>
  <si>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</si>
  <si>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</si>
  <si>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</si>
  <si>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</si>
  <si>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</si>
  <si>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</si>
  <si>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</si>
  <si>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</si>
  <si>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</si>
  <si>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</si>
  <si>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</si>
  <si>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</si>
  <si>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</si>
  <si>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</si>
  <si>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</si>
  <si>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</si>
  <si>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</si>
  <si>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</si>
  <si>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</si>
  <si>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</si>
  <si>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</si>
  <si>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</si>
  <si>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</si>
  <si>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</si>
  <si>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</si>
  <si>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</si>
  <si>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</si>
  <si>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</si>
  <si>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</si>
  <si>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</si>
  <si>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</si>
  <si>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12 de junio de 2017</t>
  </si>
  <si>
    <t>Collaborate Classroom</t>
  </si>
  <si>
    <t>https://alu0100851236.github.io/uya_proyecto_final/index.html</t>
  </si>
  <si>
    <t>57.0.2987.133 (64-bit)</t>
  </si>
  <si>
    <t>Google Chrome</t>
  </si>
  <si>
    <t>Carlos Fernández Donate y David Dorta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</si>
</sst>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2" fillId="2" borderId="2" applyNumberFormat="0"/>
    <xf numFmtId="1" fontId="2" fillId="2" borderId="3"/>
  </cellStyleXfs>
  <cellXfs count="7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1" applyAlignment="1" applyProtection="1"/>
    <xf numFmtId="0" fontId="5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6" fillId="0" borderId="0" xfId="0" applyFont="1"/>
    <xf numFmtId="1" fontId="0" fillId="0" borderId="0" xfId="0" applyNumberFormat="1"/>
    <xf numFmtId="0" fontId="3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2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2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2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2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4" fillId="0" borderId="0" xfId="1" applyAlignment="1" applyProtection="1">
      <alignment horizontal="left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4" Type="http://schemas.openxmlformats.org/officeDocument/2006/relationships/image" Target="../media/image2.jpeg"/><Relationship Id="rId1" Type="http://schemas.openxmlformats.org/officeDocument/2006/relationships/hyperlink" Target="file:///Z:\temp\WindowsLiveWriter-1385793485\supfiles130D606\formula_evaluacion_usabilidad_sirius.jpg" TargetMode="External"/><Relationship Id="rId2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4" Type="http://schemas.openxmlformats.org/officeDocument/2006/relationships/hyperlink" Target="mailto:carreras.olga@gmail.com?subject=Excel%20Sirius" TargetMode="External"/><Relationship Id="rId5" Type="http://schemas.openxmlformats.org/officeDocument/2006/relationships/hyperlink" Target="http://olgacarreras.blogspot.com/2011/07/sirius-nueva-sistema-para-la-evaluacion.html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printerSettings" Target="../printerSettings/printerSettings1.bin"/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I42"/>
  <sheetViews>
    <sheetView showGridLines="0" topLeftCell="A4" workbookViewId="0">
      <selection activeCell="B13" sqref="B13"/>
    </sheetView>
  </sheetViews>
  <sheetFormatPr baseColWidth="10" defaultRowHeight="15" x14ac:dyDescent="0.2"/>
  <cols>
    <col min="1" max="1" width="42.1640625" customWidth="1"/>
    <col min="2" max="2" width="57.5" customWidth="1"/>
    <col min="3" max="3" width="18" customWidth="1"/>
  </cols>
  <sheetData>
    <row r="1" spans="1:3" ht="36.75" customHeight="1" x14ac:dyDescent="0.3">
      <c r="A1" s="16" t="s">
        <v>259</v>
      </c>
      <c r="B1" s="13"/>
      <c r="C1" s="22">
        <v>40756</v>
      </c>
    </row>
    <row r="2" spans="1:3" ht="15.75" customHeight="1" x14ac:dyDescent="0.2">
      <c r="A2" s="17" t="s">
        <v>202</v>
      </c>
      <c r="B2" s="13"/>
    </row>
    <row r="3" spans="1:3" x14ac:dyDescent="0.2">
      <c r="A3" s="5" t="s">
        <v>169</v>
      </c>
    </row>
    <row r="5" spans="1:3" x14ac:dyDescent="0.2">
      <c r="A5" t="s">
        <v>203</v>
      </c>
      <c r="B5" s="5" t="s">
        <v>204</v>
      </c>
    </row>
    <row r="6" spans="1:3" x14ac:dyDescent="0.2">
      <c r="A6" t="s">
        <v>268</v>
      </c>
      <c r="B6" s="5" t="s">
        <v>260</v>
      </c>
    </row>
    <row r="7" spans="1:3" x14ac:dyDescent="0.2">
      <c r="A7" s="68" t="s">
        <v>193</v>
      </c>
      <c r="B7" s="68"/>
    </row>
    <row r="10" spans="1:3" ht="16" x14ac:dyDescent="0.2">
      <c r="A10" s="4" t="s">
        <v>168</v>
      </c>
    </row>
    <row r="11" spans="1:3" x14ac:dyDescent="0.2">
      <c r="A11" s="50" t="s">
        <v>0</v>
      </c>
      <c r="B11" s="51" t="s">
        <v>291</v>
      </c>
    </row>
    <row r="12" spans="1:3" x14ac:dyDescent="0.2">
      <c r="A12" s="50" t="s">
        <v>1</v>
      </c>
      <c r="B12" s="52" t="s">
        <v>286</v>
      </c>
    </row>
    <row r="13" spans="1:3" x14ac:dyDescent="0.2">
      <c r="A13" s="50" t="s">
        <v>206</v>
      </c>
      <c r="B13" s="51" t="s">
        <v>287</v>
      </c>
    </row>
    <row r="14" spans="1:3" x14ac:dyDescent="0.2">
      <c r="A14" s="50" t="s">
        <v>207</v>
      </c>
      <c r="B14" s="51" t="s">
        <v>288</v>
      </c>
    </row>
    <row r="15" spans="1:3" x14ac:dyDescent="0.2">
      <c r="A15" s="50" t="s">
        <v>208</v>
      </c>
      <c r="B15" s="51" t="s">
        <v>234</v>
      </c>
      <c r="C15" t="s">
        <v>179</v>
      </c>
    </row>
    <row r="16" spans="1:3" x14ac:dyDescent="0.2">
      <c r="A16" s="50" t="s">
        <v>182</v>
      </c>
      <c r="B16" s="51" t="s">
        <v>290</v>
      </c>
    </row>
    <row r="17" spans="1:9" x14ac:dyDescent="0.2">
      <c r="A17" s="50" t="s">
        <v>180</v>
      </c>
      <c r="B17" s="51" t="s">
        <v>289</v>
      </c>
    </row>
    <row r="20" spans="1:9" ht="16" x14ac:dyDescent="0.2">
      <c r="A20" s="15" t="s">
        <v>205</v>
      </c>
    </row>
    <row r="21" spans="1:9" x14ac:dyDescent="0.2">
      <c r="C21" s="68" t="s">
        <v>266</v>
      </c>
      <c r="D21" s="68"/>
      <c r="E21" s="68"/>
      <c r="F21" s="68"/>
      <c r="G21" s="68"/>
      <c r="H21" s="68"/>
      <c r="I21" s="68"/>
    </row>
    <row r="22" spans="1:9" x14ac:dyDescent="0.2">
      <c r="A22" t="s">
        <v>265</v>
      </c>
      <c r="C22" s="68"/>
      <c r="D22" s="68"/>
      <c r="E22" s="68"/>
      <c r="F22" s="68"/>
      <c r="G22" s="68"/>
      <c r="H22" s="68"/>
      <c r="I22" s="68"/>
    </row>
    <row r="23" spans="1:9" x14ac:dyDescent="0.2">
      <c r="A23" t="s">
        <v>209</v>
      </c>
    </row>
    <row r="24" spans="1:9" x14ac:dyDescent="0.2">
      <c r="A24" t="s">
        <v>267</v>
      </c>
    </row>
    <row r="25" spans="1:9" x14ac:dyDescent="0.2">
      <c r="A25" t="s">
        <v>228</v>
      </c>
    </row>
    <row r="27" spans="1:9" ht="16" x14ac:dyDescent="0.2">
      <c r="A27" s="15" t="s">
        <v>261</v>
      </c>
    </row>
    <row r="29" spans="1:9" x14ac:dyDescent="0.2">
      <c r="A29" t="s">
        <v>262</v>
      </c>
    </row>
    <row r="30" spans="1:9" x14ac:dyDescent="0.2">
      <c r="A30" t="s">
        <v>264</v>
      </c>
      <c r="C30" s="5" t="s">
        <v>263</v>
      </c>
    </row>
    <row r="42" ht="24" customHeight="1" x14ac:dyDescent="0.2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M21"/>
  <sheetViews>
    <sheetView showGridLines="0" workbookViewId="0">
      <selection activeCell="C10" sqref="C10"/>
    </sheetView>
  </sheetViews>
  <sheetFormatPr baseColWidth="10" defaultRowHeight="15" x14ac:dyDescent="0.2"/>
  <cols>
    <col min="2" max="2" width="89.5" customWidth="1"/>
    <col min="4" max="4" width="14.6640625" customWidth="1"/>
    <col min="5" max="5" width="22" customWidth="1"/>
    <col min="6" max="6" width="16.83203125" customWidth="1"/>
    <col min="7" max="7" width="29.1640625" customWidth="1"/>
    <col min="8" max="10" width="23.6640625" customWidth="1"/>
    <col min="11" max="11" width="25.33203125" customWidth="1"/>
    <col min="12" max="12" width="4.6640625" customWidth="1"/>
  </cols>
  <sheetData>
    <row r="1" spans="1:13" ht="36.75" customHeight="1" x14ac:dyDescent="0.2">
      <c r="A1" s="70" t="s">
        <v>191</v>
      </c>
      <c r="B1" s="70"/>
      <c r="C1" s="70"/>
      <c r="D1" s="70"/>
      <c r="E1" s="70"/>
      <c r="F1" s="70"/>
      <c r="G1" s="70"/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137</v>
      </c>
      <c r="B3" s="27" t="s">
        <v>274</v>
      </c>
      <c r="C3" s="59" t="s">
        <v>172</v>
      </c>
      <c r="D3" s="60" t="str">
        <f t="shared" ref="D3:D10" si="0">IF(OR(TipoDeSitio="",C3="NA"),"",VLOOKUP(CONCATENATE(A3,": ",B3),Tabla629,MATCH(TipoDeSitio,Tipos,0)+1,0))</f>
        <v>MA</v>
      </c>
      <c r="E3" s="51"/>
      <c r="F3" s="28">
        <f t="shared" ref="F3:F10" si="1">IF(C3="","",VLOOKUP(C3,ValoresVC,2,0))</f>
        <v>10</v>
      </c>
      <c r="G3" s="43">
        <f t="shared" ref="G3:G10" si="2">IF(D3="","",VLOOKUP($D3,ValoresRC,2,0))</f>
        <v>4</v>
      </c>
      <c r="H3" s="47">
        <f>IF(OR(G3="",G3=0,'Cálculo de % usabilidad'!$F$5=0),"",G3/'Cálculo de % usabilidad'!$F$5)</f>
        <v>2.4390243902439025E-2</v>
      </c>
      <c r="I3" s="47">
        <f>IF(OR(H3="",F3=""),"",H3*F3)</f>
        <v>0.24390243902439024</v>
      </c>
      <c r="J3" s="48">
        <f>IF(H3="","",H3*10)</f>
        <v>0.24390243902439024</v>
      </c>
      <c r="K3" s="7"/>
    </row>
    <row r="4" spans="1:13" x14ac:dyDescent="0.2">
      <c r="A4" s="26" t="s">
        <v>138</v>
      </c>
      <c r="B4" s="26" t="s">
        <v>145</v>
      </c>
      <c r="C4" s="65">
        <v>10</v>
      </c>
      <c r="D4" s="60" t="str">
        <f t="shared" si="0"/>
        <v>ME</v>
      </c>
      <c r="E4" s="51"/>
      <c r="F4" s="28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1.2195121951219513E-2</v>
      </c>
      <c r="I4" s="47">
        <f t="shared" ref="I4:I10" si="3">IF(OR(H4="",F4=""),"",H4*F4)</f>
        <v>0.12195121951219512</v>
      </c>
      <c r="J4" s="48">
        <f t="shared" ref="J4:J10" si="4">IF(H4="","",H4*10)</f>
        <v>0.12195121951219512</v>
      </c>
      <c r="K4" s="7"/>
    </row>
    <row r="5" spans="1:13" x14ac:dyDescent="0.2">
      <c r="A5" s="26" t="s">
        <v>139</v>
      </c>
      <c r="B5" s="26" t="s">
        <v>146</v>
      </c>
      <c r="C5" s="65">
        <v>8</v>
      </c>
      <c r="D5" s="60" t="str">
        <f t="shared" si="0"/>
        <v>ME</v>
      </c>
      <c r="E5" s="51"/>
      <c r="F5" s="28">
        <f t="shared" si="1"/>
        <v>8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9.7560975609756101E-2</v>
      </c>
      <c r="J5" s="48">
        <f t="shared" si="4"/>
        <v>0.12195121951219512</v>
      </c>
      <c r="K5" s="7"/>
    </row>
    <row r="6" spans="1:13" x14ac:dyDescent="0.2">
      <c r="A6" s="26" t="s">
        <v>140</v>
      </c>
      <c r="B6" s="27" t="s">
        <v>147</v>
      </c>
      <c r="C6" s="65">
        <v>10</v>
      </c>
      <c r="D6" s="60" t="str">
        <f t="shared" si="0"/>
        <v>MA</v>
      </c>
      <c r="E6" s="51"/>
      <c r="F6" s="28">
        <f t="shared" si="1"/>
        <v>10</v>
      </c>
      <c r="G6" s="43">
        <f t="shared" si="2"/>
        <v>4</v>
      </c>
      <c r="H6" s="47">
        <f>IF(OR(G6="",G6=0,'Cálculo de % usabilidad'!$F$5=0),"",G6/'Cálculo de % usabilidad'!$F$5)</f>
        <v>2.4390243902439025E-2</v>
      </c>
      <c r="I6" s="47">
        <f t="shared" si="3"/>
        <v>0.24390243902439024</v>
      </c>
      <c r="J6" s="48">
        <f t="shared" si="4"/>
        <v>0.24390243902439024</v>
      </c>
      <c r="K6" s="7"/>
    </row>
    <row r="7" spans="1:13" x14ac:dyDescent="0.2">
      <c r="A7" s="26" t="s">
        <v>141</v>
      </c>
      <c r="B7" s="27" t="s">
        <v>148</v>
      </c>
      <c r="C7" s="65">
        <v>10</v>
      </c>
      <c r="D7" s="60" t="str">
        <f t="shared" si="0"/>
        <v>CR</v>
      </c>
      <c r="E7" s="51"/>
      <c r="F7" s="28">
        <f t="shared" si="1"/>
        <v>10</v>
      </c>
      <c r="G7" s="43">
        <f t="shared" si="2"/>
        <v>8</v>
      </c>
      <c r="H7" s="47">
        <f>IF(OR(G7="",G7=0,'Cálculo de % usabilidad'!$F$5=0),"",G7/'Cálculo de % usabilidad'!$F$5)</f>
        <v>4.878048780487805E-2</v>
      </c>
      <c r="I7" s="47">
        <f t="shared" si="3"/>
        <v>0.48780487804878048</v>
      </c>
      <c r="J7" s="48">
        <f t="shared" si="4"/>
        <v>0.48780487804878048</v>
      </c>
      <c r="K7" s="7"/>
    </row>
    <row r="8" spans="1:13" x14ac:dyDescent="0.2">
      <c r="A8" s="26" t="s">
        <v>142</v>
      </c>
      <c r="B8" s="27" t="s">
        <v>149</v>
      </c>
      <c r="C8" s="65">
        <v>0</v>
      </c>
      <c r="D8" s="60" t="str">
        <f t="shared" si="0"/>
        <v>ME</v>
      </c>
      <c r="E8" s="51"/>
      <c r="F8" s="28">
        <f t="shared" si="1"/>
        <v>0</v>
      </c>
      <c r="G8" s="43">
        <f t="shared" si="2"/>
        <v>2</v>
      </c>
      <c r="H8" s="47">
        <f>IF(OR(G8="",G8=0,'Cálculo de % usabilidad'!$F$5=0),"",G8/'Cálculo de % usabilidad'!$F$5)</f>
        <v>1.2195121951219513E-2</v>
      </c>
      <c r="I8" s="47">
        <f t="shared" si="3"/>
        <v>0</v>
      </c>
      <c r="J8" s="48">
        <f t="shared" si="4"/>
        <v>0.12195121951219512</v>
      </c>
      <c r="K8" s="7"/>
    </row>
    <row r="9" spans="1:13" x14ac:dyDescent="0.2">
      <c r="A9" s="26" t="s">
        <v>143</v>
      </c>
      <c r="B9" s="27" t="s">
        <v>150</v>
      </c>
      <c r="C9" s="65">
        <v>0</v>
      </c>
      <c r="D9" s="60" t="str">
        <f t="shared" si="0"/>
        <v>MA</v>
      </c>
      <c r="E9" s="51"/>
      <c r="F9" s="28">
        <f t="shared" si="1"/>
        <v>0</v>
      </c>
      <c r="G9" s="43">
        <f t="shared" si="2"/>
        <v>4</v>
      </c>
      <c r="H9" s="47">
        <f>IF(OR(G9="",G9=0,'Cálculo de % usabilidad'!$F$5=0),"",G9/'Cálculo de % usabilidad'!$F$5)</f>
        <v>2.4390243902439025E-2</v>
      </c>
      <c r="I9" s="47">
        <f t="shared" si="3"/>
        <v>0</v>
      </c>
      <c r="J9" s="48">
        <f t="shared" si="4"/>
        <v>0.24390243902439024</v>
      </c>
      <c r="K9" s="7"/>
    </row>
    <row r="10" spans="1:13" ht="16" thickBot="1" x14ac:dyDescent="0.25">
      <c r="A10" s="26" t="s">
        <v>144</v>
      </c>
      <c r="B10" s="29" t="s">
        <v>151</v>
      </c>
      <c r="C10" s="65">
        <v>0</v>
      </c>
      <c r="D10" s="60" t="str">
        <f t="shared" si="0"/>
        <v>MA</v>
      </c>
      <c r="E10" s="51"/>
      <c r="F10" s="28">
        <f t="shared" si="1"/>
        <v>0</v>
      </c>
      <c r="G10" s="43">
        <f t="shared" si="2"/>
        <v>4</v>
      </c>
      <c r="H10" s="47">
        <f>IF(OR(G10="",G10=0,'Cálculo de % usabilidad'!$F$5=0),"",G10/'Cálculo de % usabilidad'!$F$5)</f>
        <v>2.4390243902439025E-2</v>
      </c>
      <c r="I10" s="47">
        <f t="shared" si="3"/>
        <v>0</v>
      </c>
      <c r="J10" s="48">
        <f t="shared" si="4"/>
        <v>0.24390243902439024</v>
      </c>
      <c r="K10" t="s">
        <v>195</v>
      </c>
      <c r="L10" s="14">
        <f>8-(COUNTIF(C3:C10,"NA")+COUNTBLANK(C3:C10))</f>
        <v>8</v>
      </c>
      <c r="M10" s="3" t="s">
        <v>196</v>
      </c>
    </row>
    <row r="11" spans="1:13" ht="16" thickBot="1" x14ac:dyDescent="0.25">
      <c r="G11" s="58">
        <f>IF(SUM(G3:G10)=0,"",SUM(G3:G10))</f>
        <v>30</v>
      </c>
    </row>
    <row r="12" spans="1:13" x14ac:dyDescent="0.2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 x14ac:dyDescent="0.2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 x14ac:dyDescent="0.2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 x14ac:dyDescent="0.2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 x14ac:dyDescent="0.2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 x14ac:dyDescent="0.2">
      <c r="C17" s="10"/>
      <c r="D17" s="10"/>
      <c r="E17" s="10"/>
      <c r="F17" s="10"/>
      <c r="G17" s="10"/>
      <c r="H17" s="10"/>
      <c r="I17" s="10"/>
      <c r="J17" s="10"/>
    </row>
    <row r="18" spans="1:10" x14ac:dyDescent="0.2">
      <c r="C18" s="7"/>
      <c r="D18" s="7"/>
      <c r="E18" s="7"/>
    </row>
    <row r="19" spans="1:10" x14ac:dyDescent="0.2">
      <c r="A19" s="8"/>
      <c r="B19" s="7"/>
      <c r="C19" s="7"/>
      <c r="D19" s="7"/>
    </row>
    <row r="20" spans="1:10" x14ac:dyDescent="0.2">
      <c r="A20" s="7"/>
      <c r="B20" s="7"/>
      <c r="C20" s="7"/>
      <c r="D20" s="7"/>
    </row>
    <row r="21" spans="1:10" x14ac:dyDescent="0.2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/>
  <dimension ref="A1:M18"/>
  <sheetViews>
    <sheetView showGridLines="0" workbookViewId="0">
      <selection activeCell="C7" sqref="C7"/>
    </sheetView>
  </sheetViews>
  <sheetFormatPr baseColWidth="10" defaultRowHeight="15" x14ac:dyDescent="0.2"/>
  <cols>
    <col min="1" max="1" width="11.5" customWidth="1"/>
    <col min="2" max="2" width="88.33203125" customWidth="1"/>
    <col min="4" max="4" width="15" customWidth="1"/>
    <col min="5" max="5" width="37.33203125" customWidth="1"/>
    <col min="6" max="6" width="16.83203125" customWidth="1"/>
    <col min="7" max="7" width="28.6640625" customWidth="1"/>
    <col min="8" max="10" width="25.1640625" customWidth="1"/>
    <col min="11" max="11" width="25" customWidth="1"/>
    <col min="12" max="12" width="6.33203125" customWidth="1"/>
  </cols>
  <sheetData>
    <row r="1" spans="1:13" ht="36.75" customHeight="1" x14ac:dyDescent="0.2">
      <c r="A1" s="4" t="s">
        <v>192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38" t="s">
        <v>152</v>
      </c>
      <c r="B3" s="27" t="s">
        <v>283</v>
      </c>
      <c r="C3" s="59" t="s">
        <v>171</v>
      </c>
      <c r="D3" s="60" t="str">
        <f>IF(OR(TipoDeSitio="",C3="NA"),"",VLOOKUP(CONCATENATE(A3,": ",B3),Tabla630,MATCH(TipoDeSitio,Tipos,0)+1,0))</f>
        <v>ME</v>
      </c>
      <c r="E3" s="54"/>
      <c r="F3" s="39">
        <f>IF(C3="","",VLOOKUP(C3,ValoresVC,2,0))</f>
        <v>0</v>
      </c>
      <c r="G3" s="44">
        <f>IF(D3="","",VLOOKUP($D3,ValoresRC,2,0))</f>
        <v>2</v>
      </c>
      <c r="H3" s="45">
        <f>IF(OR(G3="",G3=0,'Cálculo de % usabilidad'!$F$5=0),"",G3/'Cálculo de % usabilidad'!$F$5)</f>
        <v>1.2195121951219513E-2</v>
      </c>
      <c r="I3" s="45">
        <f>IF(OR(H3="",F3=""),"",H3*F3)</f>
        <v>0</v>
      </c>
      <c r="J3" s="46">
        <f>IF(H3="","",H3*10)</f>
        <v>0.12195121951219512</v>
      </c>
      <c r="K3" s="7"/>
    </row>
    <row r="4" spans="1:13" x14ac:dyDescent="0.2">
      <c r="A4" s="38" t="s">
        <v>153</v>
      </c>
      <c r="B4" s="26" t="s">
        <v>157</v>
      </c>
      <c r="C4" s="65">
        <v>0</v>
      </c>
      <c r="D4" s="60" t="str">
        <f>IF(OR(TipoDeSitio="",C4="NA"),"",VLOOKUP(CONCATENATE(A4,": ",B4),Tabla630,MATCH(TipoDeSitio,Tipos,0)+1,0))</f>
        <v>ME</v>
      </c>
      <c r="E4" s="54"/>
      <c r="F4" s="39">
        <f>IF(C4="","",VLOOKUP(C4,ValoresVC,2,0))</f>
        <v>0</v>
      </c>
      <c r="G4" s="44">
        <f>IF(D4="","",VLOOKUP($D4,ValoresRC,2,0))</f>
        <v>2</v>
      </c>
      <c r="H4" s="45">
        <f>IF(OR(G4="",G4=0,'Cálculo de % usabilidad'!$F$5=0),"",G4/'Cálculo de % usabilidad'!$F$5)</f>
        <v>1.2195121951219513E-2</v>
      </c>
      <c r="I4" s="45">
        <f t="shared" ref="I4:I7" si="0">IF(OR(H4="",F4=""),"",H4*F4)</f>
        <v>0</v>
      </c>
      <c r="J4" s="46">
        <f t="shared" ref="J4:J7" si="1">IF(H4="","",H4*10)</f>
        <v>0.12195121951219512</v>
      </c>
      <c r="K4" s="7"/>
    </row>
    <row r="5" spans="1:13" x14ac:dyDescent="0.2">
      <c r="A5" s="38" t="s">
        <v>154</v>
      </c>
      <c r="B5" s="26" t="s">
        <v>158</v>
      </c>
      <c r="C5" s="59" t="s">
        <v>7</v>
      </c>
      <c r="D5" s="60" t="str">
        <f>IF(OR(TipoDeSitio="",C5="NA"),"",VLOOKUP(CONCATENATE(A5,": ",B5),Tabla630,MATCH(TipoDeSitio,Tipos,0)+1,0))</f>
        <v/>
      </c>
      <c r="E5" s="54"/>
      <c r="F5" s="39">
        <f>IF(C5="","",VLOOKUP(C5,ValoresVC,2,0))</f>
        <v>0</v>
      </c>
      <c r="G5" s="44" t="str">
        <f>IF(D5="","",VLOOKUP($D5,ValoresRC,2,0))</f>
        <v/>
      </c>
      <c r="H5" s="45" t="str">
        <f>IF(OR(G5="",G5=0,'Cálculo de % usabilidad'!$F$5=0),"",G5/'Cálculo de % usabilidad'!$F$5)</f>
        <v/>
      </c>
      <c r="I5" s="45" t="str">
        <f t="shared" si="0"/>
        <v/>
      </c>
      <c r="J5" s="46" t="str">
        <f t="shared" si="1"/>
        <v/>
      </c>
      <c r="K5" s="7"/>
    </row>
    <row r="6" spans="1:13" x14ac:dyDescent="0.2">
      <c r="A6" s="38" t="s">
        <v>155</v>
      </c>
      <c r="B6" s="27" t="s">
        <v>275</v>
      </c>
      <c r="C6" s="65" t="s">
        <v>7</v>
      </c>
      <c r="D6" s="60" t="str">
        <f>IF(OR(TipoDeSitio="",C6="NA"),"",VLOOKUP(CONCATENATE(A6,": ",B6),Tabla630,MATCH(TipoDeSitio,Tipos,0)+1,0))</f>
        <v/>
      </c>
      <c r="E6" s="54"/>
      <c r="F6" s="39">
        <f>IF(C6="","",VLOOKUP(C6,ValoresVC,2,0))</f>
        <v>0</v>
      </c>
      <c r="G6" s="44" t="str">
        <f>IF(D6="","",VLOOKUP($D6,ValoresRC,2,0))</f>
        <v/>
      </c>
      <c r="H6" s="45" t="str">
        <f>IF(OR(G6="",G6=0,'Cálculo de % usabilidad'!$F$5=0),"",G6/'Cálculo de % usabilidad'!$F$5)</f>
        <v/>
      </c>
      <c r="I6" s="45" t="str">
        <f t="shared" si="0"/>
        <v/>
      </c>
      <c r="J6" s="46" t="str">
        <f t="shared" si="1"/>
        <v/>
      </c>
      <c r="K6" s="7"/>
    </row>
    <row r="7" spans="1:13" ht="16" thickBot="1" x14ac:dyDescent="0.25">
      <c r="A7" s="38" t="s">
        <v>156</v>
      </c>
      <c r="B7" s="27" t="s">
        <v>276</v>
      </c>
      <c r="C7" s="65" t="s">
        <v>7</v>
      </c>
      <c r="D7" s="60" t="str">
        <f>IF(OR(TipoDeSitio="",C7="NA"),"",VLOOKUP(CONCATENATE(A7,": ",B7),Tabla630,MATCH(TipoDeSitio,Tipos,0)+1,0))</f>
        <v/>
      </c>
      <c r="E7" s="54"/>
      <c r="F7" s="39">
        <f>IF(C7="","",VLOOKUP(C7,ValoresVC,2,0))</f>
        <v>0</v>
      </c>
      <c r="G7" s="44" t="str">
        <f>IF(D7="","",VLOOKUP($D7,ValoresRC,2,0))</f>
        <v/>
      </c>
      <c r="H7" s="45" t="str">
        <f>IF(OR(G7="",G7=0,'Cálculo de % usabilidad'!$F$5=0),"",G7/'Cálculo de % usabilidad'!$F$5)</f>
        <v/>
      </c>
      <c r="I7" s="45" t="str">
        <f t="shared" si="0"/>
        <v/>
      </c>
      <c r="J7" s="46" t="str">
        <f t="shared" si="1"/>
        <v/>
      </c>
      <c r="K7" t="s">
        <v>195</v>
      </c>
      <c r="L7" s="14">
        <f>5-(COUNTIF(C3:C7,"NA")+COUNTBLANK(C3:C7))</f>
        <v>2</v>
      </c>
      <c r="M7" s="3" t="s">
        <v>196</v>
      </c>
    </row>
    <row r="8" spans="1:13" ht="16" thickBot="1" x14ac:dyDescent="0.25">
      <c r="G8" s="58">
        <f>IF(SUM(G3:G7)=0,"",SUM(G3:G7))</f>
        <v>4</v>
      </c>
      <c r="H8" s="21"/>
      <c r="I8" s="21"/>
      <c r="J8" s="21"/>
    </row>
    <row r="9" spans="1:13" x14ac:dyDescent="0.2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 x14ac:dyDescent="0.2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 x14ac:dyDescent="0.2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 x14ac:dyDescent="0.2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 x14ac:dyDescent="0.2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 x14ac:dyDescent="0.2">
      <c r="C14" s="10"/>
      <c r="D14" s="10"/>
      <c r="E14" s="10"/>
      <c r="F14" s="10"/>
      <c r="G14" s="10"/>
      <c r="H14" s="10"/>
      <c r="I14" s="12"/>
      <c r="J14" s="12"/>
    </row>
    <row r="15" spans="1:13" x14ac:dyDescent="0.2">
      <c r="C15" s="7"/>
      <c r="D15" s="7"/>
      <c r="E15" s="7"/>
    </row>
    <row r="16" spans="1:13" x14ac:dyDescent="0.2">
      <c r="A16" s="8"/>
      <c r="B16" s="7"/>
      <c r="C16" s="7"/>
      <c r="D16" s="7"/>
    </row>
    <row r="17" spans="1:4" x14ac:dyDescent="0.2">
      <c r="A17" s="7"/>
      <c r="B17" s="7"/>
      <c r="C17" s="7"/>
      <c r="D17" s="7"/>
    </row>
    <row r="18" spans="1:4" x14ac:dyDescent="0.2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/>
  <dimension ref="A1:G29"/>
  <sheetViews>
    <sheetView showGridLines="0" tabSelected="1" workbookViewId="0">
      <selection activeCell="B4" sqref="B4"/>
    </sheetView>
  </sheetViews>
  <sheetFormatPr baseColWidth="10" defaultRowHeight="15" x14ac:dyDescent="0.2"/>
  <cols>
    <col min="1" max="1" width="42.5" customWidth="1"/>
    <col min="2" max="3" width="14.5" customWidth="1"/>
    <col min="4" max="4" width="31.5" customWidth="1"/>
    <col min="6" max="6" width="15.6640625" customWidth="1"/>
  </cols>
  <sheetData>
    <row r="1" spans="1:7" x14ac:dyDescent="0.2">
      <c r="A1" s="12"/>
      <c r="B1" s="3"/>
      <c r="C1" s="3"/>
    </row>
    <row r="2" spans="1:7" ht="24" x14ac:dyDescent="0.3">
      <c r="A2" s="18" t="s">
        <v>201</v>
      </c>
    </row>
    <row r="3" spans="1:7" ht="25" thickBot="1" x14ac:dyDescent="0.35">
      <c r="A3" s="18"/>
      <c r="D3" s="20" t="s">
        <v>213</v>
      </c>
    </row>
    <row r="4" spans="1:7" ht="25" thickBot="1" x14ac:dyDescent="0.35">
      <c r="A4" s="31" t="s">
        <v>177</v>
      </c>
      <c r="B4" s="57">
        <f>IF(OR(ISERROR(F6),ISERROR(F7),F6="",F7="",F6=0,F7=0),"",(F6/F7)*100)</f>
        <v>64.817073170731732</v>
      </c>
      <c r="C4" s="19"/>
      <c r="D4" s="72" t="s">
        <v>194</v>
      </c>
      <c r="E4" s="72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61</v>
      </c>
    </row>
    <row r="5" spans="1:7" ht="36.75" customHeight="1" x14ac:dyDescent="0.2">
      <c r="D5" s="71" t="s">
        <v>197</v>
      </c>
      <c r="E5" s="71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164</v>
      </c>
      <c r="G5" t="s">
        <v>198</v>
      </c>
    </row>
    <row r="6" spans="1:7" x14ac:dyDescent="0.2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6.4817073170731732</v>
      </c>
      <c r="G6" t="s">
        <v>226</v>
      </c>
    </row>
    <row r="7" spans="1:7" x14ac:dyDescent="0.2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t="s">
        <v>226</v>
      </c>
    </row>
    <row r="8" spans="1:7" x14ac:dyDescent="0.2">
      <c r="A8" t="s">
        <v>214</v>
      </c>
    </row>
    <row r="9" spans="1:7" x14ac:dyDescent="0.2">
      <c r="A9" s="6"/>
    </row>
    <row r="10" spans="1:7" x14ac:dyDescent="0.2">
      <c r="A10" s="6"/>
    </row>
    <row r="11" spans="1:7" x14ac:dyDescent="0.2">
      <c r="A11" s="6"/>
      <c r="B11" s="6" t="s">
        <v>215</v>
      </c>
    </row>
    <row r="12" spans="1:7" x14ac:dyDescent="0.2">
      <c r="A12" s="2"/>
      <c r="B12" s="6" t="s">
        <v>216</v>
      </c>
    </row>
    <row r="13" spans="1:7" x14ac:dyDescent="0.2">
      <c r="A13" s="2"/>
      <c r="B13" s="6" t="s">
        <v>218</v>
      </c>
    </row>
    <row r="14" spans="1:7" x14ac:dyDescent="0.2">
      <c r="A14" s="2"/>
      <c r="B14" s="6" t="s">
        <v>219</v>
      </c>
    </row>
    <row r="15" spans="1:7" x14ac:dyDescent="0.2">
      <c r="A15" s="2"/>
    </row>
    <row r="16" spans="1:7" x14ac:dyDescent="0.2">
      <c r="A16" s="2"/>
    </row>
    <row r="17" spans="1:4" x14ac:dyDescent="0.2">
      <c r="A17" s="2"/>
      <c r="D17" s="6" t="s">
        <v>217</v>
      </c>
    </row>
    <row r="18" spans="1:4" x14ac:dyDescent="0.2">
      <c r="A18" s="2"/>
    </row>
    <row r="19" spans="1:4" ht="127.5" customHeight="1" x14ac:dyDescent="0.2">
      <c r="A19" s="6"/>
    </row>
    <row r="23" spans="1:4" x14ac:dyDescent="0.2">
      <c r="A23" s="6"/>
    </row>
    <row r="24" spans="1:4" x14ac:dyDescent="0.2">
      <c r="A24" s="2"/>
    </row>
    <row r="25" spans="1:4" x14ac:dyDescent="0.2">
      <c r="A25" s="2"/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/>
  <dimension ref="A1:Q122"/>
  <sheetViews>
    <sheetView showGridLines="0" topLeftCell="A85" workbookViewId="0">
      <selection activeCell="A122" sqref="A122"/>
    </sheetView>
  </sheetViews>
  <sheetFormatPr baseColWidth="10" defaultRowHeight="15" x14ac:dyDescent="0.2"/>
  <cols>
    <col min="1" max="1" width="69.83203125" customWidth="1"/>
    <col min="2" max="17" width="5.5" customWidth="1"/>
  </cols>
  <sheetData>
    <row r="1" spans="1:17" x14ac:dyDescent="0.2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9" x14ac:dyDescent="0.25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09" x14ac:dyDescent="0.25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 x14ac:dyDescent="0.2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 x14ac:dyDescent="0.2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 x14ac:dyDescent="0.2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 x14ac:dyDescent="0.2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 x14ac:dyDescent="0.2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 x14ac:dyDescent="0.2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 x14ac:dyDescent="0.2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 x14ac:dyDescent="0.2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 x14ac:dyDescent="0.2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 x14ac:dyDescent="0.2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9" x14ac:dyDescent="0.25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09" x14ac:dyDescent="0.25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 x14ac:dyDescent="0.2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 x14ac:dyDescent="0.2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 x14ac:dyDescent="0.2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 x14ac:dyDescent="0.2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 x14ac:dyDescent="0.2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8" x14ac:dyDescent="0.2">
      <c r="A23" s="36" t="str">
        <f>CONCATENATE('2, Identidad e Información'!A8,": ",'2, Identidad e Información'!B8)</f>
        <v>II.6: Se ofrece información sobre la protección de datos de carácter personal o los_x000D_derechos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8" x14ac:dyDescent="0.2">
      <c r="A24" s="36" t="str">
        <f>CONCATENATE('2, Identidad e Información'!A9,": ",'2, Identidad e Información'!B9)</f>
        <v>II.7: Se ofrece información sobre el autor, fuentes y fechas de creación y revisión_x000D_en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9" x14ac:dyDescent="0.25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09" x14ac:dyDescent="0.25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 x14ac:dyDescent="0.2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 x14ac:dyDescent="0.2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 x14ac:dyDescent="0.2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x14ac:dyDescent="0.2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 x14ac:dyDescent="0.2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 x14ac:dyDescent="0.2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 x14ac:dyDescent="0.2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 x14ac:dyDescent="0.2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 x14ac:dyDescent="0.2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 x14ac:dyDescent="0.2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 x14ac:dyDescent="0.2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 x14ac:dyDescent="0.2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8" x14ac:dyDescent="0.2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 x14ac:dyDescent="0.2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 x14ac:dyDescent="0.2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9" x14ac:dyDescent="0.25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09" x14ac:dyDescent="0.25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 x14ac:dyDescent="0.2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 x14ac:dyDescent="0.2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 x14ac:dyDescent="0.2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 x14ac:dyDescent="0.2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 x14ac:dyDescent="0.2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 x14ac:dyDescent="0.2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9" x14ac:dyDescent="0.25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09" x14ac:dyDescent="0.25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 x14ac:dyDescent="0.2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 x14ac:dyDescent="0.2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 x14ac:dyDescent="0.2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8" x14ac:dyDescent="0.2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 x14ac:dyDescent="0.2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8" x14ac:dyDescent="0.2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 x14ac:dyDescent="0.2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 x14ac:dyDescent="0.2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 x14ac:dyDescent="0.2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 x14ac:dyDescent="0.2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 x14ac:dyDescent="0.2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9" x14ac:dyDescent="0.25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09" x14ac:dyDescent="0.25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 x14ac:dyDescent="0.2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 x14ac:dyDescent="0.2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 x14ac:dyDescent="0.2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 x14ac:dyDescent="0.2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x14ac:dyDescent="0.2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 x14ac:dyDescent="0.2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8" x14ac:dyDescent="0.2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9" x14ac:dyDescent="0.25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09" x14ac:dyDescent="0.25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 x14ac:dyDescent="0.2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 x14ac:dyDescent="0.2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 x14ac:dyDescent="0.2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8" x14ac:dyDescent="0.2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8" x14ac:dyDescent="0.2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 x14ac:dyDescent="0.2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x14ac:dyDescent="0.2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 x14ac:dyDescent="0.2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 x14ac:dyDescent="0.2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8" x14ac:dyDescent="0.2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x14ac:dyDescent="0.2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9" x14ac:dyDescent="0.25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09" x14ac:dyDescent="0.25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 x14ac:dyDescent="0.2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 x14ac:dyDescent="0.2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 x14ac:dyDescent="0.2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 x14ac:dyDescent="0.2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 x14ac:dyDescent="0.2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 x14ac:dyDescent="0.2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9" x14ac:dyDescent="0.25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09" x14ac:dyDescent="0.25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x14ac:dyDescent="0.2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 x14ac:dyDescent="0.2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 x14ac:dyDescent="0.2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 x14ac:dyDescent="0.2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 x14ac:dyDescent="0.2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 x14ac:dyDescent="0.2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 x14ac:dyDescent="0.2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x14ac:dyDescent="0.2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9" x14ac:dyDescent="0.25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09" x14ac:dyDescent="0.25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 x14ac:dyDescent="0.2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 x14ac:dyDescent="0.2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 x14ac:dyDescent="0.2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 x14ac:dyDescent="0.2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 x14ac:dyDescent="0.2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3:N21"/>
  <sheetViews>
    <sheetView showGridLines="0" workbookViewId="0">
      <selection activeCell="E13" sqref="E13"/>
    </sheetView>
  </sheetViews>
  <sheetFormatPr baseColWidth="10" defaultRowHeight="15" x14ac:dyDescent="0.2"/>
  <cols>
    <col min="1" max="1" width="5.1640625" customWidth="1"/>
    <col min="3" max="3" width="10.83203125" customWidth="1"/>
  </cols>
  <sheetData>
    <row r="3" spans="1:14" x14ac:dyDescent="0.2">
      <c r="A3" s="1" t="s">
        <v>199</v>
      </c>
      <c r="C3" t="s">
        <v>200</v>
      </c>
    </row>
    <row r="5" spans="1:14" x14ac:dyDescent="0.2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 x14ac:dyDescent="0.2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 x14ac:dyDescent="0.2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 x14ac:dyDescent="0.2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 x14ac:dyDescent="0.2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 x14ac:dyDescent="0.2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 x14ac:dyDescent="0.2">
      <c r="A11" s="2">
        <v>6</v>
      </c>
      <c r="E11" t="s">
        <v>163</v>
      </c>
      <c r="M11" s="2">
        <v>1</v>
      </c>
      <c r="N11" s="2">
        <v>1</v>
      </c>
    </row>
    <row r="12" spans="1:14" x14ac:dyDescent="0.2">
      <c r="A12" s="2">
        <v>7</v>
      </c>
      <c r="E12" t="s">
        <v>234</v>
      </c>
      <c r="M12" s="2">
        <v>2</v>
      </c>
      <c r="N12" s="2">
        <v>2</v>
      </c>
    </row>
    <row r="13" spans="1:14" x14ac:dyDescent="0.2">
      <c r="A13" s="2">
        <v>8</v>
      </c>
      <c r="E13" t="s">
        <v>235</v>
      </c>
      <c r="M13" s="2">
        <v>3</v>
      </c>
      <c r="N13" s="2">
        <v>3</v>
      </c>
    </row>
    <row r="14" spans="1:14" x14ac:dyDescent="0.2">
      <c r="A14" s="2">
        <v>9</v>
      </c>
      <c r="E14" t="s">
        <v>236</v>
      </c>
      <c r="M14" s="2">
        <v>4</v>
      </c>
      <c r="N14" s="2">
        <v>4</v>
      </c>
    </row>
    <row r="15" spans="1:14" x14ac:dyDescent="0.2">
      <c r="A15" s="2">
        <v>10</v>
      </c>
      <c r="E15" t="s">
        <v>237</v>
      </c>
      <c r="M15" s="2">
        <v>5</v>
      </c>
      <c r="N15" s="2">
        <v>5</v>
      </c>
    </row>
    <row r="16" spans="1:14" x14ac:dyDescent="0.2">
      <c r="A16" s="2" t="s">
        <v>7</v>
      </c>
      <c r="E16" t="s">
        <v>164</v>
      </c>
      <c r="M16" s="2">
        <v>6</v>
      </c>
      <c r="N16" s="2">
        <v>6</v>
      </c>
    </row>
    <row r="17" spans="5:14" x14ac:dyDescent="0.2">
      <c r="E17" t="s">
        <v>165</v>
      </c>
      <c r="M17" s="2">
        <v>7</v>
      </c>
      <c r="N17" s="2">
        <v>7</v>
      </c>
    </row>
    <row r="18" spans="5:14" x14ac:dyDescent="0.2">
      <c r="E18" t="s">
        <v>166</v>
      </c>
      <c r="M18" s="2">
        <v>8</v>
      </c>
      <c r="N18" s="2">
        <v>8</v>
      </c>
    </row>
    <row r="19" spans="5:14" x14ac:dyDescent="0.2">
      <c r="E19" t="s">
        <v>167</v>
      </c>
      <c r="M19" s="2">
        <v>9</v>
      </c>
      <c r="N19" s="2">
        <v>9</v>
      </c>
    </row>
    <row r="20" spans="5:14" x14ac:dyDescent="0.2">
      <c r="E20" t="s">
        <v>238</v>
      </c>
      <c r="M20" s="2">
        <v>10</v>
      </c>
      <c r="N20" s="2">
        <v>10</v>
      </c>
    </row>
    <row r="21" spans="5:14" x14ac:dyDescent="0.2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M20"/>
  <sheetViews>
    <sheetView showGridLines="0" topLeftCell="B1" workbookViewId="0">
      <selection activeCell="B13" sqref="B13"/>
    </sheetView>
  </sheetViews>
  <sheetFormatPr baseColWidth="10" defaultRowHeight="15" x14ac:dyDescent="0.2"/>
  <cols>
    <col min="2" max="2" width="97.33203125" customWidth="1"/>
    <col min="3" max="3" width="12" customWidth="1"/>
    <col min="4" max="4" width="13.33203125" customWidth="1"/>
    <col min="5" max="5" width="34.1640625" customWidth="1"/>
    <col min="6" max="6" width="18.1640625" customWidth="1"/>
    <col min="7" max="7" width="29" customWidth="1"/>
    <col min="8" max="10" width="23.5" customWidth="1"/>
    <col min="11" max="11" width="25" customWidth="1"/>
    <col min="12" max="12" width="5.6640625" customWidth="1"/>
  </cols>
  <sheetData>
    <row r="1" spans="1:13" ht="36.75" customHeight="1" x14ac:dyDescent="0.2">
      <c r="A1" s="69" t="s">
        <v>183</v>
      </c>
      <c r="B1" s="69"/>
      <c r="C1" s="69"/>
      <c r="D1" s="69"/>
      <c r="E1" s="69"/>
      <c r="F1" s="69"/>
      <c r="G1" s="69"/>
      <c r="M1" s="3"/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 x14ac:dyDescent="0.2">
      <c r="A3" s="23" t="s">
        <v>248</v>
      </c>
      <c r="B3" s="23" t="s">
        <v>8</v>
      </c>
      <c r="C3" s="64">
        <v>8</v>
      </c>
      <c r="D3" s="63" t="str">
        <f t="shared" ref="D3:D12" si="0">IF(OR(TipoDeSitio="",C3="NA"),"",VLOOKUP(CONCATENATE(A3,": ",B3),Tabla621,MATCH(TipoDeSitio,Tipos,0)+1,0))</f>
        <v>MA</v>
      </c>
      <c r="E3" s="53"/>
      <c r="F3" s="40">
        <f t="shared" ref="F3:F12" si="1">IF(C3="","",VLOOKUP(C3,ValoresVC,2,0))</f>
        <v>8</v>
      </c>
      <c r="G3" s="40">
        <f t="shared" ref="G3:G12" si="2">IF(D3="","",VLOOKUP($D3,ValoresRC,2,0))</f>
        <v>4</v>
      </c>
      <c r="H3" s="41">
        <f>IF(OR(G3="",G3=0,'Cálculo de % usabilidad'!$F$5=0),"",G3/'Cálculo de % usabilidad'!$F$5)</f>
        <v>2.4390243902439025E-2</v>
      </c>
      <c r="I3" s="41">
        <f>IF(OR(H3="",F3=""),"",H3*F3)</f>
        <v>0.1951219512195122</v>
      </c>
      <c r="J3" s="42">
        <f>IF(H3="","",H3*10)</f>
        <v>0.24390243902439024</v>
      </c>
      <c r="M3" s="12"/>
    </row>
    <row r="4" spans="1:13" x14ac:dyDescent="0.2">
      <c r="A4" s="23" t="s">
        <v>249</v>
      </c>
      <c r="B4" s="23" t="s">
        <v>277</v>
      </c>
      <c r="C4" s="64">
        <v>8</v>
      </c>
      <c r="D4" s="63" t="str">
        <f t="shared" si="0"/>
        <v>CR</v>
      </c>
      <c r="E4" s="53"/>
      <c r="F4" s="40">
        <f t="shared" si="1"/>
        <v>8</v>
      </c>
      <c r="G4" s="40">
        <f t="shared" si="2"/>
        <v>8</v>
      </c>
      <c r="H4" s="41">
        <f>IF(OR(G4="",G4=0,'Cálculo de % usabilidad'!$F$5=0),"",G4/'Cálculo de % usabilidad'!$F$5)</f>
        <v>4.878048780487805E-2</v>
      </c>
      <c r="I4" s="41">
        <f t="shared" ref="I4:I12" si="3">IF(OR(H4="",F4=""),"",H4*F4)</f>
        <v>0.3902439024390244</v>
      </c>
      <c r="J4" s="42">
        <f t="shared" ref="J4:J12" si="4">IF(H4="","",H4*10)</f>
        <v>0.48780487804878048</v>
      </c>
      <c r="M4" s="12"/>
    </row>
    <row r="5" spans="1:13" x14ac:dyDescent="0.2">
      <c r="A5" s="23" t="s">
        <v>250</v>
      </c>
      <c r="B5" s="23" t="s">
        <v>9</v>
      </c>
      <c r="C5" s="64">
        <v>10</v>
      </c>
      <c r="D5" s="63" t="str">
        <f t="shared" si="0"/>
        <v>MA</v>
      </c>
      <c r="E5" s="53"/>
      <c r="F5" s="40">
        <f t="shared" si="1"/>
        <v>10</v>
      </c>
      <c r="G5" s="40">
        <f t="shared" si="2"/>
        <v>4</v>
      </c>
      <c r="H5" s="41">
        <f>IF(OR(G5="",G5=0,'Cálculo de % usabilidad'!$F$5=0),"",G5/'Cálculo de % usabilidad'!$F$5)</f>
        <v>2.4390243902439025E-2</v>
      </c>
      <c r="I5" s="41">
        <f t="shared" si="3"/>
        <v>0.24390243902439024</v>
      </c>
      <c r="J5" s="42">
        <f t="shared" si="4"/>
        <v>0.24390243902439024</v>
      </c>
      <c r="M5" s="12"/>
    </row>
    <row r="6" spans="1:13" x14ac:dyDescent="0.2">
      <c r="A6" s="23" t="s">
        <v>251</v>
      </c>
      <c r="B6" s="23" t="s">
        <v>4</v>
      </c>
      <c r="C6" s="64">
        <v>8</v>
      </c>
      <c r="D6" s="63" t="str">
        <f t="shared" si="0"/>
        <v>ME</v>
      </c>
      <c r="E6" s="53"/>
      <c r="F6" s="40">
        <f t="shared" si="1"/>
        <v>8</v>
      </c>
      <c r="G6" s="40">
        <f t="shared" si="2"/>
        <v>2</v>
      </c>
      <c r="H6" s="41">
        <f>IF(OR(G6="",G6=0,'Cálculo de % usabilidad'!$F$5=0),"",G6/'Cálculo de % usabilidad'!$F$5)</f>
        <v>1.2195121951219513E-2</v>
      </c>
      <c r="I6" s="41">
        <f t="shared" si="3"/>
        <v>9.7560975609756101E-2</v>
      </c>
      <c r="J6" s="42">
        <f t="shared" si="4"/>
        <v>0.12195121951219512</v>
      </c>
      <c r="M6" s="12"/>
    </row>
    <row r="7" spans="1:13" x14ac:dyDescent="0.2">
      <c r="A7" s="23" t="s">
        <v>252</v>
      </c>
      <c r="B7" s="23" t="s">
        <v>10</v>
      </c>
      <c r="C7" s="64">
        <v>9</v>
      </c>
      <c r="D7" s="63" t="str">
        <f t="shared" si="0"/>
        <v>ME</v>
      </c>
      <c r="E7" s="53"/>
      <c r="F7" s="40">
        <f t="shared" si="1"/>
        <v>9</v>
      </c>
      <c r="G7" s="40">
        <f t="shared" si="2"/>
        <v>2</v>
      </c>
      <c r="H7" s="41">
        <f>IF(OR(G7="",G7=0,'Cálculo de % usabilidad'!$F$5=0),"",G7/'Cálculo de % usabilidad'!$F$5)</f>
        <v>1.2195121951219513E-2</v>
      </c>
      <c r="I7" s="41">
        <f t="shared" si="3"/>
        <v>0.10975609756097561</v>
      </c>
      <c r="J7" s="42">
        <f t="shared" si="4"/>
        <v>0.12195121951219512</v>
      </c>
      <c r="M7" s="12"/>
    </row>
    <row r="8" spans="1:13" x14ac:dyDescent="0.2">
      <c r="A8" s="23" t="s">
        <v>253</v>
      </c>
      <c r="B8" s="23" t="s">
        <v>11</v>
      </c>
      <c r="C8" s="64">
        <v>8</v>
      </c>
      <c r="D8" s="63" t="str">
        <f t="shared" si="0"/>
        <v>MA</v>
      </c>
      <c r="E8" s="53"/>
      <c r="F8" s="40">
        <f t="shared" si="1"/>
        <v>8</v>
      </c>
      <c r="G8" s="40">
        <f t="shared" si="2"/>
        <v>4</v>
      </c>
      <c r="H8" s="41">
        <f>IF(OR(G8="",G8=0,'Cálculo de % usabilidad'!$F$5=0),"",G8/'Cálculo de % usabilidad'!$F$5)</f>
        <v>2.4390243902439025E-2</v>
      </c>
      <c r="I8" s="41">
        <f t="shared" si="3"/>
        <v>0.1951219512195122</v>
      </c>
      <c r="J8" s="42">
        <f t="shared" si="4"/>
        <v>0.24390243902439024</v>
      </c>
      <c r="M8" s="12"/>
    </row>
    <row r="9" spans="1:13" x14ac:dyDescent="0.2">
      <c r="A9" s="23" t="s">
        <v>254</v>
      </c>
      <c r="B9" s="23" t="s">
        <v>17</v>
      </c>
      <c r="C9" s="64" t="s">
        <v>172</v>
      </c>
      <c r="D9" s="63" t="str">
        <f t="shared" si="0"/>
        <v>MA</v>
      </c>
      <c r="E9" s="53"/>
      <c r="F9" s="40">
        <f t="shared" si="1"/>
        <v>10</v>
      </c>
      <c r="G9" s="40">
        <f t="shared" si="2"/>
        <v>4</v>
      </c>
      <c r="H9" s="41">
        <f>IF(OR(G9="",G9=0,'Cálculo de % usabilidad'!$F$5=0),"",G9/'Cálculo de % usabilidad'!$F$5)</f>
        <v>2.4390243902439025E-2</v>
      </c>
      <c r="I9" s="41">
        <f t="shared" si="3"/>
        <v>0.24390243902439024</v>
      </c>
      <c r="J9" s="42">
        <f t="shared" si="4"/>
        <v>0.24390243902439024</v>
      </c>
      <c r="M9" s="12"/>
    </row>
    <row r="10" spans="1:13" x14ac:dyDescent="0.2">
      <c r="A10" s="23" t="s">
        <v>255</v>
      </c>
      <c r="B10" s="23" t="s">
        <v>18</v>
      </c>
      <c r="C10" s="64" t="s">
        <v>171</v>
      </c>
      <c r="D10" s="63" t="str">
        <f t="shared" si="0"/>
        <v>ME</v>
      </c>
      <c r="E10" s="53"/>
      <c r="F10" s="40">
        <f t="shared" si="1"/>
        <v>0</v>
      </c>
      <c r="G10" s="40">
        <f t="shared" si="2"/>
        <v>2</v>
      </c>
      <c r="H10" s="41">
        <f>IF(OR(G10="",G10=0,'Cálculo de % usabilidad'!$F$5=0),"",G10/'Cálculo de % usabilidad'!$F$5)</f>
        <v>1.2195121951219513E-2</v>
      </c>
      <c r="I10" s="41">
        <f t="shared" si="3"/>
        <v>0</v>
      </c>
      <c r="J10" s="42">
        <f t="shared" si="4"/>
        <v>0.12195121951219512</v>
      </c>
      <c r="M10" s="12"/>
    </row>
    <row r="11" spans="1:13" x14ac:dyDescent="0.2">
      <c r="A11" s="23" t="s">
        <v>256</v>
      </c>
      <c r="B11" s="23" t="s">
        <v>19</v>
      </c>
      <c r="C11" s="64" t="s">
        <v>171</v>
      </c>
      <c r="D11" s="63" t="str">
        <f t="shared" si="0"/>
        <v>ME</v>
      </c>
      <c r="E11" s="53"/>
      <c r="F11" s="40">
        <f t="shared" si="1"/>
        <v>0</v>
      </c>
      <c r="G11" s="40">
        <f t="shared" si="2"/>
        <v>2</v>
      </c>
      <c r="H11" s="41">
        <f>IF(OR(G11="",G11=0,'Cálculo de % usabilidad'!$F$5=0),"",G11/'Cálculo de % usabilidad'!$F$5)</f>
        <v>1.2195121951219513E-2</v>
      </c>
      <c r="I11" s="41">
        <f t="shared" si="3"/>
        <v>0</v>
      </c>
      <c r="J11" s="42">
        <f t="shared" si="4"/>
        <v>0.12195121951219512</v>
      </c>
      <c r="M11" s="12"/>
    </row>
    <row r="12" spans="1:13" ht="16" thickBot="1" x14ac:dyDescent="0.25">
      <c r="A12" s="23" t="s">
        <v>257</v>
      </c>
      <c r="B12" s="23" t="s">
        <v>5</v>
      </c>
      <c r="C12" s="64" t="s">
        <v>171</v>
      </c>
      <c r="D12" s="63" t="str">
        <f t="shared" si="0"/>
        <v>ME</v>
      </c>
      <c r="E12" s="53"/>
      <c r="F12" s="40">
        <f t="shared" si="1"/>
        <v>0</v>
      </c>
      <c r="G12" s="40">
        <f t="shared" si="2"/>
        <v>2</v>
      </c>
      <c r="H12" s="41">
        <f>IF(OR(G12="",G12=0,'Cálculo de % usabilidad'!$F$5=0),"",G12/'Cálculo de % usabilidad'!$F$5)</f>
        <v>1.2195121951219513E-2</v>
      </c>
      <c r="I12" s="41">
        <f t="shared" si="3"/>
        <v>0</v>
      </c>
      <c r="J12" s="42">
        <f t="shared" si="4"/>
        <v>0.12195121951219512</v>
      </c>
      <c r="K12" t="s">
        <v>195</v>
      </c>
      <c r="L12" s="14">
        <f>10-(COUNTIF(C3:C12,"NA")+COUNTBLANK(C3:C12))</f>
        <v>10</v>
      </c>
      <c r="M12" s="3" t="s">
        <v>196</v>
      </c>
    </row>
    <row r="13" spans="1:13" ht="16" thickBot="1" x14ac:dyDescent="0.25">
      <c r="G13" s="58">
        <f>IF(SUM(G3:G12)=0,"",SUM(G3:G12))</f>
        <v>34</v>
      </c>
      <c r="M13" s="3"/>
    </row>
    <row r="14" spans="1:13" x14ac:dyDescent="0.2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 x14ac:dyDescent="0.2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 x14ac:dyDescent="0.2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 x14ac:dyDescent="0.2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 x14ac:dyDescent="0.2">
      <c r="C19" s="10"/>
      <c r="D19" s="10"/>
      <c r="E19" s="10"/>
      <c r="F19" s="10"/>
      <c r="G19" s="10"/>
      <c r="H19" s="10"/>
      <c r="I19" s="10"/>
      <c r="J19" s="10"/>
    </row>
    <row r="20" spans="3:10" x14ac:dyDescent="0.2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M17"/>
  <sheetViews>
    <sheetView showGridLines="0" workbookViewId="0">
      <selection activeCell="C9" sqref="C9"/>
    </sheetView>
  </sheetViews>
  <sheetFormatPr baseColWidth="10" defaultRowHeight="15" x14ac:dyDescent="0.2"/>
  <cols>
    <col min="2" max="2" width="90.5" customWidth="1"/>
    <col min="3" max="3" width="11.6640625" customWidth="1"/>
    <col min="4" max="4" width="13.33203125" customWidth="1"/>
    <col min="5" max="5" width="34.1640625" customWidth="1"/>
    <col min="6" max="6" width="16.33203125" customWidth="1"/>
    <col min="7" max="7" width="29.5" customWidth="1"/>
    <col min="8" max="10" width="26.6640625" customWidth="1"/>
    <col min="11" max="11" width="25.1640625" customWidth="1"/>
    <col min="12" max="12" width="3.5" customWidth="1"/>
  </cols>
  <sheetData>
    <row r="1" spans="1:13" ht="36.75" customHeight="1" x14ac:dyDescent="0.2">
      <c r="A1" s="4" t="s">
        <v>184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3" t="s">
        <v>27</v>
      </c>
      <c r="B3" s="23" t="s">
        <v>34</v>
      </c>
      <c r="C3" s="62">
        <v>10</v>
      </c>
      <c r="D3" s="63" t="str">
        <f t="shared" ref="D3:D9" si="0">IF(OR(TipoDeSitio="",C3="NA"),"",VLOOKUP(CONCATENATE(A3,": ",B3),Tabla622,MATCH(TipoDeSitio,Tipos,0)+1,0))</f>
        <v>MO</v>
      </c>
      <c r="E3" s="53"/>
      <c r="F3" s="25">
        <f t="shared" ref="F3:F9" si="1">IF(C3="","",VLOOKUP(C3,ValoresVC,2,0))</f>
        <v>10</v>
      </c>
      <c r="G3" s="40">
        <f t="shared" ref="G3:G9" si="2">IF(D3="","",VLOOKUP($D3,ValoresRC,2,0))</f>
        <v>1</v>
      </c>
      <c r="H3" s="41">
        <f>IF(OR(G3="",G3=0,'Cálculo de % usabilidad'!$F$5=0),"",G3/'Cálculo de % usabilidad'!$F$5)</f>
        <v>6.0975609756097563E-3</v>
      </c>
      <c r="I3" s="41">
        <f>IF(OR(H3="",F3=""),"",H3*F3)</f>
        <v>6.097560975609756E-2</v>
      </c>
      <c r="J3" s="42">
        <f>IF(H3="","",H3*10)</f>
        <v>6.097560975609756E-2</v>
      </c>
      <c r="K3" s="7"/>
    </row>
    <row r="4" spans="1:13" x14ac:dyDescent="0.2">
      <c r="A4" s="23" t="s">
        <v>28</v>
      </c>
      <c r="B4" s="23" t="s">
        <v>35</v>
      </c>
      <c r="C4" s="62" t="s">
        <v>13</v>
      </c>
      <c r="D4" s="63" t="str">
        <f t="shared" si="0"/>
        <v>ME</v>
      </c>
      <c r="E4" s="53"/>
      <c r="F4" s="25">
        <f t="shared" si="1"/>
        <v>7.5</v>
      </c>
      <c r="G4" s="40">
        <f t="shared" si="2"/>
        <v>2</v>
      </c>
      <c r="H4" s="41">
        <f>IF(OR(G4="",G4=0,'Cálculo de % usabilidad'!$F$5=0),"",G4/'Cálculo de % usabilidad'!$F$5)</f>
        <v>1.2195121951219513E-2</v>
      </c>
      <c r="I4" s="41">
        <f t="shared" ref="I4:I9" si="3">IF(OR(H4="",F4=""),"",H4*F4)</f>
        <v>9.1463414634146339E-2</v>
      </c>
      <c r="J4" s="42">
        <f t="shared" ref="J4:J9" si="4">IF(H4="","",H4*10)</f>
        <v>0.12195121951219512</v>
      </c>
      <c r="K4" s="7"/>
    </row>
    <row r="5" spans="1:13" x14ac:dyDescent="0.2">
      <c r="A5" s="23" t="s">
        <v>29</v>
      </c>
      <c r="B5" s="23" t="s">
        <v>36</v>
      </c>
      <c r="C5" s="62">
        <v>5</v>
      </c>
      <c r="D5" s="63" t="str">
        <f t="shared" si="0"/>
        <v>ME</v>
      </c>
      <c r="E5" s="53"/>
      <c r="F5" s="25">
        <f t="shared" si="1"/>
        <v>5</v>
      </c>
      <c r="G5" s="40">
        <f t="shared" si="2"/>
        <v>2</v>
      </c>
      <c r="H5" s="41">
        <f>IF(OR(G5="",G5=0,'Cálculo de % usabilidad'!$F$5=0),"",G5/'Cálculo de % usabilidad'!$F$5)</f>
        <v>1.2195121951219513E-2</v>
      </c>
      <c r="I5" s="41">
        <f t="shared" si="3"/>
        <v>6.097560975609756E-2</v>
      </c>
      <c r="J5" s="42">
        <f t="shared" si="4"/>
        <v>0.12195121951219512</v>
      </c>
      <c r="K5" s="7"/>
    </row>
    <row r="6" spans="1:13" x14ac:dyDescent="0.2">
      <c r="A6" s="23" t="s">
        <v>30</v>
      </c>
      <c r="B6" s="23" t="s">
        <v>37</v>
      </c>
      <c r="C6" s="62" t="s">
        <v>172</v>
      </c>
      <c r="D6" s="63" t="str">
        <f t="shared" si="0"/>
        <v>ME</v>
      </c>
      <c r="E6" s="53"/>
      <c r="F6" s="25">
        <f t="shared" si="1"/>
        <v>10</v>
      </c>
      <c r="G6" s="40">
        <f t="shared" si="2"/>
        <v>2</v>
      </c>
      <c r="H6" s="41">
        <f>IF(OR(G6="",G6=0,'Cálculo de % usabilidad'!$F$5=0),"",G6/'Cálculo de % usabilidad'!$F$5)</f>
        <v>1.2195121951219513E-2</v>
      </c>
      <c r="I6" s="41">
        <f t="shared" si="3"/>
        <v>0.12195121951219512</v>
      </c>
      <c r="J6" s="42">
        <f t="shared" si="4"/>
        <v>0.12195121951219512</v>
      </c>
      <c r="K6" s="7"/>
    </row>
    <row r="7" spans="1:13" x14ac:dyDescent="0.2">
      <c r="A7" s="23" t="s">
        <v>31</v>
      </c>
      <c r="B7" s="23" t="s">
        <v>38</v>
      </c>
      <c r="C7" s="62" t="s">
        <v>171</v>
      </c>
      <c r="D7" s="63" t="str">
        <f t="shared" si="0"/>
        <v>ME</v>
      </c>
      <c r="E7" s="53"/>
      <c r="F7" s="25">
        <f t="shared" si="1"/>
        <v>0</v>
      </c>
      <c r="G7" s="40">
        <f t="shared" si="2"/>
        <v>2</v>
      </c>
      <c r="H7" s="41">
        <f>IF(OR(G7="",G7=0,'Cálculo de % usabilidad'!$F$5=0),"",G7/'Cálculo de % usabilidad'!$F$5)</f>
        <v>1.2195121951219513E-2</v>
      </c>
      <c r="I7" s="41">
        <f t="shared" si="3"/>
        <v>0</v>
      </c>
      <c r="J7" s="42">
        <f t="shared" si="4"/>
        <v>0.12195121951219512</v>
      </c>
      <c r="K7" s="7"/>
    </row>
    <row r="8" spans="1:13" ht="30" x14ac:dyDescent="0.2">
      <c r="A8" s="23" t="s">
        <v>32</v>
      </c>
      <c r="B8" s="24" t="s">
        <v>39</v>
      </c>
      <c r="C8" s="62" t="s">
        <v>171</v>
      </c>
      <c r="D8" s="63" t="str">
        <f t="shared" si="0"/>
        <v>ME</v>
      </c>
      <c r="E8" s="53"/>
      <c r="F8" s="25">
        <f t="shared" si="1"/>
        <v>0</v>
      </c>
      <c r="G8" s="40">
        <f t="shared" si="2"/>
        <v>2</v>
      </c>
      <c r="H8" s="41">
        <f>IF(OR(G8="",G8=0,'Cálculo de % usabilidad'!$F$5=0),"",G8/'Cálculo de % usabilidad'!$F$5)</f>
        <v>1.2195121951219513E-2</v>
      </c>
      <c r="I8" s="41">
        <f t="shared" si="3"/>
        <v>0</v>
      </c>
      <c r="J8" s="42">
        <f t="shared" si="4"/>
        <v>0.12195121951219512</v>
      </c>
      <c r="K8" s="7"/>
    </row>
    <row r="9" spans="1:13" ht="31" thickBot="1" x14ac:dyDescent="0.25">
      <c r="A9" s="23" t="s">
        <v>33</v>
      </c>
      <c r="B9" s="24" t="s">
        <v>40</v>
      </c>
      <c r="C9" s="62" t="s">
        <v>171</v>
      </c>
      <c r="D9" s="63" t="str">
        <f t="shared" si="0"/>
        <v>MA</v>
      </c>
      <c r="E9" s="53"/>
      <c r="F9" s="25">
        <f t="shared" si="1"/>
        <v>0</v>
      </c>
      <c r="G9" s="40">
        <f t="shared" si="2"/>
        <v>4</v>
      </c>
      <c r="H9" s="41">
        <f>IF(OR(G9="",G9=0,'Cálculo de % usabilidad'!$F$5=0),"",G9/'Cálculo de % usabilidad'!$F$5)</f>
        <v>2.4390243902439025E-2</v>
      </c>
      <c r="I9" s="41">
        <f t="shared" si="3"/>
        <v>0</v>
      </c>
      <c r="J9" s="42">
        <f t="shared" si="4"/>
        <v>0.24390243902439024</v>
      </c>
      <c r="K9" t="s">
        <v>195</v>
      </c>
      <c r="L9" s="14">
        <f>7-(COUNTIF(C3:C9,"NA")+COUNTBLANK(C3:C9))</f>
        <v>7</v>
      </c>
      <c r="M9" s="3" t="s">
        <v>196</v>
      </c>
    </row>
    <row r="10" spans="1:13" ht="16" thickBot="1" x14ac:dyDescent="0.25">
      <c r="G10" s="58">
        <f>IF(SUM(G3:G9)=0,"",SUM(G3:G9))</f>
        <v>15</v>
      </c>
    </row>
    <row r="11" spans="1:13" x14ac:dyDescent="0.2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">
      <c r="C16" s="10"/>
      <c r="D16" s="10"/>
      <c r="E16" s="10"/>
      <c r="F16" s="10"/>
      <c r="G16" s="10"/>
      <c r="H16" s="10"/>
      <c r="I16" s="10"/>
      <c r="J16" s="10"/>
    </row>
    <row r="17" spans="3:5" x14ac:dyDescent="0.2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M24"/>
  <sheetViews>
    <sheetView showGridLines="0" workbookViewId="0">
      <selection activeCell="C16" sqref="C16"/>
    </sheetView>
  </sheetViews>
  <sheetFormatPr baseColWidth="10" defaultRowHeight="15" x14ac:dyDescent="0.2"/>
  <cols>
    <col min="2" max="2" width="89" customWidth="1"/>
    <col min="4" max="4" width="13.33203125" customWidth="1"/>
    <col min="5" max="5" width="34.1640625" customWidth="1"/>
    <col min="6" max="6" width="16.1640625" customWidth="1"/>
    <col min="7" max="7" width="29.83203125" customWidth="1"/>
    <col min="8" max="10" width="24.33203125" customWidth="1"/>
    <col min="11" max="11" width="26.1640625" customWidth="1"/>
    <col min="12" max="12" width="4.5" customWidth="1"/>
  </cols>
  <sheetData>
    <row r="1" spans="1:13" ht="36.75" customHeight="1" x14ac:dyDescent="0.2">
      <c r="A1" s="4" t="s">
        <v>185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41</v>
      </c>
      <c r="B3" s="26" t="s">
        <v>52</v>
      </c>
      <c r="C3" s="59" t="s">
        <v>172</v>
      </c>
      <c r="D3" s="60" t="str">
        <f t="shared" ref="D3:D16" si="0">IF(OR(TipoDeSitio="",C3="NA"),"",VLOOKUP(CONCATENATE(A3,": ",B3),Tabla623,MATCH(TipoDeSitio,Tipos,0)+1,0))</f>
        <v>MO</v>
      </c>
      <c r="E3" s="51"/>
      <c r="F3" s="28">
        <f t="shared" ref="F3:F16" si="1">IF(C3="","",VLOOKUP(C3,ValoresVC,2,0))</f>
        <v>10</v>
      </c>
      <c r="G3" s="43">
        <f t="shared" ref="G3:G16" si="2">IF(D3="","",VLOOKUP($D3,ValoresRC,2,0))</f>
        <v>1</v>
      </c>
      <c r="H3" s="47">
        <f>IF(OR(G3="",G3=0,'Cálculo de % usabilidad'!$F$5=0),"",G3/'Cálculo de % usabilidad'!$F$5)</f>
        <v>6.0975609756097563E-3</v>
      </c>
      <c r="I3" s="47">
        <f>IF(OR(H3="",F3=""),"",H3*F3)</f>
        <v>6.097560975609756E-2</v>
      </c>
      <c r="J3" s="48">
        <f>IF(H3="","",H3*10)</f>
        <v>6.097560975609756E-2</v>
      </c>
      <c r="K3" s="7"/>
    </row>
    <row r="4" spans="1:13" x14ac:dyDescent="0.2">
      <c r="A4" s="26" t="s">
        <v>42</v>
      </c>
      <c r="B4" s="26" t="s">
        <v>53</v>
      </c>
      <c r="C4" s="59">
        <v>0</v>
      </c>
      <c r="D4" s="60" t="str">
        <f t="shared" si="0"/>
        <v>MA</v>
      </c>
      <c r="E4" s="51"/>
      <c r="F4" s="28">
        <f t="shared" si="1"/>
        <v>0</v>
      </c>
      <c r="G4" s="43">
        <f t="shared" si="2"/>
        <v>4</v>
      </c>
      <c r="H4" s="47">
        <f>IF(OR(G4="",G4=0,'Cálculo de % usabilidad'!$F$5=0),"",G4/'Cálculo de % usabilidad'!$F$5)</f>
        <v>2.4390243902439025E-2</v>
      </c>
      <c r="I4" s="47">
        <f t="shared" ref="I4:I16" si="3">IF(OR(H4="",F4=""),"",H4*F4)</f>
        <v>0</v>
      </c>
      <c r="J4" s="48">
        <f t="shared" ref="J4:J16" si="4">IF(H4="","",H4*10)</f>
        <v>0.24390243902439024</v>
      </c>
      <c r="K4" s="7"/>
    </row>
    <row r="5" spans="1:13" x14ac:dyDescent="0.2">
      <c r="A5" s="26" t="s">
        <v>43</v>
      </c>
      <c r="B5" s="26" t="s">
        <v>278</v>
      </c>
      <c r="C5" s="59">
        <v>9</v>
      </c>
      <c r="D5" s="60" t="str">
        <f t="shared" si="0"/>
        <v>ME</v>
      </c>
      <c r="E5" s="51"/>
      <c r="F5" s="28">
        <f t="shared" si="1"/>
        <v>9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0.10975609756097561</v>
      </c>
      <c r="J5" s="48">
        <f t="shared" si="4"/>
        <v>0.12195121951219512</v>
      </c>
      <c r="K5" s="7"/>
    </row>
    <row r="6" spans="1:13" x14ac:dyDescent="0.2">
      <c r="A6" s="26" t="s">
        <v>44</v>
      </c>
      <c r="B6" s="27" t="s">
        <v>279</v>
      </c>
      <c r="C6" s="59">
        <v>9</v>
      </c>
      <c r="D6" s="60" t="str">
        <f t="shared" si="0"/>
        <v>MA</v>
      </c>
      <c r="E6" s="51"/>
      <c r="F6" s="28">
        <f t="shared" si="1"/>
        <v>9</v>
      </c>
      <c r="G6" s="43">
        <f t="shared" si="2"/>
        <v>4</v>
      </c>
      <c r="H6" s="47">
        <f>IF(OR(G6="",G6=0,'Cálculo de % usabilidad'!$F$5=0),"",G6/'Cálculo de % usabilidad'!$F$5)</f>
        <v>2.4390243902439025E-2</v>
      </c>
      <c r="I6" s="47">
        <f t="shared" si="3"/>
        <v>0.21951219512195122</v>
      </c>
      <c r="J6" s="48">
        <f t="shared" si="4"/>
        <v>0.24390243902439024</v>
      </c>
      <c r="K6" s="7"/>
    </row>
    <row r="7" spans="1:13" x14ac:dyDescent="0.2">
      <c r="A7" s="26" t="s">
        <v>45</v>
      </c>
      <c r="B7" s="27" t="s">
        <v>270</v>
      </c>
      <c r="C7" s="59" t="s">
        <v>172</v>
      </c>
      <c r="D7" s="60" t="str">
        <f t="shared" si="0"/>
        <v>MA</v>
      </c>
      <c r="E7" s="51"/>
      <c r="F7" s="28">
        <f t="shared" si="1"/>
        <v>10</v>
      </c>
      <c r="G7" s="43">
        <f t="shared" si="2"/>
        <v>4</v>
      </c>
      <c r="H7" s="47">
        <f>IF(OR(G7="",G7=0,'Cálculo de % usabilidad'!$F$5=0),"",G7/'Cálculo de % usabilidad'!$F$5)</f>
        <v>2.4390243902439025E-2</v>
      </c>
      <c r="I7" s="47">
        <f t="shared" si="3"/>
        <v>0.24390243902439024</v>
      </c>
      <c r="J7" s="48">
        <f t="shared" si="4"/>
        <v>0.24390243902439024</v>
      </c>
      <c r="K7" s="7"/>
    </row>
    <row r="8" spans="1:13" x14ac:dyDescent="0.2">
      <c r="A8" s="26" t="s">
        <v>46</v>
      </c>
      <c r="B8" s="27" t="s">
        <v>54</v>
      </c>
      <c r="C8" s="59" t="s">
        <v>172</v>
      </c>
      <c r="D8" s="60" t="str">
        <f t="shared" si="0"/>
        <v>MA</v>
      </c>
      <c r="E8" s="51"/>
      <c r="F8" s="28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2.4390243902439025E-2</v>
      </c>
      <c r="I8" s="47">
        <f t="shared" si="3"/>
        <v>0.24390243902439024</v>
      </c>
      <c r="J8" s="48">
        <f t="shared" si="4"/>
        <v>0.24390243902439024</v>
      </c>
      <c r="K8" s="7"/>
    </row>
    <row r="9" spans="1:13" x14ac:dyDescent="0.2">
      <c r="A9" s="26" t="s">
        <v>47</v>
      </c>
      <c r="B9" s="27" t="s">
        <v>55</v>
      </c>
      <c r="C9" s="59" t="s">
        <v>7</v>
      </c>
      <c r="D9" s="60" t="str">
        <f t="shared" si="0"/>
        <v/>
      </c>
      <c r="E9" s="51"/>
      <c r="F9" s="28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x14ac:dyDescent="0.2">
      <c r="A10" s="26" t="s">
        <v>48</v>
      </c>
      <c r="B10" s="26" t="s">
        <v>56</v>
      </c>
      <c r="C10" s="59" t="s">
        <v>171</v>
      </c>
      <c r="D10" s="60" t="str">
        <f t="shared" si="0"/>
        <v>MA</v>
      </c>
      <c r="E10" s="51"/>
      <c r="F10" s="28">
        <f t="shared" si="1"/>
        <v>0</v>
      </c>
      <c r="G10" s="43">
        <f t="shared" si="2"/>
        <v>4</v>
      </c>
      <c r="H10" s="47">
        <f>IF(OR(G10="",G10=0,'Cálculo de % usabilidad'!$F$5=0),"",G10/'Cálculo de % usabilidad'!$F$5)</f>
        <v>2.4390243902439025E-2</v>
      </c>
      <c r="I10" s="47">
        <f t="shared" si="3"/>
        <v>0</v>
      </c>
      <c r="J10" s="48">
        <f t="shared" si="4"/>
        <v>0.24390243902439024</v>
      </c>
      <c r="K10" s="7"/>
    </row>
    <row r="11" spans="1:13" x14ac:dyDescent="0.2">
      <c r="A11" s="26" t="s">
        <v>49</v>
      </c>
      <c r="B11" s="26" t="s">
        <v>57</v>
      </c>
      <c r="C11" s="59" t="s">
        <v>171</v>
      </c>
      <c r="D11" s="60" t="str">
        <f t="shared" si="0"/>
        <v>MA</v>
      </c>
      <c r="E11" s="51"/>
      <c r="F11" s="28">
        <f t="shared" si="1"/>
        <v>0</v>
      </c>
      <c r="G11" s="43">
        <f t="shared" si="2"/>
        <v>4</v>
      </c>
      <c r="H11" s="47">
        <f>IF(OR(G11="",G11=0,'Cálculo de % usabilidad'!$F$5=0),"",G11/'Cálculo de % usabilidad'!$F$5)</f>
        <v>2.4390243902439025E-2</v>
      </c>
      <c r="I11" s="47">
        <f t="shared" si="3"/>
        <v>0</v>
      </c>
      <c r="J11" s="48">
        <f t="shared" si="4"/>
        <v>0.24390243902439024</v>
      </c>
      <c r="K11" s="7"/>
    </row>
    <row r="12" spans="1:13" x14ac:dyDescent="0.2">
      <c r="A12" s="26" t="s">
        <v>50</v>
      </c>
      <c r="B12" s="26" t="s">
        <v>58</v>
      </c>
      <c r="C12" s="59" t="s">
        <v>171</v>
      </c>
      <c r="D12" s="60" t="str">
        <f t="shared" si="0"/>
        <v>MO</v>
      </c>
      <c r="E12" s="51"/>
      <c r="F12" s="28">
        <f t="shared" si="1"/>
        <v>0</v>
      </c>
      <c r="G12" s="43">
        <f t="shared" si="2"/>
        <v>1</v>
      </c>
      <c r="H12" s="47">
        <f>IF(OR(G12="",G12=0,'Cálculo de % usabilidad'!$F$5=0),"",G12/'Cálculo de % usabilidad'!$F$5)</f>
        <v>6.0975609756097563E-3</v>
      </c>
      <c r="I12" s="47">
        <f t="shared" si="3"/>
        <v>0</v>
      </c>
      <c r="J12" s="48">
        <f t="shared" si="4"/>
        <v>6.097560975609756E-2</v>
      </c>
    </row>
    <row r="13" spans="1:13" x14ac:dyDescent="0.2">
      <c r="A13" s="26" t="s">
        <v>51</v>
      </c>
      <c r="B13" s="27" t="s">
        <v>59</v>
      </c>
      <c r="C13" s="59" t="s">
        <v>7</v>
      </c>
      <c r="D13" s="60" t="str">
        <f t="shared" si="0"/>
        <v/>
      </c>
      <c r="E13" s="51"/>
      <c r="F13" s="28">
        <f t="shared" si="1"/>
        <v>0</v>
      </c>
      <c r="G13" s="43" t="str">
        <f t="shared" si="2"/>
        <v/>
      </c>
      <c r="H13" s="47" t="str">
        <f>IF(OR(G13="",G13=0,'Cálculo de % usabilidad'!$F$5=0),"",G13/'Cálculo de % usabilidad'!$F$5)</f>
        <v/>
      </c>
      <c r="I13" s="47" t="str">
        <f t="shared" si="3"/>
        <v/>
      </c>
      <c r="J13" s="48" t="str">
        <f t="shared" si="4"/>
        <v/>
      </c>
    </row>
    <row r="14" spans="1:13" x14ac:dyDescent="0.2">
      <c r="A14" s="26" t="s">
        <v>60</v>
      </c>
      <c r="B14" s="26" t="s">
        <v>63</v>
      </c>
      <c r="C14" s="59" t="s">
        <v>7</v>
      </c>
      <c r="D14" s="60" t="str">
        <f t="shared" si="0"/>
        <v/>
      </c>
      <c r="E14" s="51"/>
      <c r="F14" s="28">
        <f t="shared" si="1"/>
        <v>0</v>
      </c>
      <c r="G14" s="43" t="str">
        <f t="shared" si="2"/>
        <v/>
      </c>
      <c r="H14" s="47" t="str">
        <f>IF(OR(G14="",G14=0,'Cálculo de % usabilidad'!$F$5=0),"",G14/'Cálculo de % usabilidad'!$F$5)</f>
        <v/>
      </c>
      <c r="I14" s="47" t="str">
        <f t="shared" si="3"/>
        <v/>
      </c>
      <c r="J14" s="48" t="str">
        <f t="shared" si="4"/>
        <v/>
      </c>
    </row>
    <row r="15" spans="1:13" ht="30" x14ac:dyDescent="0.2">
      <c r="A15" s="26" t="s">
        <v>61</v>
      </c>
      <c r="B15" s="27" t="s">
        <v>271</v>
      </c>
      <c r="C15" s="59" t="s">
        <v>7</v>
      </c>
      <c r="D15" s="60" t="str">
        <f t="shared" si="0"/>
        <v/>
      </c>
      <c r="E15" s="51"/>
      <c r="F15" s="28">
        <f t="shared" si="1"/>
        <v>0</v>
      </c>
      <c r="G15" s="43" t="str">
        <f t="shared" si="2"/>
        <v/>
      </c>
      <c r="H15" s="47" t="str">
        <f>IF(OR(G15="",G15=0,'Cálculo de % usabilidad'!$F$5=0),"",G15/'Cálculo de % usabilidad'!$F$5)</f>
        <v/>
      </c>
      <c r="I15" s="47" t="str">
        <f t="shared" si="3"/>
        <v/>
      </c>
      <c r="J15" s="48" t="str">
        <f t="shared" si="4"/>
        <v/>
      </c>
    </row>
    <row r="16" spans="1:13" ht="16" thickBot="1" x14ac:dyDescent="0.25">
      <c r="A16" s="26" t="s">
        <v>62</v>
      </c>
      <c r="B16" s="27" t="s">
        <v>272</v>
      </c>
      <c r="C16" s="59" t="s">
        <v>171</v>
      </c>
      <c r="D16" s="60" t="str">
        <f t="shared" si="0"/>
        <v>ME</v>
      </c>
      <c r="E16" s="51"/>
      <c r="F16" s="28">
        <f t="shared" si="1"/>
        <v>0</v>
      </c>
      <c r="G16" s="43">
        <f t="shared" si="2"/>
        <v>2</v>
      </c>
      <c r="H16" s="47">
        <f>IF(OR(G16="",G16=0,'Cálculo de % usabilidad'!$F$5=0),"",G16/'Cálculo de % usabilidad'!$F$5)</f>
        <v>1.2195121951219513E-2</v>
      </c>
      <c r="I16" s="47">
        <f t="shared" si="3"/>
        <v>0</v>
      </c>
      <c r="J16" s="48">
        <f t="shared" si="4"/>
        <v>0.12195121951219512</v>
      </c>
      <c r="K16" t="s">
        <v>195</v>
      </c>
      <c r="L16" s="14">
        <f>14-(COUNTIF(C3:C16,"NA")+COUNTBLANK(C3:C16))</f>
        <v>10</v>
      </c>
      <c r="M16" s="3" t="s">
        <v>196</v>
      </c>
    </row>
    <row r="17" spans="1:10" ht="16" thickBot="1" x14ac:dyDescent="0.25">
      <c r="G17" s="58">
        <f>IF(SUM(G3:G16)=0,"",SUM(G3:G16))</f>
        <v>30</v>
      </c>
    </row>
    <row r="18" spans="1:10" x14ac:dyDescent="0.2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 x14ac:dyDescent="0.2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 x14ac:dyDescent="0.2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 x14ac:dyDescent="0.2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 x14ac:dyDescent="0.2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 x14ac:dyDescent="0.2">
      <c r="C23" s="10"/>
      <c r="D23" s="10"/>
      <c r="E23" s="10"/>
      <c r="F23" s="10"/>
      <c r="G23" s="10"/>
      <c r="H23" s="10"/>
      <c r="I23" s="10"/>
      <c r="J23" s="10"/>
    </row>
    <row r="24" spans="1:10" x14ac:dyDescent="0.2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M47"/>
  <sheetViews>
    <sheetView showGridLines="0" workbookViewId="0">
      <selection activeCell="C8" sqref="C8"/>
    </sheetView>
  </sheetViews>
  <sheetFormatPr baseColWidth="10" defaultRowHeight="15" x14ac:dyDescent="0.2"/>
  <cols>
    <col min="2" max="2" width="90.6640625" customWidth="1"/>
    <col min="4" max="4" width="14" customWidth="1"/>
    <col min="5" max="5" width="34.5" customWidth="1"/>
    <col min="6" max="6" width="18" customWidth="1"/>
    <col min="7" max="7" width="30.5" customWidth="1"/>
    <col min="8" max="10" width="24.6640625" customWidth="1"/>
    <col min="11" max="11" width="25.1640625" customWidth="1"/>
    <col min="12" max="12" width="5.83203125" customWidth="1"/>
  </cols>
  <sheetData>
    <row r="1" spans="1:13" ht="36.75" customHeight="1" x14ac:dyDescent="0.2">
      <c r="A1" s="4" t="s">
        <v>186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64</v>
      </c>
      <c r="B3" s="26" t="s">
        <v>70</v>
      </c>
      <c r="C3" s="59" t="s">
        <v>171</v>
      </c>
      <c r="D3" s="60" t="str">
        <f t="shared" ref="D3:D8" si="0">IF(OR(TipoDeSitio="",C3="NA"),"",VLOOKUP(CONCATENATE(A3,": ",B3),Tabla624,MATCH(TipoDeSitio,Tipos,0)+1,0))</f>
        <v>ME</v>
      </c>
      <c r="E3" s="51"/>
      <c r="F3" s="28">
        <f t="shared" ref="F3:F8" si="1">IF(C3="","",VLOOKUP(C3,ValoresVC,2,0))</f>
        <v>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1.2195121951219513E-2</v>
      </c>
      <c r="I3" s="47">
        <f>IF(OR(H3="",F3=""),"",H3*F3)</f>
        <v>0</v>
      </c>
      <c r="J3" s="48">
        <f>IF(H3="","",H3*10)</f>
        <v>0.12195121951219512</v>
      </c>
      <c r="K3" s="7"/>
    </row>
    <row r="4" spans="1:13" x14ac:dyDescent="0.2">
      <c r="A4" s="26" t="s">
        <v>65</v>
      </c>
      <c r="B4" s="26" t="s">
        <v>71</v>
      </c>
      <c r="C4" s="59" t="s">
        <v>171</v>
      </c>
      <c r="D4" s="60" t="str">
        <f t="shared" si="0"/>
        <v>ME</v>
      </c>
      <c r="E4" s="51"/>
      <c r="F4" s="28">
        <f t="shared" si="1"/>
        <v>0</v>
      </c>
      <c r="G4" s="43">
        <f t="shared" si="2"/>
        <v>2</v>
      </c>
      <c r="H4" s="47">
        <f>IF(OR(G4="",G4=0,'Cálculo de % usabilidad'!$F$5=0),"",G4/'Cálculo de % usabilidad'!$F$5)</f>
        <v>1.2195121951219513E-2</v>
      </c>
      <c r="I4" s="47">
        <f t="shared" ref="I4:I8" si="3">IF(OR(H4="",F4=""),"",H4*F4)</f>
        <v>0</v>
      </c>
      <c r="J4" s="48">
        <f t="shared" ref="J4:J8" si="4">IF(H4="","",H4*10)</f>
        <v>0.12195121951219512</v>
      </c>
      <c r="K4" s="7"/>
    </row>
    <row r="5" spans="1:13" x14ac:dyDescent="0.2">
      <c r="A5" s="26" t="s">
        <v>66</v>
      </c>
      <c r="B5" s="26" t="s">
        <v>72</v>
      </c>
      <c r="C5" s="59" t="s">
        <v>172</v>
      </c>
      <c r="D5" s="60" t="str">
        <f t="shared" si="0"/>
        <v>ME</v>
      </c>
      <c r="E5" s="51"/>
      <c r="F5" s="28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0.12195121951219512</v>
      </c>
      <c r="J5" s="48">
        <f t="shared" si="4"/>
        <v>0.12195121951219512</v>
      </c>
      <c r="K5" s="7"/>
    </row>
    <row r="6" spans="1:13" x14ac:dyDescent="0.2">
      <c r="A6" s="26" t="s">
        <v>67</v>
      </c>
      <c r="B6" s="27" t="s">
        <v>73</v>
      </c>
      <c r="C6" s="59">
        <v>10</v>
      </c>
      <c r="D6" s="60" t="str">
        <f t="shared" si="0"/>
        <v>MO</v>
      </c>
      <c r="E6" s="51"/>
      <c r="F6" s="28">
        <f t="shared" si="1"/>
        <v>10</v>
      </c>
      <c r="G6" s="43">
        <f t="shared" si="2"/>
        <v>1</v>
      </c>
      <c r="H6" s="47">
        <f>IF(OR(G6="",G6=0,'Cálculo de % usabilidad'!$F$5=0),"",G6/'Cálculo de % usabilidad'!$F$5)</f>
        <v>6.0975609756097563E-3</v>
      </c>
      <c r="I6" s="47">
        <f t="shared" si="3"/>
        <v>6.097560975609756E-2</v>
      </c>
      <c r="J6" s="48">
        <f t="shared" si="4"/>
        <v>6.097560975609756E-2</v>
      </c>
      <c r="K6" s="7"/>
    </row>
    <row r="7" spans="1:13" x14ac:dyDescent="0.2">
      <c r="A7" s="26" t="s">
        <v>68</v>
      </c>
      <c r="B7" s="27" t="s">
        <v>74</v>
      </c>
      <c r="C7" s="59" t="s">
        <v>7</v>
      </c>
      <c r="D7" s="60" t="str">
        <f t="shared" si="0"/>
        <v/>
      </c>
      <c r="E7" s="51"/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6" thickBot="1" x14ac:dyDescent="0.25">
      <c r="A8" s="26" t="s">
        <v>69</v>
      </c>
      <c r="B8" s="27" t="s">
        <v>75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4</v>
      </c>
      <c r="M8" s="3" t="s">
        <v>196</v>
      </c>
    </row>
    <row r="9" spans="1:13" ht="16" thickBot="1" x14ac:dyDescent="0.25">
      <c r="G9" s="58">
        <f>IF(SUM(G3:G8)=0,"",SUM(G3:G8))</f>
        <v>7</v>
      </c>
    </row>
    <row r="10" spans="1:13" x14ac:dyDescent="0.2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">
      <c r="C15" s="10"/>
      <c r="D15" s="10"/>
      <c r="E15" s="10"/>
      <c r="F15" s="10"/>
      <c r="G15" s="10"/>
      <c r="H15" s="10"/>
      <c r="I15" s="10"/>
      <c r="J15" s="10"/>
    </row>
    <row r="16" spans="1:13" x14ac:dyDescent="0.2">
      <c r="C16" s="7"/>
      <c r="D16" s="7"/>
      <c r="E16" s="7"/>
    </row>
    <row r="17" spans="1:4" x14ac:dyDescent="0.2">
      <c r="A17" s="8"/>
      <c r="B17" s="7"/>
      <c r="C17" s="7"/>
      <c r="D17" s="7"/>
    </row>
    <row r="18" spans="1:4" x14ac:dyDescent="0.2">
      <c r="A18" s="7"/>
      <c r="B18" s="7"/>
      <c r="C18" s="7"/>
      <c r="D18" s="7"/>
    </row>
    <row r="19" spans="1:4" x14ac:dyDescent="0.2">
      <c r="A19" s="3"/>
      <c r="B19" s="3"/>
      <c r="C19" s="3"/>
    </row>
    <row r="20" spans="1:4" x14ac:dyDescent="0.2">
      <c r="A20" s="3"/>
      <c r="B20" s="3"/>
      <c r="C20" s="3"/>
    </row>
    <row r="21" spans="1:4" x14ac:dyDescent="0.2">
      <c r="A21" s="3"/>
      <c r="B21" s="3"/>
      <c r="C21" s="3"/>
    </row>
    <row r="22" spans="1:4" x14ac:dyDescent="0.2">
      <c r="A22" s="3"/>
      <c r="B22" s="3"/>
      <c r="C22" s="3"/>
    </row>
    <row r="23" spans="1:4" x14ac:dyDescent="0.2">
      <c r="A23" s="3"/>
      <c r="B23" s="3"/>
      <c r="C23" s="3"/>
    </row>
    <row r="24" spans="1:4" x14ac:dyDescent="0.2">
      <c r="A24" s="3"/>
      <c r="B24" s="3"/>
      <c r="C24" s="3"/>
    </row>
    <row r="25" spans="1:4" x14ac:dyDescent="0.2">
      <c r="A25" s="3"/>
      <c r="B25" s="3"/>
      <c r="C25" s="3"/>
    </row>
    <row r="26" spans="1:4" x14ac:dyDescent="0.2">
      <c r="A26" s="3"/>
      <c r="B26" s="3"/>
      <c r="C26" s="3"/>
    </row>
    <row r="27" spans="1:4" x14ac:dyDescent="0.2">
      <c r="A27" s="3"/>
      <c r="B27" s="3"/>
      <c r="C27" s="3"/>
    </row>
    <row r="28" spans="1:4" x14ac:dyDescent="0.2">
      <c r="A28" s="3"/>
      <c r="B28" s="3"/>
      <c r="C28" s="3"/>
    </row>
    <row r="29" spans="1:4" x14ac:dyDescent="0.2">
      <c r="A29" s="3"/>
      <c r="B29" s="3"/>
      <c r="C29" s="3"/>
    </row>
    <row r="30" spans="1:4" x14ac:dyDescent="0.2">
      <c r="A30" s="3"/>
      <c r="B30" s="3"/>
      <c r="C30" s="3"/>
    </row>
    <row r="31" spans="1:4" x14ac:dyDescent="0.2">
      <c r="A31" s="3"/>
      <c r="B31" s="3"/>
      <c r="C31" s="3"/>
    </row>
    <row r="32" spans="1:4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M24"/>
  <sheetViews>
    <sheetView showGridLines="0" workbookViewId="0">
      <selection activeCell="C12" sqref="C12"/>
    </sheetView>
  </sheetViews>
  <sheetFormatPr baseColWidth="10" defaultRowHeight="15" x14ac:dyDescent="0.2"/>
  <cols>
    <col min="2" max="2" width="88.1640625" customWidth="1"/>
    <col min="4" max="4" width="16.1640625" customWidth="1"/>
    <col min="5" max="5" width="26.5" customWidth="1"/>
    <col min="6" max="6" width="17.6640625" customWidth="1"/>
    <col min="7" max="7" width="29.5" customWidth="1"/>
    <col min="8" max="10" width="24.5" customWidth="1"/>
    <col min="11" max="11" width="24.83203125" customWidth="1"/>
    <col min="12" max="12" width="4.1640625" customWidth="1"/>
  </cols>
  <sheetData>
    <row r="1" spans="1:13" ht="36.75" customHeight="1" x14ac:dyDescent="0.2">
      <c r="A1" s="4" t="s">
        <v>187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76</v>
      </c>
      <c r="B3" s="27" t="s">
        <v>87</v>
      </c>
      <c r="C3" s="59" t="s">
        <v>172</v>
      </c>
      <c r="D3" s="60" t="str">
        <f t="shared" ref="D3:D12" si="0">IF(OR(TipoDeSitio="",C3="NA"),"",VLOOKUP(CONCATENATE(A3,": ",B3),Tabla625,MATCH(TipoDeSitio,Tipos,0)+1,0))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1.2195121951219513E-2</v>
      </c>
      <c r="I3" s="47">
        <f>IF(OR(H3="",F3=""),"",H3*F3)</f>
        <v>0.12195121951219512</v>
      </c>
      <c r="J3" s="48">
        <f>IF(H3="","",H3*10)</f>
        <v>0.12195121951219512</v>
      </c>
      <c r="K3" s="7"/>
    </row>
    <row r="4" spans="1:13" x14ac:dyDescent="0.2">
      <c r="A4" s="26" t="s">
        <v>77</v>
      </c>
      <c r="B4" s="26" t="s">
        <v>86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1.2195121951219513E-2</v>
      </c>
      <c r="I4" s="47">
        <f t="shared" ref="I4:I12" si="3">IF(OR(H4="",F4=""),"",H4*F4)</f>
        <v>0.12195121951219512</v>
      </c>
      <c r="J4" s="48">
        <f t="shared" ref="J4:J12" si="4">IF(H4="","",H4*10)</f>
        <v>0.12195121951219512</v>
      </c>
      <c r="K4" s="7"/>
    </row>
    <row r="5" spans="1:13" x14ac:dyDescent="0.2">
      <c r="A5" s="26" t="s">
        <v>78</v>
      </c>
      <c r="B5" s="26" t="s">
        <v>88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0.12195121951219512</v>
      </c>
      <c r="J5" s="48">
        <f t="shared" si="4"/>
        <v>0.12195121951219512</v>
      </c>
      <c r="K5" s="7"/>
    </row>
    <row r="6" spans="1:13" x14ac:dyDescent="0.2">
      <c r="A6" s="26" t="s">
        <v>79</v>
      </c>
      <c r="B6" s="27" t="s">
        <v>273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1.2195121951219513E-2</v>
      </c>
      <c r="I6" s="47">
        <f t="shared" si="3"/>
        <v>0.12195121951219512</v>
      </c>
      <c r="J6" s="48">
        <f t="shared" si="4"/>
        <v>0.12195121951219512</v>
      </c>
      <c r="K6" s="7"/>
    </row>
    <row r="7" spans="1:13" x14ac:dyDescent="0.2">
      <c r="A7" s="26" t="s">
        <v>80</v>
      </c>
      <c r="B7" s="27" t="s">
        <v>89</v>
      </c>
      <c r="C7" s="59">
        <v>8</v>
      </c>
      <c r="D7" s="60" t="str">
        <f t="shared" si="0"/>
        <v>ME</v>
      </c>
      <c r="E7" s="51"/>
      <c r="F7" s="43">
        <f t="shared" si="1"/>
        <v>8</v>
      </c>
      <c r="G7" s="43">
        <f t="shared" si="2"/>
        <v>2</v>
      </c>
      <c r="H7" s="47">
        <f>IF(OR(G7="",G7=0,'Cálculo de % usabilidad'!$F$5=0),"",G7/'Cálculo de % usabilidad'!$F$5)</f>
        <v>1.2195121951219513E-2</v>
      </c>
      <c r="I7" s="47">
        <f t="shared" si="3"/>
        <v>9.7560975609756101E-2</v>
      </c>
      <c r="J7" s="48">
        <f t="shared" si="4"/>
        <v>0.12195121951219512</v>
      </c>
      <c r="K7" s="7"/>
    </row>
    <row r="8" spans="1:13" ht="30" x14ac:dyDescent="0.2">
      <c r="A8" s="26" t="s">
        <v>81</v>
      </c>
      <c r="B8" s="27" t="s">
        <v>181</v>
      </c>
      <c r="C8" s="59">
        <v>5</v>
      </c>
      <c r="D8" s="60" t="str">
        <f t="shared" si="0"/>
        <v>ME</v>
      </c>
      <c r="E8" s="51"/>
      <c r="F8" s="43">
        <f t="shared" si="1"/>
        <v>5</v>
      </c>
      <c r="G8" s="43">
        <f t="shared" si="2"/>
        <v>2</v>
      </c>
      <c r="H8" s="47">
        <f>IF(OR(G8="",G8=0,'Cálculo de % usabilidad'!$F$5=0),"",G8/'Cálculo de % usabilidad'!$F$5)</f>
        <v>1.2195121951219513E-2</v>
      </c>
      <c r="I8" s="47">
        <f t="shared" si="3"/>
        <v>6.097560975609756E-2</v>
      </c>
      <c r="J8" s="48">
        <f t="shared" si="4"/>
        <v>0.12195121951219512</v>
      </c>
      <c r="K8" s="7"/>
    </row>
    <row r="9" spans="1:13" x14ac:dyDescent="0.2">
      <c r="A9" s="26" t="s">
        <v>82</v>
      </c>
      <c r="B9" s="27" t="s">
        <v>90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x14ac:dyDescent="0.2">
      <c r="A10" s="26" t="s">
        <v>83</v>
      </c>
      <c r="B10" s="26" t="s">
        <v>91</v>
      </c>
      <c r="C10" s="59" t="s">
        <v>172</v>
      </c>
      <c r="D10" s="60" t="str">
        <f t="shared" si="0"/>
        <v>MA</v>
      </c>
      <c r="E10" s="51"/>
      <c r="F10" s="43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2.4390243902439025E-2</v>
      </c>
      <c r="I10" s="47">
        <f t="shared" si="3"/>
        <v>0.24390243902439024</v>
      </c>
      <c r="J10" s="48">
        <f t="shared" si="4"/>
        <v>0.24390243902439024</v>
      </c>
      <c r="K10" s="7"/>
    </row>
    <row r="11" spans="1:13" x14ac:dyDescent="0.2">
      <c r="A11" s="26" t="s">
        <v>84</v>
      </c>
      <c r="B11" s="26" t="s">
        <v>92</v>
      </c>
      <c r="C11" s="59" t="s">
        <v>172</v>
      </c>
      <c r="D11" s="60" t="str">
        <f t="shared" si="0"/>
        <v>MA</v>
      </c>
      <c r="E11" s="51"/>
      <c r="F11" s="43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2.4390243902439025E-2</v>
      </c>
      <c r="I11" s="47">
        <f t="shared" si="3"/>
        <v>0.24390243902439024</v>
      </c>
      <c r="J11" s="48">
        <f t="shared" si="4"/>
        <v>0.24390243902439024</v>
      </c>
      <c r="K11" s="7"/>
    </row>
    <row r="12" spans="1:13" ht="16" thickBot="1" x14ac:dyDescent="0.25">
      <c r="A12" s="26" t="s">
        <v>85</v>
      </c>
      <c r="B12" s="26" t="s">
        <v>93</v>
      </c>
      <c r="C12" s="59" t="s">
        <v>172</v>
      </c>
      <c r="D12" s="60" t="str">
        <f t="shared" si="0"/>
        <v>ME</v>
      </c>
      <c r="E12" s="51"/>
      <c r="F12" s="43">
        <f t="shared" si="1"/>
        <v>10</v>
      </c>
      <c r="G12" s="43">
        <f t="shared" si="2"/>
        <v>2</v>
      </c>
      <c r="H12" s="47">
        <f>IF(OR(G12="",G12=0,'Cálculo de % usabilidad'!$F$5=0),"",G12/'Cálculo de % usabilidad'!$F$5)</f>
        <v>1.2195121951219513E-2</v>
      </c>
      <c r="I12" s="47">
        <f t="shared" si="3"/>
        <v>0.12195121951219512</v>
      </c>
      <c r="J12" s="48">
        <f t="shared" si="4"/>
        <v>0.12195121951219512</v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6" thickBot="1" x14ac:dyDescent="0.25">
      <c r="G13" s="58">
        <f>IF(SUM(G3:G12)=0,"",SUM(G3:G12))</f>
        <v>22</v>
      </c>
    </row>
    <row r="14" spans="1:13" x14ac:dyDescent="0.2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"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C20" s="7"/>
      <c r="D20" s="7"/>
      <c r="E20" s="7"/>
    </row>
    <row r="21" spans="1:10" x14ac:dyDescent="0.2">
      <c r="A21" s="7"/>
      <c r="B21" s="7"/>
      <c r="C21" s="7"/>
      <c r="D21" s="7"/>
    </row>
    <row r="22" spans="1:10" x14ac:dyDescent="0.2">
      <c r="A22" s="3"/>
      <c r="B22" s="3"/>
      <c r="C22" s="3"/>
    </row>
    <row r="23" spans="1:10" x14ac:dyDescent="0.2">
      <c r="A23" s="3"/>
      <c r="B23" s="3"/>
      <c r="C23" s="3"/>
    </row>
    <row r="24" spans="1:10" x14ac:dyDescent="0.2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/>
  <dimension ref="A1:M22"/>
  <sheetViews>
    <sheetView showGridLines="0" workbookViewId="0">
      <selection activeCell="B17" sqref="B17"/>
    </sheetView>
  </sheetViews>
  <sheetFormatPr baseColWidth="10" defaultRowHeight="15" x14ac:dyDescent="0.2"/>
  <cols>
    <col min="2" max="2" width="92" customWidth="1"/>
    <col min="4" max="4" width="13.33203125" customWidth="1"/>
    <col min="5" max="5" width="29.5" customWidth="1"/>
    <col min="6" max="6" width="18" customWidth="1"/>
    <col min="7" max="7" width="29.5" customWidth="1"/>
    <col min="8" max="10" width="26" customWidth="1"/>
    <col min="11" max="11" width="25.83203125" customWidth="1"/>
    <col min="12" max="12" width="5.83203125" customWidth="1"/>
  </cols>
  <sheetData>
    <row r="1" spans="1:13" ht="36.75" customHeight="1" x14ac:dyDescent="0.2">
      <c r="A1" s="4" t="s">
        <v>188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94</v>
      </c>
      <c r="B3" s="27" t="s">
        <v>101</v>
      </c>
      <c r="C3" s="59" t="s">
        <v>7</v>
      </c>
      <c r="D3" s="60" t="str">
        <f t="shared" ref="D3:D9" si="0">IF(OR(TipoDeSitio="",C3="NA"),"",VLOOKUP(CONCATENATE(A3,": ",B3),Tabla626,MATCH(TipoDeSitio,Tipos,0)+1,0))</f>
        <v/>
      </c>
      <c r="E3" s="51"/>
      <c r="F3" s="43">
        <f t="shared" ref="F3:F9" si="1">IF(C3="","",VLOOKUP(C3,ValoresVC,2,0))</f>
        <v>0</v>
      </c>
      <c r="G3" s="43" t="str">
        <f t="shared" ref="G3:G9" si="2">IF(D3="","",VLOOKUP($D3,ValoresRC,2,0))</f>
        <v/>
      </c>
      <c r="H3" s="47" t="str">
        <f>IF(OR(G3="",G3=0,'Cálculo de % usabilidad'!$F$5=0),"",G3/'Cálculo de % usabilidad'!$F$5)</f>
        <v/>
      </c>
      <c r="I3" s="47" t="str">
        <f>IF(OR(H3="",F3=""),"",H3*F3)</f>
        <v/>
      </c>
      <c r="J3" s="48" t="str">
        <f>IF(H3="","",H3*10)</f>
        <v/>
      </c>
      <c r="K3" s="7"/>
    </row>
    <row r="4" spans="1:13" x14ac:dyDescent="0.2">
      <c r="A4" s="26" t="s">
        <v>95</v>
      </c>
      <c r="B4" s="26" t="s">
        <v>280</v>
      </c>
      <c r="C4" s="59" t="s">
        <v>7</v>
      </c>
      <c r="D4" s="60" t="str">
        <f t="shared" si="0"/>
        <v/>
      </c>
      <c r="E4" s="51"/>
      <c r="F4" s="43">
        <f t="shared" si="1"/>
        <v>0</v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9" si="3">IF(OR(H4="",F4=""),"",H4*F4)</f>
        <v/>
      </c>
      <c r="J4" s="48" t="str">
        <f t="shared" ref="J4:J9" si="4">IF(H4="","",H4*10)</f>
        <v/>
      </c>
      <c r="K4" s="7"/>
    </row>
    <row r="5" spans="1:13" x14ac:dyDescent="0.2">
      <c r="A5" s="26" t="s">
        <v>96</v>
      </c>
      <c r="B5" s="26" t="s">
        <v>102</v>
      </c>
      <c r="C5" s="59" t="s">
        <v>7</v>
      </c>
      <c r="D5" s="60" t="str">
        <f t="shared" si="0"/>
        <v/>
      </c>
      <c r="E5" s="51"/>
      <c r="F5" s="43">
        <f t="shared" si="1"/>
        <v>0</v>
      </c>
      <c r="G5" s="43" t="str">
        <f t="shared" si="2"/>
        <v/>
      </c>
      <c r="H5" s="47" t="str">
        <f>IF(OR(G5="",G5=0,'Cálculo de % usabilidad'!$F$5=0),"",G5/'Cálculo de % usabilidad'!$F$5)</f>
        <v/>
      </c>
      <c r="I5" s="47" t="str">
        <f t="shared" si="3"/>
        <v/>
      </c>
      <c r="J5" s="48" t="str">
        <f t="shared" si="4"/>
        <v/>
      </c>
      <c r="K5" s="7"/>
    </row>
    <row r="6" spans="1:13" x14ac:dyDescent="0.2">
      <c r="A6" s="26" t="s">
        <v>97</v>
      </c>
      <c r="B6" s="27" t="s">
        <v>103</v>
      </c>
      <c r="C6" s="59" t="s">
        <v>171</v>
      </c>
      <c r="D6" s="60" t="str">
        <f t="shared" si="0"/>
        <v>ME</v>
      </c>
      <c r="E6" s="51"/>
      <c r="F6" s="43">
        <f t="shared" si="1"/>
        <v>0</v>
      </c>
      <c r="G6" s="43">
        <f t="shared" si="2"/>
        <v>2</v>
      </c>
      <c r="H6" s="47">
        <f>IF(OR(G6="",G6=0,'Cálculo de % usabilidad'!$F$5=0),"",G6/'Cálculo de % usabilidad'!$F$5)</f>
        <v>1.2195121951219513E-2</v>
      </c>
      <c r="I6" s="47">
        <f t="shared" si="3"/>
        <v>0</v>
      </c>
      <c r="J6" s="48">
        <f t="shared" si="4"/>
        <v>0.12195121951219512</v>
      </c>
      <c r="K6" s="7"/>
    </row>
    <row r="7" spans="1:13" x14ac:dyDescent="0.2">
      <c r="A7" s="26" t="s">
        <v>98</v>
      </c>
      <c r="B7" s="27" t="s">
        <v>281</v>
      </c>
      <c r="C7" s="59" t="s">
        <v>172</v>
      </c>
      <c r="D7" s="60" t="str">
        <f t="shared" si="0"/>
        <v>ME</v>
      </c>
      <c r="E7" s="51"/>
      <c r="F7" s="43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1.2195121951219513E-2</v>
      </c>
      <c r="I7" s="47">
        <f t="shared" si="3"/>
        <v>0.12195121951219512</v>
      </c>
      <c r="J7" s="48">
        <f t="shared" si="4"/>
        <v>0.12195121951219512</v>
      </c>
      <c r="K7" s="7"/>
    </row>
    <row r="8" spans="1:13" x14ac:dyDescent="0.2">
      <c r="A8" s="26" t="s">
        <v>99</v>
      </c>
      <c r="B8" s="27" t="s">
        <v>104</v>
      </c>
      <c r="C8" s="59" t="s">
        <v>172</v>
      </c>
      <c r="D8" s="60" t="str">
        <f t="shared" si="0"/>
        <v>ME</v>
      </c>
      <c r="E8" s="51"/>
      <c r="F8" s="43">
        <f t="shared" si="1"/>
        <v>10</v>
      </c>
      <c r="G8" s="43">
        <f t="shared" si="2"/>
        <v>2</v>
      </c>
      <c r="H8" s="47">
        <f>IF(OR(G8="",G8=0,'Cálculo de % usabilidad'!$F$5=0),"",G8/'Cálculo de % usabilidad'!$F$5)</f>
        <v>1.2195121951219513E-2</v>
      </c>
      <c r="I8" s="47">
        <f t="shared" si="3"/>
        <v>0.12195121951219512</v>
      </c>
      <c r="J8" s="48">
        <f t="shared" si="4"/>
        <v>0.12195121951219512</v>
      </c>
      <c r="K8" s="7"/>
    </row>
    <row r="9" spans="1:13" ht="16" thickBot="1" x14ac:dyDescent="0.25">
      <c r="A9" s="26" t="s">
        <v>100</v>
      </c>
      <c r="B9" s="27" t="s">
        <v>282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3</v>
      </c>
      <c r="M9" s="3" t="s">
        <v>196</v>
      </c>
    </row>
    <row r="10" spans="1:13" ht="16" thickBot="1" x14ac:dyDescent="0.25">
      <c r="G10" s="58">
        <f>IF(SUM(G3:G9)=0,"",SUM(G3:G9))</f>
        <v>6</v>
      </c>
    </row>
    <row r="11" spans="1:13" x14ac:dyDescent="0.2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">
      <c r="C16" s="10"/>
      <c r="D16" s="10"/>
      <c r="E16" s="10"/>
      <c r="F16" s="10"/>
      <c r="G16" s="10"/>
      <c r="H16" s="10"/>
      <c r="I16" s="10"/>
      <c r="J16" s="10"/>
    </row>
    <row r="17" spans="1:5" x14ac:dyDescent="0.2">
      <c r="C17" s="7"/>
      <c r="D17" s="7"/>
      <c r="E17" s="7"/>
    </row>
    <row r="18" spans="1:5" x14ac:dyDescent="0.2">
      <c r="A18" s="8"/>
      <c r="B18" s="7"/>
      <c r="C18" s="7"/>
      <c r="D18" s="7"/>
      <c r="E18" s="7"/>
    </row>
    <row r="19" spans="1:5" x14ac:dyDescent="0.2">
      <c r="A19" s="7"/>
      <c r="B19" s="7"/>
      <c r="C19" s="7"/>
      <c r="D19" s="7"/>
      <c r="E19" s="7"/>
    </row>
    <row r="20" spans="1:5" x14ac:dyDescent="0.2">
      <c r="A20" s="12"/>
      <c r="B20" s="12"/>
      <c r="C20" s="12"/>
      <c r="D20" s="7"/>
      <c r="E20" s="7"/>
    </row>
    <row r="21" spans="1:5" x14ac:dyDescent="0.2">
      <c r="A21" s="3"/>
      <c r="B21" s="3"/>
      <c r="C21" s="3"/>
    </row>
    <row r="22" spans="1:5" x14ac:dyDescent="0.2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M23"/>
  <sheetViews>
    <sheetView showGridLines="0" zoomScale="93" zoomScaleNormal="93" zoomScalePageLayoutView="93" workbookViewId="0">
      <selection activeCell="C12" sqref="C12"/>
    </sheetView>
  </sheetViews>
  <sheetFormatPr baseColWidth="10" defaultRowHeight="15" x14ac:dyDescent="0.2"/>
  <cols>
    <col min="2" max="2" width="88.1640625" customWidth="1"/>
    <col min="4" max="4" width="15" customWidth="1"/>
    <col min="5" max="5" width="30.6640625" customWidth="1"/>
    <col min="6" max="6" width="16.1640625" customWidth="1"/>
    <col min="7" max="7" width="29.5" customWidth="1"/>
    <col min="8" max="10" width="22.5" customWidth="1"/>
    <col min="11" max="11" width="25.33203125" customWidth="1"/>
    <col min="12" max="12" width="4.1640625" customWidth="1"/>
  </cols>
  <sheetData>
    <row r="1" spans="1:13" ht="36.75" customHeight="1" x14ac:dyDescent="0.2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105</v>
      </c>
      <c r="B3" s="66" t="s">
        <v>115</v>
      </c>
      <c r="C3" s="59" t="s">
        <v>172</v>
      </c>
      <c r="D3" s="60" t="str">
        <f t="shared" ref="D3:D12" si="0">IF(OR(TipoDeSitio="",C3="NA"),"",VLOOKUP(CONCATENATE(A3,": ",B3),Tabla627,MATCH(TipoDeSitio,Tipos,0)+1,0))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1.2195121951219513E-2</v>
      </c>
      <c r="I3" s="47">
        <f>IF(OR(H3="",F3=""),"",H3*F3)</f>
        <v>0.12195121951219512</v>
      </c>
      <c r="J3" s="48">
        <f>IF(H3="","",H3*10)</f>
        <v>0.12195121951219512</v>
      </c>
      <c r="K3" s="7"/>
    </row>
    <row r="4" spans="1:13" x14ac:dyDescent="0.2">
      <c r="A4" s="26" t="s">
        <v>106</v>
      </c>
      <c r="B4" s="67" t="s">
        <v>116</v>
      </c>
      <c r="C4" s="59" t="s">
        <v>172</v>
      </c>
      <c r="D4" s="60" t="str">
        <f t="shared" si="0"/>
        <v>MO</v>
      </c>
      <c r="E4" s="51"/>
      <c r="F4" s="43">
        <f t="shared" si="1"/>
        <v>10</v>
      </c>
      <c r="G4" s="43">
        <f t="shared" si="2"/>
        <v>1</v>
      </c>
      <c r="H4" s="47">
        <f>IF(OR(G4="",G4=0,'Cálculo de % usabilidad'!$F$5=0),"",G4/'Cálculo de % usabilidad'!$F$5)</f>
        <v>6.0975609756097563E-3</v>
      </c>
      <c r="I4" s="47">
        <f t="shared" ref="I4:I12" si="3">IF(OR(H4="",F4=""),"",H4*F4)</f>
        <v>6.097560975609756E-2</v>
      </c>
      <c r="J4" s="48">
        <f t="shared" ref="J4:J12" si="4">IF(H4="","",H4*10)</f>
        <v>6.097560975609756E-2</v>
      </c>
      <c r="K4" s="7"/>
    </row>
    <row r="5" spans="1:13" x14ac:dyDescent="0.2">
      <c r="A5" s="26" t="s">
        <v>107</v>
      </c>
      <c r="B5" s="67" t="s">
        <v>117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0.12195121951219512</v>
      </c>
      <c r="J5" s="48">
        <f t="shared" si="4"/>
        <v>0.12195121951219512</v>
      </c>
      <c r="K5" s="7"/>
    </row>
    <row r="6" spans="1:13" ht="15.75" customHeight="1" x14ac:dyDescent="0.2">
      <c r="A6" s="26" t="s">
        <v>108</v>
      </c>
      <c r="B6" s="27" t="s">
        <v>119</v>
      </c>
      <c r="C6" s="59" t="s">
        <v>7</v>
      </c>
      <c r="D6" s="60" t="str">
        <f t="shared" si="0"/>
        <v/>
      </c>
      <c r="E6" s="51"/>
      <c r="F6" s="43">
        <f t="shared" si="1"/>
        <v>0</v>
      </c>
      <c r="G6" s="43" t="str">
        <f t="shared" si="2"/>
        <v/>
      </c>
      <c r="H6" s="47" t="str">
        <f>IF(OR(G6="",G6=0,'Cálculo de % usabilidad'!$F$5=0),"",G6/'Cálculo de % usabilidad'!$F$5)</f>
        <v/>
      </c>
      <c r="I6" s="47" t="str">
        <f t="shared" si="3"/>
        <v/>
      </c>
      <c r="J6" s="48" t="str">
        <f t="shared" si="4"/>
        <v/>
      </c>
      <c r="K6" s="7"/>
    </row>
    <row r="7" spans="1:13" ht="30" x14ac:dyDescent="0.2">
      <c r="A7" s="26" t="s">
        <v>109</v>
      </c>
      <c r="B7" s="66" t="s">
        <v>118</v>
      </c>
      <c r="C7" s="59" t="s">
        <v>7</v>
      </c>
      <c r="D7" s="60" t="str">
        <f t="shared" si="0"/>
        <v/>
      </c>
      <c r="E7" s="51"/>
      <c r="F7" s="43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x14ac:dyDescent="0.2">
      <c r="A8" s="26" t="s">
        <v>110</v>
      </c>
      <c r="B8" s="66" t="s">
        <v>120</v>
      </c>
      <c r="C8" s="59" t="s">
        <v>171</v>
      </c>
      <c r="D8" s="60" t="str">
        <f t="shared" si="0"/>
        <v>MO</v>
      </c>
      <c r="E8" s="51"/>
      <c r="F8" s="43">
        <f t="shared" si="1"/>
        <v>0</v>
      </c>
      <c r="G8" s="43">
        <f t="shared" si="2"/>
        <v>1</v>
      </c>
      <c r="H8" s="47">
        <f>IF(OR(G8="",G8=0,'Cálculo de % usabilidad'!$F$5=0),"",G8/'Cálculo de % usabilidad'!$F$5)</f>
        <v>6.0975609756097563E-3</v>
      </c>
      <c r="I8" s="47">
        <f t="shared" si="3"/>
        <v>0</v>
      </c>
      <c r="J8" s="48">
        <f t="shared" si="4"/>
        <v>6.097560975609756E-2</v>
      </c>
      <c r="K8" s="7"/>
    </row>
    <row r="9" spans="1:13" x14ac:dyDescent="0.2">
      <c r="A9" s="26" t="s">
        <v>111</v>
      </c>
      <c r="B9" s="27" t="s">
        <v>121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x14ac:dyDescent="0.2">
      <c r="A10" s="26" t="s">
        <v>112</v>
      </c>
      <c r="B10" s="67" t="s">
        <v>122</v>
      </c>
      <c r="C10" s="59" t="s">
        <v>7</v>
      </c>
      <c r="D10" s="60" t="str">
        <f t="shared" si="0"/>
        <v/>
      </c>
      <c r="E10" s="51"/>
      <c r="F10" s="43">
        <f t="shared" si="1"/>
        <v>0</v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 x14ac:dyDescent="0.2">
      <c r="A11" s="26" t="s">
        <v>113</v>
      </c>
      <c r="B11" s="29" t="s">
        <v>123</v>
      </c>
      <c r="C11" s="59" t="s">
        <v>7</v>
      </c>
      <c r="D11" s="60" t="str">
        <f t="shared" si="0"/>
        <v/>
      </c>
      <c r="E11" s="51"/>
      <c r="F11" s="43">
        <f t="shared" si="1"/>
        <v>0</v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16" thickBot="1" x14ac:dyDescent="0.25">
      <c r="A12" s="26" t="s">
        <v>114</v>
      </c>
      <c r="B12" s="66" t="s">
        <v>124</v>
      </c>
      <c r="C12" s="59" t="s">
        <v>7</v>
      </c>
      <c r="D12" s="60" t="str">
        <f t="shared" si="0"/>
        <v/>
      </c>
      <c r="E12" s="51"/>
      <c r="F12" s="43">
        <f t="shared" si="1"/>
        <v>0</v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4</v>
      </c>
      <c r="M12" s="3" t="s">
        <v>196</v>
      </c>
    </row>
    <row r="13" spans="1:13" ht="16" thickBot="1" x14ac:dyDescent="0.25">
      <c r="G13" s="58">
        <f>IF(SUM(G3:G12)=0,"",SUM(G3:G12))</f>
        <v>6</v>
      </c>
    </row>
    <row r="14" spans="1:13" x14ac:dyDescent="0.2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">
      <c r="C19" s="10"/>
      <c r="D19" s="10"/>
      <c r="E19" s="10"/>
      <c r="F19" s="10"/>
      <c r="G19" s="10"/>
      <c r="H19" s="10"/>
      <c r="I19" s="10"/>
      <c r="J19" s="10"/>
    </row>
    <row r="20" spans="1:10" x14ac:dyDescent="0.2">
      <c r="C20" s="7"/>
      <c r="D20" s="7"/>
      <c r="E20" s="7"/>
    </row>
    <row r="21" spans="1:10" x14ac:dyDescent="0.2">
      <c r="A21" s="7"/>
      <c r="B21" s="7"/>
      <c r="C21" s="7"/>
      <c r="D21" s="7"/>
    </row>
    <row r="22" spans="1:10" x14ac:dyDescent="0.2">
      <c r="A22" s="3"/>
      <c r="B22" s="3"/>
      <c r="C22" s="3"/>
    </row>
    <row r="23" spans="1:10" x14ac:dyDescent="0.2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M20"/>
  <sheetViews>
    <sheetView showGridLines="0" workbookViewId="0">
      <selection activeCell="C8" sqref="C8"/>
    </sheetView>
  </sheetViews>
  <sheetFormatPr baseColWidth="10" defaultRowHeight="15" x14ac:dyDescent="0.2"/>
  <cols>
    <col min="2" max="2" width="97.5" customWidth="1"/>
    <col min="4" max="4" width="14.1640625" customWidth="1"/>
    <col min="5" max="5" width="25" customWidth="1"/>
    <col min="6" max="6" width="17.33203125" customWidth="1"/>
    <col min="7" max="7" width="29.33203125" customWidth="1"/>
    <col min="8" max="10" width="23.33203125" customWidth="1"/>
    <col min="11" max="11" width="26.33203125" customWidth="1"/>
    <col min="12" max="12" width="4.5" customWidth="1"/>
  </cols>
  <sheetData>
    <row r="1" spans="1:13" ht="36.75" customHeight="1" x14ac:dyDescent="0.2">
      <c r="A1" s="4" t="s">
        <v>190</v>
      </c>
    </row>
    <row r="2" spans="1:13" x14ac:dyDescent="0.2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x14ac:dyDescent="0.2">
      <c r="A3" s="26" t="s">
        <v>125</v>
      </c>
      <c r="B3" s="27" t="s">
        <v>131</v>
      </c>
      <c r="C3" s="59" t="s">
        <v>172</v>
      </c>
      <c r="D3" s="60" t="str">
        <f t="shared" ref="D3:D8" si="0">IF(OR(TipoDeSitio="",C3="NA"),"",VLOOKUP(CONCATENATE(A3,": ",B3),Tabla628,MATCH(TipoDeSitio,Tipos,0)+1,0))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1.2195121951219513E-2</v>
      </c>
      <c r="I3" s="47">
        <f>IF(OR(H3="",F3=""),"",H3*F3)</f>
        <v>0.12195121951219512</v>
      </c>
      <c r="J3" s="48">
        <f>IF(H3="","",H3*10)</f>
        <v>0.12195121951219512</v>
      </c>
      <c r="K3" s="7"/>
    </row>
    <row r="4" spans="1:13" x14ac:dyDescent="0.2">
      <c r="A4" s="26" t="s">
        <v>126</v>
      </c>
      <c r="B4" s="26" t="s">
        <v>132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2.4390243902439025E-2</v>
      </c>
      <c r="I4" s="47">
        <f t="shared" ref="I4:I8" si="3">IF(OR(H4="",F4=""),"",H4*F4)</f>
        <v>0.24390243902439024</v>
      </c>
      <c r="J4" s="48">
        <f t="shared" ref="J4:J8" si="4">IF(H4="","",H4*10)</f>
        <v>0.24390243902439024</v>
      </c>
      <c r="K4" s="7"/>
    </row>
    <row r="5" spans="1:13" x14ac:dyDescent="0.2">
      <c r="A5" s="26" t="s">
        <v>127</v>
      </c>
      <c r="B5" s="26" t="s">
        <v>133</v>
      </c>
      <c r="C5" s="59" t="s">
        <v>172</v>
      </c>
      <c r="D5" s="60" t="str">
        <f t="shared" si="0"/>
        <v>ME</v>
      </c>
      <c r="E5" s="51"/>
      <c r="F5" s="28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1.2195121951219513E-2</v>
      </c>
      <c r="I5" s="47">
        <f t="shared" si="3"/>
        <v>0.12195121951219512</v>
      </c>
      <c r="J5" s="48">
        <f t="shared" si="4"/>
        <v>0.12195121951219512</v>
      </c>
      <c r="K5" s="7"/>
    </row>
    <row r="6" spans="1:13" x14ac:dyDescent="0.2">
      <c r="A6" s="26" t="s">
        <v>128</v>
      </c>
      <c r="B6" s="27" t="s">
        <v>134</v>
      </c>
      <c r="C6" s="59" t="s">
        <v>172</v>
      </c>
      <c r="D6" s="60" t="str">
        <f t="shared" si="0"/>
        <v>ME</v>
      </c>
      <c r="E6" s="51"/>
      <c r="F6" s="28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1.2195121951219513E-2</v>
      </c>
      <c r="I6" s="47">
        <f t="shared" si="3"/>
        <v>0.12195121951219512</v>
      </c>
      <c r="J6" s="48">
        <f t="shared" si="4"/>
        <v>0.12195121951219512</v>
      </c>
      <c r="K6" s="7"/>
    </row>
    <row r="7" spans="1:13" x14ac:dyDescent="0.2">
      <c r="A7" s="26" t="s">
        <v>129</v>
      </c>
      <c r="B7" s="27" t="s">
        <v>135</v>
      </c>
      <c r="C7" s="59" t="s">
        <v>7</v>
      </c>
      <c r="D7" s="60" t="str">
        <f t="shared" si="0"/>
        <v/>
      </c>
      <c r="E7" s="51"/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ht="16" thickBot="1" x14ac:dyDescent="0.25">
      <c r="A8" s="26" t="s">
        <v>130</v>
      </c>
      <c r="B8" s="27" t="s">
        <v>136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4</v>
      </c>
      <c r="M8" s="3" t="s">
        <v>196</v>
      </c>
    </row>
    <row r="9" spans="1:13" ht="16" thickBot="1" x14ac:dyDescent="0.25">
      <c r="G9" s="58">
        <f>IF(SUM(G3:G8)=0,"",SUM(G3:G8))</f>
        <v>10</v>
      </c>
      <c r="H9" s="21"/>
      <c r="I9" s="21"/>
      <c r="J9" s="21"/>
    </row>
    <row r="10" spans="1:13" x14ac:dyDescent="0.2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">
      <c r="C15" s="10"/>
      <c r="D15" s="10"/>
      <c r="E15" s="10"/>
      <c r="F15" s="10"/>
      <c r="G15" s="10"/>
      <c r="H15" s="10"/>
      <c r="I15" s="10"/>
      <c r="J15" s="10"/>
    </row>
    <row r="16" spans="1:13" x14ac:dyDescent="0.2">
      <c r="C16" s="7"/>
      <c r="D16" s="7"/>
      <c r="E16" s="7"/>
    </row>
    <row r="17" spans="1:3" s="7" customFormat="1" x14ac:dyDescent="0.2">
      <c r="A17" s="8"/>
    </row>
    <row r="18" spans="1:3" s="7" customFormat="1" x14ac:dyDescent="0.2"/>
    <row r="19" spans="1:3" s="7" customFormat="1" x14ac:dyDescent="0.2">
      <c r="A19" s="12"/>
      <c r="B19" s="12"/>
      <c r="C19" s="12"/>
    </row>
    <row r="20" spans="1:3" x14ac:dyDescent="0.2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Usuario de Microsoft Office</cp:lastModifiedBy>
  <cp:lastPrinted>2011-07-30T13:38:34Z</cp:lastPrinted>
  <dcterms:created xsi:type="dcterms:W3CDTF">2011-07-19T18:58:20Z</dcterms:created>
  <dcterms:modified xsi:type="dcterms:W3CDTF">2017-06-12T18:22:46Z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