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cl2\Dropbox (Cowbirdlab)\Cowbirdlab Team Folder\Alec\R\Turdus plumage analyses\Turdus_Data\"/>
    </mc:Choice>
  </mc:AlternateContent>
  <xr:revisionPtr revIDLastSave="0" documentId="13_ncr:1_{28D237C0-2C46-4CC9-AFBE-9A7FD676A316}" xr6:coauthVersionLast="43" xr6:coauthVersionMax="43" xr10:uidLastSave="{00000000-0000-0000-0000-000000000000}"/>
  <bookViews>
    <workbookView xWindow="7860" yWindow="2880" windowWidth="19245" windowHeight="11385" xr2:uid="{00000000-000D-0000-FFFF-FFFF00000000}"/>
  </bookViews>
  <sheets>
    <sheet name="full_data" sheetId="2" r:id="rId1"/>
    <sheet name="Species for final model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63" i="2" l="1"/>
  <c r="AI49" i="2"/>
  <c r="AH49" i="2"/>
  <c r="P44" i="2" l="1"/>
  <c r="S44" i="2"/>
  <c r="L44" i="2"/>
  <c r="K44" i="2"/>
  <c r="S76" i="2"/>
  <c r="P76" i="2"/>
  <c r="L76" i="2"/>
  <c r="K76" i="2"/>
  <c r="AG76" i="2"/>
  <c r="S62" i="2"/>
  <c r="P62" i="2"/>
  <c r="L62" i="2"/>
  <c r="K62" i="2"/>
  <c r="AG62" i="2"/>
  <c r="AH73" i="2"/>
  <c r="S40" i="2"/>
  <c r="P40" i="2"/>
  <c r="M40" i="2"/>
  <c r="AG74" i="2"/>
  <c r="AH74" i="2"/>
  <c r="P38" i="2" l="1"/>
  <c r="Q38" i="2"/>
  <c r="K38" i="2"/>
  <c r="R28" i="2" l="1"/>
  <c r="Q28" i="2"/>
  <c r="O28" i="2"/>
  <c r="N28" i="2"/>
  <c r="L28" i="2"/>
  <c r="K28" i="2"/>
  <c r="S27" i="2"/>
  <c r="P27" i="2"/>
  <c r="L27" i="2"/>
  <c r="K27" i="2"/>
  <c r="N26" i="2"/>
  <c r="L26" i="2"/>
  <c r="K26" i="2"/>
  <c r="J26" i="2"/>
  <c r="S25" i="2"/>
  <c r="P25" i="2"/>
  <c r="L25" i="2"/>
  <c r="K25" i="2"/>
  <c r="I25" i="2"/>
  <c r="H25" i="2"/>
  <c r="M24" i="2"/>
  <c r="J23" i="2" l="1"/>
  <c r="P23" i="2"/>
  <c r="S23" i="2"/>
  <c r="L23" i="2"/>
  <c r="K23" i="2"/>
  <c r="J22" i="2"/>
  <c r="S22" i="2"/>
  <c r="P22" i="2"/>
  <c r="L22" i="2"/>
  <c r="K22" i="2"/>
  <c r="P37" i="2" l="1"/>
  <c r="S37" i="2"/>
  <c r="L37" i="2"/>
  <c r="K37" i="2"/>
  <c r="L20" i="2" l="1"/>
  <c r="K20" i="2"/>
  <c r="AI13" i="2" l="1"/>
  <c r="AH13" i="2"/>
  <c r="H12" i="2"/>
  <c r="N12" i="2"/>
  <c r="L12" i="2"/>
  <c r="K12" i="2"/>
  <c r="N11" i="2" l="1"/>
  <c r="L11" i="2"/>
  <c r="K11" i="2"/>
  <c r="I7" i="2"/>
  <c r="H7" i="2"/>
  <c r="AI4" i="2"/>
  <c r="AH4" i="2"/>
  <c r="J16" i="2" l="1"/>
  <c r="S2" i="2"/>
  <c r="AG67" i="2"/>
  <c r="R67" i="2"/>
  <c r="Q67" i="2"/>
  <c r="S67" i="2" s="1"/>
  <c r="N67" i="2"/>
  <c r="L67" i="2"/>
  <c r="K67" i="2"/>
  <c r="I67" i="2"/>
  <c r="H67" i="2"/>
  <c r="AG66" i="2" l="1"/>
  <c r="R66" i="2"/>
  <c r="Q66" i="2"/>
  <c r="N66" i="2"/>
  <c r="S66" i="2"/>
  <c r="L66" i="2"/>
  <c r="K66" i="2"/>
  <c r="AG58" i="2"/>
  <c r="I58" i="2"/>
  <c r="H58" i="2"/>
  <c r="S58" i="2"/>
  <c r="N58" i="2"/>
  <c r="L58" i="2"/>
  <c r="K58" i="2"/>
  <c r="S9" i="2"/>
  <c r="N9" i="2"/>
  <c r="L9" i="2"/>
  <c r="K9" i="2"/>
  <c r="N19" i="2"/>
  <c r="S19" i="2"/>
  <c r="L19" i="2"/>
  <c r="K19" i="2"/>
  <c r="I65" i="2"/>
  <c r="H65" i="2"/>
  <c r="S65" i="2"/>
  <c r="N65" i="2"/>
  <c r="L65" i="2"/>
  <c r="K65" i="2"/>
  <c r="AG65" i="2"/>
  <c r="AG18" i="2"/>
  <c r="N18" i="2"/>
  <c r="S18" i="2"/>
  <c r="L18" i="2"/>
  <c r="K18" i="2"/>
  <c r="N17" i="2"/>
  <c r="AG64" i="2"/>
  <c r="S64" i="2"/>
  <c r="N64" i="2"/>
  <c r="L64" i="2"/>
  <c r="K64" i="2"/>
  <c r="I64" i="2"/>
  <c r="H64" i="2"/>
  <c r="AG15" i="2"/>
  <c r="S14" i="2"/>
  <c r="S15" i="2"/>
  <c r="N15" i="2"/>
  <c r="L15" i="2"/>
  <c r="K15" i="2"/>
  <c r="AG14" i="2"/>
  <c r="N14" i="2"/>
  <c r="J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Alec Luro</author>
  </authors>
  <commentList>
    <comment ref="S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Alec Luro:</t>
        </r>
        <r>
          <rPr>
            <sz val="9"/>
            <color indexed="81"/>
            <rFont val="Tahoma"/>
            <charset val="1"/>
          </rPr>
          <t xml:space="preserve">
SOURCE: Sharpe, R. B. (1895). Catalogue of the Birds in the British Museum (Vol. 27). order of the Trustees.</t>
        </r>
      </text>
    </comment>
    <comment ref="H6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Alec Luro:</t>
        </r>
        <r>
          <rPr>
            <sz val="9"/>
            <color indexed="81"/>
            <rFont val="Tahoma"/>
            <charset val="1"/>
          </rPr>
          <t xml:space="preserve">
source: http://www.bird-research.jp/1_shiryo/seitai/akakokko.pdf
Bird research news, Vol 3, issue 9, Japan Bird Research association</t>
        </r>
      </text>
    </comment>
  </commentList>
</comments>
</file>

<file path=xl/sharedStrings.xml><?xml version="1.0" encoding="utf-8"?>
<sst xmlns="http://schemas.openxmlformats.org/spreadsheetml/2006/main" count="1131" uniqueCount="438">
  <si>
    <t>species</t>
  </si>
  <si>
    <t>Turdus_lherminieri</t>
  </si>
  <si>
    <t>Turdus_amaurochalinus</t>
  </si>
  <si>
    <t>Turdus_ignobilis</t>
  </si>
  <si>
    <t>Turdus_maranonicus</t>
  </si>
  <si>
    <t>Turdus_chiguanco</t>
  </si>
  <si>
    <t>Turdus_chiguanco_anthracinus</t>
  </si>
  <si>
    <t>Turdus_fuscater</t>
  </si>
  <si>
    <t>Turdus_nigriceps</t>
  </si>
  <si>
    <t>Turdus_serranus</t>
  </si>
  <si>
    <t>Turdus_olivater</t>
  </si>
  <si>
    <t>Turdus_fulviventris</t>
  </si>
  <si>
    <t>Turdus_reevei</t>
  </si>
  <si>
    <t>Turdus_falcklandii</t>
  </si>
  <si>
    <t>Turdus_albocinctus</t>
  </si>
  <si>
    <t>Turdus_rubrocanus_gouldi</t>
  </si>
  <si>
    <t>Turdus_rubrocanus</t>
  </si>
  <si>
    <t>Turdus_naumanni</t>
  </si>
  <si>
    <t>Turdus_atrogularis</t>
  </si>
  <si>
    <t>Turdus_ruficollis</t>
  </si>
  <si>
    <t>Turdus_torquatus</t>
  </si>
  <si>
    <t>Turdus_pilaris</t>
  </si>
  <si>
    <t>Turdus_kessleri</t>
  </si>
  <si>
    <t>Turdus_celaenops</t>
  </si>
  <si>
    <t>Turdus_chrysolaus</t>
  </si>
  <si>
    <t>Turdus_obscurus</t>
  </si>
  <si>
    <t>Turdus_pallidus</t>
  </si>
  <si>
    <t>Turdus_poliocephalus_layardi</t>
  </si>
  <si>
    <t>Turdus_boulboul</t>
  </si>
  <si>
    <t>Turdus_cardis</t>
  </si>
  <si>
    <t>Turdus_hortulorum</t>
  </si>
  <si>
    <t>Turdus_dissimilis</t>
  </si>
  <si>
    <t>Turdus_unicolor</t>
  </si>
  <si>
    <t>Turdus_niveiceps</t>
  </si>
  <si>
    <t>Turdus_aurantius</t>
  </si>
  <si>
    <t>Turdus_plumbeus_plumbeus</t>
  </si>
  <si>
    <t>Turdus_plumbeus_schistaceus</t>
  </si>
  <si>
    <t>Turdus_plumbeus_rubripes</t>
  </si>
  <si>
    <t>Turdus_pelios</t>
  </si>
  <si>
    <t>Turdus_olivaceofuscus</t>
  </si>
  <si>
    <t>Turdus_infuscatus</t>
  </si>
  <si>
    <t>Turdus_nigrescens</t>
  </si>
  <si>
    <t>Turdus_migratorius</t>
  </si>
  <si>
    <t>Turdus_migratorius_confinis</t>
  </si>
  <si>
    <t>Turdus_rufitorques</t>
  </si>
  <si>
    <t>Turdus_leucops</t>
  </si>
  <si>
    <t>Turdus_jamaicensis</t>
  </si>
  <si>
    <t>Turdus_swalesi</t>
  </si>
  <si>
    <t>Turdus_libonyanus</t>
  </si>
  <si>
    <t>Turdus_tephronotus</t>
  </si>
  <si>
    <t>Turdus_ludoviciae</t>
  </si>
  <si>
    <t>Turdus_mandarinus</t>
  </si>
  <si>
    <t>Turdus_flavipes</t>
  </si>
  <si>
    <t>Turdus_albicollis</t>
  </si>
  <si>
    <t>Turdus_assimilis</t>
  </si>
  <si>
    <t>Turdus_grayi</t>
  </si>
  <si>
    <t>Turdus_nudigenis</t>
  </si>
  <si>
    <t>Turdus_maculirostris</t>
  </si>
  <si>
    <t>Turdus_rufiventris</t>
  </si>
  <si>
    <t>Turdus_lawrencii</t>
  </si>
  <si>
    <t>Turdus_obsoletus</t>
  </si>
  <si>
    <t>Turdus_fumigatus</t>
  </si>
  <si>
    <t>Turdus_hauxwelli</t>
  </si>
  <si>
    <t>Turdus_leucomelas</t>
  </si>
  <si>
    <t>Turdus_iliacus</t>
  </si>
  <si>
    <t>Turdus_plebejus</t>
  </si>
  <si>
    <t>Turdus_merula</t>
  </si>
  <si>
    <t>Turdus_abyssinicus</t>
  </si>
  <si>
    <t>Turdus_olivaceus</t>
  </si>
  <si>
    <t>Turdus_helleri</t>
  </si>
  <si>
    <t>Turdus_philomelos</t>
  </si>
  <si>
    <t>Turdus_viscivorus</t>
  </si>
  <si>
    <t>Turdus_mupinensis</t>
  </si>
  <si>
    <t>Species2</t>
  </si>
  <si>
    <t>Species</t>
  </si>
  <si>
    <t>Region</t>
  </si>
  <si>
    <t>Sexual Dimorphism</t>
  </si>
  <si>
    <t>dimorphic</t>
  </si>
  <si>
    <t>Urbanized Populations? (breeding)</t>
  </si>
  <si>
    <t>Present in cultivated areas during non-breeding?</t>
  </si>
  <si>
    <t>Done?</t>
  </si>
  <si>
    <t>Notes</t>
  </si>
  <si>
    <t>Kurrichane Thrush</t>
  </si>
  <si>
    <t>Afrotropical</t>
  </si>
  <si>
    <t>forest</t>
  </si>
  <si>
    <t>no</t>
  </si>
  <si>
    <t>yes</t>
  </si>
  <si>
    <t>African Thrush</t>
  </si>
  <si>
    <t>Bare-eyed Thrush</t>
  </si>
  <si>
    <t>scrubland</t>
  </si>
  <si>
    <t>Olive Thrush</t>
  </si>
  <si>
    <t>partial</t>
  </si>
  <si>
    <t>Turdus_bewsheri</t>
  </si>
  <si>
    <t>Comoro Thrush</t>
  </si>
  <si>
    <t>Afrotropical-Island</t>
  </si>
  <si>
    <t>Olivaceous Thrush</t>
  </si>
  <si>
    <t>Turdus_poliocephalus_niveiceps</t>
  </si>
  <si>
    <t>Turdus_niveiceps (Taiwan)</t>
  </si>
  <si>
    <t>Island Thrush (Taiwan)</t>
  </si>
  <si>
    <t>Austalasian-Island</t>
  </si>
  <si>
    <t>P.Polioc.nivei (taiwan)</t>
  </si>
  <si>
    <t>American Robin</t>
  </si>
  <si>
    <t>Nearctic</t>
  </si>
  <si>
    <t>mixed</t>
  </si>
  <si>
    <t>Lawrence's Thrush</t>
  </si>
  <si>
    <t>Neotropical</t>
  </si>
  <si>
    <t>Only 2M, 2F: one male from Brazil instead of Ecuador</t>
  </si>
  <si>
    <t>Hauxwell's Thrush</t>
  </si>
  <si>
    <t>Ecuadorian Thrush</t>
  </si>
  <si>
    <t>Chestnut-bellied Thrush</t>
  </si>
  <si>
    <t>Black Thrush</t>
  </si>
  <si>
    <t>Only 2F</t>
  </si>
  <si>
    <t>Turdus_fumigatus(hauxwelli)_obsoletus</t>
  </si>
  <si>
    <t>Pale-vented Thrush</t>
  </si>
  <si>
    <t>Turdus_haplochrous</t>
  </si>
  <si>
    <t>Unicoloured Thrush</t>
  </si>
  <si>
    <t>Maranon Thrush</t>
  </si>
  <si>
    <t>Plumbeous-Backed Thrush</t>
  </si>
  <si>
    <t>?</t>
  </si>
  <si>
    <t>Cocoa Thrush</t>
  </si>
  <si>
    <t>White-eyed Thrush</t>
  </si>
  <si>
    <t>Rufous-Collared Robin</t>
  </si>
  <si>
    <t>Rufous-bellied Thrush</t>
  </si>
  <si>
    <t>Glossy-black Thrush</t>
  </si>
  <si>
    <t>Chiguanco Thrush</t>
  </si>
  <si>
    <t xml:space="preserve">open </t>
  </si>
  <si>
    <t>Sooty Thrush</t>
  </si>
  <si>
    <t>Creamy-bellied Thrush</t>
  </si>
  <si>
    <t>Turdus_albicollis_assimilis</t>
  </si>
  <si>
    <t>White-Throated Thrush</t>
  </si>
  <si>
    <t>White-Chinned Thrush</t>
  </si>
  <si>
    <t>Austral Thrush</t>
  </si>
  <si>
    <t>Mountain Thrush</t>
  </si>
  <si>
    <t>Turdus_rufopalliatus</t>
  </si>
  <si>
    <t>Rufous-backed Thrush</t>
  </si>
  <si>
    <t>La Selle Thrush</t>
  </si>
  <si>
    <t>Only 1M, 1F</t>
  </si>
  <si>
    <t>White-Necked Thrush</t>
  </si>
  <si>
    <t>Great Thrush</t>
  </si>
  <si>
    <t>Clay-coloured Thrush</t>
  </si>
  <si>
    <t>Black-bellied Thrush</t>
  </si>
  <si>
    <t>Pale-breasted Thrush</t>
  </si>
  <si>
    <t>Andean Slaty-Thrush</t>
  </si>
  <si>
    <t>Yellow-eyed Thrush (Spectacled Thrush)</t>
  </si>
  <si>
    <t>Black-Hooded Thrush</t>
  </si>
  <si>
    <t>Turdus_rubripes</t>
  </si>
  <si>
    <t>Red-legged Thrush</t>
  </si>
  <si>
    <t>So many beautiful subspecies!!</t>
  </si>
  <si>
    <t>Black-breasted Thrush</t>
  </si>
  <si>
    <t>Oriental</t>
  </si>
  <si>
    <t>Chinese Song Thrush</t>
  </si>
  <si>
    <t>Grey-Winged Blackbird</t>
  </si>
  <si>
    <t>Kessler's Thrush</t>
  </si>
  <si>
    <t>Chestnut Thrush</t>
  </si>
  <si>
    <t>Turdus_menachensis</t>
  </si>
  <si>
    <t>Yemen Thrush</t>
  </si>
  <si>
    <t>Palearctic</t>
  </si>
  <si>
    <t>MALES ONLY</t>
  </si>
  <si>
    <t>Turdus_feae</t>
  </si>
  <si>
    <t>Grey-sided Thrush</t>
  </si>
  <si>
    <t>Eyebrowed Thrush</t>
  </si>
  <si>
    <t>Brown-headed Thrush</t>
  </si>
  <si>
    <t>Japanese Thrush</t>
  </si>
  <si>
    <t>Izu Islands Thrush</t>
  </si>
  <si>
    <t>Turdus_dissimilis_hortulorum</t>
  </si>
  <si>
    <t>Grey-Backed Thrush</t>
  </si>
  <si>
    <t>Redwing</t>
  </si>
  <si>
    <t>Blackbird</t>
  </si>
  <si>
    <t>Naumann's Thrush</t>
  </si>
  <si>
    <t>Pale Thrush</t>
  </si>
  <si>
    <t>Fieldfare</t>
  </si>
  <si>
    <t>Dark-Throated Thrush</t>
  </si>
  <si>
    <t>Ring Ouzel</t>
  </si>
  <si>
    <t>Tickell's Thrush</t>
  </si>
  <si>
    <t>Mistle Thrush</t>
  </si>
  <si>
    <t>Black-throated thrush</t>
  </si>
  <si>
    <t>Song Thrush</t>
  </si>
  <si>
    <t>Platycichla_flavipes</t>
  </si>
  <si>
    <t>Yellow-legged thrush</t>
  </si>
  <si>
    <t>Turdus_merula_mandarinus</t>
  </si>
  <si>
    <t>Chinese Blackbird</t>
  </si>
  <si>
    <t>Turdus_abyssinicus_ludoviciae</t>
  </si>
  <si>
    <t>Somali Thrush</t>
  </si>
  <si>
    <t>Turdus_olivaceus_helleri</t>
  </si>
  <si>
    <t>Taita Thrush</t>
  </si>
  <si>
    <t>ONLY 1M, 2F</t>
  </si>
  <si>
    <t>Platycichla_leucops</t>
  </si>
  <si>
    <t>Pale-eyed Thrush</t>
  </si>
  <si>
    <t>Turdus_nigriceps_subalaris</t>
  </si>
  <si>
    <t>Turdus_subalaris</t>
  </si>
  <si>
    <t>Eastern Slaty Thrush</t>
  </si>
  <si>
    <t>White-Collared Thrush</t>
  </si>
  <si>
    <t>Cichlherminia_lherminieri</t>
  </si>
  <si>
    <t>Forest Thrush</t>
  </si>
  <si>
    <t>Turdus_sanchezorum</t>
  </si>
  <si>
    <t>Turdus_hauxwelli_sanchezorum</t>
  </si>
  <si>
    <t>Varzea Thrush</t>
  </si>
  <si>
    <t>Turdus_rufopalliatus_graysoni</t>
  </si>
  <si>
    <t>Turdus_graysoni</t>
  </si>
  <si>
    <t>Grayson's Thrush</t>
  </si>
  <si>
    <t>Turdus_anthracinus</t>
  </si>
  <si>
    <t>Sombre Thrush</t>
  </si>
  <si>
    <t>Turdus_gouldi</t>
  </si>
  <si>
    <t>Gould's Chestnut Thrush</t>
  </si>
  <si>
    <t>Turdus_daguae</t>
  </si>
  <si>
    <t>Turdus_albicollis_daguae</t>
  </si>
  <si>
    <t>Dagua Thrush</t>
  </si>
  <si>
    <t>Turdus_confinis</t>
  </si>
  <si>
    <t>San Lucas Robin</t>
  </si>
  <si>
    <t>Turdus_layardi</t>
  </si>
  <si>
    <t>Island Thrush (Fiji)</t>
  </si>
  <si>
    <t>Australasian</t>
  </si>
  <si>
    <t>Turdus_plumbeus (Bahamas)</t>
  </si>
  <si>
    <t>Red-legged Thrush (Bahamas)</t>
  </si>
  <si>
    <t>Turdus_schistaceus (E. Cuba)</t>
  </si>
  <si>
    <t>Red-legged Thrush (E. Cuba)</t>
  </si>
  <si>
    <t>Turdus_olivaceous_abyssinicus</t>
  </si>
  <si>
    <t>Abyssinian Thrush</t>
  </si>
  <si>
    <t>species1</t>
  </si>
  <si>
    <t>mass.male</t>
  </si>
  <si>
    <t>mass.fema</t>
  </si>
  <si>
    <t>wing.male</t>
  </si>
  <si>
    <t>wing.fema</t>
  </si>
  <si>
    <t>habitat</t>
  </si>
  <si>
    <t>number.races</t>
  </si>
  <si>
    <t>low.alt(m)</t>
  </si>
  <si>
    <t>uppder.alt(m)</t>
  </si>
  <si>
    <t>migratory</t>
  </si>
  <si>
    <t>breeding.months</t>
  </si>
  <si>
    <t>bill.color.male</t>
  </si>
  <si>
    <t>bill.color.fema</t>
  </si>
  <si>
    <t>bill.male</t>
  </si>
  <si>
    <t>bill.female</t>
  </si>
  <si>
    <t>flocking</t>
  </si>
  <si>
    <t>leg.color.male</t>
  </si>
  <si>
    <t>leg.color.fema</t>
  </si>
  <si>
    <t>orange</t>
  </si>
  <si>
    <t>forest/montane</t>
  </si>
  <si>
    <t>NA</t>
  </si>
  <si>
    <t>incubating.sex</t>
  </si>
  <si>
    <t>MF</t>
  </si>
  <si>
    <t>yellow</t>
  </si>
  <si>
    <t>brown</t>
  </si>
  <si>
    <t>parental.care</t>
  </si>
  <si>
    <t>biparental</t>
  </si>
  <si>
    <t>tarsus.both</t>
  </si>
  <si>
    <t>black</t>
  </si>
  <si>
    <t>yes-small</t>
  </si>
  <si>
    <t>F</t>
  </si>
  <si>
    <t>colonial.nesting</t>
  </si>
  <si>
    <t>tarsus.male</t>
  </si>
  <si>
    <t>tarsus.females</t>
  </si>
  <si>
    <t>mass.both</t>
  </si>
  <si>
    <t>Birds of Africa</t>
  </si>
  <si>
    <t>Source</t>
  </si>
  <si>
    <t>http://www.bird-research.jp/1_shiryo/seitai/akakokko.pdf; Bird research news, Vol 3, issue 9, Japan Bird Research association</t>
  </si>
  <si>
    <t>territorial</t>
  </si>
  <si>
    <t>Ritter, P., Miyaki, C. Y., Leon, A. P. de &amp; Alves, M. A. S. SEX DETERMINATION USING CHD-1 GENE AND SEXUAL DIMORPHISM IN THE WHITE-NECKED THRUSH (TURDUS ALBICOLLIS) IN THE ATLANTIC FOREST AT ILHA GRANDE, RIO DE JANEIRO, SOUTHEASTERN BRAZIL. Ornitol. Neotrop. 14, 463–478 (2003).</t>
  </si>
  <si>
    <t>nest.height(max meters)</t>
  </si>
  <si>
    <t>de Andrade Silva, K. V. K., Lôbo-Hajdu, G. &amp; Alves, M. A. S. Sex determination in Turdus amaurochalinus (Passeriformes: Muscicapidae): morphometrical analysis supported by CHD gene. Rev. Biol. Trop. 59, 789–794 (2011).; Astié, A. &amp; Luchesi, N. Reproductive Success of the Creamy-Bellied Thrush in a Southern Temperate Zone. Wilson J. Ornithol. 124, 133–138 (2012); Astié, A. A. Lack of effects of microhabitat characteristics on nest predation and brood parasitism in the Creamy-bellied Thrush (Turdus amaurochalinus). Ornitol. Neotrop. 24, 311–320 (2013).</t>
  </si>
  <si>
    <t>Vergara-Tabares, D. L. &amp; Peluc, S. I. Aspectos de la biología reproductiva del Zorzal Chiguanco (Turdus chiguanco) en el Chaco Serrano de Córdoba, Argentina. Ornitol. Neotrop. 24, 267–278 (2013).</t>
  </si>
  <si>
    <t>Lens, L., Galbusera, P., Brooks, T., Waiyaki, E., &amp; Schenck, T. (1998). Highly skewed sex ratios in the critically endangered Taita thrush as revealed by CHD genes. Biodiversity and Conservation, 7(7), 869-873.</t>
  </si>
  <si>
    <t>http://adu.org.za/pdf/Mbiru_Andrew_1994_MSc_CB_thesis.pdf</t>
  </si>
  <si>
    <t>Birds of Africa; Mbiru, A. (1994). A reassessment of taxonomic diversity in the Olive Thrush Turdus olivaceus in eastern and southern Africa (Doctoral dissertation, University of Cape Town).</t>
  </si>
  <si>
    <t>forest/mixed</t>
  </si>
  <si>
    <t>pale yellow</t>
  </si>
  <si>
    <t>forest/open</t>
  </si>
  <si>
    <t>Birds of Africa; Akinpelu, A. I. A twelve-month field study of the West African Thrush Turdus pelios (Passeriformes: Muscicapidae): Part 2: annual cycles. Rev. Biol. Trop. 53, 239–247 (2005).</t>
  </si>
  <si>
    <t>scrubland/open</t>
  </si>
  <si>
    <t>55-70</t>
  </si>
  <si>
    <t>110-122</t>
  </si>
  <si>
    <t>Birds of Africa; 1. Melo, M. et al. Multiple lines of evidence support the recognition of a very rare bird species: The Príncipe thrush. J. Zool. 282, 120–129 (2010).</t>
  </si>
  <si>
    <t>Aldrich, J. W. &amp; James, F. C. Ecogeographic Variation in the American Robin (Turdus migratorius). Source Auk 108, 230–249 (1991).</t>
  </si>
  <si>
    <t>Carbó-Ramírez P, González-Arrieta RA, Zuria I. 2015. Breeding Biology of the Rufous-backed Robin (Turdus rufopalliatus) in an Urban Area Outside its Original Distribution Range. Wilson J. Ornithol. 127:515–521. [accessed 2017 Apr 4]. http://content.ebscohost.com.proxy2.library.illinois.edu/ContentServer.asp?T=P&amp;P=AN&amp;K=110118257&amp;S=R&amp;D=a9h&amp;EbscoContent=dGJyMNLr40SeprI4v%2BbwOLCmr0%2Bep7VSsqa4SLWWxWXS&amp;ContentCustomer=dGJyMPGut1C3rLZNuePfgeyx44Hy7fEA</t>
  </si>
  <si>
    <t>clutch.size (mean)</t>
  </si>
  <si>
    <t>incubation.period (mean days)</t>
  </si>
  <si>
    <t>nestling.period (mean days)</t>
  </si>
  <si>
    <t>broods.year (mean #)</t>
  </si>
  <si>
    <t>smithsonian data(masses)</t>
  </si>
  <si>
    <t>Vergara-Tabares DL, Peluc SI. 2013. Aspectos de la biología reproductiva del Zorzal Chiguanco (Turdus chiguanco) en el Chaco Serrano de Córdoba, Argentina. Ornitol. Neotrop. 24:267–278. [accessed 2017 Feb 23]. https://www.researchgate.net/profile/Susana_Peluc/publication/282247913_Aspectos_de_la_biologia_reproductiva_del_Zorzal_Chiguanco_Turdus_chiguanco_en_el_Chaco_Serrano_de_Cordoba_Argentina/links/5609380608ae13969149deaf.pdf</t>
  </si>
  <si>
    <t>Aldrich JW, James FC. 1991. Ecogeographic variation in the american robin (Turdus migratorius). Auk 108:230–249. [accessed 2017 Mar 2]. http://www.jstor.org/stable/4087947</t>
  </si>
  <si>
    <t>bill.both</t>
  </si>
  <si>
    <t>Clement (2000) Thrushes; HBW</t>
  </si>
  <si>
    <t>wing.both</t>
  </si>
  <si>
    <t>x</t>
  </si>
  <si>
    <t>1</t>
  </si>
  <si>
    <t>"Turdus_abyssinicus"</t>
  </si>
  <si>
    <t>2</t>
  </si>
  <si>
    <t>"Turdus_albicollis"</t>
  </si>
  <si>
    <t>3</t>
  </si>
  <si>
    <t>"Turdus_albocinctus"</t>
  </si>
  <si>
    <t>4</t>
  </si>
  <si>
    <t>"Turdus_amaurochalinus"</t>
  </si>
  <si>
    <t>5</t>
  </si>
  <si>
    <t>"Turdus_assimilis"</t>
  </si>
  <si>
    <t>6</t>
  </si>
  <si>
    <t>"Turdus_atrogularis"</t>
  </si>
  <si>
    <t>7</t>
  </si>
  <si>
    <t>"Turdus_aurantius"</t>
  </si>
  <si>
    <t>8</t>
  </si>
  <si>
    <t>"Turdus_boulboul"</t>
  </si>
  <si>
    <t>9</t>
  </si>
  <si>
    <t>"Turdus_cardis"</t>
  </si>
  <si>
    <t>10</t>
  </si>
  <si>
    <t>"Turdus_celaenops"</t>
  </si>
  <si>
    <t>11</t>
  </si>
  <si>
    <t>"Turdus_chiguanco"</t>
  </si>
  <si>
    <t>12</t>
  </si>
  <si>
    <t>"Turdus_chiguanco_anthracinus"</t>
  </si>
  <si>
    <t>13</t>
  </si>
  <si>
    <t>"Turdus_chrysolaus"</t>
  </si>
  <si>
    <t>14</t>
  </si>
  <si>
    <t>"Turdus_dissimilis"</t>
  </si>
  <si>
    <t>15</t>
  </si>
  <si>
    <t>"Turdus_falcklandii"</t>
  </si>
  <si>
    <t>16</t>
  </si>
  <si>
    <t>"Turdus_flavipes"</t>
  </si>
  <si>
    <t>17</t>
  </si>
  <si>
    <t>"Turdus_fulviventris"</t>
  </si>
  <si>
    <t>18</t>
  </si>
  <si>
    <t>"Turdus_fumigatus"</t>
  </si>
  <si>
    <t>19</t>
  </si>
  <si>
    <t>"Turdus_fuscater"</t>
  </si>
  <si>
    <t>20</t>
  </si>
  <si>
    <t>"Turdus_grayi"</t>
  </si>
  <si>
    <t>21</t>
  </si>
  <si>
    <t>"Turdus_hauxwelli"</t>
  </si>
  <si>
    <t>22</t>
  </si>
  <si>
    <t>"Turdus_helleri"</t>
  </si>
  <si>
    <t>23</t>
  </si>
  <si>
    <t>"Turdus_hortulorum"</t>
  </si>
  <si>
    <t>24</t>
  </si>
  <si>
    <t>"Turdus_ignobilis"</t>
  </si>
  <si>
    <t>25</t>
  </si>
  <si>
    <t>"Turdus_iliacus"</t>
  </si>
  <si>
    <t>26</t>
  </si>
  <si>
    <t>"Turdus_infuscatus"</t>
  </si>
  <si>
    <t>27</t>
  </si>
  <si>
    <t>"Turdus_jamaicensis"</t>
  </si>
  <si>
    <t>28</t>
  </si>
  <si>
    <t>"Turdus_kessleri"</t>
  </si>
  <si>
    <t>29</t>
  </si>
  <si>
    <t>"Turdus_lawrencii"</t>
  </si>
  <si>
    <t>30</t>
  </si>
  <si>
    <t>"Turdus_leucomelas"</t>
  </si>
  <si>
    <t>31</t>
  </si>
  <si>
    <t>"Turdus_leucops"</t>
  </si>
  <si>
    <t>32</t>
  </si>
  <si>
    <t>"Turdus_lherminieri"</t>
  </si>
  <si>
    <t>33</t>
  </si>
  <si>
    <t>"Turdus_libonyanus"</t>
  </si>
  <si>
    <t>34</t>
  </si>
  <si>
    <t>"Turdus_ludoviciae"</t>
  </si>
  <si>
    <t>35</t>
  </si>
  <si>
    <t>"Turdus_maculirostris"</t>
  </si>
  <si>
    <t>36</t>
  </si>
  <si>
    <t>"Turdus_mandarinus"</t>
  </si>
  <si>
    <t>37</t>
  </si>
  <si>
    <t>"Turdus_maranonicus"</t>
  </si>
  <si>
    <t>38</t>
  </si>
  <si>
    <t>"Turdus_merula"</t>
  </si>
  <si>
    <t>39</t>
  </si>
  <si>
    <t>"Turdus_migratorius"</t>
  </si>
  <si>
    <t>40</t>
  </si>
  <si>
    <t>"Turdus_migratorius_confinis"</t>
  </si>
  <si>
    <t>41</t>
  </si>
  <si>
    <t>"Turdus_mupinensis"</t>
  </si>
  <si>
    <t>42</t>
  </si>
  <si>
    <t>"Turdus_naumanni"</t>
  </si>
  <si>
    <t>43</t>
  </si>
  <si>
    <t>"Turdus_nigrescens"</t>
  </si>
  <si>
    <t>44</t>
  </si>
  <si>
    <t>"Turdus_nigriceps"</t>
  </si>
  <si>
    <t>45</t>
  </si>
  <si>
    <t>"Turdus_niveiceps"</t>
  </si>
  <si>
    <t>46</t>
  </si>
  <si>
    <t>"Turdus_nudigenis"</t>
  </si>
  <si>
    <t>47</t>
  </si>
  <si>
    <t>"Turdus_obscurus"</t>
  </si>
  <si>
    <t>48</t>
  </si>
  <si>
    <t>"Turdus_obsoletus"</t>
  </si>
  <si>
    <t>49</t>
  </si>
  <si>
    <t>"Turdus_olivaceofuscus"</t>
  </si>
  <si>
    <t>50</t>
  </si>
  <si>
    <t>"Turdus_olivaceus"</t>
  </si>
  <si>
    <t>51</t>
  </si>
  <si>
    <t>"Turdus_olivater"</t>
  </si>
  <si>
    <t>52</t>
  </si>
  <si>
    <t>"Turdus_pallidus"</t>
  </si>
  <si>
    <t>53</t>
  </si>
  <si>
    <t>"Turdus_pelios"</t>
  </si>
  <si>
    <t>54</t>
  </si>
  <si>
    <t>"Turdus_philomelos"</t>
  </si>
  <si>
    <t>55</t>
  </si>
  <si>
    <t>"Turdus_pilaris"</t>
  </si>
  <si>
    <t>56</t>
  </si>
  <si>
    <t>"Turdus_plebejus"</t>
  </si>
  <si>
    <t>57</t>
  </si>
  <si>
    <t>"Turdus_plumbeus_plumbeus"</t>
  </si>
  <si>
    <t>58</t>
  </si>
  <si>
    <t>"Turdus_plumbeus_rubripes"</t>
  </si>
  <si>
    <t>59</t>
  </si>
  <si>
    <t>"Turdus_plumbeus_schistaceus"</t>
  </si>
  <si>
    <t>60</t>
  </si>
  <si>
    <t>"Turdus_reevei"</t>
  </si>
  <si>
    <t>61</t>
  </si>
  <si>
    <t>"Turdus_rubrocanus"</t>
  </si>
  <si>
    <t>62</t>
  </si>
  <si>
    <t>"Turdus_rubrocanus_gouldi"</t>
  </si>
  <si>
    <t>63</t>
  </si>
  <si>
    <t>"Turdus_ruficollis"</t>
  </si>
  <si>
    <t>64</t>
  </si>
  <si>
    <t>"Turdus_rufitorques"</t>
  </si>
  <si>
    <t>65</t>
  </si>
  <si>
    <t>"Turdus_rufiventris"</t>
  </si>
  <si>
    <t>66</t>
  </si>
  <si>
    <t>"Turdus_serranus"</t>
  </si>
  <si>
    <t>67</t>
  </si>
  <si>
    <t>"Turdus_swalesi"</t>
  </si>
  <si>
    <t>68</t>
  </si>
  <si>
    <t>"Turdus_tephronotus"</t>
  </si>
  <si>
    <t>69</t>
  </si>
  <si>
    <t>"Turdus_torquatus"</t>
  </si>
  <si>
    <t>70</t>
  </si>
  <si>
    <t>"Turdus_unicolor"</t>
  </si>
  <si>
    <t>71</t>
  </si>
  <si>
    <t>"Turdus_viscivorus"</t>
  </si>
  <si>
    <t>done?</t>
  </si>
  <si>
    <t>11 (Clement says probably similar to Cocoa Thrush)</t>
  </si>
  <si>
    <t>16 (</t>
  </si>
  <si>
    <t>incubation:Fan, L. Q., Chen, G. L., Da, X. W., Luo, J. J., Xian, L. L., Ren, Q. M., ... &amp; Du, B. (2017). Seasonal variation in food availability influences the breeding strategy of White‐collared Blackbirds Turdus albocinctus on the Tibetan Plateau. Ibis, 159(4), 873-882.</t>
  </si>
  <si>
    <r>
      <t>Boyce, A. J., &amp; Martin, T. E. (2017). Contrasting latitudinal patterns of life‐history divergence in two genera of new world thrushes (Turdinae). </t>
    </r>
    <r>
      <rPr>
        <i/>
        <sz val="10"/>
        <color rgb="FF222222"/>
        <rFont val="Arial"/>
        <family val="2"/>
      </rPr>
      <t>Journal of avian biology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(4), 581-590.</t>
    </r>
  </si>
  <si>
    <t>Vidal Astudillo, V. J. (2007). Observaciones del comportamiento de forrajeo y reproductivo de la mirla ollera turdus ignobilis (aves: turidae) relacionado con la precipitación en el Corregimiento Villa Carmelo-Valle del Cauca (Doctoral dissertation).</t>
  </si>
  <si>
    <t>Turdus_litsitsirupa</t>
  </si>
  <si>
    <t>Groundscaper Thrush</t>
  </si>
  <si>
    <r>
      <t>Greeney, H. F. (2010). The nest, eggs, and nesting success of the Ecuadorian Thrush,(Turdus maculirostris) in southwest Ecuador. </t>
    </r>
    <r>
      <rPr>
        <i/>
        <sz val="10"/>
        <color rgb="FF222222"/>
        <rFont val="Arial"/>
        <family val="2"/>
      </rPr>
      <t>Ornitologia Colombiana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, 38-42.</t>
    </r>
  </si>
  <si>
    <r>
      <t xml:space="preserve">Boyce, A.J. &amp; Martin, T.E. (2016). Contrasting latitudinal patterns of life-history divergence in two genera of new world thrushes ( </t>
    </r>
    <r>
      <rPr>
        <i/>
        <sz val="11"/>
        <color theme="1"/>
        <rFont val="Calibri"/>
        <family val="2"/>
        <scheme val="minor"/>
      </rPr>
      <t>Turdinae</t>
    </r>
    <r>
      <rPr>
        <sz val="11"/>
        <color theme="1"/>
        <rFont val="Calibri"/>
        <family val="2"/>
        <scheme val="minor"/>
      </rPr>
      <t xml:space="preserve"> ). </t>
    </r>
    <r>
      <rPr>
        <i/>
        <sz val="11"/>
        <color theme="1"/>
        <rFont val="Calibri"/>
        <family val="2"/>
        <scheme val="minor"/>
      </rPr>
      <t>J. Avian Biol.</t>
    </r>
  </si>
  <si>
    <r>
      <t>Zhao, Qingshan, and Yuehua Sun. "Nest-site characteristics and nesting success of the Chestnut Thrush." </t>
    </r>
    <r>
      <rPr>
        <i/>
        <sz val="10"/>
        <color rgb="FF222222"/>
        <rFont val="Arial"/>
        <family val="2"/>
      </rPr>
      <t>Ornithological science</t>
    </r>
    <r>
      <rPr>
        <sz val="10"/>
        <color rgb="FF222222"/>
        <rFont val="Arial"/>
        <family val="2"/>
      </rPr>
      <t> 17.1 (2018): 3-9.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</si>
</sst>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2" borderId="0" xfId="2" applyFill="1"/>
    <xf numFmtId="0" fontId="4" fillId="3" borderId="0" xfId="3"/>
    <xf numFmtId="0" fontId="8" fillId="5" borderId="0" xfId="5"/>
    <xf numFmtId="0" fontId="7" fillId="4" borderId="0" xfId="4"/>
    <xf numFmtId="0" fontId="4" fillId="0" borderId="0" xfId="3" applyFill="1"/>
    <xf numFmtId="0" fontId="0" fillId="0" borderId="0" xfId="0" applyFill="1"/>
    <xf numFmtId="49" fontId="0" fillId="0" borderId="0" xfId="0" applyNumberFormat="1"/>
    <xf numFmtId="0" fontId="9" fillId="0" borderId="0" xfId="0" applyFont="1"/>
    <xf numFmtId="0" fontId="0" fillId="0" borderId="0" xfId="0" applyAlignment="1">
      <alignment horizontal="left" vertical="center" indent="3"/>
    </xf>
  </cellXfs>
  <cellStyles count="6">
    <cellStyle name="60% - Accent3" xfId="1" builtinId="40"/>
    <cellStyle name="Bad" xfId="4" builtinId="27"/>
    <cellStyle name="Good" xfId="3" builtinId="26"/>
    <cellStyle name="Hyperlink" xfId="2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rd-research.jp/1_shiryo/seitai/akakokko.pdf;%20Bird%20research%20news,%20Vol%203,%20issue%209,%20Japan%20Bird%20Research%20association" TargetMode="External"/><Relationship Id="rId2" Type="http://schemas.openxmlformats.org/officeDocument/2006/relationships/hyperlink" Target="http://datazone.birdlife.org/species/factsheet/103890067" TargetMode="External"/><Relationship Id="rId1" Type="http://schemas.openxmlformats.org/officeDocument/2006/relationships/hyperlink" Target="http://datazone.birdlife.org/species/factsheet/103890067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"/>
  <sheetViews>
    <sheetView tabSelected="1" topLeftCell="AC1" zoomScale="80" zoomScaleNormal="80" workbookViewId="0">
      <pane ySplit="1" topLeftCell="A47" activePane="bottomLeft" state="frozen"/>
      <selection pane="bottomLeft" activeCell="AG63" sqref="AG63"/>
    </sheetView>
  </sheetViews>
  <sheetFormatPr defaultRowHeight="15" x14ac:dyDescent="0.25"/>
  <cols>
    <col min="1" max="1" width="36.5703125" bestFit="1" customWidth="1"/>
    <col min="2" max="2" width="8.28515625" customWidth="1"/>
    <col min="3" max="3" width="33.7109375" bestFit="1" customWidth="1"/>
    <col min="4" max="4" width="6.7109375" customWidth="1"/>
    <col min="5" max="5" width="17.28515625" bestFit="1" customWidth="1"/>
    <col min="6" max="6" width="9.5703125" bestFit="1" customWidth="1"/>
    <col min="7" max="7" width="12.5703125" bestFit="1" customWidth="1"/>
    <col min="8" max="8" width="9.85546875" bestFit="1" customWidth="1"/>
    <col min="9" max="9" width="10.140625" bestFit="1" customWidth="1"/>
    <col min="10" max="10" width="10.140625" customWidth="1"/>
    <col min="11" max="11" width="9.7109375" bestFit="1" customWidth="1"/>
    <col min="12" max="12" width="9.85546875" bestFit="1" customWidth="1"/>
    <col min="13" max="13" width="9.85546875" customWidth="1"/>
    <col min="14" max="14" width="8.140625" customWidth="1"/>
    <col min="15" max="15" width="9.7109375" bestFit="1" customWidth="1"/>
    <col min="16" max="19" width="9.7109375" customWidth="1"/>
    <col min="20" max="20" width="12.85546875" bestFit="1" customWidth="1"/>
    <col min="21" max="21" width="13.28515625" bestFit="1" customWidth="1"/>
    <col min="22" max="22" width="12.85546875" customWidth="1"/>
    <col min="23" max="23" width="13.28515625" customWidth="1"/>
    <col min="24" max="24" width="7" customWidth="1"/>
    <col min="25" max="25" width="9.7109375" bestFit="1" customWidth="1"/>
    <col min="26" max="26" width="12.7109375" bestFit="1" customWidth="1"/>
    <col min="27" max="27" width="9.28515625" bestFit="1" customWidth="1"/>
    <col min="28" max="28" width="15.5703125" bestFit="1" customWidth="1"/>
    <col min="29" max="29" width="7.7109375" customWidth="1"/>
    <col min="30" max="32" width="7.5703125" customWidth="1"/>
    <col min="33" max="33" width="9.7109375" customWidth="1"/>
    <col min="34" max="35" width="16.140625" customWidth="1"/>
    <col min="36" max="37" width="13.28515625" customWidth="1"/>
    <col min="38" max="38" width="11.140625" customWidth="1"/>
    <col min="39" max="39" width="30.7109375" bestFit="1" customWidth="1"/>
    <col min="40" max="40" width="42.5703125" bestFit="1" customWidth="1"/>
    <col min="41" max="41" width="6.28515625" customWidth="1"/>
    <col min="42" max="42" width="5.85546875" customWidth="1"/>
  </cols>
  <sheetData>
    <row r="1" spans="1:44" s="1" customFormat="1" x14ac:dyDescent="0.25">
      <c r="A1" s="1" t="s">
        <v>218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224</v>
      </c>
      <c r="H1" s="1" t="s">
        <v>219</v>
      </c>
      <c r="I1" s="1" t="s">
        <v>220</v>
      </c>
      <c r="J1" s="1" t="s">
        <v>252</v>
      </c>
      <c r="K1" s="1" t="s">
        <v>221</v>
      </c>
      <c r="L1" s="1" t="s">
        <v>222</v>
      </c>
      <c r="M1" s="1" t="s">
        <v>283</v>
      </c>
      <c r="N1" s="1" t="s">
        <v>231</v>
      </c>
      <c r="O1" s="1" t="s">
        <v>232</v>
      </c>
      <c r="P1" s="1" t="s">
        <v>281</v>
      </c>
      <c r="Q1" s="1" t="s">
        <v>250</v>
      </c>
      <c r="R1" s="1" t="s">
        <v>251</v>
      </c>
      <c r="S1" s="1" t="s">
        <v>245</v>
      </c>
      <c r="T1" s="1" t="s">
        <v>229</v>
      </c>
      <c r="U1" s="1" t="s">
        <v>230</v>
      </c>
      <c r="V1" s="1" t="s">
        <v>234</v>
      </c>
      <c r="W1" s="1" t="s">
        <v>235</v>
      </c>
      <c r="X1" s="1" t="s">
        <v>223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233</v>
      </c>
      <c r="AD1" s="1" t="s">
        <v>249</v>
      </c>
      <c r="AE1" s="1" t="s">
        <v>256</v>
      </c>
      <c r="AF1" s="1" t="s">
        <v>258</v>
      </c>
      <c r="AG1" s="1" t="s">
        <v>274</v>
      </c>
      <c r="AH1" s="1" t="s">
        <v>275</v>
      </c>
      <c r="AI1" s="1" t="s">
        <v>276</v>
      </c>
      <c r="AJ1" s="1" t="s">
        <v>239</v>
      </c>
      <c r="AK1" s="1" t="s">
        <v>243</v>
      </c>
      <c r="AL1" s="1" t="s">
        <v>277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254</v>
      </c>
    </row>
    <row r="2" spans="1:44" s="4" customFormat="1" x14ac:dyDescent="0.25">
      <c r="A2" s="4" t="s">
        <v>216</v>
      </c>
      <c r="B2" s="4" t="s">
        <v>67</v>
      </c>
      <c r="C2" s="4" t="s">
        <v>217</v>
      </c>
      <c r="D2" s="4" t="s">
        <v>83</v>
      </c>
      <c r="E2" s="4">
        <v>1</v>
      </c>
      <c r="F2" s="4">
        <v>0</v>
      </c>
      <c r="G2" s="4" t="s">
        <v>238</v>
      </c>
      <c r="H2" s="4">
        <v>60.7</v>
      </c>
      <c r="I2" s="4">
        <v>62.1</v>
      </c>
      <c r="J2" s="4">
        <f>(54+81)/2</f>
        <v>67.5</v>
      </c>
      <c r="K2" s="4">
        <v>122</v>
      </c>
      <c r="L2" s="4">
        <v>117</v>
      </c>
      <c r="N2" s="4">
        <v>23.7</v>
      </c>
      <c r="O2" s="4">
        <v>23.9</v>
      </c>
      <c r="Q2" s="4">
        <v>26.7</v>
      </c>
      <c r="R2" s="4">
        <v>27</v>
      </c>
      <c r="S2" s="4">
        <f>(35.56+31.75)/2</f>
        <v>33.655000000000001</v>
      </c>
      <c r="T2" s="4" t="s">
        <v>236</v>
      </c>
      <c r="U2" s="4" t="s">
        <v>236</v>
      </c>
      <c r="V2" s="4" t="s">
        <v>236</v>
      </c>
      <c r="W2" s="4" t="s">
        <v>236</v>
      </c>
      <c r="X2" s="4" t="s">
        <v>237</v>
      </c>
      <c r="Y2" s="4">
        <v>1500</v>
      </c>
      <c r="Z2" s="4">
        <v>3400</v>
      </c>
      <c r="AA2" s="4" t="s">
        <v>91</v>
      </c>
      <c r="AB2" s="4">
        <v>6</v>
      </c>
      <c r="AC2" s="4" t="s">
        <v>86</v>
      </c>
      <c r="AD2" s="4" t="s">
        <v>85</v>
      </c>
      <c r="AE2" s="4" t="s">
        <v>86</v>
      </c>
      <c r="AF2" s="4">
        <v>9</v>
      </c>
      <c r="AG2" s="4">
        <v>2.5</v>
      </c>
      <c r="AH2" s="4">
        <v>14.5</v>
      </c>
      <c r="AI2" s="4">
        <v>16</v>
      </c>
      <c r="AJ2" s="4" t="s">
        <v>248</v>
      </c>
      <c r="AK2" s="4" t="s">
        <v>244</v>
      </c>
      <c r="AL2" s="4">
        <v>2</v>
      </c>
      <c r="AM2" s="4" t="s">
        <v>86</v>
      </c>
      <c r="AN2" s="4" t="s">
        <v>86</v>
      </c>
      <c r="AO2" s="4">
        <v>1</v>
      </c>
      <c r="AQ2" s="4" t="s">
        <v>263</v>
      </c>
      <c r="AR2" s="4" t="s">
        <v>262</v>
      </c>
    </row>
    <row r="3" spans="1:44" s="6" customFormat="1" x14ac:dyDescent="0.25">
      <c r="A3" s="6" t="s">
        <v>183</v>
      </c>
      <c r="B3" s="6" t="s">
        <v>69</v>
      </c>
      <c r="C3" s="6" t="s">
        <v>184</v>
      </c>
      <c r="D3" s="6" t="s">
        <v>83</v>
      </c>
      <c r="E3" s="6">
        <v>1</v>
      </c>
      <c r="F3" s="6">
        <v>0</v>
      </c>
      <c r="K3" s="6">
        <v>117</v>
      </c>
      <c r="L3" s="6">
        <v>111</v>
      </c>
      <c r="O3" s="6">
        <v>22</v>
      </c>
      <c r="T3" s="6" t="s">
        <v>236</v>
      </c>
      <c r="V3" s="6" t="s">
        <v>236</v>
      </c>
      <c r="X3" s="6" t="s">
        <v>84</v>
      </c>
      <c r="Y3" s="6">
        <v>1650</v>
      </c>
      <c r="Z3" s="6">
        <v>1740</v>
      </c>
      <c r="AA3" s="6" t="s">
        <v>85</v>
      </c>
      <c r="AB3" s="6">
        <v>7</v>
      </c>
      <c r="AC3" s="6" t="s">
        <v>85</v>
      </c>
      <c r="AD3" s="6" t="s">
        <v>85</v>
      </c>
      <c r="AE3" s="6" t="s">
        <v>86</v>
      </c>
      <c r="AF3" s="6">
        <v>6</v>
      </c>
      <c r="AG3" s="6">
        <v>2</v>
      </c>
      <c r="AH3" s="6">
        <v>14.5</v>
      </c>
      <c r="AI3" s="6">
        <v>16</v>
      </c>
      <c r="AJ3" s="6" t="s">
        <v>248</v>
      </c>
      <c r="AK3" s="6" t="s">
        <v>244</v>
      </c>
      <c r="AM3" s="6" t="s">
        <v>85</v>
      </c>
      <c r="AN3" s="6" t="s">
        <v>85</v>
      </c>
      <c r="AO3" s="6">
        <v>1</v>
      </c>
      <c r="AP3" s="6" t="s">
        <v>185</v>
      </c>
      <c r="AQ3" s="6" t="s">
        <v>261</v>
      </c>
    </row>
    <row r="4" spans="1:44" s="4" customFormat="1" x14ac:dyDescent="0.25">
      <c r="A4" s="4" t="s">
        <v>48</v>
      </c>
      <c r="B4" s="4" t="s">
        <v>48</v>
      </c>
      <c r="C4" s="4" t="s">
        <v>82</v>
      </c>
      <c r="D4" s="4" t="s">
        <v>83</v>
      </c>
      <c r="E4" s="4">
        <v>2</v>
      </c>
      <c r="F4" s="4">
        <v>0</v>
      </c>
      <c r="G4" s="4">
        <v>5</v>
      </c>
      <c r="H4" s="4">
        <v>55.6</v>
      </c>
      <c r="I4" s="4">
        <v>55.3</v>
      </c>
      <c r="K4" s="4">
        <v>115</v>
      </c>
      <c r="L4" s="4">
        <v>111</v>
      </c>
      <c r="N4" s="4">
        <v>18.8</v>
      </c>
      <c r="O4" s="4">
        <v>19.3</v>
      </c>
      <c r="Q4" s="4">
        <v>27.8</v>
      </c>
      <c r="R4" s="4">
        <v>26.6</v>
      </c>
      <c r="T4" s="4" t="s">
        <v>236</v>
      </c>
      <c r="U4" s="4" t="s">
        <v>236</v>
      </c>
      <c r="V4" s="4" t="s">
        <v>242</v>
      </c>
      <c r="W4" s="4" t="s">
        <v>242</v>
      </c>
      <c r="X4" s="4" t="s">
        <v>264</v>
      </c>
      <c r="Y4" s="4">
        <v>0</v>
      </c>
      <c r="Z4" s="4">
        <v>1900</v>
      </c>
      <c r="AA4" s="4" t="s">
        <v>85</v>
      </c>
      <c r="AB4" s="4">
        <v>8</v>
      </c>
      <c r="AC4" s="4" t="s">
        <v>85</v>
      </c>
      <c r="AD4" s="4" t="s">
        <v>85</v>
      </c>
      <c r="AE4" s="4" t="s">
        <v>86</v>
      </c>
      <c r="AF4" s="4">
        <v>4</v>
      </c>
      <c r="AG4" s="4">
        <v>3</v>
      </c>
      <c r="AH4" s="4">
        <f>(12+14)/2</f>
        <v>13</v>
      </c>
      <c r="AI4" s="4">
        <f>(15+16)/2</f>
        <v>15.5</v>
      </c>
      <c r="AJ4" s="4" t="s">
        <v>248</v>
      </c>
      <c r="AK4" s="4" t="s">
        <v>244</v>
      </c>
      <c r="AL4" s="4">
        <v>2.5</v>
      </c>
      <c r="AM4" s="4" t="s">
        <v>86</v>
      </c>
      <c r="AN4" s="4" t="s">
        <v>86</v>
      </c>
      <c r="AO4" s="4">
        <v>1</v>
      </c>
      <c r="AQ4" s="4" t="s">
        <v>253</v>
      </c>
    </row>
    <row r="5" spans="1:44" s="6" customFormat="1" x14ac:dyDescent="0.25">
      <c r="A5" s="6" t="s">
        <v>181</v>
      </c>
      <c r="B5" s="6" t="s">
        <v>50</v>
      </c>
      <c r="C5" s="6" t="s">
        <v>182</v>
      </c>
      <c r="D5" s="6" t="s">
        <v>83</v>
      </c>
      <c r="J5" s="6" t="s">
        <v>269</v>
      </c>
      <c r="K5" s="6" t="s">
        <v>270</v>
      </c>
      <c r="T5" s="6" t="s">
        <v>241</v>
      </c>
      <c r="U5" s="6" t="s">
        <v>241</v>
      </c>
      <c r="V5" s="6" t="s">
        <v>265</v>
      </c>
      <c r="W5" s="6" t="s">
        <v>265</v>
      </c>
      <c r="X5" s="6" t="s">
        <v>125</v>
      </c>
      <c r="Y5" s="6">
        <v>1300</v>
      </c>
      <c r="Z5" s="6">
        <v>2000</v>
      </c>
      <c r="AA5" s="6" t="s">
        <v>85</v>
      </c>
      <c r="AB5" s="6">
        <v>6</v>
      </c>
      <c r="AC5" s="6" t="s">
        <v>86</v>
      </c>
      <c r="AG5" s="6">
        <v>2</v>
      </c>
      <c r="AO5" s="6">
        <v>1</v>
      </c>
      <c r="AQ5" s="6" t="s">
        <v>253</v>
      </c>
    </row>
    <row r="6" spans="1:44" s="4" customFormat="1" x14ac:dyDescent="0.25">
      <c r="A6" s="4" t="s">
        <v>68</v>
      </c>
      <c r="B6" s="4" t="s">
        <v>68</v>
      </c>
      <c r="C6" s="4" t="s">
        <v>90</v>
      </c>
      <c r="D6" s="4" t="s">
        <v>83</v>
      </c>
      <c r="E6" s="4">
        <v>1</v>
      </c>
      <c r="F6" s="4">
        <v>0</v>
      </c>
      <c r="G6" s="4">
        <v>18</v>
      </c>
      <c r="H6" s="4">
        <v>72</v>
      </c>
      <c r="I6" s="4">
        <v>71</v>
      </c>
      <c r="K6" s="4">
        <v>128</v>
      </c>
      <c r="L6" s="4">
        <v>123</v>
      </c>
      <c r="N6" s="4">
        <v>21.6</v>
      </c>
      <c r="O6" s="4">
        <v>21.4</v>
      </c>
      <c r="Q6" s="4">
        <v>30</v>
      </c>
      <c r="R6" s="4">
        <v>30.5</v>
      </c>
      <c r="T6" s="4" t="s">
        <v>236</v>
      </c>
      <c r="V6" s="4" t="s">
        <v>241</v>
      </c>
      <c r="X6" s="4" t="s">
        <v>84</v>
      </c>
      <c r="Y6" s="4">
        <v>1100</v>
      </c>
      <c r="Z6" s="4">
        <v>1830</v>
      </c>
      <c r="AA6" s="4" t="s">
        <v>91</v>
      </c>
      <c r="AB6" s="4">
        <v>11</v>
      </c>
      <c r="AC6" s="4" t="s">
        <v>86</v>
      </c>
      <c r="AD6" s="4" t="s">
        <v>85</v>
      </c>
      <c r="AE6" s="4" t="s">
        <v>86</v>
      </c>
      <c r="AF6" s="4">
        <v>5</v>
      </c>
      <c r="AG6" s="4">
        <v>2.5</v>
      </c>
      <c r="AH6" s="4">
        <v>14.5</v>
      </c>
      <c r="AI6" s="4">
        <v>16</v>
      </c>
      <c r="AJ6" s="4" t="s">
        <v>248</v>
      </c>
      <c r="AK6" s="4" t="s">
        <v>244</v>
      </c>
      <c r="AL6" s="4">
        <v>2</v>
      </c>
      <c r="AM6" s="4" t="s">
        <v>86</v>
      </c>
      <c r="AN6" s="4" t="s">
        <v>86</v>
      </c>
      <c r="AO6" s="4">
        <v>1</v>
      </c>
      <c r="AQ6" s="4" t="s">
        <v>253</v>
      </c>
    </row>
    <row r="7" spans="1:44" s="4" customFormat="1" x14ac:dyDescent="0.25">
      <c r="A7" s="4" t="s">
        <v>38</v>
      </c>
      <c r="B7" s="4" t="s">
        <v>38</v>
      </c>
      <c r="C7" s="4" t="s">
        <v>87</v>
      </c>
      <c r="D7" s="4" t="s">
        <v>83</v>
      </c>
      <c r="E7" s="4">
        <v>1</v>
      </c>
      <c r="F7" s="4">
        <v>0</v>
      </c>
      <c r="G7" s="4">
        <v>6</v>
      </c>
      <c r="H7" s="4">
        <f>(46+72)/2</f>
        <v>59</v>
      </c>
      <c r="I7" s="4">
        <f>(51+72)/2</f>
        <v>61.5</v>
      </c>
      <c r="K7" s="4">
        <v>113</v>
      </c>
      <c r="L7" s="4">
        <v>111</v>
      </c>
      <c r="N7" s="4">
        <v>18.2</v>
      </c>
      <c r="O7" s="4">
        <v>17.600000000000001</v>
      </c>
      <c r="Q7" s="4">
        <v>28.3</v>
      </c>
      <c r="R7" s="4">
        <v>27.4</v>
      </c>
      <c r="T7" s="4" t="s">
        <v>236</v>
      </c>
      <c r="V7" s="4" t="s">
        <v>242</v>
      </c>
      <c r="X7" s="4" t="s">
        <v>266</v>
      </c>
      <c r="Y7" s="4">
        <v>700</v>
      </c>
      <c r="Z7" s="4">
        <v>2000</v>
      </c>
      <c r="AA7" s="4" t="s">
        <v>85</v>
      </c>
      <c r="AB7" s="4">
        <v>7</v>
      </c>
      <c r="AC7" s="4" t="s">
        <v>86</v>
      </c>
      <c r="AD7" s="4" t="s">
        <v>85</v>
      </c>
      <c r="AE7" s="4" t="s">
        <v>86</v>
      </c>
      <c r="AF7" s="4">
        <v>10</v>
      </c>
      <c r="AG7" s="4">
        <v>2.5</v>
      </c>
      <c r="AH7" s="4">
        <v>14</v>
      </c>
      <c r="AI7" s="4">
        <v>15</v>
      </c>
      <c r="AJ7" s="4" t="s">
        <v>248</v>
      </c>
      <c r="AK7" s="4" t="s">
        <v>244</v>
      </c>
      <c r="AL7" s="4">
        <v>2</v>
      </c>
      <c r="AM7" s="4" t="s">
        <v>86</v>
      </c>
      <c r="AN7" s="4" t="s">
        <v>86</v>
      </c>
      <c r="AO7" s="4">
        <v>1</v>
      </c>
      <c r="AQ7" s="4" t="s">
        <v>267</v>
      </c>
    </row>
    <row r="8" spans="1:44" s="6" customFormat="1" x14ac:dyDescent="0.25">
      <c r="A8" s="6" t="s">
        <v>49</v>
      </c>
      <c r="B8" s="6" t="s">
        <v>49</v>
      </c>
      <c r="C8" s="6" t="s">
        <v>88</v>
      </c>
      <c r="D8" s="6" t="s">
        <v>83</v>
      </c>
      <c r="E8" s="6">
        <v>2</v>
      </c>
      <c r="F8" s="6">
        <v>0</v>
      </c>
      <c r="G8" s="6">
        <v>1</v>
      </c>
      <c r="H8" s="6">
        <v>48.7</v>
      </c>
      <c r="I8" s="6">
        <v>51</v>
      </c>
      <c r="K8" s="6">
        <v>108</v>
      </c>
      <c r="L8" s="6">
        <v>107</v>
      </c>
      <c r="N8" s="6">
        <v>24</v>
      </c>
      <c r="O8" s="6">
        <v>23</v>
      </c>
      <c r="Q8" s="6">
        <v>30.4</v>
      </c>
      <c r="R8" s="6">
        <v>29.8</v>
      </c>
      <c r="T8" s="6" t="s">
        <v>236</v>
      </c>
      <c r="V8" s="6" t="s">
        <v>242</v>
      </c>
      <c r="X8" s="6" t="s">
        <v>268</v>
      </c>
      <c r="Y8" s="6">
        <v>0</v>
      </c>
      <c r="Z8" s="6">
        <v>1600</v>
      </c>
      <c r="AA8" s="6" t="s">
        <v>85</v>
      </c>
      <c r="AB8" s="6">
        <v>6</v>
      </c>
      <c r="AC8" s="6" t="s">
        <v>85</v>
      </c>
      <c r="AD8" s="6" t="s">
        <v>85</v>
      </c>
      <c r="AE8" s="6" t="s">
        <v>86</v>
      </c>
      <c r="AF8" s="6">
        <v>3.5</v>
      </c>
      <c r="AG8" s="6">
        <v>2.5</v>
      </c>
      <c r="AM8" s="6" t="s">
        <v>85</v>
      </c>
      <c r="AN8" s="6" t="s">
        <v>86</v>
      </c>
      <c r="AO8" s="6">
        <v>1</v>
      </c>
      <c r="AQ8" s="6" t="s">
        <v>253</v>
      </c>
    </row>
    <row r="9" spans="1:44" s="5" customFormat="1" x14ac:dyDescent="0.25">
      <c r="A9" s="5" t="s">
        <v>92</v>
      </c>
      <c r="B9" s="5" t="s">
        <v>92</v>
      </c>
      <c r="C9" s="5" t="s">
        <v>93</v>
      </c>
      <c r="D9" s="5" t="s">
        <v>94</v>
      </c>
      <c r="E9" s="5">
        <v>2</v>
      </c>
      <c r="F9" s="5">
        <v>0</v>
      </c>
      <c r="G9" s="5">
        <v>3</v>
      </c>
      <c r="K9" s="5">
        <f>(106+113)/2</f>
        <v>109.5</v>
      </c>
      <c r="L9" s="5">
        <f>(99+107)/2</f>
        <v>103</v>
      </c>
      <c r="N9" s="5">
        <f>(22+24)/2</f>
        <v>23</v>
      </c>
      <c r="S9" s="5">
        <f>(39+41)/2</f>
        <v>40</v>
      </c>
      <c r="T9" s="5" t="s">
        <v>242</v>
      </c>
      <c r="V9" s="5" t="s">
        <v>242</v>
      </c>
      <c r="X9" s="5" t="s">
        <v>84</v>
      </c>
      <c r="Y9" s="5">
        <v>0</v>
      </c>
      <c r="Z9" s="5">
        <v>700</v>
      </c>
      <c r="AA9" s="5" t="s">
        <v>85</v>
      </c>
      <c r="AB9" s="5">
        <v>4</v>
      </c>
      <c r="AC9" s="5" t="s">
        <v>86</v>
      </c>
      <c r="AD9" s="5" t="s">
        <v>85</v>
      </c>
      <c r="AG9" s="5">
        <v>2</v>
      </c>
      <c r="AM9" s="5" t="s">
        <v>85</v>
      </c>
      <c r="AN9" s="5" t="s">
        <v>85</v>
      </c>
    </row>
    <row r="10" spans="1:44" s="6" customFormat="1" x14ac:dyDescent="0.25">
      <c r="A10" s="6" t="s">
        <v>39</v>
      </c>
      <c r="B10" s="6" t="s">
        <v>39</v>
      </c>
      <c r="C10" s="6" t="s">
        <v>95</v>
      </c>
      <c r="D10" s="6" t="s">
        <v>94</v>
      </c>
      <c r="E10" s="6">
        <v>1</v>
      </c>
      <c r="F10" s="6">
        <v>0</v>
      </c>
      <c r="G10" s="6">
        <v>2</v>
      </c>
      <c r="H10" s="6">
        <v>82.1</v>
      </c>
      <c r="I10" s="6">
        <v>90.3</v>
      </c>
      <c r="J10" s="6">
        <v>87</v>
      </c>
      <c r="K10" s="6">
        <v>130.15</v>
      </c>
      <c r="L10" s="6">
        <v>128.59</v>
      </c>
      <c r="N10" s="6">
        <v>25.42</v>
      </c>
      <c r="O10" s="6">
        <v>24.5</v>
      </c>
      <c r="Q10" s="6">
        <v>45.33</v>
      </c>
      <c r="R10" s="6">
        <v>43.74</v>
      </c>
      <c r="T10" s="6" t="s">
        <v>242</v>
      </c>
      <c r="V10" s="6" t="s">
        <v>242</v>
      </c>
      <c r="X10" s="6" t="s">
        <v>84</v>
      </c>
      <c r="Y10" s="6">
        <v>0</v>
      </c>
      <c r="Z10" s="6">
        <v>1600</v>
      </c>
      <c r="AA10" s="6" t="s">
        <v>85</v>
      </c>
      <c r="AB10" s="6">
        <v>6</v>
      </c>
      <c r="AC10" s="6" t="s">
        <v>85</v>
      </c>
      <c r="AD10" s="6" t="s">
        <v>85</v>
      </c>
      <c r="AE10" s="6" t="s">
        <v>86</v>
      </c>
      <c r="AF10" s="6">
        <v>4</v>
      </c>
      <c r="AG10" s="6">
        <v>2</v>
      </c>
      <c r="AM10" s="6" t="s">
        <v>85</v>
      </c>
      <c r="AN10" s="6" t="s">
        <v>86</v>
      </c>
      <c r="AO10" s="6">
        <v>1</v>
      </c>
      <c r="AQ10" s="6" t="s">
        <v>271</v>
      </c>
    </row>
    <row r="11" spans="1:44" s="6" customFormat="1" x14ac:dyDescent="0.25">
      <c r="A11" s="6" t="s">
        <v>96</v>
      </c>
      <c r="B11" s="6" t="s">
        <v>97</v>
      </c>
      <c r="C11" s="6" t="s">
        <v>98</v>
      </c>
      <c r="D11" s="6" t="s">
        <v>99</v>
      </c>
      <c r="E11" s="6">
        <v>3</v>
      </c>
      <c r="F11" s="6">
        <v>1</v>
      </c>
      <c r="G11" s="6">
        <v>52</v>
      </c>
      <c r="K11" s="6">
        <f>(114.5+121)/2</f>
        <v>117.75</v>
      </c>
      <c r="L11" s="6">
        <f>(116+118)/2</f>
        <v>117</v>
      </c>
      <c r="N11" s="6">
        <f>(15.5+19)/2</f>
        <v>17.25</v>
      </c>
      <c r="T11" s="6" t="s">
        <v>241</v>
      </c>
      <c r="U11" s="6" t="s">
        <v>241</v>
      </c>
      <c r="V11" s="6" t="s">
        <v>241</v>
      </c>
      <c r="W11" s="6" t="s">
        <v>241</v>
      </c>
      <c r="X11" s="6" t="s">
        <v>84</v>
      </c>
      <c r="Y11" s="6">
        <v>750</v>
      </c>
      <c r="Z11" s="6">
        <v>2750</v>
      </c>
      <c r="AA11" s="6" t="s">
        <v>85</v>
      </c>
      <c r="AB11" s="6">
        <v>5</v>
      </c>
      <c r="AC11" s="6" t="s">
        <v>85</v>
      </c>
      <c r="AD11" s="6" t="s">
        <v>85</v>
      </c>
      <c r="AF11" s="6">
        <v>5</v>
      </c>
      <c r="AG11" s="6">
        <v>2</v>
      </c>
      <c r="AM11" s="6" t="s">
        <v>85</v>
      </c>
      <c r="AN11" s="6" t="s">
        <v>85</v>
      </c>
      <c r="AO11" s="6">
        <v>1</v>
      </c>
      <c r="AP11" s="6" t="s">
        <v>100</v>
      </c>
    </row>
    <row r="12" spans="1:44" s="6" customFormat="1" x14ac:dyDescent="0.25">
      <c r="A12" s="6" t="s">
        <v>27</v>
      </c>
      <c r="B12" s="6" t="s">
        <v>209</v>
      </c>
      <c r="C12" s="6" t="s">
        <v>210</v>
      </c>
      <c r="D12" s="6" t="s">
        <v>211</v>
      </c>
      <c r="E12" s="6">
        <v>1</v>
      </c>
      <c r="F12" s="6">
        <v>0</v>
      </c>
      <c r="H12" s="6">
        <f>(55+61)/2</f>
        <v>58</v>
      </c>
      <c r="K12" s="6">
        <f>(102+116)/2</f>
        <v>109</v>
      </c>
      <c r="L12" s="6">
        <f>(102+114)/2</f>
        <v>108</v>
      </c>
      <c r="N12" s="6">
        <f>(17.5+20)/2</f>
        <v>18.75</v>
      </c>
      <c r="T12" s="6" t="s">
        <v>241</v>
      </c>
      <c r="V12" s="6" t="s">
        <v>241</v>
      </c>
      <c r="X12" s="6" t="s">
        <v>84</v>
      </c>
      <c r="Y12" s="6">
        <v>0</v>
      </c>
      <c r="Z12" s="6">
        <v>800</v>
      </c>
      <c r="AA12" s="6" t="s">
        <v>85</v>
      </c>
      <c r="AC12" s="6" t="s">
        <v>85</v>
      </c>
      <c r="AD12" s="6" t="s">
        <v>85</v>
      </c>
      <c r="AF12" s="6">
        <v>5</v>
      </c>
      <c r="AG12" s="6">
        <v>2</v>
      </c>
      <c r="AO12" s="6">
        <v>1</v>
      </c>
    </row>
    <row r="13" spans="1:44" s="4" customFormat="1" x14ac:dyDescent="0.25">
      <c r="A13" s="4" t="s">
        <v>42</v>
      </c>
      <c r="B13" s="4" t="s">
        <v>42</v>
      </c>
      <c r="C13" s="4" t="s">
        <v>101</v>
      </c>
      <c r="D13" s="4" t="s">
        <v>102</v>
      </c>
      <c r="E13" s="4">
        <v>3</v>
      </c>
      <c r="F13" s="4">
        <v>1</v>
      </c>
      <c r="G13" s="4">
        <v>7</v>
      </c>
      <c r="H13" s="4">
        <v>75</v>
      </c>
      <c r="I13" s="4">
        <v>75</v>
      </c>
      <c r="J13" s="4">
        <v>75</v>
      </c>
      <c r="K13" s="4">
        <v>127</v>
      </c>
      <c r="L13" s="4">
        <v>121.9</v>
      </c>
      <c r="N13" s="4">
        <v>22.6</v>
      </c>
      <c r="O13" s="4">
        <v>22.6</v>
      </c>
      <c r="Q13" s="4">
        <v>33.1</v>
      </c>
      <c r="R13" s="4">
        <v>33</v>
      </c>
      <c r="T13" s="4" t="s">
        <v>241</v>
      </c>
      <c r="U13" s="4" t="s">
        <v>241</v>
      </c>
      <c r="V13" s="4" t="s">
        <v>242</v>
      </c>
      <c r="W13" s="4" t="s">
        <v>242</v>
      </c>
      <c r="X13" s="4" t="s">
        <v>103</v>
      </c>
      <c r="Y13" s="4">
        <v>0</v>
      </c>
      <c r="Z13" s="4">
        <v>3700</v>
      </c>
      <c r="AA13" s="4" t="s">
        <v>86</v>
      </c>
      <c r="AB13" s="4">
        <v>5</v>
      </c>
      <c r="AC13" s="4" t="s">
        <v>86</v>
      </c>
      <c r="AD13" s="4" t="s">
        <v>85</v>
      </c>
      <c r="AE13" s="4" t="s">
        <v>86</v>
      </c>
      <c r="AF13" s="4">
        <v>5</v>
      </c>
      <c r="AG13" s="4">
        <v>3.5</v>
      </c>
      <c r="AH13" s="4">
        <f>(11+14)/2</f>
        <v>12.5</v>
      </c>
      <c r="AI13" s="4">
        <f>(15+16)/2</f>
        <v>15.5</v>
      </c>
      <c r="AJ13" s="4" t="s">
        <v>248</v>
      </c>
      <c r="AK13" s="4" t="s">
        <v>244</v>
      </c>
      <c r="AL13" s="4">
        <v>2</v>
      </c>
      <c r="AM13" s="4" t="s">
        <v>86</v>
      </c>
      <c r="AN13" s="4" t="s">
        <v>86</v>
      </c>
      <c r="AO13" s="4">
        <v>1</v>
      </c>
      <c r="AQ13" s="4" t="s">
        <v>272</v>
      </c>
    </row>
    <row r="14" spans="1:44" s="2" customFormat="1" x14ac:dyDescent="0.25">
      <c r="A14" s="4" t="s">
        <v>53</v>
      </c>
      <c r="B14" s="4" t="s">
        <v>53</v>
      </c>
      <c r="C14" s="4" t="s">
        <v>137</v>
      </c>
      <c r="D14" s="4" t="s">
        <v>105</v>
      </c>
      <c r="E14" s="4">
        <v>1</v>
      </c>
      <c r="F14" s="4">
        <v>0</v>
      </c>
      <c r="G14" s="4">
        <v>7</v>
      </c>
      <c r="H14" s="4">
        <v>62.37</v>
      </c>
      <c r="I14" s="4">
        <v>67.55</v>
      </c>
      <c r="J14" s="4"/>
      <c r="K14" s="4">
        <v>116.62</v>
      </c>
      <c r="L14" s="4">
        <v>112.76</v>
      </c>
      <c r="M14" s="4"/>
      <c r="N14" s="4">
        <f>(16.5+20.5)/2</f>
        <v>18.5</v>
      </c>
      <c r="O14" s="4"/>
      <c r="P14" s="4"/>
      <c r="Q14" s="4"/>
      <c r="R14" s="4"/>
      <c r="S14" s="4">
        <f>(27.5+32)/2</f>
        <v>29.75</v>
      </c>
      <c r="T14" s="4" t="s">
        <v>241</v>
      </c>
      <c r="U14" s="4"/>
      <c r="V14" s="4" t="s">
        <v>242</v>
      </c>
      <c r="W14" s="4"/>
      <c r="X14" s="4" t="s">
        <v>84</v>
      </c>
      <c r="Y14" s="4">
        <v>0</v>
      </c>
      <c r="Z14" s="4">
        <v>1900</v>
      </c>
      <c r="AA14" s="4" t="s">
        <v>85</v>
      </c>
      <c r="AB14" s="4">
        <v>4</v>
      </c>
      <c r="AC14" s="4" t="s">
        <v>86</v>
      </c>
      <c r="AD14" s="4" t="s">
        <v>85</v>
      </c>
      <c r="AE14" s="4"/>
      <c r="AF14" s="4">
        <v>9</v>
      </c>
      <c r="AG14" s="4">
        <f>(2+3)/2</f>
        <v>2.5</v>
      </c>
      <c r="AH14" s="4">
        <v>12.5</v>
      </c>
      <c r="AI14" s="4">
        <v>14</v>
      </c>
      <c r="AJ14" s="4"/>
      <c r="AK14" s="4" t="s">
        <v>244</v>
      </c>
      <c r="AL14" s="4">
        <v>3</v>
      </c>
      <c r="AM14" s="4" t="s">
        <v>85</v>
      </c>
      <c r="AN14" s="4" t="s">
        <v>85</v>
      </c>
      <c r="AO14" s="4">
        <v>1</v>
      </c>
      <c r="AP14" s="4"/>
      <c r="AQ14" s="4" t="s">
        <v>257</v>
      </c>
    </row>
    <row r="15" spans="1:44" s="5" customFormat="1" x14ac:dyDescent="0.25">
      <c r="A15" s="5" t="s">
        <v>204</v>
      </c>
      <c r="B15" s="5" t="s">
        <v>205</v>
      </c>
      <c r="C15" s="5" t="s">
        <v>206</v>
      </c>
      <c r="D15" s="5" t="s">
        <v>105</v>
      </c>
      <c r="E15" s="5">
        <v>1</v>
      </c>
      <c r="F15" s="5">
        <v>0</v>
      </c>
      <c r="K15" s="5">
        <f>(102.5+112)/2</f>
        <v>107.25</v>
      </c>
      <c r="L15" s="5">
        <f>(97+110)/2</f>
        <v>103.5</v>
      </c>
      <c r="N15" s="5">
        <f>(14.5+19.5)/2</f>
        <v>17</v>
      </c>
      <c r="S15" s="5">
        <f>(25+30)/2</f>
        <v>27.5</v>
      </c>
      <c r="T15" s="5" t="s">
        <v>246</v>
      </c>
      <c r="V15" s="5" t="s">
        <v>242</v>
      </c>
      <c r="X15" s="5" t="s">
        <v>84</v>
      </c>
      <c r="Y15" s="5">
        <v>0</v>
      </c>
      <c r="Z15" s="5">
        <v>250</v>
      </c>
      <c r="AA15" s="5" t="s">
        <v>91</v>
      </c>
      <c r="AB15" s="5">
        <v>5</v>
      </c>
      <c r="AC15" s="5" t="s">
        <v>86</v>
      </c>
      <c r="AD15" s="5" t="s">
        <v>85</v>
      </c>
      <c r="AG15" s="5">
        <f>(2+3)/2</f>
        <v>2.5</v>
      </c>
      <c r="AH15" s="5">
        <v>12.5</v>
      </c>
      <c r="AI15" s="5">
        <v>14</v>
      </c>
      <c r="AK15" s="5" t="s">
        <v>244</v>
      </c>
      <c r="AL15" s="5">
        <v>3</v>
      </c>
      <c r="AM15" s="5" t="s">
        <v>85</v>
      </c>
      <c r="AN15" s="5" t="s">
        <v>86</v>
      </c>
    </row>
    <row r="16" spans="1:44" x14ac:dyDescent="0.25">
      <c r="A16" s="4" t="s">
        <v>2</v>
      </c>
      <c r="B16" s="4" t="s">
        <v>2</v>
      </c>
      <c r="C16" s="4" t="s">
        <v>127</v>
      </c>
      <c r="D16" s="4" t="s">
        <v>105</v>
      </c>
      <c r="E16" s="4">
        <v>1</v>
      </c>
      <c r="F16" s="4">
        <v>0</v>
      </c>
      <c r="G16" s="4">
        <v>1</v>
      </c>
      <c r="H16" s="4">
        <v>57.4</v>
      </c>
      <c r="I16" s="4">
        <v>59.5</v>
      </c>
      <c r="J16" s="4">
        <f>AVERAGE(H16:I16)</f>
        <v>58.45</v>
      </c>
      <c r="K16" s="4">
        <v>117.1</v>
      </c>
      <c r="L16" s="4">
        <v>112.9</v>
      </c>
      <c r="M16" s="4"/>
      <c r="N16" s="4">
        <v>18.899999999999999</v>
      </c>
      <c r="O16" s="4">
        <v>19</v>
      </c>
      <c r="P16" s="4"/>
      <c r="Q16" s="4">
        <v>32.1</v>
      </c>
      <c r="R16" s="4">
        <v>32.799999999999997</v>
      </c>
      <c r="S16" s="4">
        <v>32.549999999999997</v>
      </c>
      <c r="T16" s="4" t="s">
        <v>241</v>
      </c>
      <c r="U16" s="4" t="s">
        <v>242</v>
      </c>
      <c r="V16" s="4" t="s">
        <v>242</v>
      </c>
      <c r="W16" s="4" t="s">
        <v>242</v>
      </c>
      <c r="X16" s="4" t="s">
        <v>84</v>
      </c>
      <c r="Y16" s="4">
        <v>0</v>
      </c>
      <c r="Z16" s="4">
        <v>2100</v>
      </c>
      <c r="AA16" s="4" t="s">
        <v>91</v>
      </c>
      <c r="AB16" s="4">
        <v>4</v>
      </c>
      <c r="AC16" s="4" t="s">
        <v>86</v>
      </c>
      <c r="AD16" s="4" t="s">
        <v>85</v>
      </c>
      <c r="AE16" s="4"/>
      <c r="AF16" s="4">
        <v>8</v>
      </c>
      <c r="AG16" s="4">
        <v>3</v>
      </c>
      <c r="AH16" s="4">
        <v>11.5</v>
      </c>
      <c r="AI16" s="4">
        <v>12</v>
      </c>
      <c r="AJ16" s="4"/>
      <c r="AK16" s="4" t="s">
        <v>244</v>
      </c>
      <c r="AL16" s="4">
        <v>2</v>
      </c>
      <c r="AM16" s="4" t="s">
        <v>86</v>
      </c>
      <c r="AN16" s="4" t="s">
        <v>86</v>
      </c>
      <c r="AO16" s="4">
        <v>1</v>
      </c>
      <c r="AP16" s="4"/>
      <c r="AQ16" s="4" t="s">
        <v>259</v>
      </c>
    </row>
    <row r="17" spans="1:43" x14ac:dyDescent="0.25">
      <c r="A17" s="4" t="s">
        <v>6</v>
      </c>
      <c r="B17" s="4" t="s">
        <v>200</v>
      </c>
      <c r="C17" s="4" t="s">
        <v>201</v>
      </c>
      <c r="D17" s="4" t="s">
        <v>105</v>
      </c>
      <c r="E17" s="4">
        <v>2</v>
      </c>
      <c r="F17" s="4">
        <v>1</v>
      </c>
      <c r="G17" s="4"/>
      <c r="H17" s="4"/>
      <c r="I17" s="4"/>
      <c r="J17" s="4"/>
      <c r="K17" s="4"/>
      <c r="L17" s="4"/>
      <c r="M17" s="4"/>
      <c r="N17" s="4">
        <f>(24+27)/2</f>
        <v>25.5</v>
      </c>
      <c r="O17" s="4"/>
      <c r="P17" s="4"/>
      <c r="Q17" s="4"/>
      <c r="R17" s="4"/>
      <c r="S17" s="4"/>
      <c r="T17" s="4" t="s">
        <v>236</v>
      </c>
      <c r="U17" s="4" t="s">
        <v>236</v>
      </c>
      <c r="V17" s="4" t="s">
        <v>236</v>
      </c>
      <c r="W17" s="4" t="s">
        <v>236</v>
      </c>
      <c r="X17" s="4" t="s">
        <v>125</v>
      </c>
      <c r="Y17" s="4">
        <v>2000</v>
      </c>
      <c r="Z17" s="4">
        <v>4300</v>
      </c>
      <c r="AA17" s="4" t="s">
        <v>85</v>
      </c>
      <c r="AB17" s="4">
        <v>8</v>
      </c>
      <c r="AC17" s="4" t="s">
        <v>86</v>
      </c>
      <c r="AD17" s="4" t="s">
        <v>85</v>
      </c>
      <c r="AE17" s="4"/>
      <c r="AF17" s="4">
        <v>6</v>
      </c>
      <c r="AG17" s="4">
        <v>2.5</v>
      </c>
      <c r="AH17" s="4">
        <v>11.5</v>
      </c>
      <c r="AI17" s="4"/>
      <c r="AJ17" s="4" t="s">
        <v>248</v>
      </c>
      <c r="AK17" s="4"/>
      <c r="AL17" s="4"/>
      <c r="AM17" s="4" t="s">
        <v>86</v>
      </c>
      <c r="AN17" s="4" t="s">
        <v>86</v>
      </c>
      <c r="AO17" s="4">
        <v>1</v>
      </c>
      <c r="AP17" s="4"/>
      <c r="AQ17" s="4" t="s">
        <v>260</v>
      </c>
    </row>
    <row r="18" spans="1:43" x14ac:dyDescent="0.25">
      <c r="A18" s="4" t="s">
        <v>128</v>
      </c>
      <c r="B18" s="4" t="s">
        <v>54</v>
      </c>
      <c r="C18" s="4" t="s">
        <v>129</v>
      </c>
      <c r="D18" s="4" t="s">
        <v>105</v>
      </c>
      <c r="E18" s="4">
        <v>1</v>
      </c>
      <c r="F18" s="4">
        <v>0</v>
      </c>
      <c r="G18" s="4">
        <v>10</v>
      </c>
      <c r="H18" s="4">
        <v>68.400000000000006</v>
      </c>
      <c r="I18" s="4">
        <v>75.58</v>
      </c>
      <c r="J18" s="4">
        <v>67.5</v>
      </c>
      <c r="K18" s="4">
        <f>(121+133.5)/2</f>
        <v>127.25</v>
      </c>
      <c r="L18" s="4">
        <f>(107+123)/2</f>
        <v>115</v>
      </c>
      <c r="M18" s="4"/>
      <c r="N18" s="4">
        <f>(16.5+23)/2</f>
        <v>19.75</v>
      </c>
      <c r="O18" s="4"/>
      <c r="P18" s="4"/>
      <c r="Q18" s="4"/>
      <c r="R18" s="4"/>
      <c r="S18" s="4">
        <f>(28+32)/2</f>
        <v>30</v>
      </c>
      <c r="T18" s="4" t="s">
        <v>241</v>
      </c>
      <c r="U18" s="4"/>
      <c r="V18" s="4" t="s">
        <v>241</v>
      </c>
      <c r="W18" s="4"/>
      <c r="X18" s="4" t="s">
        <v>84</v>
      </c>
      <c r="Y18" s="4">
        <v>2000</v>
      </c>
      <c r="Z18" s="4">
        <v>3000</v>
      </c>
      <c r="AA18" s="4" t="s">
        <v>91</v>
      </c>
      <c r="AB18" s="4">
        <v>5</v>
      </c>
      <c r="AC18" s="4" t="s">
        <v>86</v>
      </c>
      <c r="AD18" s="4" t="s">
        <v>85</v>
      </c>
      <c r="AE18" s="4"/>
      <c r="AF18" s="4"/>
      <c r="AG18" s="4">
        <f>(2+3)/2</f>
        <v>2.5</v>
      </c>
      <c r="AH18" s="4">
        <v>12.5</v>
      </c>
      <c r="AI18" s="4">
        <v>14</v>
      </c>
      <c r="AJ18" s="4" t="s">
        <v>248</v>
      </c>
      <c r="AK18" s="4" t="s">
        <v>244</v>
      </c>
      <c r="AL18" s="4"/>
      <c r="AM18" s="4" t="s">
        <v>85</v>
      </c>
      <c r="AN18" s="4" t="s">
        <v>86</v>
      </c>
      <c r="AO18" s="4">
        <v>1</v>
      </c>
      <c r="AP18" s="4"/>
      <c r="AQ18" s="4"/>
    </row>
    <row r="19" spans="1:43" s="6" customFormat="1" x14ac:dyDescent="0.25">
      <c r="A19" s="6" t="s">
        <v>34</v>
      </c>
      <c r="B19" s="6" t="s">
        <v>34</v>
      </c>
      <c r="C19" s="6" t="s">
        <v>130</v>
      </c>
      <c r="D19" s="6" t="s">
        <v>105</v>
      </c>
      <c r="E19" s="6">
        <v>1</v>
      </c>
      <c r="F19" s="6">
        <v>0</v>
      </c>
      <c r="G19" s="6">
        <v>1</v>
      </c>
      <c r="H19" s="6">
        <v>78.13</v>
      </c>
      <c r="I19" s="6">
        <v>86.35</v>
      </c>
      <c r="J19" s="6">
        <v>82</v>
      </c>
      <c r="K19" s="6">
        <f>(116+127)/2</f>
        <v>121.5</v>
      </c>
      <c r="L19" s="6">
        <f>(112+123)/2</f>
        <v>117.5</v>
      </c>
      <c r="N19" s="6">
        <f>(21+25.5)/2</f>
        <v>23.25</v>
      </c>
      <c r="S19" s="6">
        <f>(32+40.5)/2</f>
        <v>36.25</v>
      </c>
      <c r="T19" s="6" t="s">
        <v>241</v>
      </c>
      <c r="V19" s="6" t="s">
        <v>241</v>
      </c>
      <c r="X19" s="6" t="s">
        <v>84</v>
      </c>
      <c r="AA19" s="6" t="s">
        <v>85</v>
      </c>
      <c r="AB19" s="6">
        <v>4</v>
      </c>
      <c r="AC19" s="6" t="s">
        <v>85</v>
      </c>
      <c r="AD19" s="6" t="s">
        <v>85</v>
      </c>
      <c r="AG19" s="6">
        <v>3</v>
      </c>
      <c r="AH19" s="6">
        <v>16</v>
      </c>
      <c r="AL19" s="6">
        <v>2</v>
      </c>
      <c r="AM19" s="6" t="s">
        <v>85</v>
      </c>
      <c r="AN19" s="6" t="s">
        <v>86</v>
      </c>
      <c r="AO19" s="6">
        <v>1</v>
      </c>
      <c r="AQ19" s="6" t="s">
        <v>278</v>
      </c>
    </row>
    <row r="20" spans="1:43" s="4" customFormat="1" x14ac:dyDescent="0.25">
      <c r="A20" s="4" t="s">
        <v>5</v>
      </c>
      <c r="B20" s="4" t="s">
        <v>5</v>
      </c>
      <c r="C20" s="4" t="s">
        <v>124</v>
      </c>
      <c r="D20" s="4" t="s">
        <v>105</v>
      </c>
      <c r="E20" s="4">
        <v>2</v>
      </c>
      <c r="F20" s="4">
        <v>0</v>
      </c>
      <c r="G20" s="4">
        <v>3</v>
      </c>
      <c r="H20" s="4">
        <v>95.91</v>
      </c>
      <c r="I20" s="4">
        <v>95.7</v>
      </c>
      <c r="K20" s="4">
        <f>(126+133)/2</f>
        <v>129.5</v>
      </c>
      <c r="L20" s="4">
        <f>(128+130)/2</f>
        <v>129</v>
      </c>
      <c r="T20" s="4" t="s">
        <v>241</v>
      </c>
      <c r="V20" s="4" t="s">
        <v>241</v>
      </c>
      <c r="X20" s="4" t="s">
        <v>125</v>
      </c>
      <c r="Y20" s="4">
        <v>2000</v>
      </c>
      <c r="Z20" s="4">
        <v>4300</v>
      </c>
      <c r="AA20" s="4" t="s">
        <v>85</v>
      </c>
      <c r="AB20" s="4">
        <v>8</v>
      </c>
      <c r="AC20" s="4" t="s">
        <v>86</v>
      </c>
      <c r="AD20" s="4" t="s">
        <v>85</v>
      </c>
      <c r="AF20" s="4">
        <v>4</v>
      </c>
      <c r="AG20" s="4">
        <v>2.5</v>
      </c>
      <c r="AH20" s="4">
        <v>11.5</v>
      </c>
      <c r="AJ20" s="4" t="s">
        <v>248</v>
      </c>
      <c r="AK20" s="4" t="s">
        <v>244</v>
      </c>
      <c r="AM20" s="4" t="s">
        <v>86</v>
      </c>
      <c r="AN20" s="4" t="s">
        <v>86</v>
      </c>
      <c r="AO20" s="4">
        <v>1</v>
      </c>
      <c r="AQ20" s="4" t="s">
        <v>279</v>
      </c>
    </row>
    <row r="21" spans="1:43" s="8" customFormat="1" x14ac:dyDescent="0.25">
      <c r="A21" s="8" t="s">
        <v>43</v>
      </c>
      <c r="B21" s="8" t="s">
        <v>207</v>
      </c>
      <c r="C21" s="8" t="s">
        <v>208</v>
      </c>
      <c r="D21" s="8" t="s">
        <v>105</v>
      </c>
      <c r="E21" s="8">
        <v>1</v>
      </c>
      <c r="F21" s="7">
        <v>0</v>
      </c>
      <c r="H21" s="7">
        <v>74.849999999999994</v>
      </c>
      <c r="I21" s="7">
        <v>74.099999999999994</v>
      </c>
      <c r="K21" s="8">
        <v>130</v>
      </c>
      <c r="L21" s="8">
        <v>126.1</v>
      </c>
      <c r="N21" s="8">
        <v>26</v>
      </c>
      <c r="O21" s="8">
        <v>26.1</v>
      </c>
      <c r="P21" s="8">
        <v>26</v>
      </c>
      <c r="Q21" s="8">
        <v>32.200000000000003</v>
      </c>
      <c r="R21" s="8">
        <v>31.7</v>
      </c>
      <c r="T21" s="7" t="s">
        <v>241</v>
      </c>
      <c r="V21" s="7" t="s">
        <v>242</v>
      </c>
      <c r="Y21" s="7">
        <v>1000</v>
      </c>
      <c r="Z21" s="7">
        <v>2000</v>
      </c>
      <c r="AA21" s="4" t="s">
        <v>85</v>
      </c>
      <c r="AB21" s="8" t="s">
        <v>238</v>
      </c>
      <c r="AC21" s="4" t="s">
        <v>85</v>
      </c>
      <c r="AO21" s="8">
        <v>1</v>
      </c>
      <c r="AQ21" s="8" t="s">
        <v>280</v>
      </c>
    </row>
    <row r="22" spans="1:43" x14ac:dyDescent="0.25">
      <c r="A22" t="s">
        <v>13</v>
      </c>
      <c r="B22" t="s">
        <v>13</v>
      </c>
      <c r="C22" t="s">
        <v>131</v>
      </c>
      <c r="D22" t="s">
        <v>105</v>
      </c>
      <c r="E22">
        <v>2</v>
      </c>
      <c r="F22">
        <v>0</v>
      </c>
      <c r="G22">
        <v>3</v>
      </c>
      <c r="J22">
        <f>(100+111)/2</f>
        <v>105.5</v>
      </c>
      <c r="K22">
        <f>(134.5+142.5)/2</f>
        <v>138.5</v>
      </c>
      <c r="L22">
        <f>(128.5+136.5)/2</f>
        <v>132.5</v>
      </c>
      <c r="P22">
        <f>(24+26)/2</f>
        <v>25</v>
      </c>
      <c r="S22">
        <f>(36+40)/2</f>
        <v>38</v>
      </c>
      <c r="X22" t="s">
        <v>103</v>
      </c>
      <c r="Y22">
        <v>0</v>
      </c>
      <c r="Z22">
        <v>2150</v>
      </c>
      <c r="AA22" t="s">
        <v>85</v>
      </c>
      <c r="AB22">
        <v>6</v>
      </c>
      <c r="AC22" s="4" t="s">
        <v>85</v>
      </c>
      <c r="AG22" s="4">
        <v>2.5</v>
      </c>
      <c r="AH22" s="4">
        <v>15</v>
      </c>
      <c r="AI22">
        <v>10.5</v>
      </c>
      <c r="AM22" t="s">
        <v>86</v>
      </c>
      <c r="AN22" t="s">
        <v>86</v>
      </c>
      <c r="AO22">
        <v>1</v>
      </c>
    </row>
    <row r="23" spans="1:43" x14ac:dyDescent="0.25">
      <c r="A23" t="s">
        <v>177</v>
      </c>
      <c r="B23" t="s">
        <v>52</v>
      </c>
      <c r="C23" t="s">
        <v>178</v>
      </c>
      <c r="D23" t="s">
        <v>105</v>
      </c>
      <c r="E23">
        <v>3</v>
      </c>
      <c r="F23">
        <v>1</v>
      </c>
      <c r="H23">
        <v>64</v>
      </c>
      <c r="I23">
        <v>72</v>
      </c>
      <c r="J23">
        <f>(59+72)/2</f>
        <v>65.5</v>
      </c>
      <c r="K23">
        <f>(108+119)/2</f>
        <v>113.5</v>
      </c>
      <c r="L23">
        <f>(105+111)/2</f>
        <v>108</v>
      </c>
      <c r="P23">
        <f>(13+18)/2</f>
        <v>15.5</v>
      </c>
      <c r="S23">
        <f>(22.5+26)/2</f>
        <v>24.25</v>
      </c>
      <c r="X23" t="s">
        <v>84</v>
      </c>
      <c r="Y23">
        <v>500</v>
      </c>
      <c r="Z23">
        <v>2500</v>
      </c>
      <c r="AA23" t="s">
        <v>91</v>
      </c>
      <c r="AB23">
        <v>3</v>
      </c>
      <c r="AC23" s="4" t="s">
        <v>85</v>
      </c>
      <c r="AM23" t="s">
        <v>85</v>
      </c>
      <c r="AN23" t="s">
        <v>86</v>
      </c>
      <c r="AO23">
        <v>1</v>
      </c>
      <c r="AQ23" s="10" t="s">
        <v>431</v>
      </c>
    </row>
    <row r="24" spans="1:43" x14ac:dyDescent="0.25">
      <c r="A24" t="s">
        <v>11</v>
      </c>
      <c r="B24" t="s">
        <v>11</v>
      </c>
      <c r="C24" t="s">
        <v>109</v>
      </c>
      <c r="D24" t="s">
        <v>105</v>
      </c>
      <c r="E24">
        <v>2</v>
      </c>
      <c r="F24">
        <v>0</v>
      </c>
      <c r="G24">
        <v>1</v>
      </c>
      <c r="H24">
        <v>71</v>
      </c>
      <c r="I24">
        <v>69</v>
      </c>
      <c r="M24">
        <f>(119+126.5)/2</f>
        <v>122.75</v>
      </c>
      <c r="P24">
        <v>20.25</v>
      </c>
      <c r="S24">
        <v>31.5</v>
      </c>
      <c r="X24" t="s">
        <v>103</v>
      </c>
      <c r="Y24">
        <v>1300</v>
      </c>
      <c r="Z24">
        <v>2700</v>
      </c>
      <c r="AA24" t="s">
        <v>85</v>
      </c>
      <c r="AB24">
        <v>6</v>
      </c>
      <c r="AC24" s="4" t="s">
        <v>85</v>
      </c>
      <c r="AM24" t="s">
        <v>85</v>
      </c>
      <c r="AN24" t="s">
        <v>85</v>
      </c>
      <c r="AO24">
        <v>1</v>
      </c>
    </row>
    <row r="25" spans="1:43" x14ac:dyDescent="0.25">
      <c r="A25" t="s">
        <v>61</v>
      </c>
      <c r="B25" t="s">
        <v>61</v>
      </c>
      <c r="C25" t="s">
        <v>119</v>
      </c>
      <c r="D25" t="s">
        <v>105</v>
      </c>
      <c r="E25">
        <v>1</v>
      </c>
      <c r="F25">
        <v>0</v>
      </c>
      <c r="G25">
        <v>5</v>
      </c>
      <c r="H25">
        <f>(55.5+75)/2</f>
        <v>65.25</v>
      </c>
      <c r="I25">
        <f>(66.5+83)/2</f>
        <v>74.75</v>
      </c>
      <c r="K25">
        <f>(111+118)/2</f>
        <v>114.5</v>
      </c>
      <c r="L25">
        <f>(106+111)/2</f>
        <v>108.5</v>
      </c>
      <c r="P25">
        <f>(15.5+20)/2</f>
        <v>17.75</v>
      </c>
      <c r="S25">
        <f>(33+36)/2</f>
        <v>34.5</v>
      </c>
      <c r="X25" t="s">
        <v>84</v>
      </c>
      <c r="Y25">
        <v>0</v>
      </c>
      <c r="Z25">
        <v>1800</v>
      </c>
      <c r="AA25" t="s">
        <v>85</v>
      </c>
      <c r="AB25">
        <v>11</v>
      </c>
      <c r="AC25" s="4" t="s">
        <v>85</v>
      </c>
      <c r="AM25" t="s">
        <v>85</v>
      </c>
      <c r="AN25" t="s">
        <v>86</v>
      </c>
      <c r="AO25">
        <v>1</v>
      </c>
    </row>
    <row r="26" spans="1:43" x14ac:dyDescent="0.25">
      <c r="A26" t="s">
        <v>7</v>
      </c>
      <c r="B26" t="s">
        <v>7</v>
      </c>
      <c r="C26" t="s">
        <v>138</v>
      </c>
      <c r="D26" t="s">
        <v>105</v>
      </c>
      <c r="E26">
        <v>1</v>
      </c>
      <c r="F26">
        <v>0</v>
      </c>
      <c r="G26">
        <v>7</v>
      </c>
      <c r="J26">
        <f>(128+175)/2</f>
        <v>151.5</v>
      </c>
      <c r="K26">
        <f>(149+154)/2</f>
        <v>151.5</v>
      </c>
      <c r="L26">
        <f>(140+145)/2</f>
        <v>142.5</v>
      </c>
      <c r="N26">
        <f>(20+24.5)/2</f>
        <v>22.25</v>
      </c>
      <c r="X26" t="s">
        <v>103</v>
      </c>
      <c r="Y26">
        <v>1400</v>
      </c>
      <c r="Z26">
        <v>4250</v>
      </c>
      <c r="AA26" t="s">
        <v>85</v>
      </c>
      <c r="AB26">
        <v>8</v>
      </c>
      <c r="AC26" s="4" t="s">
        <v>86</v>
      </c>
      <c r="AF26">
        <v>6</v>
      </c>
      <c r="AG26">
        <v>2</v>
      </c>
      <c r="AM26" t="s">
        <v>86</v>
      </c>
      <c r="AN26" t="s">
        <v>86</v>
      </c>
      <c r="AO26">
        <v>1</v>
      </c>
    </row>
    <row r="27" spans="1:43" x14ac:dyDescent="0.25">
      <c r="A27" t="s">
        <v>55</v>
      </c>
      <c r="B27" t="s">
        <v>55</v>
      </c>
      <c r="C27" t="s">
        <v>139</v>
      </c>
      <c r="D27" t="s">
        <v>105</v>
      </c>
      <c r="E27">
        <v>1</v>
      </c>
      <c r="F27">
        <v>0</v>
      </c>
      <c r="G27">
        <v>6</v>
      </c>
      <c r="J27">
        <v>76</v>
      </c>
      <c r="K27">
        <f>(116+132.5)/2</f>
        <v>124.25</v>
      </c>
      <c r="L27">
        <f>(110+130.5)/2</f>
        <v>120.25</v>
      </c>
      <c r="P27">
        <f>(17+23)/2</f>
        <v>20</v>
      </c>
      <c r="S27">
        <f>(28+34)/2</f>
        <v>31</v>
      </c>
      <c r="X27" t="s">
        <v>103</v>
      </c>
      <c r="Y27">
        <v>0</v>
      </c>
      <c r="Z27">
        <v>2450</v>
      </c>
      <c r="AA27" t="s">
        <v>85</v>
      </c>
      <c r="AB27">
        <v>5</v>
      </c>
      <c r="AC27" s="4" t="s">
        <v>86</v>
      </c>
      <c r="AG27">
        <v>3</v>
      </c>
      <c r="AH27">
        <v>12.5</v>
      </c>
      <c r="AI27">
        <v>13</v>
      </c>
      <c r="AM27" t="s">
        <v>86</v>
      </c>
      <c r="AN27" t="s">
        <v>86</v>
      </c>
      <c r="AO27">
        <v>1</v>
      </c>
    </row>
    <row r="28" spans="1:43" x14ac:dyDescent="0.25">
      <c r="A28" t="s">
        <v>197</v>
      </c>
      <c r="B28" t="s">
        <v>198</v>
      </c>
      <c r="C28" t="s">
        <v>199</v>
      </c>
      <c r="D28" t="s">
        <v>105</v>
      </c>
      <c r="K28">
        <f>(121.5+132.5)/2</f>
        <v>127</v>
      </c>
      <c r="L28">
        <f>(119+127.5)/2</f>
        <v>123.25</v>
      </c>
      <c r="N28">
        <f>(22.5)</f>
        <v>22.5</v>
      </c>
      <c r="O28">
        <f>(20.5+25.5)/2</f>
        <v>23</v>
      </c>
      <c r="Q28">
        <f>(33+36)/2</f>
        <v>34.5</v>
      </c>
      <c r="R28">
        <f>(32+38)/2</f>
        <v>35</v>
      </c>
      <c r="AA28" t="s">
        <v>85</v>
      </c>
      <c r="AB28">
        <v>3</v>
      </c>
      <c r="AC28" s="4" t="s">
        <v>86</v>
      </c>
    </row>
    <row r="29" spans="1:43" x14ac:dyDescent="0.25">
      <c r="A29" t="s">
        <v>114</v>
      </c>
      <c r="B29" t="s">
        <v>114</v>
      </c>
      <c r="C29" t="s">
        <v>115</v>
      </c>
      <c r="D29" t="s">
        <v>105</v>
      </c>
      <c r="E29">
        <v>1</v>
      </c>
      <c r="F29">
        <v>0</v>
      </c>
      <c r="G29">
        <v>1</v>
      </c>
      <c r="X29" t="s">
        <v>84</v>
      </c>
      <c r="AA29" t="s">
        <v>85</v>
      </c>
      <c r="AM29" t="s">
        <v>85</v>
      </c>
      <c r="AN29" t="s">
        <v>85</v>
      </c>
    </row>
    <row r="30" spans="1:43" x14ac:dyDescent="0.25">
      <c r="A30" t="s">
        <v>62</v>
      </c>
      <c r="B30" t="s">
        <v>62</v>
      </c>
      <c r="C30" t="s">
        <v>107</v>
      </c>
      <c r="D30" t="s">
        <v>105</v>
      </c>
      <c r="E30">
        <v>1</v>
      </c>
      <c r="F30">
        <v>0</v>
      </c>
      <c r="G30">
        <v>1</v>
      </c>
      <c r="X30" t="s">
        <v>84</v>
      </c>
      <c r="Y30">
        <v>0</v>
      </c>
      <c r="Z30">
        <v>800</v>
      </c>
      <c r="AA30" t="s">
        <v>85</v>
      </c>
      <c r="AB30" t="s">
        <v>428</v>
      </c>
      <c r="AC30" s="4" t="s">
        <v>85</v>
      </c>
      <c r="AG30">
        <v>2.5</v>
      </c>
      <c r="AH30">
        <v>13.7</v>
      </c>
      <c r="AI30">
        <v>14.9</v>
      </c>
      <c r="AM30" t="s">
        <v>85</v>
      </c>
      <c r="AN30" t="s">
        <v>85</v>
      </c>
      <c r="AO30">
        <v>1</v>
      </c>
    </row>
    <row r="31" spans="1:43" x14ac:dyDescent="0.25">
      <c r="A31" t="s">
        <v>194</v>
      </c>
      <c r="B31" t="s">
        <v>195</v>
      </c>
      <c r="C31" t="s">
        <v>196</v>
      </c>
      <c r="D31" t="s">
        <v>105</v>
      </c>
      <c r="AA31" t="s">
        <v>85</v>
      </c>
    </row>
    <row r="32" spans="1:43" x14ac:dyDescent="0.25">
      <c r="A32" t="s">
        <v>3</v>
      </c>
      <c r="B32" t="s">
        <v>3</v>
      </c>
      <c r="C32" t="s">
        <v>140</v>
      </c>
      <c r="D32" t="s">
        <v>105</v>
      </c>
      <c r="E32">
        <v>1</v>
      </c>
      <c r="F32">
        <v>0</v>
      </c>
      <c r="G32">
        <v>5</v>
      </c>
      <c r="H32">
        <v>61</v>
      </c>
      <c r="I32">
        <v>66.7</v>
      </c>
      <c r="X32" t="s">
        <v>103</v>
      </c>
      <c r="Y32">
        <v>900</v>
      </c>
      <c r="Z32">
        <v>1200</v>
      </c>
      <c r="AA32" t="s">
        <v>85</v>
      </c>
      <c r="AB32">
        <v>12</v>
      </c>
      <c r="AC32" s="4" t="s">
        <v>85</v>
      </c>
      <c r="AH32">
        <v>16</v>
      </c>
      <c r="AM32" t="s">
        <v>86</v>
      </c>
      <c r="AN32" t="s">
        <v>86</v>
      </c>
      <c r="AO32">
        <v>1</v>
      </c>
      <c r="AP32" t="s">
        <v>432</v>
      </c>
    </row>
    <row r="33" spans="1:43" x14ac:dyDescent="0.25">
      <c r="A33" t="s">
        <v>40</v>
      </c>
      <c r="B33" t="s">
        <v>40</v>
      </c>
      <c r="C33" t="s">
        <v>110</v>
      </c>
      <c r="D33" t="s">
        <v>105</v>
      </c>
      <c r="E33">
        <v>3</v>
      </c>
      <c r="F33">
        <v>1</v>
      </c>
      <c r="G33">
        <v>1</v>
      </c>
      <c r="X33" t="s">
        <v>84</v>
      </c>
      <c r="Y33">
        <v>1200</v>
      </c>
      <c r="Z33">
        <v>3500</v>
      </c>
      <c r="AA33" t="s">
        <v>91</v>
      </c>
      <c r="AB33">
        <v>3</v>
      </c>
      <c r="AC33" t="s">
        <v>86</v>
      </c>
      <c r="AM33" t="s">
        <v>85</v>
      </c>
      <c r="AN33" t="s">
        <v>85</v>
      </c>
      <c r="AO33">
        <v>1</v>
      </c>
      <c r="AP33" t="s">
        <v>111</v>
      </c>
    </row>
    <row r="34" spans="1:43" x14ac:dyDescent="0.25">
      <c r="A34" t="s">
        <v>46</v>
      </c>
      <c r="B34" t="s">
        <v>46</v>
      </c>
      <c r="C34" t="s">
        <v>120</v>
      </c>
      <c r="D34" t="s">
        <v>105</v>
      </c>
      <c r="E34">
        <v>1</v>
      </c>
      <c r="F34">
        <v>0</v>
      </c>
      <c r="G34">
        <v>1</v>
      </c>
      <c r="X34" t="s">
        <v>84</v>
      </c>
      <c r="Y34">
        <v>100</v>
      </c>
      <c r="AA34" t="s">
        <v>85</v>
      </c>
      <c r="AB34">
        <v>3</v>
      </c>
      <c r="AC34" s="4" t="s">
        <v>85</v>
      </c>
      <c r="AM34" t="s">
        <v>85</v>
      </c>
      <c r="AN34" t="s">
        <v>86</v>
      </c>
      <c r="AO34">
        <v>1</v>
      </c>
    </row>
    <row r="35" spans="1:43" x14ac:dyDescent="0.25">
      <c r="A35" t="s">
        <v>59</v>
      </c>
      <c r="B35" t="s">
        <v>59</v>
      </c>
      <c r="C35" t="s">
        <v>104</v>
      </c>
      <c r="D35" t="s">
        <v>105</v>
      </c>
      <c r="E35">
        <v>2</v>
      </c>
      <c r="F35">
        <v>0</v>
      </c>
      <c r="G35">
        <v>1</v>
      </c>
      <c r="X35" t="s">
        <v>84</v>
      </c>
      <c r="Y35">
        <v>0</v>
      </c>
      <c r="Z35">
        <v>500</v>
      </c>
      <c r="AA35" t="s">
        <v>85</v>
      </c>
      <c r="AB35">
        <v>5</v>
      </c>
      <c r="AC35" t="s">
        <v>85</v>
      </c>
      <c r="AM35" t="s">
        <v>85</v>
      </c>
      <c r="AN35" t="s">
        <v>85</v>
      </c>
      <c r="AO35">
        <v>1</v>
      </c>
      <c r="AP35" t="s">
        <v>106</v>
      </c>
    </row>
    <row r="36" spans="1:43" x14ac:dyDescent="0.25">
      <c r="A36" t="s">
        <v>63</v>
      </c>
      <c r="B36" t="s">
        <v>63</v>
      </c>
      <c r="C36" t="s">
        <v>141</v>
      </c>
      <c r="D36" t="s">
        <v>105</v>
      </c>
      <c r="E36">
        <v>2</v>
      </c>
      <c r="F36">
        <v>0</v>
      </c>
      <c r="G36">
        <v>3</v>
      </c>
      <c r="X36" t="s">
        <v>84</v>
      </c>
      <c r="Y36">
        <v>0</v>
      </c>
      <c r="Z36">
        <v>1900</v>
      </c>
      <c r="AA36" t="s">
        <v>85</v>
      </c>
      <c r="AB36">
        <v>8</v>
      </c>
      <c r="AC36" s="4" t="s">
        <v>86</v>
      </c>
      <c r="AG36">
        <v>3</v>
      </c>
      <c r="AH36">
        <v>12.5</v>
      </c>
      <c r="AI36">
        <v>16.5</v>
      </c>
      <c r="AM36" t="s">
        <v>86</v>
      </c>
      <c r="AN36" t="s">
        <v>86</v>
      </c>
      <c r="AO36">
        <v>1</v>
      </c>
    </row>
    <row r="37" spans="1:43" s="4" customFormat="1" x14ac:dyDescent="0.25">
      <c r="A37" s="4" t="s">
        <v>186</v>
      </c>
      <c r="B37" s="4" t="s">
        <v>45</v>
      </c>
      <c r="C37" s="4" t="s">
        <v>187</v>
      </c>
      <c r="D37" s="4" t="s">
        <v>105</v>
      </c>
      <c r="E37" s="4">
        <v>3</v>
      </c>
      <c r="F37" s="4">
        <v>1</v>
      </c>
      <c r="G37" s="4">
        <v>1</v>
      </c>
      <c r="J37" s="4">
        <v>66</v>
      </c>
      <c r="K37" s="4">
        <f>(110+118)/2</f>
        <v>114</v>
      </c>
      <c r="L37" s="4">
        <f>(108+115)/2</f>
        <v>111.5</v>
      </c>
      <c r="P37" s="4">
        <f>(15+18)/2</f>
        <v>16.5</v>
      </c>
      <c r="S37" s="4">
        <f>(23.5+27)/2</f>
        <v>25.25</v>
      </c>
      <c r="X37" s="4" t="s">
        <v>84</v>
      </c>
      <c r="Y37" s="4">
        <v>1000</v>
      </c>
      <c r="Z37" s="4">
        <v>2000</v>
      </c>
      <c r="AA37" s="4" t="s">
        <v>85</v>
      </c>
      <c r="AB37" s="4">
        <v>7</v>
      </c>
      <c r="AC37" s="4" t="s">
        <v>86</v>
      </c>
      <c r="AD37" s="4" t="s">
        <v>85</v>
      </c>
      <c r="AF37" s="4">
        <v>3</v>
      </c>
      <c r="AG37" s="4">
        <v>2</v>
      </c>
      <c r="AH37" s="4">
        <v>14</v>
      </c>
      <c r="AI37" s="4">
        <v>18</v>
      </c>
      <c r="AJ37" s="4" t="s">
        <v>248</v>
      </c>
      <c r="AK37" s="4" t="s">
        <v>244</v>
      </c>
      <c r="AM37" s="4" t="s">
        <v>85</v>
      </c>
      <c r="AN37" s="4" t="s">
        <v>85</v>
      </c>
      <c r="AO37" s="4">
        <v>1</v>
      </c>
      <c r="AQ37" s="4" t="s">
        <v>282</v>
      </c>
    </row>
    <row r="38" spans="1:43" x14ac:dyDescent="0.25">
      <c r="A38" t="s">
        <v>192</v>
      </c>
      <c r="B38" t="s">
        <v>1</v>
      </c>
      <c r="C38" t="s">
        <v>193</v>
      </c>
      <c r="D38" t="s">
        <v>105</v>
      </c>
      <c r="E38">
        <v>1</v>
      </c>
      <c r="K38">
        <f>(133.5+144)/2</f>
        <v>138.75</v>
      </c>
      <c r="L38">
        <v>132.5</v>
      </c>
      <c r="P38">
        <f>(24.5+26.5)/2</f>
        <v>25.5</v>
      </c>
      <c r="Q38">
        <f>(42+44.5)/2</f>
        <v>43.25</v>
      </c>
      <c r="R38">
        <v>40</v>
      </c>
      <c r="X38" t="s">
        <v>84</v>
      </c>
      <c r="AA38" t="s">
        <v>85</v>
      </c>
      <c r="AB38">
        <v>4</v>
      </c>
      <c r="AC38" s="4" t="s">
        <v>85</v>
      </c>
      <c r="AG38">
        <v>2.5</v>
      </c>
      <c r="AO38">
        <v>1</v>
      </c>
    </row>
    <row r="39" spans="1:43" x14ac:dyDescent="0.25">
      <c r="A39" t="s">
        <v>57</v>
      </c>
      <c r="B39" t="s">
        <v>57</v>
      </c>
      <c r="C39" t="s">
        <v>108</v>
      </c>
      <c r="D39" t="s">
        <v>105</v>
      </c>
      <c r="E39">
        <v>1</v>
      </c>
      <c r="F39">
        <v>0</v>
      </c>
      <c r="G39">
        <v>1</v>
      </c>
      <c r="X39" t="s">
        <v>103</v>
      </c>
      <c r="Y39">
        <v>0</v>
      </c>
      <c r="Z39">
        <v>1800</v>
      </c>
      <c r="AA39" t="s">
        <v>85</v>
      </c>
      <c r="AB39">
        <v>4</v>
      </c>
      <c r="AG39">
        <v>3</v>
      </c>
      <c r="AH39">
        <v>12</v>
      </c>
      <c r="AI39">
        <v>14</v>
      </c>
      <c r="AM39" t="s">
        <v>85</v>
      </c>
      <c r="AN39" t="s">
        <v>85</v>
      </c>
      <c r="AO39">
        <v>1</v>
      </c>
      <c r="AQ39" s="10" t="s">
        <v>435</v>
      </c>
    </row>
    <row r="40" spans="1:43" x14ac:dyDescent="0.25">
      <c r="A40" t="s">
        <v>4</v>
      </c>
      <c r="B40" t="s">
        <v>4</v>
      </c>
      <c r="C40" t="s">
        <v>116</v>
      </c>
      <c r="D40" t="s">
        <v>105</v>
      </c>
      <c r="E40">
        <v>1</v>
      </c>
      <c r="F40">
        <v>0</v>
      </c>
      <c r="G40">
        <v>1</v>
      </c>
      <c r="M40">
        <f>(114.5+117)/2</f>
        <v>115.75</v>
      </c>
      <c r="P40">
        <f>(19.5+21.5)/2</f>
        <v>20.5</v>
      </c>
      <c r="S40">
        <f>(29+31)/2</f>
        <v>30</v>
      </c>
      <c r="X40" t="s">
        <v>103</v>
      </c>
      <c r="Y40">
        <v>200</v>
      </c>
      <c r="Z40">
        <v>2000</v>
      </c>
      <c r="AA40" t="s">
        <v>85</v>
      </c>
      <c r="AC40" s="4" t="s">
        <v>85</v>
      </c>
      <c r="AM40" t="s">
        <v>85</v>
      </c>
      <c r="AN40" t="s">
        <v>86</v>
      </c>
      <c r="AO40">
        <v>1</v>
      </c>
    </row>
    <row r="41" spans="1:43" x14ac:dyDescent="0.25">
      <c r="A41" t="s">
        <v>41</v>
      </c>
      <c r="B41" t="s">
        <v>41</v>
      </c>
      <c r="C41" t="s">
        <v>126</v>
      </c>
      <c r="D41" t="s">
        <v>105</v>
      </c>
      <c r="E41">
        <v>2</v>
      </c>
      <c r="F41">
        <v>0</v>
      </c>
      <c r="G41">
        <v>1</v>
      </c>
      <c r="X41" t="s">
        <v>125</v>
      </c>
      <c r="Y41">
        <v>2500</v>
      </c>
      <c r="AA41" t="s">
        <v>85</v>
      </c>
      <c r="AB41">
        <v>3</v>
      </c>
      <c r="AF41">
        <v>8</v>
      </c>
      <c r="AG41">
        <v>2</v>
      </c>
      <c r="AM41" t="s">
        <v>85</v>
      </c>
      <c r="AN41" t="s">
        <v>85</v>
      </c>
      <c r="AO41">
        <v>1</v>
      </c>
    </row>
    <row r="42" spans="1:43" x14ac:dyDescent="0.25">
      <c r="A42" t="s">
        <v>8</v>
      </c>
      <c r="B42" t="s">
        <v>8</v>
      </c>
      <c r="C42" t="s">
        <v>142</v>
      </c>
      <c r="D42" t="s">
        <v>105</v>
      </c>
      <c r="E42">
        <v>3</v>
      </c>
      <c r="F42">
        <v>1</v>
      </c>
      <c r="G42">
        <v>1</v>
      </c>
      <c r="X42" t="s">
        <v>84</v>
      </c>
      <c r="Y42">
        <v>500</v>
      </c>
      <c r="Z42">
        <v>2000</v>
      </c>
      <c r="AA42" t="s">
        <v>91</v>
      </c>
      <c r="AB42">
        <v>3</v>
      </c>
      <c r="AC42" s="4" t="s">
        <v>85</v>
      </c>
      <c r="AG42">
        <v>3</v>
      </c>
      <c r="AH42">
        <v>12.5</v>
      </c>
      <c r="AI42">
        <v>13</v>
      </c>
      <c r="AM42" t="s">
        <v>85</v>
      </c>
      <c r="AN42" t="s">
        <v>85</v>
      </c>
      <c r="AO42">
        <v>1</v>
      </c>
    </row>
    <row r="43" spans="1:43" x14ac:dyDescent="0.25">
      <c r="A43" t="s">
        <v>56</v>
      </c>
      <c r="B43" t="s">
        <v>56</v>
      </c>
      <c r="C43" t="s">
        <v>143</v>
      </c>
      <c r="D43" t="s">
        <v>105</v>
      </c>
      <c r="E43">
        <v>1</v>
      </c>
      <c r="F43">
        <v>0</v>
      </c>
      <c r="G43">
        <v>2</v>
      </c>
      <c r="X43" t="s">
        <v>103</v>
      </c>
      <c r="Y43">
        <v>0</v>
      </c>
      <c r="Z43">
        <v>1600</v>
      </c>
      <c r="AA43" t="s">
        <v>85</v>
      </c>
      <c r="AB43">
        <v>6</v>
      </c>
      <c r="AC43" t="s">
        <v>86</v>
      </c>
      <c r="AF43">
        <v>7.5</v>
      </c>
      <c r="AG43">
        <v>2.5</v>
      </c>
      <c r="AL43">
        <v>2</v>
      </c>
      <c r="AM43" t="s">
        <v>85</v>
      </c>
      <c r="AN43" t="s">
        <v>86</v>
      </c>
      <c r="AO43">
        <v>1</v>
      </c>
    </row>
    <row r="44" spans="1:43" x14ac:dyDescent="0.25">
      <c r="A44" t="s">
        <v>60</v>
      </c>
      <c r="B44" t="s">
        <v>60</v>
      </c>
      <c r="C44" t="s">
        <v>113</v>
      </c>
      <c r="D44" t="s">
        <v>105</v>
      </c>
      <c r="K44">
        <f>(117+129.5)/2</f>
        <v>123.25</v>
      </c>
      <c r="L44">
        <f>(110+122)/2</f>
        <v>116</v>
      </c>
      <c r="P44">
        <f>(17+19)/2</f>
        <v>18</v>
      </c>
      <c r="S44">
        <f>(29+31.5)/2</f>
        <v>30.25</v>
      </c>
      <c r="X44" t="s">
        <v>84</v>
      </c>
      <c r="Y44">
        <v>500</v>
      </c>
      <c r="Z44">
        <v>1500</v>
      </c>
      <c r="AA44" t="s">
        <v>91</v>
      </c>
      <c r="AB44">
        <v>2</v>
      </c>
      <c r="AC44" s="4" t="s">
        <v>86</v>
      </c>
      <c r="AF44">
        <v>18</v>
      </c>
      <c r="AG44">
        <v>2.5</v>
      </c>
    </row>
    <row r="45" spans="1:43" x14ac:dyDescent="0.25">
      <c r="A45" t="s">
        <v>112</v>
      </c>
      <c r="B45" t="s">
        <v>60</v>
      </c>
      <c r="C45" t="s">
        <v>113</v>
      </c>
      <c r="D45" t="s">
        <v>105</v>
      </c>
      <c r="E45">
        <v>2</v>
      </c>
      <c r="F45">
        <v>0</v>
      </c>
      <c r="G45">
        <v>3</v>
      </c>
      <c r="X45" t="s">
        <v>84</v>
      </c>
      <c r="Y45">
        <v>500</v>
      </c>
      <c r="Z45">
        <v>1500</v>
      </c>
      <c r="AA45" t="s">
        <v>91</v>
      </c>
      <c r="AB45">
        <v>2</v>
      </c>
      <c r="AC45" t="s">
        <v>85</v>
      </c>
      <c r="AF45">
        <v>5</v>
      </c>
      <c r="AG45">
        <v>3</v>
      </c>
      <c r="AH45">
        <v>13</v>
      </c>
      <c r="AI45">
        <v>14</v>
      </c>
      <c r="AL45">
        <v>3</v>
      </c>
      <c r="AM45" t="s">
        <v>85</v>
      </c>
      <c r="AN45" t="s">
        <v>85</v>
      </c>
      <c r="AO45">
        <v>1</v>
      </c>
    </row>
    <row r="46" spans="1:43" x14ac:dyDescent="0.25">
      <c r="A46" t="s">
        <v>10</v>
      </c>
      <c r="B46" t="s">
        <v>10</v>
      </c>
      <c r="C46" t="s">
        <v>144</v>
      </c>
      <c r="D46" t="s">
        <v>105</v>
      </c>
      <c r="E46">
        <v>3</v>
      </c>
      <c r="F46">
        <v>1</v>
      </c>
      <c r="G46">
        <v>7</v>
      </c>
      <c r="H46">
        <v>84.8</v>
      </c>
      <c r="I46">
        <v>88.5</v>
      </c>
      <c r="X46" t="s">
        <v>84</v>
      </c>
      <c r="Y46">
        <v>800</v>
      </c>
      <c r="Z46">
        <v>2300</v>
      </c>
      <c r="AA46" t="s">
        <v>85</v>
      </c>
      <c r="AB46">
        <v>7</v>
      </c>
      <c r="AM46" t="s">
        <v>85</v>
      </c>
      <c r="AN46" t="s">
        <v>86</v>
      </c>
      <c r="AO46">
        <v>1</v>
      </c>
      <c r="AQ46" s="11" t="s">
        <v>436</v>
      </c>
    </row>
    <row r="47" spans="1:43" x14ac:dyDescent="0.25">
      <c r="A47" t="s">
        <v>65</v>
      </c>
      <c r="B47" t="s">
        <v>65</v>
      </c>
      <c r="C47" t="s">
        <v>132</v>
      </c>
      <c r="D47" t="s">
        <v>105</v>
      </c>
      <c r="E47">
        <v>1</v>
      </c>
      <c r="F47">
        <v>0</v>
      </c>
      <c r="G47">
        <v>3</v>
      </c>
      <c r="X47" t="s">
        <v>84</v>
      </c>
      <c r="Y47">
        <v>1800</v>
      </c>
      <c r="Z47">
        <v>2725</v>
      </c>
      <c r="AA47" t="s">
        <v>91</v>
      </c>
      <c r="AB47">
        <v>4</v>
      </c>
      <c r="AM47" t="s">
        <v>85</v>
      </c>
      <c r="AN47" t="s">
        <v>85</v>
      </c>
      <c r="AO47">
        <v>1</v>
      </c>
    </row>
    <row r="48" spans="1:43" x14ac:dyDescent="0.25">
      <c r="A48" t="s">
        <v>35</v>
      </c>
      <c r="B48" t="s">
        <v>212</v>
      </c>
      <c r="C48" t="s">
        <v>213</v>
      </c>
      <c r="D48" t="s">
        <v>105</v>
      </c>
      <c r="AA48" t="s">
        <v>85</v>
      </c>
      <c r="AB48">
        <v>9</v>
      </c>
      <c r="AC48" t="s">
        <v>85</v>
      </c>
      <c r="AO48">
        <v>1</v>
      </c>
    </row>
    <row r="49" spans="1:43" x14ac:dyDescent="0.25">
      <c r="A49" t="s">
        <v>12</v>
      </c>
      <c r="B49" t="s">
        <v>12</v>
      </c>
      <c r="C49" t="s">
        <v>117</v>
      </c>
      <c r="D49" t="s">
        <v>105</v>
      </c>
      <c r="E49">
        <v>2</v>
      </c>
      <c r="F49">
        <v>0</v>
      </c>
      <c r="G49">
        <v>1</v>
      </c>
      <c r="X49" t="s">
        <v>84</v>
      </c>
      <c r="Y49">
        <v>0</v>
      </c>
      <c r="Z49">
        <v>1800</v>
      </c>
      <c r="AA49" t="s">
        <v>91</v>
      </c>
      <c r="AB49">
        <v>4</v>
      </c>
      <c r="AC49" t="s">
        <v>86</v>
      </c>
      <c r="AH49">
        <f>(9+14)/2</f>
        <v>11.5</v>
      </c>
      <c r="AI49">
        <f>(9+14)/2</f>
        <v>11.5</v>
      </c>
      <c r="AM49" t="s">
        <v>85</v>
      </c>
      <c r="AN49" t="s">
        <v>85</v>
      </c>
      <c r="AO49">
        <v>1</v>
      </c>
    </row>
    <row r="50" spans="1:43" x14ac:dyDescent="0.25">
      <c r="A50" t="s">
        <v>37</v>
      </c>
      <c r="B50" t="s">
        <v>145</v>
      </c>
      <c r="C50" t="s">
        <v>146</v>
      </c>
      <c r="D50" t="s">
        <v>105</v>
      </c>
      <c r="E50">
        <v>2</v>
      </c>
      <c r="F50">
        <v>0</v>
      </c>
      <c r="G50">
        <v>6</v>
      </c>
      <c r="X50" t="s">
        <v>103</v>
      </c>
      <c r="AA50" t="s">
        <v>85</v>
      </c>
      <c r="AB50">
        <v>9</v>
      </c>
      <c r="AC50" t="s">
        <v>85</v>
      </c>
      <c r="AM50" t="s">
        <v>85</v>
      </c>
      <c r="AN50" t="s">
        <v>86</v>
      </c>
      <c r="AO50">
        <v>1</v>
      </c>
      <c r="AP50" t="s">
        <v>147</v>
      </c>
    </row>
    <row r="51" spans="1:43" x14ac:dyDescent="0.25">
      <c r="A51" t="s">
        <v>44</v>
      </c>
      <c r="B51" t="s">
        <v>44</v>
      </c>
      <c r="C51" t="s">
        <v>121</v>
      </c>
      <c r="D51" t="s">
        <v>105</v>
      </c>
      <c r="E51">
        <v>3</v>
      </c>
      <c r="F51">
        <v>1</v>
      </c>
      <c r="G51">
        <v>1</v>
      </c>
      <c r="X51" t="s">
        <v>103</v>
      </c>
      <c r="AA51" t="s">
        <v>85</v>
      </c>
      <c r="AB51">
        <v>4</v>
      </c>
      <c r="AM51" t="s">
        <v>85</v>
      </c>
      <c r="AN51" t="s">
        <v>86</v>
      </c>
      <c r="AO51">
        <v>1</v>
      </c>
    </row>
    <row r="52" spans="1:43" x14ac:dyDescent="0.25">
      <c r="A52" t="s">
        <v>58</v>
      </c>
      <c r="B52" t="s">
        <v>58</v>
      </c>
      <c r="C52" t="s">
        <v>122</v>
      </c>
      <c r="D52" t="s">
        <v>105</v>
      </c>
      <c r="E52">
        <v>1</v>
      </c>
      <c r="F52">
        <v>0</v>
      </c>
      <c r="G52">
        <v>2</v>
      </c>
      <c r="H52">
        <v>66.8</v>
      </c>
      <c r="I52">
        <v>72.2</v>
      </c>
      <c r="X52" t="s">
        <v>103</v>
      </c>
      <c r="Y52">
        <v>0</v>
      </c>
      <c r="Z52">
        <v>2600</v>
      </c>
      <c r="AA52" t="s">
        <v>85</v>
      </c>
      <c r="AB52">
        <v>5</v>
      </c>
      <c r="AM52" t="s">
        <v>86</v>
      </c>
      <c r="AN52" t="s">
        <v>86</v>
      </c>
      <c r="AO52">
        <v>1</v>
      </c>
    </row>
    <row r="53" spans="1:43" x14ac:dyDescent="0.25">
      <c r="A53" t="s">
        <v>133</v>
      </c>
      <c r="B53" t="s">
        <v>133</v>
      </c>
      <c r="C53" t="s">
        <v>134</v>
      </c>
      <c r="D53" t="s">
        <v>105</v>
      </c>
      <c r="E53">
        <v>2</v>
      </c>
      <c r="F53">
        <v>0</v>
      </c>
      <c r="G53">
        <v>1</v>
      </c>
      <c r="X53" t="s">
        <v>103</v>
      </c>
      <c r="Y53">
        <v>0</v>
      </c>
      <c r="Z53">
        <v>1500</v>
      </c>
      <c r="AA53" t="s">
        <v>91</v>
      </c>
      <c r="AF53">
        <v>7.5</v>
      </c>
      <c r="AG53">
        <v>2.75</v>
      </c>
      <c r="AH53">
        <v>13</v>
      </c>
      <c r="AI53">
        <v>14</v>
      </c>
      <c r="AJ53" t="s">
        <v>248</v>
      </c>
      <c r="AK53" t="s">
        <v>244</v>
      </c>
      <c r="AM53" t="s">
        <v>85</v>
      </c>
      <c r="AN53" t="s">
        <v>86</v>
      </c>
      <c r="AO53">
        <v>1</v>
      </c>
      <c r="AQ53" t="s">
        <v>273</v>
      </c>
    </row>
    <row r="54" spans="1:43" x14ac:dyDescent="0.25">
      <c r="A54" t="s">
        <v>36</v>
      </c>
      <c r="B54" t="s">
        <v>214</v>
      </c>
      <c r="C54" t="s">
        <v>215</v>
      </c>
      <c r="D54" t="s">
        <v>105</v>
      </c>
      <c r="AA54" t="s">
        <v>85</v>
      </c>
      <c r="AO54">
        <v>1</v>
      </c>
    </row>
    <row r="55" spans="1:43" x14ac:dyDescent="0.25">
      <c r="A55" t="s">
        <v>9</v>
      </c>
      <c r="B55" t="s">
        <v>9</v>
      </c>
      <c r="C55" t="s">
        <v>123</v>
      </c>
      <c r="D55" t="s">
        <v>105</v>
      </c>
      <c r="E55">
        <v>3</v>
      </c>
      <c r="F55">
        <v>1</v>
      </c>
      <c r="G55">
        <v>4</v>
      </c>
      <c r="X55" t="s">
        <v>84</v>
      </c>
      <c r="Y55">
        <v>1500</v>
      </c>
      <c r="Z55">
        <v>2800</v>
      </c>
      <c r="AA55" t="s">
        <v>85</v>
      </c>
      <c r="AB55">
        <v>10</v>
      </c>
      <c r="AM55" t="s">
        <v>85</v>
      </c>
      <c r="AN55" t="s">
        <v>85</v>
      </c>
      <c r="AO55">
        <v>1</v>
      </c>
    </row>
    <row r="56" spans="1:43" x14ac:dyDescent="0.25">
      <c r="A56" t="s">
        <v>188</v>
      </c>
      <c r="B56" t="s">
        <v>189</v>
      </c>
      <c r="C56" t="s">
        <v>190</v>
      </c>
      <c r="D56" t="s">
        <v>105</v>
      </c>
      <c r="AA56" t="s">
        <v>91</v>
      </c>
      <c r="AO56">
        <v>1</v>
      </c>
    </row>
    <row r="57" spans="1:43" x14ac:dyDescent="0.25">
      <c r="A57" t="s">
        <v>47</v>
      </c>
      <c r="B57" t="s">
        <v>47</v>
      </c>
      <c r="C57" t="s">
        <v>135</v>
      </c>
      <c r="D57" t="s">
        <v>105</v>
      </c>
      <c r="E57">
        <v>1</v>
      </c>
      <c r="F57">
        <v>0</v>
      </c>
      <c r="G57">
        <v>2</v>
      </c>
      <c r="X57" t="s">
        <v>103</v>
      </c>
      <c r="Y57">
        <v>1360</v>
      </c>
      <c r="AA57" t="s">
        <v>85</v>
      </c>
      <c r="AB57">
        <v>3</v>
      </c>
      <c r="AM57" t="s">
        <v>85</v>
      </c>
      <c r="AN57" t="s">
        <v>86</v>
      </c>
      <c r="AO57">
        <v>1</v>
      </c>
      <c r="AP57" t="s">
        <v>136</v>
      </c>
    </row>
    <row r="58" spans="1:43" x14ac:dyDescent="0.25">
      <c r="A58" s="2" t="s">
        <v>28</v>
      </c>
      <c r="B58" s="2" t="s">
        <v>28</v>
      </c>
      <c r="C58" s="2" t="s">
        <v>151</v>
      </c>
      <c r="D58" s="2" t="s">
        <v>149</v>
      </c>
      <c r="E58" s="2">
        <v>3</v>
      </c>
      <c r="F58" s="2">
        <v>1</v>
      </c>
      <c r="G58" s="2">
        <v>1</v>
      </c>
      <c r="H58" s="2">
        <f>(88+105)/2</f>
        <v>96.5</v>
      </c>
      <c r="I58" s="2">
        <f>(88+111)/2</f>
        <v>99.5</v>
      </c>
      <c r="J58" s="2"/>
      <c r="K58" s="2">
        <f>(140+153)/2</f>
        <v>146.5</v>
      </c>
      <c r="L58" s="2">
        <f>(131+155)/2</f>
        <v>143</v>
      </c>
      <c r="M58" s="2"/>
      <c r="N58" s="2">
        <f>(22.5+30)/2</f>
        <v>26.25</v>
      </c>
      <c r="O58" s="2"/>
      <c r="P58" s="2"/>
      <c r="Q58" s="2"/>
      <c r="R58" s="2"/>
      <c r="S58" s="2">
        <f>(33+37)/2</f>
        <v>35</v>
      </c>
      <c r="T58" s="2" t="s">
        <v>236</v>
      </c>
      <c r="U58" s="2" t="s">
        <v>236</v>
      </c>
      <c r="V58" s="2" t="s">
        <v>242</v>
      </c>
      <c r="W58" s="2" t="s">
        <v>242</v>
      </c>
      <c r="X58" s="2" t="s">
        <v>84</v>
      </c>
      <c r="Y58" s="2">
        <v>1500</v>
      </c>
      <c r="Z58" s="2">
        <v>3000</v>
      </c>
      <c r="AA58" s="2" t="s">
        <v>86</v>
      </c>
      <c r="AB58" s="2">
        <v>6</v>
      </c>
      <c r="AC58" s="2" t="s">
        <v>247</v>
      </c>
      <c r="AD58" s="2" t="s">
        <v>85</v>
      </c>
      <c r="AE58" s="2"/>
      <c r="AF58" s="2"/>
      <c r="AG58" s="2">
        <f>(3+4)/2</f>
        <v>3.5</v>
      </c>
      <c r="AH58" s="2"/>
      <c r="AI58" s="2"/>
      <c r="AJ58" s="2" t="s">
        <v>248</v>
      </c>
      <c r="AK58" s="2" t="s">
        <v>244</v>
      </c>
      <c r="AL58" s="2">
        <v>2</v>
      </c>
      <c r="AM58" s="2" t="s">
        <v>85</v>
      </c>
      <c r="AN58" s="2" t="s">
        <v>86</v>
      </c>
      <c r="AO58" s="2">
        <v>1</v>
      </c>
      <c r="AP58" s="2"/>
      <c r="AQ58" s="2"/>
    </row>
    <row r="59" spans="1:43" x14ac:dyDescent="0.25">
      <c r="A59" t="s">
        <v>31</v>
      </c>
      <c r="B59" t="s">
        <v>31</v>
      </c>
      <c r="C59" t="s">
        <v>148</v>
      </c>
      <c r="D59" t="s">
        <v>149</v>
      </c>
      <c r="E59">
        <v>3</v>
      </c>
      <c r="F59">
        <v>1</v>
      </c>
      <c r="G59">
        <v>1</v>
      </c>
      <c r="X59" t="s">
        <v>84</v>
      </c>
      <c r="Y59">
        <v>1200</v>
      </c>
      <c r="Z59">
        <v>2500</v>
      </c>
      <c r="AA59" t="s">
        <v>86</v>
      </c>
      <c r="AB59">
        <v>4</v>
      </c>
      <c r="AC59" t="s">
        <v>86</v>
      </c>
      <c r="AH59" t="s">
        <v>238</v>
      </c>
      <c r="AM59" t="s">
        <v>85</v>
      </c>
      <c r="AN59" t="s">
        <v>85</v>
      </c>
      <c r="AO59">
        <v>1</v>
      </c>
    </row>
    <row r="60" spans="1:43" x14ac:dyDescent="0.25">
      <c r="A60" t="s">
        <v>15</v>
      </c>
      <c r="B60" t="s">
        <v>202</v>
      </c>
      <c r="C60" t="s">
        <v>203</v>
      </c>
      <c r="D60" t="s">
        <v>149</v>
      </c>
      <c r="E60">
        <v>1</v>
      </c>
      <c r="AA60" t="s">
        <v>86</v>
      </c>
      <c r="AO60">
        <v>1</v>
      </c>
    </row>
    <row r="61" spans="1:43" x14ac:dyDescent="0.25">
      <c r="A61" t="s">
        <v>22</v>
      </c>
      <c r="B61" t="s">
        <v>22</v>
      </c>
      <c r="C61" t="s">
        <v>152</v>
      </c>
      <c r="D61" t="s">
        <v>149</v>
      </c>
      <c r="E61">
        <v>3</v>
      </c>
      <c r="F61">
        <v>1</v>
      </c>
      <c r="G61">
        <v>1</v>
      </c>
      <c r="X61" t="s">
        <v>84</v>
      </c>
      <c r="Y61">
        <v>3600</v>
      </c>
      <c r="Z61">
        <v>4500</v>
      </c>
      <c r="AA61" t="s">
        <v>86</v>
      </c>
      <c r="AB61">
        <v>4</v>
      </c>
      <c r="AC61" t="s">
        <v>86</v>
      </c>
      <c r="AM61" t="s">
        <v>85</v>
      </c>
      <c r="AN61" t="s">
        <v>86</v>
      </c>
      <c r="AO61">
        <v>1</v>
      </c>
    </row>
    <row r="62" spans="1:43" x14ac:dyDescent="0.25">
      <c r="A62" t="s">
        <v>72</v>
      </c>
      <c r="B62" t="s">
        <v>72</v>
      </c>
      <c r="C62" t="s">
        <v>150</v>
      </c>
      <c r="D62" t="s">
        <v>149</v>
      </c>
      <c r="E62">
        <v>1</v>
      </c>
      <c r="F62">
        <v>0</v>
      </c>
      <c r="G62">
        <v>1</v>
      </c>
      <c r="H62">
        <v>59</v>
      </c>
      <c r="I62">
        <v>66.3</v>
      </c>
      <c r="K62">
        <f>(116+120)/2</f>
        <v>118</v>
      </c>
      <c r="L62">
        <f>(114+118)/2</f>
        <v>116</v>
      </c>
      <c r="P62">
        <f>(16+19)/2</f>
        <v>17.5</v>
      </c>
      <c r="S62">
        <f>(32+36)/2</f>
        <v>34</v>
      </c>
      <c r="X62" t="s">
        <v>84</v>
      </c>
      <c r="Y62">
        <v>0</v>
      </c>
      <c r="Z62">
        <v>3050</v>
      </c>
      <c r="AA62" t="s">
        <v>85</v>
      </c>
      <c r="AB62">
        <v>2</v>
      </c>
      <c r="AC62" t="s">
        <v>85</v>
      </c>
      <c r="AF62">
        <v>2.5</v>
      </c>
      <c r="AG62">
        <f>(2+4)/2</f>
        <v>3</v>
      </c>
      <c r="AM62" t="s">
        <v>85</v>
      </c>
      <c r="AN62" t="s">
        <v>86</v>
      </c>
      <c r="AO62">
        <v>1</v>
      </c>
    </row>
    <row r="63" spans="1:43" x14ac:dyDescent="0.25">
      <c r="A63" t="s">
        <v>16</v>
      </c>
      <c r="B63" t="s">
        <v>16</v>
      </c>
      <c r="C63" t="s">
        <v>153</v>
      </c>
      <c r="D63" t="s">
        <v>149</v>
      </c>
      <c r="E63">
        <v>3</v>
      </c>
      <c r="F63">
        <v>1</v>
      </c>
      <c r="G63">
        <v>2</v>
      </c>
      <c r="X63" t="s">
        <v>84</v>
      </c>
      <c r="Y63">
        <v>2300</v>
      </c>
      <c r="Z63">
        <v>3300</v>
      </c>
      <c r="AA63" t="s">
        <v>86</v>
      </c>
      <c r="AB63">
        <v>5</v>
      </c>
      <c r="AC63" t="s">
        <v>86</v>
      </c>
      <c r="AF63">
        <v>2.1</v>
      </c>
      <c r="AG63">
        <v>3</v>
      </c>
      <c r="AH63">
        <v>13.5</v>
      </c>
      <c r="AI63">
        <f>(14+17)/2</f>
        <v>15.5</v>
      </c>
      <c r="AM63" t="s">
        <v>85</v>
      </c>
      <c r="AN63" t="s">
        <v>86</v>
      </c>
      <c r="AO63">
        <v>1</v>
      </c>
      <c r="AQ63" s="10" t="s">
        <v>437</v>
      </c>
    </row>
    <row r="64" spans="1:43" x14ac:dyDescent="0.25">
      <c r="A64" s="4" t="s">
        <v>14</v>
      </c>
      <c r="B64" s="4" t="s">
        <v>14</v>
      </c>
      <c r="C64" s="4" t="s">
        <v>191</v>
      </c>
      <c r="D64" s="4" t="s">
        <v>156</v>
      </c>
      <c r="E64" s="4">
        <v>3</v>
      </c>
      <c r="F64" s="4">
        <v>1</v>
      </c>
      <c r="G64" s="4">
        <v>1</v>
      </c>
      <c r="H64" s="4">
        <f>(90+103)/2</f>
        <v>96.5</v>
      </c>
      <c r="I64" s="4">
        <f>(92+107)/2</f>
        <v>99.5</v>
      </c>
      <c r="J64" s="4"/>
      <c r="K64" s="4">
        <f>(133+151)/2</f>
        <v>142</v>
      </c>
      <c r="L64" s="4">
        <f>(131+143)/2</f>
        <v>137</v>
      </c>
      <c r="M64" s="4"/>
      <c r="N64" s="4">
        <f>(24.5+30)/2</f>
        <v>27.25</v>
      </c>
      <c r="O64" s="4"/>
      <c r="P64" s="4"/>
      <c r="Q64" s="4"/>
      <c r="R64" s="4"/>
      <c r="S64" s="4">
        <f>(33+38)/2</f>
        <v>35.5</v>
      </c>
      <c r="T64" s="4" t="s">
        <v>241</v>
      </c>
      <c r="U64" s="4" t="s">
        <v>241</v>
      </c>
      <c r="V64" s="4" t="s">
        <v>241</v>
      </c>
      <c r="W64" s="4" t="s">
        <v>241</v>
      </c>
      <c r="X64" s="4" t="s">
        <v>84</v>
      </c>
      <c r="Y64" s="4">
        <v>2270</v>
      </c>
      <c r="Z64" s="4">
        <v>4250</v>
      </c>
      <c r="AA64" s="4" t="s">
        <v>86</v>
      </c>
      <c r="AB64" s="4">
        <v>4</v>
      </c>
      <c r="AC64" s="4" t="s">
        <v>86</v>
      </c>
      <c r="AD64" s="4" t="s">
        <v>85</v>
      </c>
      <c r="AE64" s="4"/>
      <c r="AF64" s="4">
        <v>3</v>
      </c>
      <c r="AG64" s="4">
        <f>(3+4)/2</f>
        <v>3.5</v>
      </c>
      <c r="AH64" s="4" t="s">
        <v>429</v>
      </c>
      <c r="AI64" s="4"/>
      <c r="AJ64" s="4" t="s">
        <v>248</v>
      </c>
      <c r="AK64" s="4"/>
      <c r="AL64" s="4"/>
      <c r="AM64" s="4" t="s">
        <v>85</v>
      </c>
      <c r="AN64" s="4" t="s">
        <v>86</v>
      </c>
      <c r="AO64" s="4">
        <v>1</v>
      </c>
      <c r="AP64" s="4"/>
      <c r="AQ64" s="4" t="s">
        <v>430</v>
      </c>
    </row>
    <row r="65" spans="1:43" x14ac:dyDescent="0.25">
      <c r="A65" s="2" t="s">
        <v>18</v>
      </c>
      <c r="B65" s="2" t="s">
        <v>18</v>
      </c>
      <c r="C65" s="2" t="s">
        <v>175</v>
      </c>
      <c r="D65" s="2" t="s">
        <v>156</v>
      </c>
      <c r="E65" s="2">
        <v>3</v>
      </c>
      <c r="F65" s="2">
        <v>1</v>
      </c>
      <c r="G65" s="2"/>
      <c r="H65" s="2">
        <f>(59+110)/2</f>
        <v>84.5</v>
      </c>
      <c r="I65" s="2">
        <f>(68+105)/2</f>
        <v>86.5</v>
      </c>
      <c r="J65" s="2"/>
      <c r="K65" s="2">
        <f>(128+143)/2</f>
        <v>135.5</v>
      </c>
      <c r="L65" s="2">
        <f>(125+138)/2</f>
        <v>131.5</v>
      </c>
      <c r="M65" s="2"/>
      <c r="N65" s="2">
        <f>(17+25)/2</f>
        <v>21</v>
      </c>
      <c r="O65" s="2"/>
      <c r="P65" s="2"/>
      <c r="Q65" s="2"/>
      <c r="R65" s="2"/>
      <c r="S65" s="2">
        <f>(25.5+35)/2</f>
        <v>30.25</v>
      </c>
      <c r="T65" s="2" t="s">
        <v>242</v>
      </c>
      <c r="U65" s="2" t="s">
        <v>242</v>
      </c>
      <c r="V65" s="2" t="s">
        <v>242</v>
      </c>
      <c r="W65" s="2" t="s">
        <v>242</v>
      </c>
      <c r="X65" s="2" t="s">
        <v>84</v>
      </c>
      <c r="Y65" s="2">
        <v>0</v>
      </c>
      <c r="Z65" s="2">
        <v>2200</v>
      </c>
      <c r="AA65" s="2" t="s">
        <v>86</v>
      </c>
      <c r="AB65" s="2">
        <v>3</v>
      </c>
      <c r="AC65" s="2" t="s">
        <v>86</v>
      </c>
      <c r="AD65" s="2" t="s">
        <v>91</v>
      </c>
      <c r="AE65" s="2"/>
      <c r="AF65" s="2"/>
      <c r="AG65" s="2">
        <f>(4+7)/2</f>
        <v>5.5</v>
      </c>
      <c r="AH65" s="2">
        <v>11.5</v>
      </c>
      <c r="AI65" s="2">
        <v>12</v>
      </c>
      <c r="AJ65" s="2"/>
      <c r="AK65" s="2"/>
      <c r="AL65" s="2">
        <v>1</v>
      </c>
      <c r="AM65" s="2" t="s">
        <v>85</v>
      </c>
      <c r="AN65" s="2" t="s">
        <v>85</v>
      </c>
      <c r="AO65" s="2">
        <v>1</v>
      </c>
      <c r="AP65" s="2"/>
      <c r="AQ65" s="2"/>
    </row>
    <row r="66" spans="1:43" x14ac:dyDescent="0.25">
      <c r="A66" s="2" t="s">
        <v>29</v>
      </c>
      <c r="B66" s="2" t="s">
        <v>29</v>
      </c>
      <c r="C66" s="2" t="s">
        <v>162</v>
      </c>
      <c r="D66" s="2" t="s">
        <v>156</v>
      </c>
      <c r="E66" s="2">
        <v>3</v>
      </c>
      <c r="F66" s="2">
        <v>1</v>
      </c>
      <c r="G66" s="2">
        <v>1</v>
      </c>
      <c r="H66" s="2">
        <v>56.6</v>
      </c>
      <c r="I66" s="2">
        <v>61.3</v>
      </c>
      <c r="J66" s="2"/>
      <c r="K66" s="2">
        <f>(111+121)/2</f>
        <v>116</v>
      </c>
      <c r="L66" s="2">
        <f>(109+119)/2</f>
        <v>114</v>
      </c>
      <c r="M66" s="2"/>
      <c r="N66" s="2">
        <f>(18.5+21)/2</f>
        <v>19.75</v>
      </c>
      <c r="O66" s="2"/>
      <c r="P66" s="2"/>
      <c r="Q66" s="2">
        <f>(29+31)/2</f>
        <v>30</v>
      </c>
      <c r="R66" s="2">
        <f>(27.5+30)/2</f>
        <v>28.75</v>
      </c>
      <c r="S66" s="2">
        <f>(29+31+27.5+30)/4</f>
        <v>29.375</v>
      </c>
      <c r="T66" s="2" t="s">
        <v>241</v>
      </c>
      <c r="U66" s="2" t="s">
        <v>241</v>
      </c>
      <c r="V66" s="2" t="s">
        <v>241</v>
      </c>
      <c r="W66" s="2" t="s">
        <v>241</v>
      </c>
      <c r="X66" s="2" t="s">
        <v>84</v>
      </c>
      <c r="Y66" s="2">
        <v>400</v>
      </c>
      <c r="Z66" s="2">
        <v>1500</v>
      </c>
      <c r="AA66" s="2" t="s">
        <v>86</v>
      </c>
      <c r="AB66" s="2">
        <v>5</v>
      </c>
      <c r="AC66" s="2" t="s">
        <v>86</v>
      </c>
      <c r="AD66" s="2" t="s">
        <v>85</v>
      </c>
      <c r="AE66" s="2"/>
      <c r="AF66" s="2"/>
      <c r="AG66" s="2">
        <f>(2+5)/2</f>
        <v>3.5</v>
      </c>
      <c r="AH66" s="2">
        <v>12.5</v>
      </c>
      <c r="AI66" s="2">
        <v>14</v>
      </c>
      <c r="AJ66" s="2"/>
      <c r="AK66" s="2"/>
      <c r="AL66" s="2">
        <v>2.5</v>
      </c>
      <c r="AM66" s="2" t="s">
        <v>85</v>
      </c>
      <c r="AN66" s="2" t="s">
        <v>86</v>
      </c>
      <c r="AO66" s="2">
        <v>1</v>
      </c>
      <c r="AP66" s="2"/>
      <c r="AQ66" s="2"/>
    </row>
    <row r="67" spans="1:43" x14ac:dyDescent="0.25">
      <c r="A67" s="2" t="s">
        <v>23</v>
      </c>
      <c r="B67" s="2" t="s">
        <v>23</v>
      </c>
      <c r="C67" s="2" t="s">
        <v>163</v>
      </c>
      <c r="D67" s="2" t="s">
        <v>156</v>
      </c>
      <c r="E67" s="2">
        <v>3</v>
      </c>
      <c r="F67" s="2">
        <v>1</v>
      </c>
      <c r="G67" s="2">
        <v>1</v>
      </c>
      <c r="H67" s="2">
        <f>(78.7+81.3)/2</f>
        <v>80</v>
      </c>
      <c r="I67" s="2">
        <f>(65.9+93.1)/2</f>
        <v>79.5</v>
      </c>
      <c r="J67" s="2"/>
      <c r="K67" s="2">
        <f>(112+124)/2</f>
        <v>118</v>
      </c>
      <c r="L67" s="2">
        <f>(108+117)/2</f>
        <v>112.5</v>
      </c>
      <c r="M67" s="2"/>
      <c r="N67" s="2">
        <f>(20+23)/2</f>
        <v>21.5</v>
      </c>
      <c r="O67" s="2"/>
      <c r="P67" s="2"/>
      <c r="Q67" s="2">
        <f>(31.9+35.8)/2</f>
        <v>33.849999999999994</v>
      </c>
      <c r="R67" s="2">
        <f>(32.5+33.7)/2</f>
        <v>33.1</v>
      </c>
      <c r="S67" s="2">
        <f>AVERAGE(Q67:R67)</f>
        <v>33.474999999999994</v>
      </c>
      <c r="T67" s="2" t="s">
        <v>241</v>
      </c>
      <c r="U67" s="2" t="s">
        <v>242</v>
      </c>
      <c r="V67" s="2" t="s">
        <v>242</v>
      </c>
      <c r="W67" s="2" t="s">
        <v>242</v>
      </c>
      <c r="X67" s="2" t="s">
        <v>84</v>
      </c>
      <c r="Y67" s="2">
        <v>0</v>
      </c>
      <c r="Z67" s="2">
        <v>400</v>
      </c>
      <c r="AA67" s="2" t="s">
        <v>91</v>
      </c>
      <c r="AB67" s="2">
        <v>5</v>
      </c>
      <c r="AC67" s="2" t="s">
        <v>247</v>
      </c>
      <c r="AD67" s="2" t="s">
        <v>91</v>
      </c>
      <c r="AE67" s="2"/>
      <c r="AF67" s="2">
        <v>6</v>
      </c>
      <c r="AG67" s="2">
        <f>(3+4)/2</f>
        <v>3.5</v>
      </c>
      <c r="AH67" s="2">
        <v>13.5</v>
      </c>
      <c r="AI67" s="2">
        <v>14</v>
      </c>
      <c r="AJ67" s="2" t="s">
        <v>240</v>
      </c>
      <c r="AK67" s="2" t="s">
        <v>244</v>
      </c>
      <c r="AL67" s="2">
        <v>1</v>
      </c>
      <c r="AM67" s="2" t="s">
        <v>85</v>
      </c>
      <c r="AN67" s="2" t="s">
        <v>86</v>
      </c>
      <c r="AO67" s="2">
        <v>1</v>
      </c>
      <c r="AP67" s="2"/>
      <c r="AQ67" s="3" t="s">
        <v>255</v>
      </c>
    </row>
    <row r="68" spans="1:43" x14ac:dyDescent="0.25">
      <c r="A68" t="s">
        <v>24</v>
      </c>
      <c r="B68" t="s">
        <v>24</v>
      </c>
      <c r="C68" t="s">
        <v>161</v>
      </c>
      <c r="D68" t="s">
        <v>156</v>
      </c>
      <c r="E68">
        <v>3</v>
      </c>
      <c r="F68">
        <v>1</v>
      </c>
      <c r="G68">
        <v>1</v>
      </c>
      <c r="X68" t="s">
        <v>84</v>
      </c>
      <c r="Y68">
        <v>0</v>
      </c>
      <c r="Z68">
        <v>2400</v>
      </c>
      <c r="AA68" t="s">
        <v>86</v>
      </c>
      <c r="AB68">
        <v>4</v>
      </c>
      <c r="AC68" s="2" t="s">
        <v>86</v>
      </c>
      <c r="AM68" t="s">
        <v>85</v>
      </c>
      <c r="AN68" t="s">
        <v>86</v>
      </c>
      <c r="AO68">
        <v>1</v>
      </c>
    </row>
    <row r="69" spans="1:43" x14ac:dyDescent="0.25">
      <c r="A69" t="s">
        <v>158</v>
      </c>
      <c r="B69" t="s">
        <v>158</v>
      </c>
      <c r="C69" t="s">
        <v>159</v>
      </c>
      <c r="D69" t="s">
        <v>156</v>
      </c>
      <c r="E69">
        <v>2</v>
      </c>
      <c r="F69">
        <v>0</v>
      </c>
      <c r="G69">
        <v>1</v>
      </c>
      <c r="X69" t="s">
        <v>84</v>
      </c>
      <c r="Y69">
        <v>1500</v>
      </c>
      <c r="AA69" t="s">
        <v>86</v>
      </c>
      <c r="AB69" s="2">
        <v>3</v>
      </c>
      <c r="AC69" s="2" t="s">
        <v>86</v>
      </c>
      <c r="AH69" s="2">
        <v>14</v>
      </c>
      <c r="AJ69" t="s">
        <v>240</v>
      </c>
      <c r="AM69" t="s">
        <v>85</v>
      </c>
      <c r="AN69" t="s">
        <v>86</v>
      </c>
      <c r="AO69">
        <v>1</v>
      </c>
    </row>
    <row r="70" spans="1:43" x14ac:dyDescent="0.25">
      <c r="A70" t="s">
        <v>164</v>
      </c>
      <c r="B70" t="s">
        <v>30</v>
      </c>
      <c r="C70" t="s">
        <v>165</v>
      </c>
      <c r="D70" t="s">
        <v>156</v>
      </c>
      <c r="E70">
        <v>3</v>
      </c>
      <c r="F70">
        <v>1</v>
      </c>
      <c r="G70">
        <v>1</v>
      </c>
      <c r="X70" t="s">
        <v>84</v>
      </c>
      <c r="Y70">
        <v>0</v>
      </c>
      <c r="Z70">
        <v>1100</v>
      </c>
      <c r="AA70" t="s">
        <v>86</v>
      </c>
      <c r="AB70">
        <v>4</v>
      </c>
      <c r="AC70" s="2" t="s">
        <v>86</v>
      </c>
      <c r="AG70">
        <v>4</v>
      </c>
      <c r="AH70" s="2">
        <v>12.5</v>
      </c>
      <c r="AI70" s="2">
        <v>12</v>
      </c>
      <c r="AJ70" t="s">
        <v>240</v>
      </c>
      <c r="AM70" t="s">
        <v>85</v>
      </c>
      <c r="AN70" t="s">
        <v>85</v>
      </c>
      <c r="AO70">
        <v>1</v>
      </c>
    </row>
    <row r="71" spans="1:43" x14ac:dyDescent="0.25">
      <c r="A71" t="s">
        <v>64</v>
      </c>
      <c r="B71" t="s">
        <v>64</v>
      </c>
      <c r="C71" t="s">
        <v>166</v>
      </c>
      <c r="D71" t="s">
        <v>156</v>
      </c>
      <c r="E71">
        <v>1</v>
      </c>
      <c r="F71">
        <v>0</v>
      </c>
      <c r="G71">
        <v>2</v>
      </c>
      <c r="X71" t="s">
        <v>103</v>
      </c>
      <c r="AA71" t="s">
        <v>86</v>
      </c>
      <c r="AB71">
        <v>4</v>
      </c>
      <c r="AC71" s="2" t="s">
        <v>86</v>
      </c>
      <c r="AF71">
        <v>0.5</v>
      </c>
      <c r="AG71">
        <v>5</v>
      </c>
      <c r="AH71" s="2">
        <v>12.5</v>
      </c>
      <c r="AI71" s="2">
        <v>13.5</v>
      </c>
      <c r="AM71" t="s">
        <v>86</v>
      </c>
      <c r="AN71" t="s">
        <v>86</v>
      </c>
      <c r="AO71">
        <v>1</v>
      </c>
    </row>
    <row r="72" spans="1:43" x14ac:dyDescent="0.25">
      <c r="A72" t="s">
        <v>154</v>
      </c>
      <c r="B72" t="s">
        <v>154</v>
      </c>
      <c r="C72" t="s">
        <v>155</v>
      </c>
      <c r="D72" t="s">
        <v>156</v>
      </c>
      <c r="E72">
        <v>2</v>
      </c>
      <c r="F72">
        <v>0</v>
      </c>
      <c r="G72">
        <v>1</v>
      </c>
      <c r="X72" t="s">
        <v>89</v>
      </c>
      <c r="Y72">
        <v>1200</v>
      </c>
      <c r="Z72">
        <v>3100</v>
      </c>
      <c r="AA72" t="s">
        <v>91</v>
      </c>
      <c r="AB72">
        <v>3</v>
      </c>
      <c r="AC72" s="2" t="s">
        <v>85</v>
      </c>
      <c r="AG72">
        <v>2.5</v>
      </c>
      <c r="AM72" t="s">
        <v>85</v>
      </c>
      <c r="AN72" t="s">
        <v>86</v>
      </c>
      <c r="AO72">
        <v>1</v>
      </c>
      <c r="AP72" t="s">
        <v>157</v>
      </c>
    </row>
    <row r="73" spans="1:43" x14ac:dyDescent="0.25">
      <c r="A73" t="s">
        <v>66</v>
      </c>
      <c r="B73" t="s">
        <v>66</v>
      </c>
      <c r="C73" t="s">
        <v>167</v>
      </c>
      <c r="D73" t="s">
        <v>156</v>
      </c>
      <c r="E73">
        <v>3</v>
      </c>
      <c r="F73">
        <v>1</v>
      </c>
      <c r="G73">
        <v>15</v>
      </c>
      <c r="X73" t="s">
        <v>84</v>
      </c>
      <c r="Y73">
        <v>0</v>
      </c>
      <c r="Z73">
        <v>4575</v>
      </c>
      <c r="AA73" t="s">
        <v>86</v>
      </c>
      <c r="AB73">
        <v>6</v>
      </c>
      <c r="AC73" s="2" t="s">
        <v>86</v>
      </c>
      <c r="AF73">
        <v>1</v>
      </c>
      <c r="AG73">
        <v>3.5</v>
      </c>
      <c r="AH73">
        <f>(10+19)/2</f>
        <v>14.5</v>
      </c>
      <c r="AI73">
        <v>13.5</v>
      </c>
      <c r="AM73" t="s">
        <v>86</v>
      </c>
      <c r="AN73" t="s">
        <v>86</v>
      </c>
      <c r="AO73">
        <v>1</v>
      </c>
    </row>
    <row r="74" spans="1:43" x14ac:dyDescent="0.25">
      <c r="A74" t="s">
        <v>51</v>
      </c>
      <c r="B74" t="s">
        <v>179</v>
      </c>
      <c r="C74" t="s">
        <v>180</v>
      </c>
      <c r="D74" t="s">
        <v>156</v>
      </c>
      <c r="E74">
        <v>2</v>
      </c>
      <c r="X74" t="s">
        <v>125</v>
      </c>
      <c r="Z74">
        <v>4000</v>
      </c>
      <c r="AA74" t="s">
        <v>91</v>
      </c>
      <c r="AB74">
        <v>5</v>
      </c>
      <c r="AC74" s="2" t="s">
        <v>86</v>
      </c>
      <c r="AF74">
        <v>1.9</v>
      </c>
      <c r="AG74">
        <f>(2+6)/2</f>
        <v>4</v>
      </c>
      <c r="AH74">
        <f>(10+19)/2</f>
        <v>14.5</v>
      </c>
      <c r="AI74">
        <v>13.5</v>
      </c>
      <c r="AL74">
        <v>2.5</v>
      </c>
      <c r="AO74">
        <v>1</v>
      </c>
    </row>
    <row r="75" spans="1:43" x14ac:dyDescent="0.25">
      <c r="A75" t="s">
        <v>17</v>
      </c>
      <c r="B75" t="s">
        <v>17</v>
      </c>
      <c r="C75" t="s">
        <v>168</v>
      </c>
      <c r="D75" t="s">
        <v>156</v>
      </c>
      <c r="E75">
        <v>1</v>
      </c>
      <c r="F75">
        <v>0</v>
      </c>
      <c r="G75">
        <v>2</v>
      </c>
      <c r="X75" t="s">
        <v>84</v>
      </c>
      <c r="AA75" t="s">
        <v>86</v>
      </c>
      <c r="AB75">
        <v>4</v>
      </c>
      <c r="AC75" s="2" t="s">
        <v>85</v>
      </c>
      <c r="AM75" t="s">
        <v>85</v>
      </c>
      <c r="AN75" t="s">
        <v>86</v>
      </c>
      <c r="AO75">
        <v>1</v>
      </c>
    </row>
    <row r="76" spans="1:43" x14ac:dyDescent="0.25">
      <c r="A76" t="s">
        <v>25</v>
      </c>
      <c r="B76" t="s">
        <v>25</v>
      </c>
      <c r="C76" t="s">
        <v>160</v>
      </c>
      <c r="D76" t="s">
        <v>156</v>
      </c>
      <c r="E76">
        <v>2</v>
      </c>
      <c r="F76">
        <v>0</v>
      </c>
      <c r="G76">
        <v>1</v>
      </c>
      <c r="H76">
        <v>81.099999999999994</v>
      </c>
      <c r="I76">
        <v>91.9</v>
      </c>
      <c r="K76">
        <f>(117+136)/2</f>
        <v>126.5</v>
      </c>
      <c r="L76">
        <f>(115+127)/2</f>
        <v>121</v>
      </c>
      <c r="P76">
        <f>(17+23)/2</f>
        <v>20</v>
      </c>
      <c r="S76">
        <f>(27.5+33)/2</f>
        <v>30.25</v>
      </c>
      <c r="X76" t="s">
        <v>84</v>
      </c>
      <c r="Y76">
        <v>0</v>
      </c>
      <c r="Z76">
        <v>1500</v>
      </c>
      <c r="AA76" t="s">
        <v>86</v>
      </c>
      <c r="AB76">
        <v>3</v>
      </c>
      <c r="AC76" s="2" t="s">
        <v>86</v>
      </c>
      <c r="AF76">
        <v>9</v>
      </c>
      <c r="AG76">
        <f>(4+6)/2</f>
        <v>5</v>
      </c>
      <c r="AL76">
        <v>2</v>
      </c>
      <c r="AM76" t="s">
        <v>85</v>
      </c>
      <c r="AN76" t="s">
        <v>86</v>
      </c>
      <c r="AO76">
        <v>1</v>
      </c>
    </row>
    <row r="77" spans="1:43" x14ac:dyDescent="0.25">
      <c r="A77" t="s">
        <v>26</v>
      </c>
      <c r="B77" t="s">
        <v>26</v>
      </c>
      <c r="C77" t="s">
        <v>169</v>
      </c>
      <c r="D77" t="s">
        <v>156</v>
      </c>
      <c r="E77">
        <v>3</v>
      </c>
      <c r="F77">
        <v>1</v>
      </c>
      <c r="G77">
        <v>1</v>
      </c>
      <c r="X77" t="s">
        <v>84</v>
      </c>
      <c r="AA77" t="s">
        <v>86</v>
      </c>
      <c r="AB77">
        <v>4</v>
      </c>
      <c r="AG77">
        <v>5</v>
      </c>
      <c r="AH77">
        <v>13.5</v>
      </c>
      <c r="AI77">
        <v>14</v>
      </c>
      <c r="AM77" t="s">
        <v>85</v>
      </c>
      <c r="AN77" t="s">
        <v>86</v>
      </c>
      <c r="AO77">
        <v>1</v>
      </c>
    </row>
    <row r="78" spans="1:43" x14ac:dyDescent="0.25">
      <c r="A78" t="s">
        <v>70</v>
      </c>
      <c r="B78" t="s">
        <v>70</v>
      </c>
      <c r="C78" t="s">
        <v>176</v>
      </c>
      <c r="D78" t="s">
        <v>156</v>
      </c>
      <c r="E78">
        <v>1</v>
      </c>
      <c r="F78">
        <v>0</v>
      </c>
      <c r="G78">
        <v>3</v>
      </c>
      <c r="H78">
        <v>68.900000000000006</v>
      </c>
      <c r="I78">
        <v>66.599999999999994</v>
      </c>
      <c r="X78" t="s">
        <v>103</v>
      </c>
      <c r="Y78">
        <v>0</v>
      </c>
      <c r="Z78">
        <v>2200</v>
      </c>
      <c r="AA78" t="s">
        <v>86</v>
      </c>
      <c r="AB78">
        <v>6</v>
      </c>
      <c r="AM78" t="s">
        <v>86</v>
      </c>
      <c r="AN78" t="s">
        <v>86</v>
      </c>
      <c r="AO78">
        <v>1</v>
      </c>
    </row>
    <row r="79" spans="1:43" x14ac:dyDescent="0.25">
      <c r="A79" t="s">
        <v>21</v>
      </c>
      <c r="B79" t="s">
        <v>21</v>
      </c>
      <c r="C79" t="s">
        <v>170</v>
      </c>
      <c r="D79" t="s">
        <v>156</v>
      </c>
      <c r="E79">
        <v>2</v>
      </c>
      <c r="F79">
        <v>0</v>
      </c>
      <c r="G79">
        <v>1</v>
      </c>
      <c r="X79" t="s">
        <v>84</v>
      </c>
      <c r="AA79" t="s">
        <v>86</v>
      </c>
      <c r="AB79">
        <v>5</v>
      </c>
      <c r="AC79" s="2" t="s">
        <v>86</v>
      </c>
      <c r="AD79" t="s">
        <v>86</v>
      </c>
      <c r="AF79">
        <v>10</v>
      </c>
      <c r="AG79">
        <v>5</v>
      </c>
      <c r="AH79">
        <v>13.5</v>
      </c>
      <c r="AI79">
        <v>13.5</v>
      </c>
      <c r="AM79" t="s">
        <v>118</v>
      </c>
      <c r="AN79" t="s">
        <v>86</v>
      </c>
      <c r="AO79">
        <v>1</v>
      </c>
    </row>
    <row r="80" spans="1:43" x14ac:dyDescent="0.25">
      <c r="A80" t="s">
        <v>19</v>
      </c>
      <c r="B80" t="s">
        <v>19</v>
      </c>
      <c r="C80" t="s">
        <v>171</v>
      </c>
      <c r="D80" t="s">
        <v>156</v>
      </c>
      <c r="E80">
        <v>3</v>
      </c>
      <c r="F80">
        <v>1</v>
      </c>
      <c r="G80">
        <v>2</v>
      </c>
      <c r="X80" t="s">
        <v>84</v>
      </c>
      <c r="Y80">
        <v>0</v>
      </c>
      <c r="Z80">
        <v>2200</v>
      </c>
      <c r="AA80" t="s">
        <v>86</v>
      </c>
      <c r="AB80">
        <v>3</v>
      </c>
      <c r="AM80" t="s">
        <v>85</v>
      </c>
      <c r="AN80" t="s">
        <v>86</v>
      </c>
      <c r="AO80">
        <v>1</v>
      </c>
    </row>
    <row r="81" spans="1:41" x14ac:dyDescent="0.25">
      <c r="A81" t="s">
        <v>20</v>
      </c>
      <c r="B81" t="s">
        <v>20</v>
      </c>
      <c r="C81" t="s">
        <v>172</v>
      </c>
      <c r="D81" t="s">
        <v>156</v>
      </c>
      <c r="E81">
        <v>3</v>
      </c>
      <c r="F81">
        <v>1</v>
      </c>
      <c r="G81">
        <v>3</v>
      </c>
      <c r="X81" t="s">
        <v>125</v>
      </c>
      <c r="Y81">
        <v>300</v>
      </c>
      <c r="Z81">
        <v>620</v>
      </c>
      <c r="AA81" t="s">
        <v>91</v>
      </c>
      <c r="AB81">
        <v>4</v>
      </c>
      <c r="AM81" t="s">
        <v>85</v>
      </c>
      <c r="AN81" t="s">
        <v>85</v>
      </c>
      <c r="AO81">
        <v>1</v>
      </c>
    </row>
    <row r="82" spans="1:41" x14ac:dyDescent="0.25">
      <c r="A82" t="s">
        <v>32</v>
      </c>
      <c r="B82" t="s">
        <v>32</v>
      </c>
      <c r="C82" t="s">
        <v>173</v>
      </c>
      <c r="D82" t="s">
        <v>156</v>
      </c>
      <c r="E82">
        <v>3</v>
      </c>
      <c r="F82">
        <v>1</v>
      </c>
      <c r="G82">
        <v>1</v>
      </c>
      <c r="X82" t="s">
        <v>84</v>
      </c>
      <c r="Y82">
        <v>1200</v>
      </c>
      <c r="Z82">
        <v>2400</v>
      </c>
      <c r="AA82" t="s">
        <v>91</v>
      </c>
      <c r="AB82">
        <v>5</v>
      </c>
      <c r="AM82" t="s">
        <v>85</v>
      </c>
      <c r="AN82" t="s">
        <v>86</v>
      </c>
      <c r="AO82">
        <v>1</v>
      </c>
    </row>
    <row r="83" spans="1:41" x14ac:dyDescent="0.25">
      <c r="A83" t="s">
        <v>71</v>
      </c>
      <c r="B83" t="s">
        <v>71</v>
      </c>
      <c r="C83" t="s">
        <v>174</v>
      </c>
      <c r="D83" t="s">
        <v>156</v>
      </c>
      <c r="E83">
        <v>1</v>
      </c>
      <c r="F83">
        <v>0</v>
      </c>
      <c r="G83">
        <v>3</v>
      </c>
      <c r="H83">
        <v>112</v>
      </c>
      <c r="I83">
        <v>123</v>
      </c>
      <c r="X83" t="s">
        <v>103</v>
      </c>
      <c r="Y83">
        <v>0</v>
      </c>
      <c r="Z83">
        <v>3000</v>
      </c>
      <c r="AA83" t="s">
        <v>91</v>
      </c>
      <c r="AB83">
        <v>5</v>
      </c>
      <c r="AM83" t="s">
        <v>86</v>
      </c>
      <c r="AN83" t="s">
        <v>86</v>
      </c>
      <c r="AO83">
        <v>1</v>
      </c>
    </row>
    <row r="84" spans="1:41" x14ac:dyDescent="0.25">
      <c r="A84" t="s">
        <v>433</v>
      </c>
      <c r="C84" t="s">
        <v>434</v>
      </c>
      <c r="D84" t="s">
        <v>83</v>
      </c>
      <c r="E84">
        <v>0</v>
      </c>
      <c r="F84">
        <v>0</v>
      </c>
      <c r="X84" t="s">
        <v>125</v>
      </c>
      <c r="AA84" t="s">
        <v>85</v>
      </c>
      <c r="AB84">
        <v>6</v>
      </c>
      <c r="AC84" t="s">
        <v>86</v>
      </c>
      <c r="AH84">
        <v>14.5</v>
      </c>
    </row>
  </sheetData>
  <sortState xmlns:xlrd2="http://schemas.microsoft.com/office/spreadsheetml/2017/richdata2" ref="A2:AP83">
    <sortCondition ref="D2:D83"/>
    <sortCondition ref="B2:B83"/>
  </sortState>
  <hyperlinks>
    <hyperlink ref="B17" r:id="rId1" display="Turdus anthracinus" xr:uid="{00000000-0004-0000-0000-000000000000}"/>
    <hyperlink ref="A17" r:id="rId2" display="Turdus anthracinus" xr:uid="{00000000-0004-0000-0000-000001000000}"/>
    <hyperlink ref="AQ67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8505-4B95-4B45-BF1A-3840E188C53F}">
  <dimension ref="A1:C72"/>
  <sheetViews>
    <sheetView topLeftCell="A10" workbookViewId="0">
      <selection activeCell="L29" sqref="L29"/>
    </sheetView>
  </sheetViews>
  <sheetFormatPr defaultRowHeight="15" x14ac:dyDescent="0.25"/>
  <cols>
    <col min="2" max="2" width="30.5703125" bestFit="1" customWidth="1"/>
  </cols>
  <sheetData>
    <row r="1" spans="1:3" x14ac:dyDescent="0.25">
      <c r="A1" s="9" t="s">
        <v>284</v>
      </c>
      <c r="B1" t="s">
        <v>0</v>
      </c>
      <c r="C1" t="s">
        <v>427</v>
      </c>
    </row>
    <row r="2" spans="1:3" x14ac:dyDescent="0.25">
      <c r="A2" s="9" t="s">
        <v>285</v>
      </c>
      <c r="B2" t="s">
        <v>286</v>
      </c>
      <c r="C2">
        <v>1</v>
      </c>
    </row>
    <row r="3" spans="1:3" x14ac:dyDescent="0.25">
      <c r="A3" s="9" t="s">
        <v>287</v>
      </c>
      <c r="B3" t="s">
        <v>288</v>
      </c>
      <c r="C3">
        <v>1</v>
      </c>
    </row>
    <row r="4" spans="1:3" x14ac:dyDescent="0.25">
      <c r="A4" s="9" t="s">
        <v>289</v>
      </c>
      <c r="B4" t="s">
        <v>290</v>
      </c>
    </row>
    <row r="5" spans="1:3" x14ac:dyDescent="0.25">
      <c r="A5" s="9" t="s">
        <v>291</v>
      </c>
      <c r="B5" t="s">
        <v>292</v>
      </c>
    </row>
    <row r="6" spans="1:3" x14ac:dyDescent="0.25">
      <c r="A6" s="9" t="s">
        <v>293</v>
      </c>
      <c r="B6" t="s">
        <v>294</v>
      </c>
    </row>
    <row r="7" spans="1:3" x14ac:dyDescent="0.25">
      <c r="A7" s="9" t="s">
        <v>295</v>
      </c>
      <c r="B7" t="s">
        <v>296</v>
      </c>
    </row>
    <row r="8" spans="1:3" x14ac:dyDescent="0.25">
      <c r="A8" s="9" t="s">
        <v>297</v>
      </c>
      <c r="B8" t="s">
        <v>298</v>
      </c>
    </row>
    <row r="9" spans="1:3" x14ac:dyDescent="0.25">
      <c r="A9" s="9" t="s">
        <v>299</v>
      </c>
      <c r="B9" t="s">
        <v>300</v>
      </c>
    </row>
    <row r="10" spans="1:3" x14ac:dyDescent="0.25">
      <c r="A10" s="9" t="s">
        <v>301</v>
      </c>
      <c r="B10" t="s">
        <v>302</v>
      </c>
    </row>
    <row r="11" spans="1:3" x14ac:dyDescent="0.25">
      <c r="A11" s="9" t="s">
        <v>303</v>
      </c>
      <c r="B11" t="s">
        <v>304</v>
      </c>
    </row>
    <row r="12" spans="1:3" x14ac:dyDescent="0.25">
      <c r="A12" s="9" t="s">
        <v>305</v>
      </c>
      <c r="B12" t="s">
        <v>306</v>
      </c>
    </row>
    <row r="13" spans="1:3" x14ac:dyDescent="0.25">
      <c r="A13" s="9" t="s">
        <v>307</v>
      </c>
      <c r="B13" t="s">
        <v>308</v>
      </c>
    </row>
    <row r="14" spans="1:3" x14ac:dyDescent="0.25">
      <c r="A14" s="9" t="s">
        <v>309</v>
      </c>
      <c r="B14" t="s">
        <v>310</v>
      </c>
    </row>
    <row r="15" spans="1:3" x14ac:dyDescent="0.25">
      <c r="A15" s="9" t="s">
        <v>311</v>
      </c>
      <c r="B15" t="s">
        <v>312</v>
      </c>
    </row>
    <row r="16" spans="1:3" x14ac:dyDescent="0.25">
      <c r="A16" s="9" t="s">
        <v>313</v>
      </c>
      <c r="B16" t="s">
        <v>314</v>
      </c>
    </row>
    <row r="17" spans="1:2" x14ac:dyDescent="0.25">
      <c r="A17" s="9" t="s">
        <v>315</v>
      </c>
      <c r="B17" t="s">
        <v>316</v>
      </c>
    </row>
    <row r="18" spans="1:2" x14ac:dyDescent="0.25">
      <c r="A18" s="9" t="s">
        <v>317</v>
      </c>
      <c r="B18" t="s">
        <v>318</v>
      </c>
    </row>
    <row r="19" spans="1:2" x14ac:dyDescent="0.25">
      <c r="A19" s="9" t="s">
        <v>319</v>
      </c>
      <c r="B19" t="s">
        <v>320</v>
      </c>
    </row>
    <row r="20" spans="1:2" x14ac:dyDescent="0.25">
      <c r="A20" s="9" t="s">
        <v>321</v>
      </c>
      <c r="B20" t="s">
        <v>322</v>
      </c>
    </row>
    <row r="21" spans="1:2" x14ac:dyDescent="0.25">
      <c r="A21" s="9" t="s">
        <v>323</v>
      </c>
      <c r="B21" t="s">
        <v>324</v>
      </c>
    </row>
    <row r="22" spans="1:2" x14ac:dyDescent="0.25">
      <c r="A22" s="9" t="s">
        <v>325</v>
      </c>
      <c r="B22" t="s">
        <v>326</v>
      </c>
    </row>
    <row r="23" spans="1:2" x14ac:dyDescent="0.25">
      <c r="A23" s="9" t="s">
        <v>327</v>
      </c>
      <c r="B23" t="s">
        <v>328</v>
      </c>
    </row>
    <row r="24" spans="1:2" x14ac:dyDescent="0.25">
      <c r="A24" s="9" t="s">
        <v>329</v>
      </c>
      <c r="B24" t="s">
        <v>330</v>
      </c>
    </row>
    <row r="25" spans="1:2" x14ac:dyDescent="0.25">
      <c r="A25" s="9" t="s">
        <v>331</v>
      </c>
      <c r="B25" t="s">
        <v>332</v>
      </c>
    </row>
    <row r="26" spans="1:2" x14ac:dyDescent="0.25">
      <c r="A26" s="9" t="s">
        <v>333</v>
      </c>
      <c r="B26" t="s">
        <v>334</v>
      </c>
    </row>
    <row r="27" spans="1:2" x14ac:dyDescent="0.25">
      <c r="A27" s="9" t="s">
        <v>335</v>
      </c>
      <c r="B27" t="s">
        <v>336</v>
      </c>
    </row>
    <row r="28" spans="1:2" x14ac:dyDescent="0.25">
      <c r="A28" s="9" t="s">
        <v>337</v>
      </c>
      <c r="B28" t="s">
        <v>338</v>
      </c>
    </row>
    <row r="29" spans="1:2" x14ac:dyDescent="0.25">
      <c r="A29" s="9" t="s">
        <v>339</v>
      </c>
      <c r="B29" t="s">
        <v>340</v>
      </c>
    </row>
    <row r="30" spans="1:2" x14ac:dyDescent="0.25">
      <c r="A30" s="9" t="s">
        <v>341</v>
      </c>
      <c r="B30" t="s">
        <v>342</v>
      </c>
    </row>
    <row r="31" spans="1:2" x14ac:dyDescent="0.25">
      <c r="A31" s="9" t="s">
        <v>343</v>
      </c>
      <c r="B31" t="s">
        <v>344</v>
      </c>
    </row>
    <row r="32" spans="1:2" x14ac:dyDescent="0.25">
      <c r="A32" s="9" t="s">
        <v>345</v>
      </c>
      <c r="B32" t="s">
        <v>346</v>
      </c>
    </row>
    <row r="33" spans="1:2" x14ac:dyDescent="0.25">
      <c r="A33" s="9" t="s">
        <v>347</v>
      </c>
      <c r="B33" t="s">
        <v>348</v>
      </c>
    </row>
    <row r="34" spans="1:2" x14ac:dyDescent="0.25">
      <c r="A34" s="9" t="s">
        <v>349</v>
      </c>
      <c r="B34" t="s">
        <v>350</v>
      </c>
    </row>
    <row r="35" spans="1:2" x14ac:dyDescent="0.25">
      <c r="A35" s="9" t="s">
        <v>351</v>
      </c>
      <c r="B35" t="s">
        <v>352</v>
      </c>
    </row>
    <row r="36" spans="1:2" x14ac:dyDescent="0.25">
      <c r="A36" s="9" t="s">
        <v>353</v>
      </c>
      <c r="B36" t="s">
        <v>354</v>
      </c>
    </row>
    <row r="37" spans="1:2" x14ac:dyDescent="0.25">
      <c r="A37" s="9" t="s">
        <v>355</v>
      </c>
      <c r="B37" t="s">
        <v>356</v>
      </c>
    </row>
    <row r="38" spans="1:2" x14ac:dyDescent="0.25">
      <c r="A38" s="9" t="s">
        <v>357</v>
      </c>
      <c r="B38" t="s">
        <v>358</v>
      </c>
    </row>
    <row r="39" spans="1:2" x14ac:dyDescent="0.25">
      <c r="A39" s="9" t="s">
        <v>359</v>
      </c>
      <c r="B39" t="s">
        <v>360</v>
      </c>
    </row>
    <row r="40" spans="1:2" x14ac:dyDescent="0.25">
      <c r="A40" s="9" t="s">
        <v>361</v>
      </c>
      <c r="B40" t="s">
        <v>362</v>
      </c>
    </row>
    <row r="41" spans="1:2" x14ac:dyDescent="0.25">
      <c r="A41" s="9" t="s">
        <v>363</v>
      </c>
      <c r="B41" t="s">
        <v>364</v>
      </c>
    </row>
    <row r="42" spans="1:2" x14ac:dyDescent="0.25">
      <c r="A42" s="9" t="s">
        <v>365</v>
      </c>
      <c r="B42" t="s">
        <v>366</v>
      </c>
    </row>
    <row r="43" spans="1:2" x14ac:dyDescent="0.25">
      <c r="A43" s="9" t="s">
        <v>367</v>
      </c>
      <c r="B43" t="s">
        <v>368</v>
      </c>
    </row>
    <row r="44" spans="1:2" x14ac:dyDescent="0.25">
      <c r="A44" s="9" t="s">
        <v>369</v>
      </c>
      <c r="B44" t="s">
        <v>370</v>
      </c>
    </row>
    <row r="45" spans="1:2" x14ac:dyDescent="0.25">
      <c r="A45" s="9" t="s">
        <v>371</v>
      </c>
      <c r="B45" t="s">
        <v>372</v>
      </c>
    </row>
    <row r="46" spans="1:2" x14ac:dyDescent="0.25">
      <c r="A46" s="9" t="s">
        <v>373</v>
      </c>
      <c r="B46" t="s">
        <v>374</v>
      </c>
    </row>
    <row r="47" spans="1:2" x14ac:dyDescent="0.25">
      <c r="A47" s="9" t="s">
        <v>375</v>
      </c>
      <c r="B47" t="s">
        <v>376</v>
      </c>
    </row>
    <row r="48" spans="1:2" x14ac:dyDescent="0.25">
      <c r="A48" s="9" t="s">
        <v>377</v>
      </c>
      <c r="B48" t="s">
        <v>378</v>
      </c>
    </row>
    <row r="49" spans="1:2" x14ac:dyDescent="0.25">
      <c r="A49" s="9" t="s">
        <v>379</v>
      </c>
      <c r="B49" t="s">
        <v>380</v>
      </c>
    </row>
    <row r="50" spans="1:2" x14ac:dyDescent="0.25">
      <c r="A50" s="9" t="s">
        <v>381</v>
      </c>
      <c r="B50" t="s">
        <v>382</v>
      </c>
    </row>
    <row r="51" spans="1:2" x14ac:dyDescent="0.25">
      <c r="A51" s="9" t="s">
        <v>383</v>
      </c>
      <c r="B51" t="s">
        <v>384</v>
      </c>
    </row>
    <row r="52" spans="1:2" x14ac:dyDescent="0.25">
      <c r="A52" s="9" t="s">
        <v>385</v>
      </c>
      <c r="B52" t="s">
        <v>386</v>
      </c>
    </row>
    <row r="53" spans="1:2" x14ac:dyDescent="0.25">
      <c r="A53" s="9" t="s">
        <v>387</v>
      </c>
      <c r="B53" t="s">
        <v>388</v>
      </c>
    </row>
    <row r="54" spans="1:2" x14ac:dyDescent="0.25">
      <c r="A54" s="9" t="s">
        <v>389</v>
      </c>
      <c r="B54" t="s">
        <v>390</v>
      </c>
    </row>
    <row r="55" spans="1:2" x14ac:dyDescent="0.25">
      <c r="A55" s="9" t="s">
        <v>391</v>
      </c>
      <c r="B55" t="s">
        <v>392</v>
      </c>
    </row>
    <row r="56" spans="1:2" x14ac:dyDescent="0.25">
      <c r="A56" s="9" t="s">
        <v>393</v>
      </c>
      <c r="B56" t="s">
        <v>394</v>
      </c>
    </row>
    <row r="57" spans="1:2" x14ac:dyDescent="0.25">
      <c r="A57" s="9" t="s">
        <v>395</v>
      </c>
      <c r="B57" t="s">
        <v>396</v>
      </c>
    </row>
    <row r="58" spans="1:2" x14ac:dyDescent="0.25">
      <c r="A58" s="9" t="s">
        <v>397</v>
      </c>
      <c r="B58" t="s">
        <v>398</v>
      </c>
    </row>
    <row r="59" spans="1:2" x14ac:dyDescent="0.25">
      <c r="A59" s="9" t="s">
        <v>399</v>
      </c>
      <c r="B59" t="s">
        <v>400</v>
      </c>
    </row>
    <row r="60" spans="1:2" x14ac:dyDescent="0.25">
      <c r="A60" s="9" t="s">
        <v>401</v>
      </c>
      <c r="B60" t="s">
        <v>402</v>
      </c>
    </row>
    <row r="61" spans="1:2" x14ac:dyDescent="0.25">
      <c r="A61" s="9" t="s">
        <v>403</v>
      </c>
      <c r="B61" t="s">
        <v>404</v>
      </c>
    </row>
    <row r="62" spans="1:2" x14ac:dyDescent="0.25">
      <c r="A62" s="9" t="s">
        <v>405</v>
      </c>
      <c r="B62" t="s">
        <v>406</v>
      </c>
    </row>
    <row r="63" spans="1:2" x14ac:dyDescent="0.25">
      <c r="A63" s="9" t="s">
        <v>407</v>
      </c>
      <c r="B63" t="s">
        <v>408</v>
      </c>
    </row>
    <row r="64" spans="1:2" x14ac:dyDescent="0.25">
      <c r="A64" s="9" t="s">
        <v>409</v>
      </c>
      <c r="B64" t="s">
        <v>410</v>
      </c>
    </row>
    <row r="65" spans="1:2" x14ac:dyDescent="0.25">
      <c r="A65" s="9" t="s">
        <v>411</v>
      </c>
      <c r="B65" t="s">
        <v>412</v>
      </c>
    </row>
    <row r="66" spans="1:2" x14ac:dyDescent="0.25">
      <c r="A66" s="9" t="s">
        <v>413</v>
      </c>
      <c r="B66" t="s">
        <v>414</v>
      </c>
    </row>
    <row r="67" spans="1:2" x14ac:dyDescent="0.25">
      <c r="A67" s="9" t="s">
        <v>415</v>
      </c>
      <c r="B67" t="s">
        <v>416</v>
      </c>
    </row>
    <row r="68" spans="1:2" x14ac:dyDescent="0.25">
      <c r="A68" s="9" t="s">
        <v>417</v>
      </c>
      <c r="B68" t="s">
        <v>418</v>
      </c>
    </row>
    <row r="69" spans="1:2" x14ac:dyDescent="0.25">
      <c r="A69" s="9" t="s">
        <v>419</v>
      </c>
      <c r="B69" t="s">
        <v>420</v>
      </c>
    </row>
    <row r="70" spans="1:2" x14ac:dyDescent="0.25">
      <c r="A70" s="9" t="s">
        <v>421</v>
      </c>
      <c r="B70" t="s">
        <v>422</v>
      </c>
    </row>
    <row r="71" spans="1:2" x14ac:dyDescent="0.25">
      <c r="A71" s="9" t="s">
        <v>423</v>
      </c>
      <c r="B71" t="s">
        <v>424</v>
      </c>
    </row>
    <row r="72" spans="1:2" x14ac:dyDescent="0.25">
      <c r="A72" s="9" t="s">
        <v>425</v>
      </c>
      <c r="B72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Species for final 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Luro</dc:creator>
  <cp:lastModifiedBy>Luro, Alec Bryce</cp:lastModifiedBy>
  <dcterms:created xsi:type="dcterms:W3CDTF">2017-02-17T21:06:23Z</dcterms:created>
  <dcterms:modified xsi:type="dcterms:W3CDTF">2019-05-28T21:41:17Z</dcterms:modified>
</cp:coreProperties>
</file>