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Curse\matProg\lab5\"/>
    </mc:Choice>
  </mc:AlternateContent>
  <xr:revisionPtr revIDLastSave="0" documentId="13_ncr:1_{9E1AA316-C3E7-4B3A-BD82-8B15F235CD18}" xr6:coauthVersionLast="47" xr6:coauthVersionMax="47" xr10:uidLastSave="{00000000-0000-0000-0000-000000000000}"/>
  <bookViews>
    <workbookView xWindow="-108" yWindow="-108" windowWidth="23256" windowHeight="12456" xr2:uid="{8CF6F7C4-A932-47FC-8F6B-E05C7BC9319C}"/>
  </bookViews>
  <sheets>
    <sheet name="Лист1" sheetId="1" r:id="rId1"/>
  </sheets>
  <definedNames>
    <definedName name="solver_adj" localSheetId="0" hidden="1">Лист1!$G$194:$G$198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Лист1!$C$202</definedName>
    <definedName name="solver_lhs2" localSheetId="0" hidden="1">Лист1!$G$194:$G$198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Лист1!$C$200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Лист1!$C$165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8" i="1" l="1"/>
  <c r="E208" i="1"/>
  <c r="G206" i="1"/>
  <c r="E206" i="1"/>
  <c r="B194" i="1"/>
  <c r="B198" i="1"/>
  <c r="B197" i="1"/>
  <c r="B196" i="1"/>
  <c r="B195" i="1"/>
  <c r="F198" i="1"/>
  <c r="E198" i="1"/>
  <c r="D198" i="1"/>
  <c r="C198" i="1"/>
  <c r="F197" i="1"/>
  <c r="E197" i="1"/>
  <c r="D197" i="1"/>
  <c r="C197" i="1"/>
  <c r="F196" i="1"/>
  <c r="E196" i="1"/>
  <c r="D196" i="1"/>
  <c r="C196" i="1"/>
  <c r="F195" i="1"/>
  <c r="J195" i="1" s="1"/>
  <c r="E195" i="1"/>
  <c r="D195" i="1"/>
  <c r="C195" i="1"/>
  <c r="H195" i="1" s="1"/>
  <c r="F194" i="1"/>
  <c r="J194" i="1" s="1"/>
  <c r="E194" i="1"/>
  <c r="D194" i="1"/>
  <c r="C194" i="1"/>
  <c r="J198" i="1"/>
  <c r="I198" i="1"/>
  <c r="H198" i="1"/>
  <c r="J197" i="1"/>
  <c r="I197" i="1"/>
  <c r="H197" i="1"/>
  <c r="J196" i="1"/>
  <c r="I196" i="1"/>
  <c r="H196" i="1"/>
  <c r="I195" i="1"/>
  <c r="I194" i="1"/>
  <c r="H194" i="1"/>
  <c r="F175" i="1"/>
  <c r="F174" i="1"/>
  <c r="F173" i="1"/>
  <c r="F172" i="1"/>
  <c r="F171" i="1"/>
  <c r="E175" i="1"/>
  <c r="E174" i="1"/>
  <c r="E173" i="1"/>
  <c r="E172" i="1"/>
  <c r="E171" i="1"/>
  <c r="D175" i="1"/>
  <c r="D174" i="1"/>
  <c r="D173" i="1"/>
  <c r="D172" i="1"/>
  <c r="D171" i="1"/>
  <c r="C175" i="1"/>
  <c r="C174" i="1"/>
  <c r="C173" i="1"/>
  <c r="C172" i="1"/>
  <c r="C171" i="1"/>
  <c r="B175" i="1"/>
  <c r="B174" i="1"/>
  <c r="B173" i="1"/>
  <c r="B172" i="1"/>
  <c r="B171" i="1"/>
  <c r="I126" i="1"/>
  <c r="H126" i="1"/>
  <c r="F122" i="1"/>
  <c r="C122" i="1"/>
  <c r="F121" i="1"/>
  <c r="L93" i="1"/>
  <c r="K93" i="1"/>
  <c r="C107" i="1"/>
  <c r="C106" i="1" s="1"/>
  <c r="C105" i="1" s="1"/>
  <c r="C104" i="1" s="1"/>
  <c r="C103" i="1" s="1"/>
  <c r="C102" i="1" s="1"/>
  <c r="C101" i="1" s="1"/>
  <c r="C100" i="1" s="1"/>
  <c r="C99" i="1" s="1"/>
  <c r="C98" i="1" s="1"/>
  <c r="C97" i="1" s="1"/>
  <c r="C96" i="1" s="1"/>
  <c r="C95" i="1" s="1"/>
  <c r="C94" i="1" s="1"/>
  <c r="C93" i="1" s="1"/>
  <c r="C88" i="1" s="1"/>
  <c r="C89" i="1"/>
  <c r="I60" i="1"/>
  <c r="H60" i="1"/>
  <c r="C61" i="1" s="1"/>
  <c r="E61" i="1" s="1"/>
  <c r="C56" i="1"/>
  <c r="F36" i="1"/>
  <c r="O40" i="1" s="1"/>
  <c r="O41" i="1" s="1"/>
  <c r="K197" i="1" l="1"/>
  <c r="C202" i="1"/>
  <c r="K194" i="1"/>
  <c r="K196" i="1"/>
  <c r="K195" i="1"/>
  <c r="K198" i="1"/>
  <c r="D127" i="1"/>
  <c r="G127" i="1" s="1"/>
  <c r="L40" i="1"/>
  <c r="L41" i="1" s="1"/>
  <c r="M40" i="1"/>
  <c r="M41" i="1" s="1"/>
  <c r="I40" i="1"/>
  <c r="I41" i="1" s="1"/>
  <c r="G40" i="1"/>
  <c r="G41" i="1" s="1"/>
  <c r="J40" i="1"/>
  <c r="J41" i="1" s="1"/>
  <c r="K40" i="1"/>
  <c r="K41" i="1" s="1"/>
  <c r="H40" i="1"/>
  <c r="H41" i="1" s="1"/>
  <c r="D61" i="1"/>
  <c r="G61" i="1" s="1"/>
  <c r="H61" i="1"/>
  <c r="N40" i="1"/>
  <c r="N41" i="1" s="1"/>
  <c r="G94" i="1"/>
  <c r="J94" i="1" s="1"/>
  <c r="F94" i="1"/>
  <c r="H94" i="1" s="1"/>
  <c r="C127" i="1"/>
  <c r="E127" i="1" s="1"/>
  <c r="D40" i="1"/>
  <c r="D41" i="1" s="1"/>
  <c r="S40" i="1"/>
  <c r="S41" i="1" s="1"/>
  <c r="R40" i="1"/>
  <c r="R41" i="1" s="1"/>
  <c r="F40" i="1"/>
  <c r="F41" i="1" s="1"/>
  <c r="E40" i="1"/>
  <c r="Q40" i="1"/>
  <c r="Q41" i="1" s="1"/>
  <c r="C40" i="1"/>
  <c r="C41" i="1" s="1"/>
  <c r="P40" i="1"/>
  <c r="P41" i="1" s="1"/>
  <c r="G174" i="1"/>
  <c r="H174" i="1" s="1"/>
  <c r="G173" i="1"/>
  <c r="H173" i="1" s="1"/>
  <c r="G171" i="1"/>
  <c r="H171" i="1" s="1"/>
  <c r="G175" i="1"/>
  <c r="I175" i="1" s="1"/>
  <c r="G172" i="1"/>
  <c r="J172" i="1" s="1"/>
  <c r="I61" i="1"/>
  <c r="C62" i="1" s="1"/>
  <c r="C200" i="1" l="1"/>
  <c r="D154" i="1"/>
  <c r="E41" i="1"/>
  <c r="E154" i="1" s="1"/>
  <c r="G95" i="1"/>
  <c r="D62" i="1"/>
  <c r="I174" i="1"/>
  <c r="K174" i="1" s="1"/>
  <c r="J174" i="1"/>
  <c r="I171" i="1"/>
  <c r="K171" i="1" s="1"/>
  <c r="J175" i="1"/>
  <c r="H175" i="1"/>
  <c r="K175" i="1" s="1"/>
  <c r="J171" i="1"/>
  <c r="I173" i="1"/>
  <c r="K173" i="1" s="1"/>
  <c r="I172" i="1"/>
  <c r="H172" i="1"/>
  <c r="J173" i="1"/>
  <c r="C184" i="1" s="1"/>
  <c r="I127" i="1"/>
  <c r="H127" i="1"/>
  <c r="F127" i="1"/>
  <c r="L94" i="1"/>
  <c r="K94" i="1"/>
  <c r="F95" i="1" s="1"/>
  <c r="H95" i="1" s="1"/>
  <c r="I94" i="1"/>
  <c r="F61" i="1"/>
  <c r="K172" i="1" l="1"/>
  <c r="K176" i="1" s="1"/>
  <c r="D128" i="1"/>
  <c r="G128" i="1" s="1"/>
  <c r="C128" i="1"/>
  <c r="E128" i="1" s="1"/>
  <c r="F128" i="1" s="1"/>
  <c r="J95" i="1"/>
  <c r="G96" i="1" s="1"/>
  <c r="E62" i="1"/>
  <c r="G62" i="1"/>
  <c r="H128" i="1" l="1"/>
  <c r="I128" i="1"/>
  <c r="D129" i="1"/>
  <c r="G129" i="1" s="1"/>
  <c r="C129" i="1"/>
  <c r="E129" i="1" s="1"/>
  <c r="I95" i="1"/>
  <c r="K95" i="1"/>
  <c r="L95" i="1"/>
  <c r="I62" i="1"/>
  <c r="H62" i="1"/>
  <c r="F62" i="1"/>
  <c r="F129" i="1" l="1"/>
  <c r="H129" i="1"/>
  <c r="D130" i="1" s="1"/>
  <c r="G130" i="1" s="1"/>
  <c r="I129" i="1"/>
  <c r="F96" i="1"/>
  <c r="H96" i="1" s="1"/>
  <c r="J96" i="1"/>
  <c r="C63" i="1"/>
  <c r="D63" i="1"/>
  <c r="G63" i="1" s="1"/>
  <c r="E63" i="1"/>
  <c r="G97" i="1" l="1"/>
  <c r="C130" i="1"/>
  <c r="E130" i="1" s="1"/>
  <c r="L96" i="1"/>
  <c r="K96" i="1"/>
  <c r="F97" i="1" s="1"/>
  <c r="H97" i="1" s="1"/>
  <c r="I96" i="1"/>
  <c r="J97" i="1"/>
  <c r="I63" i="1"/>
  <c r="H63" i="1"/>
  <c r="F63" i="1"/>
  <c r="H130" i="1" l="1"/>
  <c r="I130" i="1"/>
  <c r="F130" i="1"/>
  <c r="F98" i="1"/>
  <c r="L97" i="1"/>
  <c r="K97" i="1"/>
  <c r="G98" i="1" s="1"/>
  <c r="I97" i="1"/>
  <c r="C64" i="1"/>
  <c r="C77" i="1" s="1"/>
  <c r="D79" i="1" s="1"/>
  <c r="D155" i="1" s="1"/>
  <c r="D64" i="1"/>
  <c r="E64" i="1"/>
  <c r="F77" i="1" s="1"/>
  <c r="G64" i="1"/>
  <c r="D131" i="1" l="1"/>
  <c r="G131" i="1" s="1"/>
  <c r="C131" i="1"/>
  <c r="H98" i="1"/>
  <c r="J98" i="1"/>
  <c r="F64" i="1"/>
  <c r="H64" i="1"/>
  <c r="I64" i="1"/>
  <c r="E131" i="1" l="1"/>
  <c r="I131" i="1" s="1"/>
  <c r="F99" i="1"/>
  <c r="K98" i="1"/>
  <c r="L98" i="1"/>
  <c r="I98" i="1"/>
  <c r="C65" i="1"/>
  <c r="E65" i="1" s="1"/>
  <c r="D65" i="1"/>
  <c r="G65" i="1"/>
  <c r="G99" i="1" l="1"/>
  <c r="H131" i="1"/>
  <c r="C132" i="1" s="1"/>
  <c r="E132" i="1" s="1"/>
  <c r="F131" i="1"/>
  <c r="D132" i="1"/>
  <c r="G132" i="1" s="1"/>
  <c r="J99" i="1"/>
  <c r="H99" i="1"/>
  <c r="I65" i="1"/>
  <c r="H65" i="1"/>
  <c r="F65" i="1"/>
  <c r="I132" i="1" l="1"/>
  <c r="F132" i="1"/>
  <c r="H132" i="1"/>
  <c r="C133" i="1" s="1"/>
  <c r="E133" i="1" s="1"/>
  <c r="G100" i="1"/>
  <c r="K99" i="1"/>
  <c r="I99" i="1"/>
  <c r="L99" i="1"/>
  <c r="C66" i="1"/>
  <c r="D66" i="1"/>
  <c r="C76" i="1" s="1"/>
  <c r="G66" i="1"/>
  <c r="F76" i="1" s="1"/>
  <c r="E66" i="1"/>
  <c r="F100" i="1" l="1"/>
  <c r="D133" i="1"/>
  <c r="G133" i="1" s="1"/>
  <c r="H100" i="1"/>
  <c r="J100" i="1"/>
  <c r="F66" i="1"/>
  <c r="H66" i="1"/>
  <c r="I66" i="1"/>
  <c r="H133" i="1" l="1"/>
  <c r="F133" i="1"/>
  <c r="I133" i="1"/>
  <c r="F101" i="1"/>
  <c r="L100" i="1"/>
  <c r="I100" i="1"/>
  <c r="K100" i="1"/>
  <c r="G101" i="1" s="1"/>
  <c r="D67" i="1"/>
  <c r="C75" i="1" s="1"/>
  <c r="C67" i="1"/>
  <c r="G67" i="1"/>
  <c r="F75" i="1" s="1"/>
  <c r="E67" i="1"/>
  <c r="F72" i="1" s="1"/>
  <c r="D134" i="1" l="1"/>
  <c r="G134" i="1" s="1"/>
  <c r="C134" i="1"/>
  <c r="E134" i="1" s="1"/>
  <c r="H101" i="1"/>
  <c r="J101" i="1"/>
  <c r="I67" i="1"/>
  <c r="H67" i="1"/>
  <c r="F67" i="1"/>
  <c r="I134" i="1" l="1"/>
  <c r="H134" i="1"/>
  <c r="C135" i="1" s="1"/>
  <c r="E135" i="1" s="1"/>
  <c r="F134" i="1"/>
  <c r="D135" i="1"/>
  <c r="G135" i="1" s="1"/>
  <c r="F102" i="1"/>
  <c r="I101" i="1"/>
  <c r="L101" i="1"/>
  <c r="K101" i="1"/>
  <c r="G102" i="1" s="1"/>
  <c r="C68" i="1"/>
  <c r="C74" i="1" s="1"/>
  <c r="D68" i="1"/>
  <c r="G68" i="1" s="1"/>
  <c r="F73" i="1" s="1"/>
  <c r="D80" i="1" s="1"/>
  <c r="E155" i="1" s="1"/>
  <c r="E68" i="1"/>
  <c r="F74" i="1" s="1"/>
  <c r="F135" i="1" l="1"/>
  <c r="H135" i="1"/>
  <c r="D136" i="1" s="1"/>
  <c r="G136" i="1" s="1"/>
  <c r="I135" i="1"/>
  <c r="C136" i="1" s="1"/>
  <c r="H102" i="1"/>
  <c r="J102" i="1"/>
  <c r="I68" i="1"/>
  <c r="F68" i="1"/>
  <c r="H68" i="1"/>
  <c r="E136" i="1" l="1"/>
  <c r="I136" i="1"/>
  <c r="G103" i="1"/>
  <c r="I102" i="1"/>
  <c r="K102" i="1"/>
  <c r="L102" i="1"/>
  <c r="F103" i="1" l="1"/>
  <c r="F136" i="1"/>
  <c r="H136" i="1"/>
  <c r="J103" i="1"/>
  <c r="H103" i="1"/>
  <c r="D137" i="1" l="1"/>
  <c r="G137" i="1" s="1"/>
  <c r="C137" i="1"/>
  <c r="E137" i="1" s="1"/>
  <c r="F137" i="1" s="1"/>
  <c r="F104" i="1"/>
  <c r="L103" i="1"/>
  <c r="K103" i="1"/>
  <c r="G104" i="1" s="1"/>
  <c r="I103" i="1"/>
  <c r="D138" i="1" l="1"/>
  <c r="G138" i="1" s="1"/>
  <c r="H137" i="1"/>
  <c r="I137" i="1"/>
  <c r="J104" i="1"/>
  <c r="H104" i="1"/>
  <c r="C138" i="1" l="1"/>
  <c r="E138" i="1" s="1"/>
  <c r="G105" i="1"/>
  <c r="L104" i="1"/>
  <c r="K104" i="1"/>
  <c r="F105" i="1" s="1"/>
  <c r="I104" i="1"/>
  <c r="H138" i="1" l="1"/>
  <c r="D139" i="1" s="1"/>
  <c r="G139" i="1" s="1"/>
  <c r="I138" i="1"/>
  <c r="F138" i="1"/>
  <c r="H105" i="1"/>
  <c r="J105" i="1"/>
  <c r="C139" i="1" l="1"/>
  <c r="E139" i="1" s="1"/>
  <c r="G106" i="1"/>
  <c r="I105" i="1"/>
  <c r="L105" i="1"/>
  <c r="K105" i="1"/>
  <c r="F106" i="1" s="1"/>
  <c r="H139" i="1" l="1"/>
  <c r="I139" i="1"/>
  <c r="F139" i="1"/>
  <c r="H106" i="1"/>
  <c r="J106" i="1"/>
  <c r="D140" i="1" l="1"/>
  <c r="G140" i="1" s="1"/>
  <c r="C140" i="1"/>
  <c r="E140" i="1" s="1"/>
  <c r="D141" i="1" s="1"/>
  <c r="F107" i="1"/>
  <c r="I106" i="1"/>
  <c r="K106" i="1"/>
  <c r="G107" i="1" s="1"/>
  <c r="L106" i="1"/>
  <c r="G141" i="1" l="1"/>
  <c r="D145" i="1"/>
  <c r="D157" i="1" s="1"/>
  <c r="I140" i="1"/>
  <c r="F140" i="1"/>
  <c r="H140" i="1"/>
  <c r="C141" i="1" s="1"/>
  <c r="E141" i="1" s="1"/>
  <c r="H107" i="1"/>
  <c r="J107" i="1"/>
  <c r="F141" i="1" l="1"/>
  <c r="D146" i="1"/>
  <c r="E157" i="1" s="1"/>
  <c r="H141" i="1"/>
  <c r="I141" i="1"/>
  <c r="F108" i="1"/>
  <c r="D113" i="1" s="1"/>
  <c r="D156" i="1" s="1"/>
  <c r="D159" i="1" s="1"/>
  <c r="I107" i="1"/>
  <c r="K107" i="1"/>
  <c r="L107" i="1"/>
  <c r="G108" i="1" l="1"/>
  <c r="H108" i="1"/>
  <c r="D114" i="1" s="1"/>
  <c r="E156" i="1" s="1"/>
  <c r="J108" i="1"/>
  <c r="L108" i="1" l="1"/>
  <c r="K108" i="1"/>
  <c r="I108" i="1"/>
  <c r="J17" i="1" l="1"/>
  <c r="J16" i="1"/>
  <c r="C16" i="1"/>
  <c r="I17" i="1" s="1"/>
  <c r="D21" i="1" l="1"/>
  <c r="D22" i="1" s="1"/>
  <c r="R21" i="1"/>
  <c r="R22" i="1" s="1"/>
  <c r="N21" i="1"/>
  <c r="N22" i="1" s="1"/>
  <c r="J21" i="1"/>
  <c r="J22" i="1" s="1"/>
  <c r="H21" i="1"/>
  <c r="H22" i="1" s="1"/>
  <c r="F21" i="1"/>
  <c r="F22" i="1" s="1"/>
  <c r="L21" i="1"/>
  <c r="L22" i="1" s="1"/>
  <c r="P21" i="1"/>
  <c r="P22" i="1" s="1"/>
  <c r="I16" i="1"/>
  <c r="E21" i="1" l="1"/>
  <c r="C21" i="1"/>
  <c r="C22" i="1" s="1"/>
  <c r="O21" i="1"/>
  <c r="O22" i="1" s="1"/>
  <c r="G21" i="1"/>
  <c r="G22" i="1" s="1"/>
  <c r="Q21" i="1"/>
  <c r="Q22" i="1" s="1"/>
  <c r="M21" i="1"/>
  <c r="M22" i="1" s="1"/>
  <c r="K21" i="1"/>
  <c r="K22" i="1" s="1"/>
  <c r="I21" i="1"/>
  <c r="I22" i="1" s="1"/>
  <c r="D153" i="1" l="1"/>
  <c r="E22" i="1"/>
  <c r="E153" i="1" s="1"/>
  <c r="E159" i="1" s="1"/>
</calcChain>
</file>

<file path=xl/sharedStrings.xml><?xml version="1.0" encoding="utf-8"?>
<sst xmlns="http://schemas.openxmlformats.org/spreadsheetml/2006/main" count="199" uniqueCount="119">
  <si>
    <t>Вариант 17</t>
  </si>
  <si>
    <t>Задание 1</t>
  </si>
  <si>
    <t>f(x) = x^2 -3x+2</t>
  </si>
  <si>
    <t>x^2</t>
  </si>
  <si>
    <t>c</t>
  </si>
  <si>
    <t xml:space="preserve">Отрезок </t>
  </si>
  <si>
    <t xml:space="preserve">Пассивный метод поиска минимума </t>
  </si>
  <si>
    <t xml:space="preserve">N </t>
  </si>
  <si>
    <t>e</t>
  </si>
  <si>
    <t xml:space="preserve">l </t>
  </si>
  <si>
    <t>X</t>
  </si>
  <si>
    <t>Уравнения</t>
  </si>
  <si>
    <t>Отрезок</t>
  </si>
  <si>
    <t>e/2</t>
  </si>
  <si>
    <r>
      <t>x</t>
    </r>
    <r>
      <rPr>
        <b/>
        <sz val="6"/>
        <color theme="1"/>
        <rFont val="Calibri"/>
        <family val="2"/>
        <charset val="204"/>
        <scheme val="minor"/>
      </rPr>
      <t>2j-1</t>
    </r>
  </si>
  <si>
    <t xml:space="preserve">(8/9)*j - 0,05 </t>
  </si>
  <si>
    <r>
      <t>x</t>
    </r>
    <r>
      <rPr>
        <b/>
        <sz val="6"/>
        <color theme="1"/>
        <rFont val="Calibri"/>
        <family val="2"/>
        <charset val="204"/>
        <scheme val="minor"/>
      </rPr>
      <t>2j</t>
    </r>
  </si>
  <si>
    <t xml:space="preserve">(8/9)*j + 0,05 </t>
  </si>
  <si>
    <t>x</t>
  </si>
  <si>
    <t>[1;9]</t>
  </si>
  <si>
    <t>Коэффицент j</t>
  </si>
  <si>
    <t>Номер отсчета</t>
  </si>
  <si>
    <t>f(x)</t>
  </si>
  <si>
    <r>
      <t xml:space="preserve">Отрезок: </t>
    </r>
    <r>
      <rPr>
        <sz val="11"/>
        <color theme="1"/>
        <rFont val="Calibri"/>
        <family val="2"/>
        <charset val="204"/>
        <scheme val="minor"/>
      </rPr>
      <t>[x2;x4] = [0,94; 1,83]</t>
    </r>
  </si>
  <si>
    <t>j</t>
  </si>
  <si>
    <t>fmin(x)</t>
  </si>
  <si>
    <t>[0,94; 1,83], -0,198, 1,73</t>
  </si>
  <si>
    <t>Ответ:</t>
  </si>
  <si>
    <t>xi</t>
  </si>
  <si>
    <r>
      <t xml:space="preserve">Отрезок: </t>
    </r>
    <r>
      <rPr>
        <sz val="11"/>
        <color theme="1"/>
        <rFont val="Calibri"/>
        <family val="2"/>
        <charset val="204"/>
        <scheme val="minor"/>
      </rPr>
      <t>[x2;x4] = [0,89; 1,78]</t>
    </r>
  </si>
  <si>
    <t>[0,89; 1,78], -0,22 , 1,33</t>
  </si>
  <si>
    <t>Метод дихотомии</t>
  </si>
  <si>
    <t xml:space="preserve"> ε</t>
  </si>
  <si>
    <t>Номер иетрации</t>
  </si>
  <si>
    <t>x1(j)</t>
  </si>
  <si>
    <t>x2(j)</t>
  </si>
  <si>
    <t>f1(j)</t>
  </si>
  <si>
    <t>&lt;= / &gt;</t>
  </si>
  <si>
    <t>f2(j)</t>
  </si>
  <si>
    <t>a(j)</t>
  </si>
  <si>
    <t>b(j)</t>
  </si>
  <si>
    <t>-</t>
  </si>
  <si>
    <t>a(8)</t>
  </si>
  <si>
    <t>→</t>
  </si>
  <si>
    <t>f(a(8))</t>
  </si>
  <si>
    <t>b(8)</t>
  </si>
  <si>
    <t>f(b(8))</t>
  </si>
  <si>
    <t>x1(8)</t>
  </si>
  <si>
    <t>f(x1(8))</t>
  </si>
  <si>
    <t>x2(7)</t>
  </si>
  <si>
    <t>f(x2(7))</t>
  </si>
  <si>
    <t>x2(6)</t>
  </si>
  <si>
    <t>f(x2(6))</t>
  </si>
  <si>
    <t>x1(4)</t>
  </si>
  <si>
    <t>f(x1(4))</t>
  </si>
  <si>
    <t>Точка минимума локализована на отрезке [1,4195; 1,55]</t>
  </si>
  <si>
    <t>x*</t>
  </si>
  <si>
    <t>f*</t>
  </si>
  <si>
    <t>Метод Фибоначчи</t>
  </si>
  <si>
    <t>N-1</t>
  </si>
  <si>
    <t>[1,4195; 1,55], -0,24965 , 1,48125</t>
  </si>
  <si>
    <t>Фибоначи</t>
  </si>
  <si>
    <t>Номер итерации</t>
  </si>
  <si>
    <t>Точка минимума локализована на отрезке [1,49885; 1,505773]</t>
  </si>
  <si>
    <t>x1(15)</t>
  </si>
  <si>
    <t>f(x1(15))</t>
  </si>
  <si>
    <t>[1,500763; 1,505773], -0,25 , 1,500763</t>
  </si>
  <si>
    <t>Метод золотого сечения</t>
  </si>
  <si>
    <t>Ф1</t>
  </si>
  <si>
    <t>Ф2</t>
  </si>
  <si>
    <t>x2(15)</t>
  </si>
  <si>
    <t>f(x)*</t>
  </si>
  <si>
    <t>f(x2(15))</t>
  </si>
  <si>
    <t>Точка минимума локализована на отрезке [1,496034; 1,501899]</t>
  </si>
  <si>
    <t xml:space="preserve"> [1,496034; 1,501899], -0,25 , 1,498274</t>
  </si>
  <si>
    <t>Вывод</t>
  </si>
  <si>
    <t>Метод</t>
  </si>
  <si>
    <t>Пассивный с ε</t>
  </si>
  <si>
    <t>Пассивный без ε</t>
  </si>
  <si>
    <t>Дихотомии</t>
  </si>
  <si>
    <t>Фибоначчи</t>
  </si>
  <si>
    <t>Золотое сечение</t>
  </si>
  <si>
    <t>Лучший</t>
  </si>
  <si>
    <t>- Фибоначчи</t>
  </si>
  <si>
    <t>Задание 2</t>
  </si>
  <si>
    <t>Вариант</t>
  </si>
  <si>
    <t>F</t>
  </si>
  <si>
    <t>i</t>
  </si>
  <si>
    <t>Vi</t>
  </si>
  <si>
    <t>Ki</t>
  </si>
  <si>
    <t>Si</t>
  </si>
  <si>
    <t>fi</t>
  </si>
  <si>
    <t>Vi - потребности</t>
  </si>
  <si>
    <t>Ki - издержки заказывания</t>
  </si>
  <si>
    <t>Si - издержки содержания</t>
  </si>
  <si>
    <t>fi - расход складской площади на единицу товара</t>
  </si>
  <si>
    <t>F - величина складской площади</t>
  </si>
  <si>
    <t>I</t>
  </si>
  <si>
    <t>f</t>
  </si>
  <si>
    <t>qi0</t>
  </si>
  <si>
    <t>Ki*Vi/q0</t>
  </si>
  <si>
    <t>Si*qi</t>
  </si>
  <si>
    <t>fi*qi</t>
  </si>
  <si>
    <t>часть L</t>
  </si>
  <si>
    <t xml:space="preserve">L </t>
  </si>
  <si>
    <t>Мат модель:</t>
  </si>
  <si>
    <t>L = 10*400/q1 + 0.5*16*q1 + 12*600/q2 + 0.5*8*q2 + 800*11/q3 + 0.5*8*q3 + 700*9/q4 + 0.5*7*q4 + 200*8/q5 + 0.5*4*q5</t>
  </si>
  <si>
    <t>Оптимизация с ограничениями на складские площади</t>
  </si>
  <si>
    <t xml:space="preserve">h </t>
  </si>
  <si>
    <t>F'</t>
  </si>
  <si>
    <t xml:space="preserve">Полученное значение F' (734) больше исходного F (500), то ограничение является существуенным для нахождения скорректированных значений составим оптимизауионную модель </t>
  </si>
  <si>
    <t>L -&gt; min</t>
  </si>
  <si>
    <t>F' &lt; f</t>
  </si>
  <si>
    <t>Результат системы</t>
  </si>
  <si>
    <t>Необходимые складские помещения</t>
  </si>
  <si>
    <t>Издержки работы в д.е/год</t>
  </si>
  <si>
    <t>Управление поставками без ограничений</t>
  </si>
  <si>
    <t>Управление потсавкмами с ограничениями на складские площади</t>
  </si>
  <si>
    <t>Нужно купить 18 первого товара, 32 второго товара, 30,76 третьего товара, 28,55 четветого товара, 16 пятого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</si>
</sst>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2"/>
      <color rgb="FF2021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0" borderId="0" xfId="0" quotePrefix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7A35-9388-4171-A781-693801A66C55}">
  <dimension ref="B2:S213"/>
  <sheetViews>
    <sheetView tabSelected="1" topLeftCell="A140" workbookViewId="0">
      <selection activeCell="J212" sqref="J212"/>
    </sheetView>
  </sheetViews>
  <sheetFormatPr defaultRowHeight="14.4" x14ac:dyDescent="0.3"/>
  <sheetData>
    <row r="2" spans="2:10" ht="23.4" x14ac:dyDescent="0.45">
      <c r="B2" s="2" t="s">
        <v>0</v>
      </c>
      <c r="C2" s="2"/>
    </row>
    <row r="4" spans="2:10" ht="18" x14ac:dyDescent="0.35">
      <c r="B4" s="3" t="s">
        <v>1</v>
      </c>
      <c r="C4" s="3"/>
    </row>
    <row r="6" spans="2:10" x14ac:dyDescent="0.3">
      <c r="B6" s="4" t="s">
        <v>2</v>
      </c>
      <c r="C6" s="4"/>
    </row>
    <row r="8" spans="2:10" x14ac:dyDescent="0.3">
      <c r="B8" s="7" t="s">
        <v>3</v>
      </c>
      <c r="C8" s="6">
        <v>1</v>
      </c>
      <c r="E8" s="8" t="s">
        <v>5</v>
      </c>
      <c r="F8" s="8"/>
    </row>
    <row r="9" spans="2:10" x14ac:dyDescent="0.3">
      <c r="B9" s="7" t="s">
        <v>18</v>
      </c>
      <c r="C9" s="6">
        <v>-3</v>
      </c>
      <c r="E9" s="6">
        <v>0</v>
      </c>
      <c r="F9" s="6">
        <v>8</v>
      </c>
    </row>
    <row r="10" spans="2:10" x14ac:dyDescent="0.3">
      <c r="B10" s="7" t="s">
        <v>4</v>
      </c>
      <c r="C10" s="6">
        <v>2</v>
      </c>
    </row>
    <row r="12" spans="2:10" ht="18" x14ac:dyDescent="0.3">
      <c r="B12" s="9" t="s">
        <v>6</v>
      </c>
      <c r="C12" s="9"/>
      <c r="D12" s="9"/>
      <c r="E12" s="9"/>
      <c r="F12" s="9"/>
      <c r="G12" s="9"/>
    </row>
    <row r="14" spans="2:10" x14ac:dyDescent="0.3">
      <c r="B14" s="10" t="s">
        <v>7</v>
      </c>
      <c r="C14" s="6">
        <v>16</v>
      </c>
      <c r="E14" s="18" t="s">
        <v>10</v>
      </c>
      <c r="F14" s="18" t="s">
        <v>11</v>
      </c>
      <c r="G14" s="18"/>
      <c r="H14" s="18" t="s">
        <v>12</v>
      </c>
      <c r="I14" s="19" t="s">
        <v>20</v>
      </c>
      <c r="J14" s="18" t="s">
        <v>13</v>
      </c>
    </row>
    <row r="15" spans="2:10" x14ac:dyDescent="0.3">
      <c r="B15" s="10" t="s">
        <v>8</v>
      </c>
      <c r="C15" s="6">
        <v>0.1</v>
      </c>
      <c r="E15" s="18"/>
      <c r="F15" s="18"/>
      <c r="G15" s="18"/>
      <c r="H15" s="18"/>
      <c r="I15" s="19"/>
      <c r="J15" s="18"/>
    </row>
    <row r="16" spans="2:10" x14ac:dyDescent="0.3">
      <c r="B16" s="10" t="s">
        <v>9</v>
      </c>
      <c r="C16" s="11">
        <f>C14/2</f>
        <v>8</v>
      </c>
      <c r="E16" s="12" t="s">
        <v>14</v>
      </c>
      <c r="F16" s="13" t="s">
        <v>15</v>
      </c>
      <c r="G16" s="14"/>
      <c r="H16" s="15" t="s">
        <v>19</v>
      </c>
      <c r="I16" s="5">
        <f>(F9-E9)/(C16 + 1)</f>
        <v>0.88888888888888884</v>
      </c>
      <c r="J16" s="5">
        <f xml:space="preserve"> -C15/2</f>
        <v>-0.05</v>
      </c>
    </row>
    <row r="17" spans="2:18" x14ac:dyDescent="0.3">
      <c r="E17" s="16" t="s">
        <v>16</v>
      </c>
      <c r="F17" s="17" t="s">
        <v>17</v>
      </c>
      <c r="G17" s="17"/>
      <c r="H17" s="6" t="s">
        <v>19</v>
      </c>
      <c r="I17" s="5">
        <f>(F9-E9)/(C16 + 1)</f>
        <v>0.88888888888888884</v>
      </c>
      <c r="J17" s="5">
        <f xml:space="preserve"> C15/2</f>
        <v>0.05</v>
      </c>
    </row>
    <row r="19" spans="2:18" x14ac:dyDescent="0.3">
      <c r="B19" s="19" t="s">
        <v>21</v>
      </c>
      <c r="C19" s="18">
        <v>1</v>
      </c>
      <c r="D19" s="18">
        <v>2</v>
      </c>
      <c r="E19" s="18">
        <v>3</v>
      </c>
      <c r="F19" s="18">
        <v>4</v>
      </c>
      <c r="G19" s="18">
        <v>5</v>
      </c>
      <c r="H19" s="18">
        <v>6</v>
      </c>
      <c r="I19" s="18">
        <v>7</v>
      </c>
      <c r="J19" s="18">
        <v>8</v>
      </c>
      <c r="K19" s="18">
        <v>9</v>
      </c>
      <c r="L19" s="18">
        <v>10</v>
      </c>
      <c r="M19" s="18">
        <v>11</v>
      </c>
      <c r="N19" s="18">
        <v>12</v>
      </c>
      <c r="O19" s="18">
        <v>13</v>
      </c>
      <c r="P19" s="18">
        <v>14</v>
      </c>
      <c r="Q19" s="18">
        <v>15</v>
      </c>
      <c r="R19" s="18">
        <v>16</v>
      </c>
    </row>
    <row r="20" spans="2:18" x14ac:dyDescent="0.3">
      <c r="B20" s="19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2:18" x14ac:dyDescent="0.3">
      <c r="B21" s="16" t="s">
        <v>18</v>
      </c>
      <c r="C21" s="20">
        <f>$E$9 + $I$16*C19+ $J$16</f>
        <v>0.8388888888888888</v>
      </c>
      <c r="D21" s="20">
        <f>$E$9 + $I$17*C19+ $J$17</f>
        <v>0.93888888888888888</v>
      </c>
      <c r="E21" s="23">
        <f>$E$9 + $I$16*D19+ $J$16</f>
        <v>1.7277777777777776</v>
      </c>
      <c r="F21" s="20">
        <f>$E$9 + $I$17*D19+ $J$17</f>
        <v>1.8277777777777777</v>
      </c>
      <c r="G21" s="20">
        <f>$E$9 + $I$16*E19+ $J$16</f>
        <v>2.6166666666666667</v>
      </c>
      <c r="H21" s="20">
        <f>$E$9 + $I$17*E19+ $J$17</f>
        <v>2.7166666666666663</v>
      </c>
      <c r="I21" s="20">
        <f>$E$9 + $I$16*F19+ $J$16</f>
        <v>3.5055555555555555</v>
      </c>
      <c r="J21" s="20">
        <f>$E$9 + $I$17*F19+ $J$17</f>
        <v>3.6055555555555552</v>
      </c>
      <c r="K21" s="20">
        <f>$E$9 + $I$16*G19+ $J$16</f>
        <v>4.3944444444444448</v>
      </c>
      <c r="L21" s="20">
        <f>$E$9 + $I$17*G19+ $J$17</f>
        <v>4.4944444444444445</v>
      </c>
      <c r="M21" s="20">
        <f>$E$9 + $I$16*H19+ $J$16</f>
        <v>5.2833333333333332</v>
      </c>
      <c r="N21" s="20">
        <f>$E$9 + $I$17*H19+ $J$17</f>
        <v>5.3833333333333329</v>
      </c>
      <c r="O21" s="20">
        <f>$E$9 + $I$16*I19+ $J$16</f>
        <v>6.1722222222222216</v>
      </c>
      <c r="P21" s="20">
        <f>$E$9 + $I$17*I19+ $J$17</f>
        <v>6.2722222222222213</v>
      </c>
      <c r="Q21" s="20">
        <f>$E$9 + $I$16*J19+ $J$16</f>
        <v>7.0611111111111109</v>
      </c>
      <c r="R21" s="20">
        <f>$E$9 + $I$17*J19+ $J$17</f>
        <v>7.1611111111111105</v>
      </c>
    </row>
    <row r="22" spans="2:18" x14ac:dyDescent="0.3">
      <c r="B22" s="16" t="s">
        <v>22</v>
      </c>
      <c r="C22" s="20">
        <f xml:space="preserve"> POWER(C21,2) * $C$8 + C21*$C$9 + $C$10</f>
        <v>0.18706790123456774</v>
      </c>
      <c r="D22" s="20">
        <f t="shared" ref="D22:R22" si="0" xml:space="preserve"> POWER(D21,2) * $C$8 + D21*$C$9 + $C$10</f>
        <v>6.4845679012345947E-2</v>
      </c>
      <c r="E22" s="23">
        <f t="shared" si="0"/>
        <v>-0.19811728395061712</v>
      </c>
      <c r="F22" s="20">
        <f t="shared" si="0"/>
        <v>-0.1425617283950622</v>
      </c>
      <c r="G22" s="20">
        <f t="shared" si="0"/>
        <v>0.99694444444444485</v>
      </c>
      <c r="H22" s="20">
        <f t="shared" si="0"/>
        <v>1.2302777777777774</v>
      </c>
      <c r="I22" s="20">
        <f t="shared" si="0"/>
        <v>3.7722530864197541</v>
      </c>
      <c r="J22" s="20">
        <f t="shared" si="0"/>
        <v>4.183364197530862</v>
      </c>
      <c r="K22" s="20">
        <f t="shared" si="0"/>
        <v>8.1278086419753102</v>
      </c>
      <c r="L22" s="20">
        <f t="shared" si="0"/>
        <v>8.7166975308641952</v>
      </c>
      <c r="M22" s="20">
        <f t="shared" si="0"/>
        <v>14.06361111111111</v>
      </c>
      <c r="N22" s="20">
        <f t="shared" si="0"/>
        <v>14.830277777777773</v>
      </c>
      <c r="O22" s="20">
        <f t="shared" si="0"/>
        <v>21.579660493827156</v>
      </c>
      <c r="P22" s="20">
        <f t="shared" si="0"/>
        <v>22.524104938271599</v>
      </c>
      <c r="Q22" s="20">
        <f t="shared" si="0"/>
        <v>30.675956790123454</v>
      </c>
      <c r="R22" s="20">
        <f t="shared" si="0"/>
        <v>31.798179012345674</v>
      </c>
    </row>
    <row r="24" spans="2:18" x14ac:dyDescent="0.3">
      <c r="B24" s="22" t="s">
        <v>23</v>
      </c>
      <c r="C24" s="22"/>
      <c r="D24" s="22"/>
      <c r="E24" s="22"/>
    </row>
    <row r="26" spans="2:18" x14ac:dyDescent="0.3">
      <c r="B26" s="5" t="s">
        <v>24</v>
      </c>
      <c r="C26" s="5">
        <v>3</v>
      </c>
    </row>
    <row r="27" spans="2:18" x14ac:dyDescent="0.3">
      <c r="B27" s="5" t="s">
        <v>25</v>
      </c>
      <c r="C27" s="5">
        <v>-0.19811728395061712</v>
      </c>
    </row>
    <row r="28" spans="2:18" x14ac:dyDescent="0.3">
      <c r="B28" s="5" t="s">
        <v>18</v>
      </c>
      <c r="C28" s="5">
        <v>1.7277777777777801</v>
      </c>
    </row>
    <row r="30" spans="2:18" x14ac:dyDescent="0.3">
      <c r="B30" s="24" t="s">
        <v>27</v>
      </c>
      <c r="C30" s="25" t="s">
        <v>26</v>
      </c>
      <c r="D30" s="25"/>
      <c r="E30" s="25"/>
    </row>
    <row r="32" spans="2:18" x14ac:dyDescent="0.3">
      <c r="B32" s="10" t="s">
        <v>7</v>
      </c>
      <c r="C32" s="6">
        <v>17</v>
      </c>
    </row>
    <row r="34" spans="2:19" x14ac:dyDescent="0.3">
      <c r="B34" s="18" t="s">
        <v>10</v>
      </c>
      <c r="C34" s="18" t="s">
        <v>11</v>
      </c>
      <c r="D34" s="18"/>
      <c r="E34" s="18" t="s">
        <v>12</v>
      </c>
      <c r="F34" s="19" t="s">
        <v>20</v>
      </c>
    </row>
    <row r="35" spans="2:19" x14ac:dyDescent="0.3">
      <c r="B35" s="18"/>
      <c r="C35" s="18"/>
      <c r="D35" s="18"/>
      <c r="E35" s="18"/>
      <c r="F35" s="19"/>
    </row>
    <row r="36" spans="2:19" x14ac:dyDescent="0.3">
      <c r="B36" s="12" t="s">
        <v>28</v>
      </c>
      <c r="C36" s="13" t="s">
        <v>15</v>
      </c>
      <c r="D36" s="14"/>
      <c r="E36" s="15" t="s">
        <v>19</v>
      </c>
      <c r="F36" s="5">
        <f>(F9-E9)/(C32 + 1)</f>
        <v>0.44444444444444442</v>
      </c>
    </row>
    <row r="38" spans="2:19" x14ac:dyDescent="0.3">
      <c r="B38" s="19" t="s">
        <v>21</v>
      </c>
      <c r="C38" s="18">
        <v>1</v>
      </c>
      <c r="D38" s="18">
        <v>2</v>
      </c>
      <c r="E38" s="18">
        <v>3</v>
      </c>
      <c r="F38" s="18">
        <v>4</v>
      </c>
      <c r="G38" s="18">
        <v>5</v>
      </c>
      <c r="H38" s="18">
        <v>6</v>
      </c>
      <c r="I38" s="18">
        <v>7</v>
      </c>
      <c r="J38" s="18">
        <v>8</v>
      </c>
      <c r="K38" s="18">
        <v>9</v>
      </c>
      <c r="L38" s="18">
        <v>10</v>
      </c>
      <c r="M38" s="18">
        <v>11</v>
      </c>
      <c r="N38" s="18">
        <v>12</v>
      </c>
      <c r="O38" s="18">
        <v>13</v>
      </c>
      <c r="P38" s="18">
        <v>14</v>
      </c>
      <c r="Q38" s="18">
        <v>15</v>
      </c>
      <c r="R38" s="18">
        <v>16</v>
      </c>
      <c r="S38" s="18">
        <v>17</v>
      </c>
    </row>
    <row r="39" spans="2:19" x14ac:dyDescent="0.3">
      <c r="B39" s="19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2:19" x14ac:dyDescent="0.3">
      <c r="B40" s="16" t="s">
        <v>18</v>
      </c>
      <c r="C40" s="20">
        <f>$E$9 + $F$36*C38</f>
        <v>0.44444444444444442</v>
      </c>
      <c r="D40" s="20">
        <f t="shared" ref="D40:S40" si="1">$E$9 + $F$36*D38</f>
        <v>0.88888888888888884</v>
      </c>
      <c r="E40" s="23">
        <f t="shared" si="1"/>
        <v>1.3333333333333333</v>
      </c>
      <c r="F40" s="20">
        <f t="shared" si="1"/>
        <v>1.7777777777777777</v>
      </c>
      <c r="G40" s="20">
        <f t="shared" si="1"/>
        <v>2.2222222222222223</v>
      </c>
      <c r="H40" s="20">
        <f t="shared" si="1"/>
        <v>2.6666666666666665</v>
      </c>
      <c r="I40" s="20">
        <f t="shared" si="1"/>
        <v>3.1111111111111107</v>
      </c>
      <c r="J40" s="20">
        <f t="shared" si="1"/>
        <v>3.5555555555555554</v>
      </c>
      <c r="K40" s="20">
        <f t="shared" si="1"/>
        <v>4</v>
      </c>
      <c r="L40" s="20">
        <f t="shared" si="1"/>
        <v>4.4444444444444446</v>
      </c>
      <c r="M40" s="20">
        <f t="shared" si="1"/>
        <v>4.8888888888888884</v>
      </c>
      <c r="N40" s="20">
        <f t="shared" si="1"/>
        <v>5.333333333333333</v>
      </c>
      <c r="O40" s="20">
        <f t="shared" si="1"/>
        <v>5.7777777777777777</v>
      </c>
      <c r="P40" s="20">
        <f t="shared" si="1"/>
        <v>6.2222222222222214</v>
      </c>
      <c r="Q40" s="20">
        <f t="shared" si="1"/>
        <v>6.6666666666666661</v>
      </c>
      <c r="R40" s="20">
        <f t="shared" si="1"/>
        <v>7.1111111111111107</v>
      </c>
      <c r="S40" s="20">
        <f t="shared" si="1"/>
        <v>7.5555555555555554</v>
      </c>
    </row>
    <row r="41" spans="2:19" x14ac:dyDescent="0.3">
      <c r="B41" s="16" t="s">
        <v>22</v>
      </c>
      <c r="C41" s="20">
        <f xml:space="preserve"> POWER(C40,2) * $C$8 + C40*$C$9 + $C$10</f>
        <v>0.86419753086419759</v>
      </c>
      <c r="D41" s="20">
        <f t="shared" ref="D41:S41" si="2" xml:space="preserve"> POWER(D40,2) * $C$8 + D40*$C$9 + $C$10</f>
        <v>0.12345679012345689</v>
      </c>
      <c r="E41" s="23">
        <f t="shared" si="2"/>
        <v>-0.22222222222222232</v>
      </c>
      <c r="F41" s="20">
        <f t="shared" si="2"/>
        <v>-0.17283950617283939</v>
      </c>
      <c r="G41" s="20">
        <f t="shared" si="2"/>
        <v>0.27160493827160526</v>
      </c>
      <c r="H41" s="20">
        <f t="shared" si="2"/>
        <v>1.1111111111111107</v>
      </c>
      <c r="I41" s="20">
        <f t="shared" si="2"/>
        <v>2.345679012345677</v>
      </c>
      <c r="J41" s="20">
        <f t="shared" si="2"/>
        <v>3.9753086419753085</v>
      </c>
      <c r="K41" s="20">
        <f t="shared" si="2"/>
        <v>6</v>
      </c>
      <c r="L41" s="20">
        <f t="shared" si="2"/>
        <v>8.419753086419755</v>
      </c>
      <c r="M41" s="20">
        <f t="shared" si="2"/>
        <v>11.234567901234566</v>
      </c>
      <c r="N41" s="20">
        <f t="shared" si="2"/>
        <v>14.444444444444443</v>
      </c>
      <c r="O41" s="20">
        <f t="shared" si="2"/>
        <v>18.049382716049383</v>
      </c>
      <c r="P41" s="20">
        <f t="shared" si="2"/>
        <v>22.049382716049372</v>
      </c>
      <c r="Q41" s="20">
        <f t="shared" si="2"/>
        <v>26.444444444444436</v>
      </c>
      <c r="R41" s="20">
        <f t="shared" si="2"/>
        <v>31.234567901234566</v>
      </c>
      <c r="S41" s="20">
        <f t="shared" si="2"/>
        <v>36.419753086419753</v>
      </c>
    </row>
    <row r="43" spans="2:19" x14ac:dyDescent="0.3">
      <c r="B43" s="22" t="s">
        <v>29</v>
      </c>
      <c r="C43" s="22"/>
      <c r="D43" s="22"/>
      <c r="E43" s="22"/>
    </row>
    <row r="45" spans="2:19" x14ac:dyDescent="0.3">
      <c r="B45" s="5" t="s">
        <v>24</v>
      </c>
      <c r="C45" s="5">
        <v>3</v>
      </c>
    </row>
    <row r="46" spans="2:19" x14ac:dyDescent="0.3">
      <c r="B46" s="5" t="s">
        <v>25</v>
      </c>
      <c r="C46" s="5">
        <v>-0.22222222222222232</v>
      </c>
    </row>
    <row r="47" spans="2:19" x14ac:dyDescent="0.3">
      <c r="B47" s="5" t="s">
        <v>18</v>
      </c>
      <c r="C47" s="5">
        <v>1.3333333333333333</v>
      </c>
    </row>
    <row r="49" spans="2:9" x14ac:dyDescent="0.3">
      <c r="B49" s="24" t="s">
        <v>27</v>
      </c>
      <c r="C49" s="25" t="s">
        <v>30</v>
      </c>
      <c r="D49" s="25"/>
      <c r="E49" s="25"/>
    </row>
    <row r="52" spans="2:9" ht="18" x14ac:dyDescent="0.3">
      <c r="B52" s="9" t="s">
        <v>31</v>
      </c>
      <c r="C52" s="9"/>
      <c r="D52" s="9"/>
      <c r="E52" s="9"/>
    </row>
    <row r="54" spans="2:9" x14ac:dyDescent="0.3">
      <c r="B54" s="10" t="s">
        <v>7</v>
      </c>
      <c r="C54" s="6">
        <v>16</v>
      </c>
    </row>
    <row r="55" spans="2:9" x14ac:dyDescent="0.3">
      <c r="B55" s="26" t="s">
        <v>32</v>
      </c>
      <c r="C55" s="6">
        <v>0.1</v>
      </c>
    </row>
    <row r="56" spans="2:9" x14ac:dyDescent="0.3">
      <c r="B56" s="10" t="s">
        <v>9</v>
      </c>
      <c r="C56" s="11">
        <f>C54/2</f>
        <v>8</v>
      </c>
    </row>
    <row r="58" spans="2:9" x14ac:dyDescent="0.3">
      <c r="B58" s="29" t="s">
        <v>33</v>
      </c>
      <c r="C58" s="18" t="s">
        <v>34</v>
      </c>
      <c r="D58" s="18" t="s">
        <v>35</v>
      </c>
      <c r="E58" s="18" t="s">
        <v>36</v>
      </c>
      <c r="F58" s="18" t="s">
        <v>37</v>
      </c>
      <c r="G58" s="18" t="s">
        <v>38</v>
      </c>
      <c r="H58" s="18" t="s">
        <v>39</v>
      </c>
      <c r="I58" s="18" t="s">
        <v>40</v>
      </c>
    </row>
    <row r="59" spans="2:9" x14ac:dyDescent="0.3">
      <c r="B59" s="29"/>
      <c r="C59" s="18"/>
      <c r="D59" s="18"/>
      <c r="E59" s="18"/>
      <c r="F59" s="18"/>
      <c r="G59" s="18"/>
      <c r="H59" s="18"/>
      <c r="I59" s="18"/>
    </row>
    <row r="60" spans="2:9" x14ac:dyDescent="0.3">
      <c r="B60" s="20">
        <v>0</v>
      </c>
      <c r="C60" s="27" t="s">
        <v>41</v>
      </c>
      <c r="D60" s="27" t="s">
        <v>41</v>
      </c>
      <c r="E60" s="27" t="s">
        <v>41</v>
      </c>
      <c r="F60" s="27"/>
      <c r="G60" s="27" t="s">
        <v>41</v>
      </c>
      <c r="H60" s="20">
        <f>E9</f>
        <v>0</v>
      </c>
      <c r="I60" s="20">
        <f>F9</f>
        <v>8</v>
      </c>
    </row>
    <row r="61" spans="2:9" x14ac:dyDescent="0.3">
      <c r="B61" s="20">
        <v>1</v>
      </c>
      <c r="C61" s="20">
        <f>(H60+I60-$C$55)/2</f>
        <v>3.95</v>
      </c>
      <c r="D61" s="20">
        <f>(H60+I60+$C$55)/2</f>
        <v>4.05</v>
      </c>
      <c r="E61" s="20">
        <f xml:space="preserve"> POWER(C61,2) * $C$8 + C61*$C$9 + $C$10</f>
        <v>5.7524999999999995</v>
      </c>
      <c r="F61" s="20" t="str">
        <f>IF(E61&gt;G61,"&gt;","&lt;=")</f>
        <v>&lt;=</v>
      </c>
      <c r="G61" s="20">
        <f xml:space="preserve"> POWER(D61,2) * $C$8 + D61*$C$9 + $C$10</f>
        <v>6.2525000000000013</v>
      </c>
      <c r="H61" s="20">
        <f>IF(E61&gt;G61,C61,H60)</f>
        <v>0</v>
      </c>
      <c r="I61" s="20">
        <f xml:space="preserve"> IF(E61&gt;G61,I60,D61)</f>
        <v>4.05</v>
      </c>
    </row>
    <row r="62" spans="2:9" x14ac:dyDescent="0.3">
      <c r="B62" s="20">
        <v>2</v>
      </c>
      <c r="C62" s="20">
        <f t="shared" ref="C62:C68" si="3">(H61+I61-$C$55)/2</f>
        <v>1.9749999999999999</v>
      </c>
      <c r="D62" s="20">
        <f t="shared" ref="D62:D68" si="4">(H61+I61+$C$55)/2</f>
        <v>2.0749999999999997</v>
      </c>
      <c r="E62" s="20">
        <f t="shared" ref="E62:E68" si="5" xml:space="preserve"> POWER(C62,2) * $C$8 + C62*$C$9 + $C$10</f>
        <v>-2.437500000000048E-2</v>
      </c>
      <c r="F62" s="20" t="str">
        <f>IF(E62&gt;G62,"&gt;","&lt;=")</f>
        <v>&lt;=</v>
      </c>
      <c r="G62" s="20">
        <f t="shared" ref="G62:G68" si="6" xml:space="preserve"> POWER(D62,2) * $C$8 + D62*$C$9 + $C$10</f>
        <v>8.0624999999999503E-2</v>
      </c>
      <c r="H62" s="20">
        <f>IF(E62&gt;G62,C62,H61)</f>
        <v>0</v>
      </c>
      <c r="I62" s="20">
        <f xml:space="preserve"> IF(E62&gt;G62,I61,D62)</f>
        <v>2.0749999999999997</v>
      </c>
    </row>
    <row r="63" spans="2:9" x14ac:dyDescent="0.3">
      <c r="B63" s="20">
        <v>3</v>
      </c>
      <c r="C63" s="20">
        <f t="shared" si="3"/>
        <v>0.98749999999999982</v>
      </c>
      <c r="D63" s="20">
        <f t="shared" si="4"/>
        <v>1.0874999999999999</v>
      </c>
      <c r="E63" s="20">
        <f t="shared" si="5"/>
        <v>1.2656250000000036E-2</v>
      </c>
      <c r="F63" s="20" t="str">
        <f t="shared" ref="F63:F68" si="7">IF(E63&gt;G63,"&gt;","&lt;=")</f>
        <v>&gt;</v>
      </c>
      <c r="G63" s="20">
        <f t="shared" si="6"/>
        <v>-7.9843750000000213E-2</v>
      </c>
      <c r="H63" s="20">
        <f t="shared" ref="H63:H68" si="8">IF(E63&gt;G63,C63,H62)</f>
        <v>0.98749999999999982</v>
      </c>
      <c r="I63" s="20">
        <f t="shared" ref="I63:I68" si="9" xml:space="preserve"> IF(E63&gt;G63,I62,D63)</f>
        <v>2.0749999999999997</v>
      </c>
    </row>
    <row r="64" spans="2:9" x14ac:dyDescent="0.3">
      <c r="B64" s="20">
        <v>4</v>
      </c>
      <c r="C64" s="23">
        <f t="shared" si="3"/>
        <v>1.4812499999999997</v>
      </c>
      <c r="D64" s="20">
        <f t="shared" si="4"/>
        <v>1.5812499999999998</v>
      </c>
      <c r="E64" s="31">
        <f t="shared" si="5"/>
        <v>-0.24964843750000032</v>
      </c>
      <c r="F64" s="20" t="str">
        <f t="shared" si="7"/>
        <v>&lt;=</v>
      </c>
      <c r="G64" s="20">
        <f t="shared" si="6"/>
        <v>-0.24339843750000023</v>
      </c>
      <c r="H64" s="20">
        <f t="shared" si="8"/>
        <v>0.98749999999999982</v>
      </c>
      <c r="I64" s="20">
        <f t="shared" si="9"/>
        <v>1.5812499999999998</v>
      </c>
    </row>
    <row r="65" spans="2:9" x14ac:dyDescent="0.3">
      <c r="B65" s="20">
        <v>5</v>
      </c>
      <c r="C65" s="20">
        <f t="shared" si="3"/>
        <v>1.2343749999999998</v>
      </c>
      <c r="D65" s="20">
        <f t="shared" si="4"/>
        <v>1.3343749999999999</v>
      </c>
      <c r="E65" s="20">
        <f t="shared" si="5"/>
        <v>-0.17944335937499956</v>
      </c>
      <c r="F65" s="20" t="str">
        <f t="shared" si="7"/>
        <v>&gt;</v>
      </c>
      <c r="G65" s="20">
        <f t="shared" si="6"/>
        <v>-0.22256835937499986</v>
      </c>
      <c r="H65" s="20">
        <f t="shared" si="8"/>
        <v>1.2343749999999998</v>
      </c>
      <c r="I65" s="20">
        <f t="shared" si="9"/>
        <v>1.5812499999999998</v>
      </c>
    </row>
    <row r="66" spans="2:9" x14ac:dyDescent="0.3">
      <c r="B66" s="20">
        <v>6</v>
      </c>
      <c r="C66" s="20">
        <f t="shared" si="3"/>
        <v>1.3578124999999999</v>
      </c>
      <c r="D66" s="23">
        <f t="shared" si="4"/>
        <v>1.4578125</v>
      </c>
      <c r="E66" s="20">
        <f t="shared" si="5"/>
        <v>-0.22978271484375012</v>
      </c>
      <c r="F66" s="20" t="str">
        <f t="shared" si="7"/>
        <v>&gt;</v>
      </c>
      <c r="G66" s="31">
        <f t="shared" si="6"/>
        <v>-0.24822021484374979</v>
      </c>
      <c r="H66" s="20">
        <f t="shared" si="8"/>
        <v>1.3578124999999999</v>
      </c>
      <c r="I66" s="20">
        <f t="shared" si="9"/>
        <v>1.5812499999999998</v>
      </c>
    </row>
    <row r="67" spans="2:9" x14ac:dyDescent="0.3">
      <c r="B67" s="20">
        <v>7</v>
      </c>
      <c r="C67" s="23">
        <f t="shared" si="3"/>
        <v>1.4195312499999997</v>
      </c>
      <c r="D67" s="23">
        <f t="shared" si="4"/>
        <v>1.5195312499999998</v>
      </c>
      <c r="E67" s="31">
        <f t="shared" si="5"/>
        <v>-0.24352478027343771</v>
      </c>
      <c r="F67" s="20" t="str">
        <f t="shared" si="7"/>
        <v>&gt;</v>
      </c>
      <c r="G67" s="31">
        <f t="shared" si="6"/>
        <v>-0.2496185302734375</v>
      </c>
      <c r="H67" s="20">
        <f t="shared" si="8"/>
        <v>1.4195312499999997</v>
      </c>
      <c r="I67" s="20">
        <f t="shared" si="9"/>
        <v>1.5812499999999998</v>
      </c>
    </row>
    <row r="68" spans="2:9" x14ac:dyDescent="0.3">
      <c r="B68" s="20">
        <v>8</v>
      </c>
      <c r="C68" s="23">
        <f t="shared" si="3"/>
        <v>1.4503906249999996</v>
      </c>
      <c r="D68" s="23">
        <f t="shared" si="4"/>
        <v>1.5503906249999997</v>
      </c>
      <c r="E68" s="31">
        <f t="shared" si="5"/>
        <v>-0.24753890991210925</v>
      </c>
      <c r="F68" s="20" t="str">
        <f t="shared" si="7"/>
        <v>&lt;=</v>
      </c>
      <c r="G68" s="31">
        <f t="shared" si="6"/>
        <v>-0.24746078491210977</v>
      </c>
      <c r="H68" s="30">
        <f t="shared" si="8"/>
        <v>1.4195312499999997</v>
      </c>
      <c r="I68" s="30">
        <f t="shared" si="9"/>
        <v>1.5503906249999997</v>
      </c>
    </row>
    <row r="70" spans="2:9" x14ac:dyDescent="0.3">
      <c r="B70" s="1" t="s">
        <v>55</v>
      </c>
      <c r="C70" s="1"/>
      <c r="D70" s="1"/>
      <c r="E70" s="1"/>
      <c r="F70" s="1"/>
      <c r="G70" s="1"/>
    </row>
    <row r="72" spans="2:9" ht="15" x14ac:dyDescent="0.3">
      <c r="B72" s="20" t="s">
        <v>42</v>
      </c>
      <c r="C72" s="20">
        <v>1.4195312499999997</v>
      </c>
      <c r="D72" s="32" t="s">
        <v>43</v>
      </c>
      <c r="E72" s="20" t="s">
        <v>44</v>
      </c>
      <c r="F72" s="20">
        <f>E67</f>
        <v>-0.24352478027343771</v>
      </c>
    </row>
    <row r="73" spans="2:9" ht="15" x14ac:dyDescent="0.3">
      <c r="B73" s="20" t="s">
        <v>45</v>
      </c>
      <c r="C73" s="20">
        <v>1.5503906249999997</v>
      </c>
      <c r="D73" s="32" t="s">
        <v>43</v>
      </c>
      <c r="E73" s="20" t="s">
        <v>46</v>
      </c>
      <c r="F73" s="20">
        <f>G68</f>
        <v>-0.24746078491210977</v>
      </c>
    </row>
    <row r="74" spans="2:9" ht="15" x14ac:dyDescent="0.3">
      <c r="B74" s="20" t="s">
        <v>47</v>
      </c>
      <c r="C74" s="20">
        <f>C68</f>
        <v>1.4503906249999996</v>
      </c>
      <c r="D74" s="32" t="s">
        <v>43</v>
      </c>
      <c r="E74" s="20" t="s">
        <v>48</v>
      </c>
      <c r="F74" s="20">
        <f>E68</f>
        <v>-0.24753890991210925</v>
      </c>
    </row>
    <row r="75" spans="2:9" ht="15" x14ac:dyDescent="0.3">
      <c r="B75" s="33" t="s">
        <v>49</v>
      </c>
      <c r="C75" s="33">
        <f>D67</f>
        <v>1.5195312499999998</v>
      </c>
      <c r="D75" s="34" t="s">
        <v>43</v>
      </c>
      <c r="E75" s="33" t="s">
        <v>50</v>
      </c>
      <c r="F75" s="33">
        <f>G67</f>
        <v>-0.2496185302734375</v>
      </c>
    </row>
    <row r="76" spans="2:9" ht="15" x14ac:dyDescent="0.3">
      <c r="B76" s="20" t="s">
        <v>51</v>
      </c>
      <c r="C76" s="20">
        <f>D66</f>
        <v>1.4578125</v>
      </c>
      <c r="D76" s="32" t="s">
        <v>43</v>
      </c>
      <c r="E76" s="20" t="s">
        <v>52</v>
      </c>
      <c r="F76" s="20">
        <f>G66</f>
        <v>-0.24822021484374979</v>
      </c>
    </row>
    <row r="77" spans="2:9" ht="15" x14ac:dyDescent="0.3">
      <c r="B77" s="23" t="s">
        <v>53</v>
      </c>
      <c r="C77" s="23">
        <f>C64</f>
        <v>1.4812499999999997</v>
      </c>
      <c r="D77" s="35" t="s">
        <v>43</v>
      </c>
      <c r="E77" s="23" t="s">
        <v>54</v>
      </c>
      <c r="F77" s="23">
        <f>E64</f>
        <v>-0.24964843750000032</v>
      </c>
    </row>
    <row r="79" spans="2:9" x14ac:dyDescent="0.3">
      <c r="B79" s="36" t="s">
        <v>56</v>
      </c>
      <c r="C79" s="6" t="s">
        <v>53</v>
      </c>
      <c r="D79" s="5">
        <f>C77</f>
        <v>1.4812499999999997</v>
      </c>
    </row>
    <row r="80" spans="2:9" x14ac:dyDescent="0.3">
      <c r="B80" s="26" t="s">
        <v>57</v>
      </c>
      <c r="C80" s="6" t="s">
        <v>54</v>
      </c>
      <c r="D80" s="6">
        <f>MIN(F72:F77)</f>
        <v>-0.24964843750000032</v>
      </c>
    </row>
    <row r="82" spans="2:12" x14ac:dyDescent="0.3">
      <c r="B82" s="24" t="s">
        <v>27</v>
      </c>
      <c r="C82" s="37" t="s">
        <v>60</v>
      </c>
      <c r="D82" s="37"/>
      <c r="E82" s="37"/>
      <c r="F82" s="37"/>
    </row>
    <row r="85" spans="2:12" ht="18" x14ac:dyDescent="0.3">
      <c r="B85" s="9" t="s">
        <v>58</v>
      </c>
      <c r="C85" s="9"/>
      <c r="D85" s="9"/>
      <c r="E85" s="9"/>
    </row>
    <row r="87" spans="2:12" x14ac:dyDescent="0.3">
      <c r="B87" s="10" t="s">
        <v>7</v>
      </c>
      <c r="C87" s="6">
        <v>16</v>
      </c>
    </row>
    <row r="88" spans="2:12" x14ac:dyDescent="0.3">
      <c r="B88" s="26" t="s">
        <v>32</v>
      </c>
      <c r="C88" s="6">
        <f>(F9-E9)/C93</f>
        <v>5.0093926111458983E-3</v>
      </c>
    </row>
    <row r="89" spans="2:12" x14ac:dyDescent="0.3">
      <c r="B89" s="10" t="s">
        <v>59</v>
      </c>
      <c r="C89" s="11">
        <f>C87-1</f>
        <v>15</v>
      </c>
    </row>
    <row r="91" spans="2:12" x14ac:dyDescent="0.3">
      <c r="B91" s="18" t="s">
        <v>61</v>
      </c>
      <c r="C91" s="18"/>
      <c r="E91" s="19" t="s">
        <v>62</v>
      </c>
      <c r="F91" s="18" t="s">
        <v>34</v>
      </c>
      <c r="G91" s="18" t="s">
        <v>35</v>
      </c>
      <c r="H91" s="18" t="s">
        <v>36</v>
      </c>
      <c r="I91" s="18" t="s">
        <v>37</v>
      </c>
      <c r="J91" s="18" t="s">
        <v>38</v>
      </c>
      <c r="K91" s="18" t="s">
        <v>39</v>
      </c>
      <c r="L91" s="18" t="s">
        <v>40</v>
      </c>
    </row>
    <row r="92" spans="2:12" x14ac:dyDescent="0.3">
      <c r="B92" s="18"/>
      <c r="C92" s="18"/>
      <c r="E92" s="19"/>
      <c r="F92" s="18"/>
      <c r="G92" s="18"/>
      <c r="H92" s="18"/>
      <c r="I92" s="18"/>
      <c r="J92" s="18"/>
      <c r="K92" s="18"/>
      <c r="L92" s="18"/>
    </row>
    <row r="93" spans="2:12" x14ac:dyDescent="0.3">
      <c r="B93" s="5">
        <v>16</v>
      </c>
      <c r="C93" s="5">
        <f t="shared" ref="C93:C106" si="10">C94+C95</f>
        <v>1597</v>
      </c>
      <c r="E93" s="20">
        <v>0</v>
      </c>
      <c r="F93" s="27" t="s">
        <v>41</v>
      </c>
      <c r="G93" s="27" t="s">
        <v>41</v>
      </c>
      <c r="H93" s="27" t="s">
        <v>41</v>
      </c>
      <c r="I93" s="27"/>
      <c r="J93" s="27" t="s">
        <v>41</v>
      </c>
      <c r="K93" s="20">
        <f>E9</f>
        <v>0</v>
      </c>
      <c r="L93" s="20">
        <f>F9</f>
        <v>8</v>
      </c>
    </row>
    <row r="94" spans="2:12" x14ac:dyDescent="0.3">
      <c r="B94" s="5">
        <v>15</v>
      </c>
      <c r="C94" s="5">
        <f t="shared" si="10"/>
        <v>987</v>
      </c>
      <c r="E94" s="20">
        <v>1</v>
      </c>
      <c r="F94" s="28">
        <f>K93 + (C95/C93) * (L93-K93) - (POWER(-1,$C$87-E94+1)/C93)*$C$88</f>
        <v>3.0557263560472063</v>
      </c>
      <c r="G94" s="28">
        <f>K93 + (C94/C93) * (L93-K93) + (POWER(-1,$C$87-E94+1)/C93)*$C$88</f>
        <v>4.9442736439527932</v>
      </c>
      <c r="H94" s="20">
        <f xml:space="preserve"> POWER(F94,2) * $C$8 + F94*$C$9 + $C$10</f>
        <v>2.1702844948999189</v>
      </c>
      <c r="I94" s="20" t="str">
        <f t="shared" ref="I94:I107" si="11">IF(H94&gt;J94,"&gt;","&lt;=")</f>
        <v>&lt;=</v>
      </c>
      <c r="J94" s="20">
        <f xml:space="preserve"> POWER(G94,2) * $C$8 + G94*$C$9 + $C$10</f>
        <v>11.613020934427855</v>
      </c>
      <c r="K94" s="20">
        <f t="shared" ref="K94:K101" si="12">IF(H94&gt;J94,F94,K93)</f>
        <v>0</v>
      </c>
      <c r="L94" s="20">
        <f t="shared" ref="L94:L101" si="13">IF(H94&gt;J94,L93,G94)</f>
        <v>4.9442736439527932</v>
      </c>
    </row>
    <row r="95" spans="2:12" x14ac:dyDescent="0.3">
      <c r="B95" s="5">
        <v>14</v>
      </c>
      <c r="C95" s="5">
        <f t="shared" si="10"/>
        <v>610</v>
      </c>
      <c r="E95" s="20">
        <v>2</v>
      </c>
      <c r="F95" s="28">
        <f>IF(H94&gt;J94,G94,K94 + (C96/C94) * (L94-K94) - (POWER(-1,$C$87-E95+1)/C94)*$C$88)</f>
        <v>1.8885472879055867</v>
      </c>
      <c r="G95" s="28">
        <f>IF(H94&gt;J94, K94+ (C95/C94)*(L94-K94) + (POWER(-1,$C$87 - E95 +1)/C94)*$C$88, F94)</f>
        <v>3.0557263560472063</v>
      </c>
      <c r="H95" s="20">
        <f t="shared" ref="H95:H108" si="14" xml:space="preserve"> POWER(F95,2) * $C$8 + F95*$C$9 + $C$10</f>
        <v>-9.9031005061213317E-2</v>
      </c>
      <c r="I95" s="20" t="str">
        <f t="shared" si="11"/>
        <v>&lt;=</v>
      </c>
      <c r="J95" s="20">
        <f t="shared" ref="J95:J108" si="15" xml:space="preserve"> POWER(G95,2) * $C$8 + G95*$C$9 + $C$10</f>
        <v>2.1702844948999189</v>
      </c>
      <c r="K95" s="20">
        <f t="shared" si="12"/>
        <v>0</v>
      </c>
      <c r="L95" s="20">
        <f t="shared" si="13"/>
        <v>3.0557263560472063</v>
      </c>
    </row>
    <row r="96" spans="2:12" x14ac:dyDescent="0.3">
      <c r="B96" s="5">
        <v>13</v>
      </c>
      <c r="C96" s="5">
        <f t="shared" si="10"/>
        <v>377</v>
      </c>
      <c r="E96" s="20">
        <v>3</v>
      </c>
      <c r="F96" s="28">
        <f t="shared" ref="F96:F108" si="16">IF(H95&gt;J95,G95,K95 + (C97/C95) * (L95-K95) - (POWER(-1,$C$87-E96+1)/C95)*$C$88)</f>
        <v>1.1671790681416196</v>
      </c>
      <c r="G96" s="28">
        <f t="shared" ref="G96:G108" si="17">IF(H95&gt;J95, K95+ (C96/C95)*(L95-K95) + (POWER(-1,$C$87 - E96 +1)/C95)*$C$88, F95)</f>
        <v>1.8885472879055867</v>
      </c>
      <c r="H96" s="20">
        <f t="shared" si="14"/>
        <v>-0.13923022731691947</v>
      </c>
      <c r="I96" s="20" t="str">
        <f t="shared" si="11"/>
        <v>&lt;=</v>
      </c>
      <c r="J96" s="20">
        <f t="shared" si="15"/>
        <v>-9.9031005061213317E-2</v>
      </c>
      <c r="K96" s="20">
        <f t="shared" si="12"/>
        <v>0</v>
      </c>
      <c r="L96" s="20">
        <f t="shared" si="13"/>
        <v>1.8885472879055867</v>
      </c>
    </row>
    <row r="97" spans="2:12" x14ac:dyDescent="0.3">
      <c r="B97" s="5">
        <v>12</v>
      </c>
      <c r="C97" s="5">
        <f t="shared" si="10"/>
        <v>233</v>
      </c>
      <c r="E97" s="20">
        <v>4</v>
      </c>
      <c r="F97" s="28">
        <f t="shared" si="16"/>
        <v>0.72136821976396714</v>
      </c>
      <c r="G97" s="28">
        <f t="shared" si="17"/>
        <v>1.1671790681416196</v>
      </c>
      <c r="H97" s="20">
        <f t="shared" si="14"/>
        <v>0.35626744919353381</v>
      </c>
      <c r="I97" s="20" t="str">
        <f t="shared" si="11"/>
        <v>&gt;</v>
      </c>
      <c r="J97" s="20">
        <f t="shared" si="15"/>
        <v>-0.13923022731691947</v>
      </c>
      <c r="K97" s="20">
        <f t="shared" si="12"/>
        <v>0.72136821976396714</v>
      </c>
      <c r="L97" s="20">
        <f t="shared" si="13"/>
        <v>1.8885472879055867</v>
      </c>
    </row>
    <row r="98" spans="2:12" x14ac:dyDescent="0.3">
      <c r="B98" s="5">
        <v>11</v>
      </c>
      <c r="C98" s="5">
        <f t="shared" si="10"/>
        <v>144</v>
      </c>
      <c r="E98" s="20">
        <v>5</v>
      </c>
      <c r="F98" s="28">
        <f t="shared" si="16"/>
        <v>1.1671790681416196</v>
      </c>
      <c r="G98" s="28">
        <f t="shared" si="17"/>
        <v>1.4427364395279345</v>
      </c>
      <c r="H98" s="20">
        <f t="shared" si="14"/>
        <v>-0.13923022731691947</v>
      </c>
      <c r="I98" s="20" t="str">
        <f t="shared" si="11"/>
        <v>&gt;</v>
      </c>
      <c r="J98" s="20">
        <f t="shared" si="15"/>
        <v>-0.24672088464206254</v>
      </c>
      <c r="K98" s="20">
        <f t="shared" si="12"/>
        <v>1.1671790681416196</v>
      </c>
      <c r="L98" s="20">
        <f t="shared" si="13"/>
        <v>1.8885472879055867</v>
      </c>
    </row>
    <row r="99" spans="2:12" x14ac:dyDescent="0.3">
      <c r="B99" s="5">
        <v>10</v>
      </c>
      <c r="C99" s="5">
        <f t="shared" si="10"/>
        <v>89</v>
      </c>
      <c r="E99" s="20">
        <v>6</v>
      </c>
      <c r="F99" s="28">
        <f t="shared" si="16"/>
        <v>1.4427364395279345</v>
      </c>
      <c r="G99" s="28">
        <f t="shared" si="17"/>
        <v>1.6129899165192718</v>
      </c>
      <c r="H99" s="20">
        <f t="shared" si="14"/>
        <v>-0.24672088464206254</v>
      </c>
      <c r="I99" s="20" t="str">
        <f t="shared" si="11"/>
        <v>&lt;=</v>
      </c>
      <c r="J99" s="20">
        <f t="shared" si="15"/>
        <v>-0.2372332787649678</v>
      </c>
      <c r="K99" s="20">
        <f t="shared" si="12"/>
        <v>1.1671790681416196</v>
      </c>
      <c r="L99" s="20">
        <f t="shared" si="13"/>
        <v>1.6129899165192718</v>
      </c>
    </row>
    <row r="100" spans="2:12" x14ac:dyDescent="0.3">
      <c r="B100" s="5">
        <v>9</v>
      </c>
      <c r="C100" s="5">
        <f t="shared" si="10"/>
        <v>55</v>
      </c>
      <c r="E100" s="20">
        <v>7</v>
      </c>
      <c r="F100" s="28">
        <f t="shared" si="16"/>
        <v>1.3374325451329572</v>
      </c>
      <c r="G100" s="28">
        <f t="shared" si="17"/>
        <v>1.4427364395279345</v>
      </c>
      <c r="H100" s="20">
        <f t="shared" si="14"/>
        <v>-0.22357182261805209</v>
      </c>
      <c r="I100" s="20" t="str">
        <f t="shared" si="11"/>
        <v>&gt;</v>
      </c>
      <c r="J100" s="20">
        <f t="shared" si="15"/>
        <v>-0.24672088464206254</v>
      </c>
      <c r="K100" s="20">
        <f t="shared" si="12"/>
        <v>1.3374325451329572</v>
      </c>
      <c r="L100" s="20">
        <f t="shared" si="13"/>
        <v>1.6129899165192718</v>
      </c>
    </row>
    <row r="101" spans="2:12" x14ac:dyDescent="0.3">
      <c r="B101" s="5">
        <v>8</v>
      </c>
      <c r="C101" s="5">
        <f t="shared" si="10"/>
        <v>34</v>
      </c>
      <c r="E101" s="20">
        <v>8</v>
      </c>
      <c r="F101" s="28">
        <f t="shared" si="16"/>
        <v>1.4427364395279345</v>
      </c>
      <c r="G101" s="28">
        <f t="shared" si="17"/>
        <v>1.5076860221242945</v>
      </c>
      <c r="H101" s="20">
        <f t="shared" si="14"/>
        <v>-0.24672088464206254</v>
      </c>
      <c r="I101" s="20" t="str">
        <f t="shared" si="11"/>
        <v>&gt;</v>
      </c>
      <c r="J101" s="20">
        <f t="shared" si="15"/>
        <v>-0.2499409250639042</v>
      </c>
      <c r="K101" s="20">
        <f t="shared" si="12"/>
        <v>1.4427364395279345</v>
      </c>
      <c r="L101" s="20">
        <f t="shared" si="13"/>
        <v>1.6129899165192718</v>
      </c>
    </row>
    <row r="102" spans="2:12" x14ac:dyDescent="0.3">
      <c r="B102" s="5">
        <v>7</v>
      </c>
      <c r="C102" s="5">
        <f t="shared" si="10"/>
        <v>21</v>
      </c>
      <c r="E102" s="20">
        <v>9</v>
      </c>
      <c r="F102" s="28">
        <f t="shared" si="16"/>
        <v>1.5076860221242945</v>
      </c>
      <c r="G102" s="28">
        <f t="shared" si="17"/>
        <v>1.5480403339229118</v>
      </c>
      <c r="H102" s="20">
        <f t="shared" si="14"/>
        <v>-0.2499409250639042</v>
      </c>
      <c r="I102" s="20" t="str">
        <f>IF(H102&gt;J102,"&gt;","&lt;=")</f>
        <v>&lt;=</v>
      </c>
      <c r="J102" s="20">
        <f t="shared" si="15"/>
        <v>-0.24769212631657522</v>
      </c>
      <c r="K102" s="20">
        <f>IF(H102&gt;J102,F102,K101)</f>
        <v>1.4427364395279345</v>
      </c>
      <c r="L102" s="20">
        <f>IF(H102&gt;J102,L101,G102)</f>
        <v>1.5480403339229118</v>
      </c>
    </row>
    <row r="103" spans="2:12" x14ac:dyDescent="0.3">
      <c r="B103" s="5">
        <v>6</v>
      </c>
      <c r="C103" s="5">
        <f t="shared" si="10"/>
        <v>13</v>
      </c>
      <c r="E103" s="20">
        <v>10</v>
      </c>
      <c r="F103" s="28">
        <f t="shared" si="16"/>
        <v>1.4830907513265519</v>
      </c>
      <c r="G103" s="28">
        <f t="shared" si="17"/>
        <v>1.5076860221242945</v>
      </c>
      <c r="H103" s="20">
        <f t="shared" si="14"/>
        <v>-0.2497140773092994</v>
      </c>
      <c r="I103" s="20" t="str">
        <f t="shared" si="11"/>
        <v>&gt;</v>
      </c>
      <c r="J103" s="20">
        <f t="shared" si="15"/>
        <v>-0.2499409250639042</v>
      </c>
      <c r="K103" s="20">
        <f t="shared" ref="K103" si="18">IF(H103&gt;J103,F103,K102)</f>
        <v>1.4830907513265519</v>
      </c>
      <c r="L103" s="20">
        <f t="shared" ref="L103" si="19">IF(H103&gt;J103,L102,G103)</f>
        <v>1.5480403339229118</v>
      </c>
    </row>
    <row r="104" spans="2:12" x14ac:dyDescent="0.3">
      <c r="B104" s="5">
        <v>5</v>
      </c>
      <c r="C104" s="5">
        <f t="shared" si="10"/>
        <v>8</v>
      </c>
      <c r="E104" s="20">
        <v>11</v>
      </c>
      <c r="F104" s="28">
        <f t="shared" si="16"/>
        <v>1.5076860221242945</v>
      </c>
      <c r="G104" s="28">
        <f t="shared" si="17"/>
        <v>1.5234450631251693</v>
      </c>
      <c r="H104" s="20">
        <f t="shared" si="14"/>
        <v>-0.2499409250639042</v>
      </c>
      <c r="I104" s="20" t="str">
        <f>IF(H104&gt;J104,"&gt;","&lt;=")</f>
        <v>&lt;=</v>
      </c>
      <c r="J104" s="20">
        <f t="shared" si="15"/>
        <v>-0.24945032901505648</v>
      </c>
      <c r="K104" s="20">
        <f>IF(H104&gt;J104,F104,K103)</f>
        <v>1.4830907513265519</v>
      </c>
      <c r="L104" s="20">
        <f>IF(H104&gt;J104,L103,G104)</f>
        <v>1.5234450631251693</v>
      </c>
    </row>
    <row r="105" spans="2:12" x14ac:dyDescent="0.3">
      <c r="B105" s="5">
        <v>4</v>
      </c>
      <c r="C105" s="5">
        <f t="shared" si="10"/>
        <v>5</v>
      </c>
      <c r="E105" s="20">
        <v>12</v>
      </c>
      <c r="F105" s="28">
        <f t="shared" si="16"/>
        <v>1.4988497923274267</v>
      </c>
      <c r="G105" s="28">
        <f t="shared" si="17"/>
        <v>1.5076860221242945</v>
      </c>
      <c r="H105" s="20">
        <f t="shared" si="14"/>
        <v>-0.24999867702230993</v>
      </c>
      <c r="I105" s="20" t="str">
        <f t="shared" si="11"/>
        <v>&lt;=</v>
      </c>
      <c r="J105" s="20">
        <f t="shared" si="15"/>
        <v>-0.2499409250639042</v>
      </c>
      <c r="K105" s="20">
        <f t="shared" ref="K105" si="20">IF(H105&gt;J105,F105,K104)</f>
        <v>1.4830907513265519</v>
      </c>
      <c r="L105" s="20">
        <f t="shared" ref="L105" si="21">IF(H105&gt;J105,L104,G105)</f>
        <v>1.5076860221242945</v>
      </c>
    </row>
    <row r="106" spans="2:12" x14ac:dyDescent="0.3">
      <c r="B106" s="5">
        <v>3</v>
      </c>
      <c r="C106" s="5">
        <f t="shared" si="10"/>
        <v>3</v>
      </c>
      <c r="E106" s="20">
        <v>13</v>
      </c>
      <c r="F106" s="28">
        <f t="shared" si="16"/>
        <v>1.4919269811234197</v>
      </c>
      <c r="G106" s="28">
        <f t="shared" si="17"/>
        <v>1.4988497923274267</v>
      </c>
      <c r="H106" s="20">
        <f t="shared" si="14"/>
        <v>-0.24993482636621778</v>
      </c>
      <c r="I106" s="20" t="str">
        <f>IF(H106&gt;J106,"&gt;","&lt;=")</f>
        <v>&gt;</v>
      </c>
      <c r="J106" s="20">
        <f t="shared" si="15"/>
        <v>-0.24999867702230993</v>
      </c>
      <c r="K106" s="20">
        <f>IF(H106&gt;J106,F106,K105)</f>
        <v>1.4919269811234197</v>
      </c>
      <c r="L106" s="20">
        <f>IF(H106&gt;J106,L105,G106)</f>
        <v>1.5076860221242945</v>
      </c>
    </row>
    <row r="107" spans="2:12" x14ac:dyDescent="0.3">
      <c r="B107" s="5">
        <v>2</v>
      </c>
      <c r="C107" s="5">
        <f>C108+C109</f>
        <v>2</v>
      </c>
      <c r="E107" s="20">
        <v>14</v>
      </c>
      <c r="F107" s="28">
        <f t="shared" si="16"/>
        <v>1.4988497923274267</v>
      </c>
      <c r="G107" s="28">
        <f t="shared" si="17"/>
        <v>1.5007632109202877</v>
      </c>
      <c r="H107" s="20">
        <f t="shared" si="14"/>
        <v>-0.24999867702230993</v>
      </c>
      <c r="I107" s="28" t="str">
        <f t="shared" si="11"/>
        <v>&gt;</v>
      </c>
      <c r="J107" s="20">
        <f t="shared" si="15"/>
        <v>-0.24999941750909116</v>
      </c>
      <c r="K107" s="20">
        <f t="shared" ref="K107" si="22">IF(H107&gt;J107,F107,K106)</f>
        <v>1.4988497923274267</v>
      </c>
      <c r="L107" s="20">
        <f t="shared" ref="L107" si="23">IF(H107&gt;J107,L106,G107)</f>
        <v>1.5076860221242945</v>
      </c>
    </row>
    <row r="108" spans="2:12" x14ac:dyDescent="0.3">
      <c r="B108" s="5">
        <v>1</v>
      </c>
      <c r="C108" s="5">
        <v>1</v>
      </c>
      <c r="E108" s="20">
        <v>15</v>
      </c>
      <c r="F108" s="23">
        <f t="shared" si="16"/>
        <v>1.5007632109202877</v>
      </c>
      <c r="G108" s="28">
        <f t="shared" si="17"/>
        <v>1.5057726035314336</v>
      </c>
      <c r="H108" s="23">
        <f t="shared" si="14"/>
        <v>-0.24999941750909116</v>
      </c>
      <c r="I108" s="20" t="str">
        <f>IF(H108&gt;J108,"&gt;","&lt;=")</f>
        <v>&lt;=</v>
      </c>
      <c r="J108" s="20">
        <f t="shared" si="15"/>
        <v>-0.24996667704846942</v>
      </c>
      <c r="K108" s="21">
        <f>IF(H108&gt;J108,F108,K107)</f>
        <v>1.4988497923274267</v>
      </c>
      <c r="L108" s="21">
        <f>IF(H108&gt;J108,L107,G108)</f>
        <v>1.5057726035314336</v>
      </c>
    </row>
    <row r="109" spans="2:12" x14ac:dyDescent="0.3">
      <c r="B109" s="5">
        <v>0</v>
      </c>
      <c r="C109" s="5">
        <v>1</v>
      </c>
    </row>
    <row r="111" spans="2:12" x14ac:dyDescent="0.3">
      <c r="B111" s="1" t="s">
        <v>63</v>
      </c>
      <c r="C111" s="1"/>
      <c r="D111" s="1"/>
      <c r="E111" s="1"/>
      <c r="F111" s="1"/>
      <c r="G111" s="1"/>
      <c r="H111" s="1"/>
    </row>
    <row r="113" spans="2:9" x14ac:dyDescent="0.3">
      <c r="B113" s="36" t="s">
        <v>56</v>
      </c>
      <c r="C113" s="38" t="s">
        <v>64</v>
      </c>
      <c r="D113" s="20">
        <f>F108</f>
        <v>1.5007632109202877</v>
      </c>
    </row>
    <row r="114" spans="2:9" x14ac:dyDescent="0.3">
      <c r="B114" s="26" t="s">
        <v>57</v>
      </c>
      <c r="C114" s="38" t="s">
        <v>65</v>
      </c>
      <c r="D114" s="20">
        <f>H108</f>
        <v>-0.24999941750909116</v>
      </c>
    </row>
    <row r="116" spans="2:9" x14ac:dyDescent="0.3">
      <c r="B116" s="24" t="s">
        <v>27</v>
      </c>
      <c r="C116" s="37" t="s">
        <v>66</v>
      </c>
      <c r="D116" s="37"/>
      <c r="E116" s="37"/>
      <c r="F116" s="37"/>
    </row>
    <row r="119" spans="2:9" ht="18" x14ac:dyDescent="0.3">
      <c r="B119" s="9" t="s">
        <v>67</v>
      </c>
      <c r="C119" s="9"/>
      <c r="D119" s="9"/>
      <c r="E119" s="9"/>
    </row>
    <row r="121" spans="2:9" x14ac:dyDescent="0.3">
      <c r="B121" s="16" t="s">
        <v>7</v>
      </c>
      <c r="C121" s="20">
        <v>16</v>
      </c>
      <c r="E121" s="10" t="s">
        <v>68</v>
      </c>
      <c r="F121" s="6">
        <f xml:space="preserve"> (3-SQRT(5))/2</f>
        <v>0.3819660112501051</v>
      </c>
    </row>
    <row r="122" spans="2:9" x14ac:dyDescent="0.3">
      <c r="B122" s="16" t="s">
        <v>59</v>
      </c>
      <c r="C122" s="20">
        <f>C121 -1</f>
        <v>15</v>
      </c>
      <c r="E122" s="10" t="s">
        <v>69</v>
      </c>
      <c r="F122" s="6">
        <f xml:space="preserve"> (SQRT(5) -1)/2</f>
        <v>0.6180339887498949</v>
      </c>
    </row>
    <row r="124" spans="2:9" x14ac:dyDescent="0.3">
      <c r="B124" s="19" t="s">
        <v>62</v>
      </c>
      <c r="C124" s="18" t="s">
        <v>34</v>
      </c>
      <c r="D124" s="18" t="s">
        <v>35</v>
      </c>
      <c r="E124" s="18" t="s">
        <v>36</v>
      </c>
      <c r="F124" s="18" t="s">
        <v>37</v>
      </c>
      <c r="G124" s="18" t="s">
        <v>38</v>
      </c>
      <c r="H124" s="18" t="s">
        <v>39</v>
      </c>
      <c r="I124" s="18" t="s">
        <v>40</v>
      </c>
    </row>
    <row r="125" spans="2:9" x14ac:dyDescent="0.3">
      <c r="B125" s="19"/>
      <c r="C125" s="18"/>
      <c r="D125" s="18"/>
      <c r="E125" s="18"/>
      <c r="F125" s="18"/>
      <c r="G125" s="18"/>
      <c r="H125" s="18"/>
      <c r="I125" s="18"/>
    </row>
    <row r="126" spans="2:9" x14ac:dyDescent="0.3">
      <c r="B126" s="20">
        <v>0</v>
      </c>
      <c r="C126" s="27" t="s">
        <v>41</v>
      </c>
      <c r="D126" s="27" t="s">
        <v>41</v>
      </c>
      <c r="E126" s="27" t="s">
        <v>41</v>
      </c>
      <c r="F126" s="27"/>
      <c r="G126" s="27" t="s">
        <v>41</v>
      </c>
      <c r="H126" s="20">
        <f>E9</f>
        <v>0</v>
      </c>
      <c r="I126" s="20">
        <f>F9</f>
        <v>8</v>
      </c>
    </row>
    <row r="127" spans="2:9" x14ac:dyDescent="0.3">
      <c r="B127" s="20">
        <v>1</v>
      </c>
      <c r="C127" s="20">
        <f xml:space="preserve"> H126 + $F$121*(I126-H126)</f>
        <v>3.0557280900008408</v>
      </c>
      <c r="D127" s="20">
        <f xml:space="preserve"> H126 + $F$122*(I126-H126)</f>
        <v>4.9442719099991592</v>
      </c>
      <c r="E127" s="20">
        <f xml:space="preserve"> POWER(C127,2) * $C$8 + C127*$C$9 + $C$10</f>
        <v>2.1702898900176635</v>
      </c>
      <c r="F127" s="20" t="str">
        <f>IF(E127&gt;G127,"&gt;","&lt;=")</f>
        <v>&lt;=</v>
      </c>
      <c r="G127" s="20">
        <f xml:space="preserve"> POWER(D127,2) * $C$8 + D127*$C$9 + $C$10</f>
        <v>11.613008990009256</v>
      </c>
      <c r="H127" s="20">
        <f>IF(E127&gt;G127, C127, H126)</f>
        <v>0</v>
      </c>
      <c r="I127" s="20">
        <f>IF(E127&gt;G127, I126, D127)</f>
        <v>4.9442719099991592</v>
      </c>
    </row>
    <row r="128" spans="2:9" x14ac:dyDescent="0.3">
      <c r="B128" s="20">
        <v>2</v>
      </c>
      <c r="C128" s="20">
        <f xml:space="preserve"> IF(E127 &gt; G127, D127, H127 + $F$121*(I127-H127))</f>
        <v>1.8885438199983176</v>
      </c>
      <c r="D128" s="20">
        <f xml:space="preserve"> IF(E127 &gt; G127, H127 + $F$122*(I127-H127), C127)</f>
        <v>3.0557280900008408</v>
      </c>
      <c r="E128" s="20">
        <f t="shared" ref="E128:E141" si="24" xml:space="preserve"> POWER(C128,2) * $C$8 + C128*$C$9 + $C$10</f>
        <v>-9.9033699941115216E-2</v>
      </c>
      <c r="F128" s="20" t="str">
        <f>IF(E128&gt;G128,"&gt;","&lt;=")</f>
        <v>&lt;=</v>
      </c>
      <c r="G128" s="20">
        <f t="shared" ref="G128:G141" si="25" xml:space="preserve"> POWER(D128,2) * $C$8 + D128*$C$9 + $C$10</f>
        <v>2.1702898900176635</v>
      </c>
      <c r="H128" s="20">
        <f>IF(E128&gt;G128, C128, H127)</f>
        <v>0</v>
      </c>
      <c r="I128" s="20">
        <f>IF(E128&gt;G128, I127, D128)</f>
        <v>3.0557280900008408</v>
      </c>
    </row>
    <row r="129" spans="2:9" x14ac:dyDescent="0.3">
      <c r="B129" s="20">
        <v>3</v>
      </c>
      <c r="C129" s="20">
        <f t="shared" ref="C129:C140" si="26" xml:space="preserve"> IF(E128 &gt; G128, D128, H128 + $F$121*(I128-H128))</f>
        <v>1.1671842700025232</v>
      </c>
      <c r="D129" s="20">
        <f t="shared" ref="D129:D141" si="27" xml:space="preserve"> IF(E128 &gt; G128, H128 + $F$122*(I128-H128), C128)</f>
        <v>1.8885438199983176</v>
      </c>
      <c r="E129" s="20">
        <f t="shared" si="24"/>
        <v>-0.13923368986624673</v>
      </c>
      <c r="F129" s="20" t="str">
        <f t="shared" ref="F129:F141" si="28">IF(E129&gt;G129,"&gt;","&lt;=")</f>
        <v>&lt;=</v>
      </c>
      <c r="G129" s="20">
        <f t="shared" si="25"/>
        <v>-9.9033699941115216E-2</v>
      </c>
      <c r="H129" s="20">
        <f t="shared" ref="H129:H141" si="29">IF(E129&gt;G129, C129, H128)</f>
        <v>0</v>
      </c>
      <c r="I129" s="20">
        <f t="shared" ref="I129:I141" si="30">IF(E129&gt;G129, I128, D129)</f>
        <v>1.8885438199983176</v>
      </c>
    </row>
    <row r="130" spans="2:9" x14ac:dyDescent="0.3">
      <c r="B130" s="20">
        <v>4</v>
      </c>
      <c r="C130" s="20">
        <f t="shared" si="26"/>
        <v>0.72135954999579377</v>
      </c>
      <c r="D130" s="20">
        <f t="shared" si="27"/>
        <v>1.1671842700025232</v>
      </c>
      <c r="E130" s="20">
        <f t="shared" si="24"/>
        <v>0.35628095038275287</v>
      </c>
      <c r="F130" s="20" t="str">
        <f t="shared" si="28"/>
        <v>&gt;</v>
      </c>
      <c r="G130" s="20">
        <f t="shared" si="25"/>
        <v>-0.13923368986624673</v>
      </c>
      <c r="H130" s="20">
        <f t="shared" si="29"/>
        <v>0.72135954999579377</v>
      </c>
      <c r="I130" s="20">
        <f t="shared" si="30"/>
        <v>1.8885438199983176</v>
      </c>
    </row>
    <row r="131" spans="2:9" x14ac:dyDescent="0.3">
      <c r="B131" s="20">
        <v>5</v>
      </c>
      <c r="C131" s="20">
        <f t="shared" si="26"/>
        <v>1.1671842700025232</v>
      </c>
      <c r="D131" s="20">
        <f t="shared" si="27"/>
        <v>1.4427190999915878</v>
      </c>
      <c r="E131" s="20">
        <f t="shared" si="24"/>
        <v>-0.13923368986624673</v>
      </c>
      <c r="F131" s="20" t="str">
        <f t="shared" si="28"/>
        <v>&gt;</v>
      </c>
      <c r="G131" s="20">
        <f t="shared" si="25"/>
        <v>-0.24671889849422612</v>
      </c>
      <c r="H131" s="20">
        <f t="shared" si="29"/>
        <v>1.1671842700025232</v>
      </c>
      <c r="I131" s="20">
        <f t="shared" si="30"/>
        <v>1.8885438199983176</v>
      </c>
    </row>
    <row r="132" spans="2:9" x14ac:dyDescent="0.3">
      <c r="B132" s="20">
        <v>6</v>
      </c>
      <c r="C132" s="20">
        <f t="shared" si="26"/>
        <v>1.4427190999915878</v>
      </c>
      <c r="D132" s="20">
        <f t="shared" si="27"/>
        <v>1.6130089900092532</v>
      </c>
      <c r="E132" s="20">
        <f t="shared" si="24"/>
        <v>-0.24671889849422612</v>
      </c>
      <c r="F132" s="20" t="str">
        <f t="shared" si="28"/>
        <v>&lt;=</v>
      </c>
      <c r="G132" s="20">
        <f t="shared" si="25"/>
        <v>-0.23722896817708872</v>
      </c>
      <c r="H132" s="20">
        <f t="shared" si="29"/>
        <v>1.1671842700025232</v>
      </c>
      <c r="I132" s="20">
        <f t="shared" si="30"/>
        <v>1.6130089900092532</v>
      </c>
    </row>
    <row r="133" spans="2:9" x14ac:dyDescent="0.3">
      <c r="B133" s="20">
        <v>7</v>
      </c>
      <c r="C133" s="20">
        <f t="shared" si="26"/>
        <v>1.3374741600201889</v>
      </c>
      <c r="D133" s="20">
        <f t="shared" si="27"/>
        <v>1.4427190999915878</v>
      </c>
      <c r="E133" s="20">
        <f t="shared" si="24"/>
        <v>-0.2235853513388566</v>
      </c>
      <c r="F133" s="20" t="str">
        <f t="shared" si="28"/>
        <v>&gt;</v>
      </c>
      <c r="G133" s="20">
        <f t="shared" si="25"/>
        <v>-0.24671889849422612</v>
      </c>
      <c r="H133" s="20">
        <f t="shared" si="29"/>
        <v>1.3374741600201889</v>
      </c>
      <c r="I133" s="20">
        <f t="shared" si="30"/>
        <v>1.6130089900092532</v>
      </c>
    </row>
    <row r="134" spans="2:9" x14ac:dyDescent="0.3">
      <c r="B134" s="20">
        <v>8</v>
      </c>
      <c r="C134" s="20">
        <f t="shared" si="26"/>
        <v>1.4427190999915878</v>
      </c>
      <c r="D134" s="20">
        <f t="shared" si="27"/>
        <v>1.5077640500378546</v>
      </c>
      <c r="E134" s="20">
        <f t="shared" si="24"/>
        <v>-0.24671889849422612</v>
      </c>
      <c r="F134" s="20" t="str">
        <f t="shared" si="28"/>
        <v>&gt;</v>
      </c>
      <c r="G134" s="20">
        <f t="shared" si="25"/>
        <v>-0.24993971952700988</v>
      </c>
      <c r="H134" s="20">
        <f>IF(E134&gt;G134, C134, H133)</f>
        <v>1.4427190999915878</v>
      </c>
      <c r="I134" s="20">
        <f>IF(E134&gt;G134, I133, D134)</f>
        <v>1.6130089900092532</v>
      </c>
    </row>
    <row r="135" spans="2:9" x14ac:dyDescent="0.3">
      <c r="B135" s="20">
        <v>9</v>
      </c>
      <c r="C135" s="20">
        <f t="shared" si="26"/>
        <v>1.5077640500378546</v>
      </c>
      <c r="D135" s="20">
        <f t="shared" si="27"/>
        <v>1.5479640399629864</v>
      </c>
      <c r="E135" s="20">
        <f t="shared" si="24"/>
        <v>-0.24993971952700988</v>
      </c>
      <c r="F135" s="20" t="str">
        <f t="shared" si="28"/>
        <v>&lt;=</v>
      </c>
      <c r="G135" s="20">
        <f t="shared" si="25"/>
        <v>-0.24769945087042933</v>
      </c>
      <c r="H135" s="20">
        <f t="shared" si="29"/>
        <v>1.4427190999915878</v>
      </c>
      <c r="I135" s="20">
        <f t="shared" si="30"/>
        <v>1.5479640399629864</v>
      </c>
    </row>
    <row r="136" spans="2:9" x14ac:dyDescent="0.3">
      <c r="B136" s="20">
        <v>10</v>
      </c>
      <c r="C136" s="20">
        <f t="shared" si="26"/>
        <v>1.4829190899167197</v>
      </c>
      <c r="D136" s="20">
        <f t="shared" si="27"/>
        <v>1.5077640500378546</v>
      </c>
      <c r="E136" s="20">
        <f t="shared" si="24"/>
        <v>-0.24970824251072665</v>
      </c>
      <c r="F136" s="20" t="str">
        <f t="shared" si="28"/>
        <v>&gt;</v>
      </c>
      <c r="G136" s="20">
        <f t="shared" si="25"/>
        <v>-0.24993971952700988</v>
      </c>
      <c r="H136" s="20">
        <f t="shared" si="29"/>
        <v>1.4829190899167197</v>
      </c>
      <c r="I136" s="20">
        <f t="shared" si="30"/>
        <v>1.5479640399629864</v>
      </c>
    </row>
    <row r="137" spans="2:9" x14ac:dyDescent="0.3">
      <c r="B137" s="20">
        <v>11</v>
      </c>
      <c r="C137" s="20">
        <f t="shared" si="26"/>
        <v>1.5077640500378546</v>
      </c>
      <c r="D137" s="20">
        <f t="shared" si="27"/>
        <v>1.5231190798418515</v>
      </c>
      <c r="E137" s="20">
        <f t="shared" si="24"/>
        <v>-0.24993971952700988</v>
      </c>
      <c r="F137" s="20" t="str">
        <f t="shared" si="28"/>
        <v>&lt;=</v>
      </c>
      <c r="G137" s="20">
        <f t="shared" si="25"/>
        <v>-0.24946550814726587</v>
      </c>
      <c r="H137" s="20">
        <f t="shared" si="29"/>
        <v>1.4829190899167197</v>
      </c>
      <c r="I137" s="20">
        <f t="shared" si="30"/>
        <v>1.5231190798418515</v>
      </c>
    </row>
    <row r="138" spans="2:9" x14ac:dyDescent="0.3">
      <c r="B138" s="20">
        <v>12</v>
      </c>
      <c r="C138" s="20">
        <f t="shared" si="26"/>
        <v>1.4982741197207168</v>
      </c>
      <c r="D138" s="20">
        <f t="shared" si="27"/>
        <v>1.5077640500378546</v>
      </c>
      <c r="E138" s="20">
        <f t="shared" si="24"/>
        <v>-0.24999702133726132</v>
      </c>
      <c r="F138" s="20" t="str">
        <f t="shared" si="28"/>
        <v>&lt;=</v>
      </c>
      <c r="G138" s="20">
        <f t="shared" si="25"/>
        <v>-0.24993971952700988</v>
      </c>
      <c r="H138" s="20">
        <f t="shared" si="29"/>
        <v>1.4829190899167197</v>
      </c>
      <c r="I138" s="20">
        <f t="shared" si="30"/>
        <v>1.5077640500378546</v>
      </c>
    </row>
    <row r="139" spans="2:9" x14ac:dyDescent="0.3">
      <c r="B139" s="20">
        <v>13</v>
      </c>
      <c r="C139" s="20">
        <f t="shared" si="26"/>
        <v>1.4924090202338576</v>
      </c>
      <c r="D139" s="20">
        <f t="shared" si="27"/>
        <v>1.4982741197207168</v>
      </c>
      <c r="E139" s="20">
        <f t="shared" si="24"/>
        <v>-0.24994237702619015</v>
      </c>
      <c r="F139" s="20" t="str">
        <f t="shared" si="28"/>
        <v>&gt;</v>
      </c>
      <c r="G139" s="20">
        <f t="shared" si="25"/>
        <v>-0.24999702133726132</v>
      </c>
      <c r="H139" s="20">
        <f t="shared" si="29"/>
        <v>1.4924090202338576</v>
      </c>
      <c r="I139" s="20">
        <f t="shared" si="30"/>
        <v>1.5077640500378546</v>
      </c>
    </row>
    <row r="140" spans="2:9" x14ac:dyDescent="0.3">
      <c r="B140" s="20">
        <v>14</v>
      </c>
      <c r="C140" s="20">
        <f t="shared" si="26"/>
        <v>1.4982741197207168</v>
      </c>
      <c r="D140" s="20">
        <f t="shared" si="27"/>
        <v>1.5018989505509954</v>
      </c>
      <c r="E140" s="20">
        <f t="shared" si="24"/>
        <v>-0.24999702133726132</v>
      </c>
      <c r="F140" s="20" t="str">
        <f t="shared" si="28"/>
        <v>&lt;=</v>
      </c>
      <c r="G140" s="20">
        <f t="shared" si="25"/>
        <v>-0.24999639398680529</v>
      </c>
      <c r="H140" s="20">
        <f t="shared" si="29"/>
        <v>1.4924090202338576</v>
      </c>
      <c r="I140" s="20">
        <f t="shared" si="30"/>
        <v>1.5018989505509954</v>
      </c>
    </row>
    <row r="141" spans="2:9" x14ac:dyDescent="0.3">
      <c r="B141" s="20">
        <v>15</v>
      </c>
      <c r="C141" s="21">
        <f xml:space="preserve"> IF(E140 &gt; G140, D140, H140 + $F$121*(I140-H140))</f>
        <v>1.4960338510641362</v>
      </c>
      <c r="D141" s="23">
        <f t="shared" si="27"/>
        <v>1.4982741197207168</v>
      </c>
      <c r="E141" s="21">
        <f t="shared" si="24"/>
        <v>-0.24998426966261844</v>
      </c>
      <c r="F141" s="20" t="str">
        <f t="shared" si="28"/>
        <v>&gt;</v>
      </c>
      <c r="G141" s="23">
        <f t="shared" si="25"/>
        <v>-0.24999702133726132</v>
      </c>
      <c r="H141" s="21">
        <f t="shared" si="29"/>
        <v>1.4960338510641362</v>
      </c>
      <c r="I141" s="21">
        <f t="shared" si="30"/>
        <v>1.5018989505509954</v>
      </c>
    </row>
    <row r="143" spans="2:9" x14ac:dyDescent="0.3">
      <c r="B143" s="1" t="s">
        <v>73</v>
      </c>
      <c r="C143" s="1"/>
      <c r="D143" s="1"/>
      <c r="E143" s="1"/>
      <c r="F143" s="1"/>
      <c r="G143" s="1"/>
      <c r="H143" s="1"/>
    </row>
    <row r="145" spans="2:7" x14ac:dyDescent="0.3">
      <c r="B145" s="26" t="s">
        <v>56</v>
      </c>
      <c r="C145" s="38" t="s">
        <v>70</v>
      </c>
      <c r="D145" s="20">
        <f>D141</f>
        <v>1.4982741197207168</v>
      </c>
    </row>
    <row r="146" spans="2:7" x14ac:dyDescent="0.3">
      <c r="B146" s="26" t="s">
        <v>71</v>
      </c>
      <c r="C146" s="38" t="s">
        <v>72</v>
      </c>
      <c r="D146" s="20">
        <f>MIN(E141,G141)</f>
        <v>-0.24999702133726132</v>
      </c>
    </row>
    <row r="148" spans="2:7" x14ac:dyDescent="0.3">
      <c r="B148" s="24" t="s">
        <v>27</v>
      </c>
      <c r="C148" s="37" t="s">
        <v>74</v>
      </c>
      <c r="D148" s="37"/>
      <c r="E148" s="37"/>
      <c r="F148" s="37"/>
    </row>
    <row r="150" spans="2:7" ht="18" x14ac:dyDescent="0.3">
      <c r="B150" s="9" t="s">
        <v>75</v>
      </c>
      <c r="C150" s="9"/>
    </row>
    <row r="152" spans="2:7" x14ac:dyDescent="0.3">
      <c r="B152" s="18" t="s">
        <v>76</v>
      </c>
      <c r="C152" s="18"/>
      <c r="D152" s="44" t="s">
        <v>18</v>
      </c>
      <c r="E152" s="18" t="s">
        <v>22</v>
      </c>
      <c r="F152" s="18"/>
    </row>
    <row r="153" spans="2:7" x14ac:dyDescent="0.3">
      <c r="B153" s="17" t="s">
        <v>77</v>
      </c>
      <c r="C153" s="17"/>
      <c r="D153" s="20">
        <f>E21</f>
        <v>1.7277777777777776</v>
      </c>
      <c r="E153" s="39">
        <f>E22</f>
        <v>-0.19811728395061712</v>
      </c>
      <c r="F153" s="39"/>
    </row>
    <row r="154" spans="2:7" x14ac:dyDescent="0.3">
      <c r="B154" s="17" t="s">
        <v>78</v>
      </c>
      <c r="C154" s="17"/>
      <c r="D154" s="20">
        <f>E40</f>
        <v>1.3333333333333333</v>
      </c>
      <c r="E154" s="39">
        <f>E41</f>
        <v>-0.22222222222222232</v>
      </c>
      <c r="F154" s="39"/>
    </row>
    <row r="155" spans="2:7" x14ac:dyDescent="0.3">
      <c r="B155" s="17" t="s">
        <v>79</v>
      </c>
      <c r="C155" s="17"/>
      <c r="D155" s="20">
        <f>D79</f>
        <v>1.4812499999999997</v>
      </c>
      <c r="E155" s="39">
        <f>D80</f>
        <v>-0.24964843750000032</v>
      </c>
      <c r="F155" s="39"/>
    </row>
    <row r="156" spans="2:7" x14ac:dyDescent="0.3">
      <c r="B156" s="45" t="s">
        <v>80</v>
      </c>
      <c r="C156" s="45"/>
      <c r="D156" s="46">
        <f>D113</f>
        <v>1.5007632109202877</v>
      </c>
      <c r="E156" s="47">
        <f>D114</f>
        <v>-0.24999941750909116</v>
      </c>
      <c r="F156" s="47"/>
    </row>
    <row r="157" spans="2:7" x14ac:dyDescent="0.3">
      <c r="B157" s="40" t="s">
        <v>81</v>
      </c>
      <c r="C157" s="40"/>
      <c r="D157" s="41">
        <f>D145</f>
        <v>1.4982741197207168</v>
      </c>
      <c r="E157" s="42">
        <f>D146</f>
        <v>-0.24999702133726132</v>
      </c>
      <c r="F157" s="42"/>
    </row>
    <row r="159" spans="2:7" x14ac:dyDescent="0.3">
      <c r="B159" s="17" t="s">
        <v>82</v>
      </c>
      <c r="C159" s="17"/>
      <c r="D159" s="20">
        <f>D156</f>
        <v>1.5007632109202877</v>
      </c>
      <c r="E159" s="39">
        <f>MIN(E153:F157)</f>
        <v>-0.24999941750909116</v>
      </c>
      <c r="F159" s="39"/>
      <c r="G159" s="43" t="s">
        <v>83</v>
      </c>
    </row>
    <row r="162" spans="2:11" ht="18" x14ac:dyDescent="0.35">
      <c r="B162" s="3" t="s">
        <v>84</v>
      </c>
      <c r="C162" s="3"/>
    </row>
    <row r="164" spans="2:11" x14ac:dyDescent="0.3">
      <c r="B164" s="44" t="s">
        <v>85</v>
      </c>
      <c r="C164" s="44" t="s">
        <v>86</v>
      </c>
      <c r="D164" s="44" t="s">
        <v>87</v>
      </c>
      <c r="E164" s="44">
        <v>1</v>
      </c>
      <c r="F164" s="44">
        <v>2</v>
      </c>
      <c r="G164" s="44">
        <v>3</v>
      </c>
      <c r="H164" s="44">
        <v>4</v>
      </c>
      <c r="I164" s="44">
        <v>5</v>
      </c>
      <c r="K164" t="s">
        <v>92</v>
      </c>
    </row>
    <row r="165" spans="2:11" x14ac:dyDescent="0.3">
      <c r="B165" s="17">
        <v>17</v>
      </c>
      <c r="C165" s="17">
        <v>500</v>
      </c>
      <c r="D165" s="20" t="s">
        <v>88</v>
      </c>
      <c r="E165" s="20">
        <v>400</v>
      </c>
      <c r="F165" s="20">
        <v>600</v>
      </c>
      <c r="G165" s="20">
        <v>800</v>
      </c>
      <c r="H165" s="20">
        <v>700</v>
      </c>
      <c r="I165" s="20">
        <v>200</v>
      </c>
      <c r="K165" t="s">
        <v>93</v>
      </c>
    </row>
    <row r="166" spans="2:11" x14ac:dyDescent="0.3">
      <c r="B166" s="17"/>
      <c r="C166" s="17"/>
      <c r="D166" s="20" t="s">
        <v>89</v>
      </c>
      <c r="E166" s="20">
        <v>10</v>
      </c>
      <c r="F166" s="20">
        <v>12</v>
      </c>
      <c r="G166" s="20">
        <v>11</v>
      </c>
      <c r="H166" s="20">
        <v>9</v>
      </c>
      <c r="I166" s="20">
        <v>8</v>
      </c>
      <c r="K166" t="s">
        <v>94</v>
      </c>
    </row>
    <row r="167" spans="2:11" x14ac:dyDescent="0.3">
      <c r="B167" s="17"/>
      <c r="C167" s="17"/>
      <c r="D167" s="20" t="s">
        <v>90</v>
      </c>
      <c r="E167" s="20">
        <v>16</v>
      </c>
      <c r="F167" s="20">
        <v>8</v>
      </c>
      <c r="G167" s="20">
        <v>8</v>
      </c>
      <c r="H167" s="20">
        <v>7</v>
      </c>
      <c r="I167" s="20">
        <v>4</v>
      </c>
      <c r="K167" t="s">
        <v>95</v>
      </c>
    </row>
    <row r="168" spans="2:11" x14ac:dyDescent="0.3">
      <c r="B168" s="17"/>
      <c r="C168" s="17"/>
      <c r="D168" s="20" t="s">
        <v>91</v>
      </c>
      <c r="E168" s="20">
        <v>4</v>
      </c>
      <c r="F168" s="20">
        <v>3</v>
      </c>
      <c r="G168" s="20">
        <v>5</v>
      </c>
      <c r="H168" s="20">
        <v>4</v>
      </c>
      <c r="I168" s="20">
        <v>4</v>
      </c>
      <c r="K168" t="s">
        <v>96</v>
      </c>
    </row>
    <row r="170" spans="2:11" x14ac:dyDescent="0.3">
      <c r="B170" s="7" t="s">
        <v>97</v>
      </c>
      <c r="C170" s="7" t="s">
        <v>88</v>
      </c>
      <c r="D170" s="7" t="s">
        <v>89</v>
      </c>
      <c r="E170" s="7" t="s">
        <v>90</v>
      </c>
      <c r="F170" s="7" t="s">
        <v>98</v>
      </c>
      <c r="G170" s="7" t="s">
        <v>99</v>
      </c>
      <c r="H170" s="7" t="s">
        <v>100</v>
      </c>
      <c r="I170" s="7" t="s">
        <v>101</v>
      </c>
      <c r="J170" s="7" t="s">
        <v>102</v>
      </c>
      <c r="K170" s="7" t="s">
        <v>103</v>
      </c>
    </row>
    <row r="171" spans="2:11" x14ac:dyDescent="0.3">
      <c r="B171" s="6">
        <f>E164</f>
        <v>1</v>
      </c>
      <c r="C171" s="6">
        <f xml:space="preserve"> E$165</f>
        <v>400</v>
      </c>
      <c r="D171" s="6">
        <f xml:space="preserve"> E$166</f>
        <v>10</v>
      </c>
      <c r="E171" s="6">
        <f xml:space="preserve"> E$167</f>
        <v>16</v>
      </c>
      <c r="F171" s="6">
        <f xml:space="preserve"> E$168</f>
        <v>4</v>
      </c>
      <c r="G171" s="6">
        <f xml:space="preserve"> SQRT(2*D171*C171/E171)</f>
        <v>22.360679774997898</v>
      </c>
      <c r="H171" s="6">
        <f xml:space="preserve"> D171*C171/G171</f>
        <v>178.88543819998316</v>
      </c>
      <c r="I171" s="6">
        <f xml:space="preserve"> E171*G171</f>
        <v>357.77087639996637</v>
      </c>
      <c r="J171" s="6">
        <f xml:space="preserve"> F171*G171</f>
        <v>89.442719099991592</v>
      </c>
      <c r="K171" s="5">
        <f xml:space="preserve"> H171 + I171/2</f>
        <v>357.77087639996637</v>
      </c>
    </row>
    <row r="172" spans="2:11" x14ac:dyDescent="0.3">
      <c r="B172" s="6">
        <f>F164</f>
        <v>2</v>
      </c>
      <c r="C172" s="6">
        <f xml:space="preserve"> F$165</f>
        <v>600</v>
      </c>
      <c r="D172" s="6">
        <f xml:space="preserve"> F$166</f>
        <v>12</v>
      </c>
      <c r="E172" s="6">
        <f xml:space="preserve"> F$167</f>
        <v>8</v>
      </c>
      <c r="F172" s="6">
        <f xml:space="preserve"> F$168</f>
        <v>3</v>
      </c>
      <c r="G172" s="6">
        <f xml:space="preserve"> SQRT(2*D172*C172/E172)</f>
        <v>42.426406871192853</v>
      </c>
      <c r="H172" s="6">
        <f t="shared" ref="H172:H175" si="31" xml:space="preserve"> D172*C172/G172</f>
        <v>169.70562748477141</v>
      </c>
      <c r="I172" s="6">
        <f t="shared" ref="I172:I175" si="32" xml:space="preserve"> E172*G172</f>
        <v>339.41125496954282</v>
      </c>
      <c r="J172" s="6">
        <f t="shared" ref="J172:J175" si="33" xml:space="preserve"> F172*G172</f>
        <v>127.27922061357856</v>
      </c>
      <c r="K172" s="5">
        <f t="shared" ref="K172:K175" si="34" xml:space="preserve"> H172 + I172/2</f>
        <v>339.41125496954282</v>
      </c>
    </row>
    <row r="173" spans="2:11" x14ac:dyDescent="0.3">
      <c r="B173" s="6">
        <f>G164</f>
        <v>3</v>
      </c>
      <c r="C173" s="6">
        <f xml:space="preserve"> G$165</f>
        <v>800</v>
      </c>
      <c r="D173" s="6">
        <f xml:space="preserve"> G$166</f>
        <v>11</v>
      </c>
      <c r="E173" s="6">
        <f xml:space="preserve"> G$167</f>
        <v>8</v>
      </c>
      <c r="F173" s="6">
        <f xml:space="preserve"> G$168</f>
        <v>5</v>
      </c>
      <c r="G173" s="6">
        <f t="shared" ref="G173:G175" si="35" xml:space="preserve"> SQRT(2*D173*C173/E173)</f>
        <v>46.904157598234299</v>
      </c>
      <c r="H173" s="6">
        <f t="shared" si="31"/>
        <v>187.61663039293717</v>
      </c>
      <c r="I173" s="6">
        <f t="shared" si="32"/>
        <v>375.23326078587439</v>
      </c>
      <c r="J173" s="6">
        <f t="shared" si="33"/>
        <v>234.52078799117149</v>
      </c>
      <c r="K173" s="5">
        <f t="shared" si="34"/>
        <v>375.23326078587434</v>
      </c>
    </row>
    <row r="174" spans="2:11" x14ac:dyDescent="0.3">
      <c r="B174" s="6">
        <f>H164</f>
        <v>4</v>
      </c>
      <c r="C174" s="6">
        <f xml:space="preserve"> H$165</f>
        <v>700</v>
      </c>
      <c r="D174" s="6">
        <f xml:space="preserve"> H$166</f>
        <v>9</v>
      </c>
      <c r="E174" s="6">
        <f xml:space="preserve"> H$167</f>
        <v>7</v>
      </c>
      <c r="F174" s="6">
        <f xml:space="preserve"> H$168</f>
        <v>4</v>
      </c>
      <c r="G174" s="6">
        <f t="shared" si="35"/>
        <v>42.426406871192853</v>
      </c>
      <c r="H174" s="6">
        <f t="shared" si="31"/>
        <v>148.49242404917499</v>
      </c>
      <c r="I174" s="6">
        <f t="shared" si="32"/>
        <v>296.98484809834997</v>
      </c>
      <c r="J174" s="6">
        <f t="shared" si="33"/>
        <v>169.70562748477141</v>
      </c>
      <c r="K174" s="5">
        <f t="shared" si="34"/>
        <v>296.98484809834997</v>
      </c>
    </row>
    <row r="175" spans="2:11" x14ac:dyDescent="0.3">
      <c r="B175" s="6">
        <f>I164</f>
        <v>5</v>
      </c>
      <c r="C175" s="6">
        <f xml:space="preserve"> I$165</f>
        <v>200</v>
      </c>
      <c r="D175" s="6">
        <f xml:space="preserve"> I$166</f>
        <v>8</v>
      </c>
      <c r="E175" s="6">
        <f xml:space="preserve"> I$167</f>
        <v>4</v>
      </c>
      <c r="F175" s="6">
        <f xml:space="preserve"> I$168</f>
        <v>4</v>
      </c>
      <c r="G175" s="6">
        <f t="shared" si="35"/>
        <v>28.284271247461902</v>
      </c>
      <c r="H175" s="6">
        <f t="shared" si="31"/>
        <v>56.568542494923797</v>
      </c>
      <c r="I175" s="6">
        <f t="shared" si="32"/>
        <v>113.13708498984761</v>
      </c>
      <c r="J175" s="6">
        <f t="shared" si="33"/>
        <v>113.13708498984761</v>
      </c>
      <c r="K175" s="5">
        <f t="shared" si="34"/>
        <v>113.13708498984761</v>
      </c>
    </row>
    <row r="176" spans="2:11" x14ac:dyDescent="0.3">
      <c r="B176" s="49"/>
      <c r="C176" s="49"/>
      <c r="D176" s="49"/>
      <c r="E176" s="49"/>
      <c r="F176" s="49"/>
      <c r="G176" s="49"/>
      <c r="H176" s="50"/>
      <c r="I176" s="51"/>
      <c r="J176" s="48" t="s">
        <v>104</v>
      </c>
      <c r="K176" s="48">
        <f>SUM(K171:K175)</f>
        <v>1482.5373252435811</v>
      </c>
    </row>
    <row r="179" spans="2:7" x14ac:dyDescent="0.3">
      <c r="B179" t="s">
        <v>105</v>
      </c>
      <c r="D179" t="s">
        <v>106</v>
      </c>
    </row>
    <row r="181" spans="2:7" x14ac:dyDescent="0.3">
      <c r="B181" t="s">
        <v>107</v>
      </c>
    </row>
    <row r="183" spans="2:7" x14ac:dyDescent="0.3">
      <c r="B183" s="10" t="s">
        <v>108</v>
      </c>
      <c r="C183" s="6">
        <v>1</v>
      </c>
    </row>
    <row r="184" spans="2:7" x14ac:dyDescent="0.3">
      <c r="B184" s="10" t="s">
        <v>109</v>
      </c>
      <c r="C184" s="6">
        <f xml:space="preserve"> C183*SUM(J171:J175)</f>
        <v>734.0854401793606</v>
      </c>
    </row>
    <row r="186" spans="2:7" ht="14.4" customHeight="1" x14ac:dyDescent="0.3">
      <c r="B186" s="52" t="s">
        <v>110</v>
      </c>
      <c r="C186" s="52"/>
      <c r="D186" s="52"/>
      <c r="E186" s="52"/>
      <c r="F186" s="52"/>
      <c r="G186" s="52"/>
    </row>
    <row r="187" spans="2:7" x14ac:dyDescent="0.3">
      <c r="B187" s="52"/>
      <c r="C187" s="52"/>
      <c r="D187" s="52"/>
      <c r="E187" s="52"/>
      <c r="F187" s="52"/>
      <c r="G187" s="52"/>
    </row>
    <row r="188" spans="2:7" x14ac:dyDescent="0.3">
      <c r="B188" s="52"/>
      <c r="C188" s="52"/>
      <c r="D188" s="52"/>
      <c r="E188" s="52"/>
      <c r="F188" s="52"/>
      <c r="G188" s="52"/>
    </row>
    <row r="190" spans="2:7" x14ac:dyDescent="0.3">
      <c r="B190" s="5" t="s">
        <v>111</v>
      </c>
    </row>
    <row r="191" spans="2:7" x14ac:dyDescent="0.3">
      <c r="B191" s="5" t="s">
        <v>112</v>
      </c>
    </row>
    <row r="193" spans="2:11" x14ac:dyDescent="0.3">
      <c r="B193" s="7" t="s">
        <v>97</v>
      </c>
      <c r="C193" s="7" t="s">
        <v>88</v>
      </c>
      <c r="D193" s="7" t="s">
        <v>89</v>
      </c>
      <c r="E193" s="7" t="s">
        <v>90</v>
      </c>
      <c r="F193" s="7" t="s">
        <v>98</v>
      </c>
      <c r="G193" s="7" t="s">
        <v>99</v>
      </c>
      <c r="H193" s="7" t="s">
        <v>100</v>
      </c>
      <c r="I193" s="7" t="s">
        <v>101</v>
      </c>
      <c r="J193" s="7" t="s">
        <v>102</v>
      </c>
      <c r="K193" s="7" t="s">
        <v>103</v>
      </c>
    </row>
    <row r="194" spans="2:11" x14ac:dyDescent="0.3">
      <c r="B194" s="6">
        <f>E164</f>
        <v>1</v>
      </c>
      <c r="C194" s="6">
        <f xml:space="preserve"> E$165</f>
        <v>400</v>
      </c>
      <c r="D194" s="6">
        <f xml:space="preserve"> E$166</f>
        <v>10</v>
      </c>
      <c r="E194" s="6">
        <f xml:space="preserve"> E$167</f>
        <v>16</v>
      </c>
      <c r="F194" s="6">
        <f xml:space="preserve"> E$168</f>
        <v>4</v>
      </c>
      <c r="G194" s="6">
        <v>18.036525362239281</v>
      </c>
      <c r="H194" s="6">
        <f xml:space="preserve"> D194*C194/G194</f>
        <v>221.77220499322326</v>
      </c>
      <c r="I194" s="6">
        <f xml:space="preserve"> E194*G194</f>
        <v>288.5844057958285</v>
      </c>
      <c r="J194" s="6">
        <f xml:space="preserve"> F194*G194</f>
        <v>72.146101448957126</v>
      </c>
      <c r="K194" s="5">
        <f xml:space="preserve"> H194 + I194/2</f>
        <v>366.06440789113753</v>
      </c>
    </row>
    <row r="195" spans="2:11" x14ac:dyDescent="0.3">
      <c r="B195" s="6">
        <f>F164</f>
        <v>2</v>
      </c>
      <c r="C195" s="6">
        <f xml:space="preserve"> F$165</f>
        <v>600</v>
      </c>
      <c r="D195" s="6">
        <f xml:space="preserve"> F$166</f>
        <v>12</v>
      </c>
      <c r="E195" s="6">
        <f xml:space="preserve"> F$167</f>
        <v>8</v>
      </c>
      <c r="F195" s="6">
        <f xml:space="preserve"> F$168</f>
        <v>3</v>
      </c>
      <c r="G195" s="6">
        <v>31.948556506582978</v>
      </c>
      <c r="H195" s="6">
        <f t="shared" ref="H195:H198" si="36" xml:space="preserve"> D195*C195/G195</f>
        <v>225.36229449103419</v>
      </c>
      <c r="I195" s="6">
        <f t="shared" ref="I195:I198" si="37" xml:space="preserve"> E195*G195</f>
        <v>255.58845205266383</v>
      </c>
      <c r="J195" s="6">
        <f t="shared" ref="J195:J198" si="38" xml:space="preserve"> F195*G195</f>
        <v>95.845669519748938</v>
      </c>
      <c r="K195" s="5">
        <f t="shared" ref="K195:K198" si="39" xml:space="preserve"> H195 + I195/2</f>
        <v>353.15652051736612</v>
      </c>
    </row>
    <row r="196" spans="2:11" x14ac:dyDescent="0.3">
      <c r="B196" s="6">
        <f>G164</f>
        <v>3</v>
      </c>
      <c r="C196" s="6">
        <f xml:space="preserve"> G$165</f>
        <v>800</v>
      </c>
      <c r="D196" s="6">
        <f xml:space="preserve"> G$166</f>
        <v>11</v>
      </c>
      <c r="E196" s="6">
        <f xml:space="preserve"> G$167</f>
        <v>8</v>
      </c>
      <c r="F196" s="6">
        <f xml:space="preserve"> G$168</f>
        <v>5</v>
      </c>
      <c r="G196" s="6">
        <v>30.763023259720047</v>
      </c>
      <c r="H196" s="6">
        <f t="shared" si="36"/>
        <v>286.05771044364133</v>
      </c>
      <c r="I196" s="6">
        <f t="shared" si="37"/>
        <v>246.10418607776037</v>
      </c>
      <c r="J196" s="6">
        <f t="shared" si="38"/>
        <v>153.81511629860023</v>
      </c>
      <c r="K196" s="5">
        <f t="shared" si="39"/>
        <v>409.1098034825215</v>
      </c>
    </row>
    <row r="197" spans="2:11" x14ac:dyDescent="0.3">
      <c r="B197" s="6">
        <f>H164</f>
        <v>4</v>
      </c>
      <c r="C197" s="6">
        <f xml:space="preserve"> H$165</f>
        <v>700</v>
      </c>
      <c r="D197" s="6">
        <f xml:space="preserve"> H$166</f>
        <v>9</v>
      </c>
      <c r="E197" s="6">
        <f xml:space="preserve"> H$167</f>
        <v>7</v>
      </c>
      <c r="F197" s="6">
        <f xml:space="preserve"> H$168</f>
        <v>4</v>
      </c>
      <c r="G197" s="6">
        <v>28.546611586426774</v>
      </c>
      <c r="H197" s="6">
        <f t="shared" si="36"/>
        <v>220.69169158400214</v>
      </c>
      <c r="I197" s="6">
        <f t="shared" si="37"/>
        <v>199.82628110498743</v>
      </c>
      <c r="J197" s="6">
        <f t="shared" si="38"/>
        <v>114.1864463457071</v>
      </c>
      <c r="K197" s="5">
        <f t="shared" si="39"/>
        <v>320.60483213649587</v>
      </c>
    </row>
    <row r="198" spans="2:11" x14ac:dyDescent="0.3">
      <c r="B198" s="6">
        <f>I164</f>
        <v>5</v>
      </c>
      <c r="C198" s="6">
        <f xml:space="preserve"> I$165</f>
        <v>200</v>
      </c>
      <c r="D198" s="6">
        <f xml:space="preserve"> I$166</f>
        <v>8</v>
      </c>
      <c r="E198" s="6">
        <f xml:space="preserve"> I$167</f>
        <v>4</v>
      </c>
      <c r="F198" s="6">
        <f xml:space="preserve"> I$168</f>
        <v>4</v>
      </c>
      <c r="G198" s="6">
        <v>16.001666448198037</v>
      </c>
      <c r="H198" s="6">
        <f t="shared" si="36"/>
        <v>99.989585783434293</v>
      </c>
      <c r="I198" s="6">
        <f t="shared" si="37"/>
        <v>64.006665792792148</v>
      </c>
      <c r="J198" s="6">
        <f t="shared" si="38"/>
        <v>64.006665792792148</v>
      </c>
      <c r="K198" s="5">
        <f t="shared" si="39"/>
        <v>131.99291867983038</v>
      </c>
    </row>
    <row r="200" spans="2:11" x14ac:dyDescent="0.3">
      <c r="B200" s="10" t="s">
        <v>104</v>
      </c>
      <c r="C200" s="6">
        <f>SUM(K194:K198)</f>
        <v>1580.9284827073513</v>
      </c>
    </row>
    <row r="201" spans="2:11" x14ac:dyDescent="0.3">
      <c r="B201" s="10" t="s">
        <v>108</v>
      </c>
      <c r="C201" s="6">
        <v>1</v>
      </c>
    </row>
    <row r="202" spans="2:11" x14ac:dyDescent="0.3">
      <c r="B202" s="10" t="s">
        <v>109</v>
      </c>
      <c r="C202" s="6">
        <f xml:space="preserve"> C201*SUM(J194:J198)</f>
        <v>499.99999940580557</v>
      </c>
    </row>
    <row r="204" spans="2:11" x14ac:dyDescent="0.3">
      <c r="B204" s="53" t="s">
        <v>113</v>
      </c>
      <c r="C204" s="53"/>
      <c r="D204" s="53"/>
      <c r="E204" s="54" t="s">
        <v>114</v>
      </c>
      <c r="F204" s="54"/>
      <c r="G204" s="54" t="s">
        <v>115</v>
      </c>
      <c r="H204" s="54"/>
    </row>
    <row r="205" spans="2:11" x14ac:dyDescent="0.3">
      <c r="B205" s="53"/>
      <c r="C205" s="53"/>
      <c r="D205" s="53"/>
      <c r="E205" s="54"/>
      <c r="F205" s="54"/>
      <c r="G205" s="54"/>
      <c r="H205" s="54"/>
    </row>
    <row r="206" spans="2:11" x14ac:dyDescent="0.3">
      <c r="B206" s="55" t="s">
        <v>116</v>
      </c>
      <c r="C206" s="55"/>
      <c r="D206" s="55"/>
      <c r="E206" s="17">
        <f>C184</f>
        <v>734.0854401793606</v>
      </c>
      <c r="F206" s="17"/>
      <c r="G206" s="17">
        <f>K176</f>
        <v>1482.5373252435811</v>
      </c>
      <c r="H206" s="17"/>
    </row>
    <row r="207" spans="2:11" x14ac:dyDescent="0.3">
      <c r="B207" s="55"/>
      <c r="C207" s="55"/>
      <c r="D207" s="55"/>
      <c r="E207" s="17"/>
      <c r="F207" s="17"/>
      <c r="G207" s="17"/>
      <c r="H207" s="17"/>
    </row>
    <row r="208" spans="2:11" x14ac:dyDescent="0.3">
      <c r="B208" s="55" t="s">
        <v>117</v>
      </c>
      <c r="C208" s="55"/>
      <c r="D208" s="55"/>
      <c r="E208" s="57">
        <f xml:space="preserve"> C202</f>
        <v>499.99999940580557</v>
      </c>
      <c r="F208" s="57"/>
      <c r="G208" s="17">
        <f>C200</f>
        <v>1580.9284827073513</v>
      </c>
      <c r="H208" s="17"/>
    </row>
    <row r="209" spans="2:8" x14ac:dyDescent="0.3">
      <c r="B209" s="55"/>
      <c r="C209" s="55"/>
      <c r="D209" s="55"/>
      <c r="E209" s="57"/>
      <c r="F209" s="57"/>
      <c r="G209" s="17"/>
      <c r="H209" s="17"/>
    </row>
    <row r="212" spans="2:8" x14ac:dyDescent="0.3">
      <c r="B212" s="56" t="s">
        <v>118</v>
      </c>
      <c r="C212" s="56"/>
      <c r="D212" s="56"/>
      <c r="E212" s="56"/>
      <c r="F212" s="56"/>
      <c r="G212" s="56"/>
      <c r="H212" s="56"/>
    </row>
    <row r="213" spans="2:8" x14ac:dyDescent="0.3">
      <c r="B213" s="56"/>
      <c r="C213" s="56"/>
      <c r="D213" s="56"/>
      <c r="E213" s="56"/>
      <c r="F213" s="56"/>
      <c r="G213" s="56"/>
      <c r="H213" s="56"/>
    </row>
  </sheetData>
  <mergeCells count="119">
    <mergeCell ref="B208:D209"/>
    <mergeCell ref="E208:F209"/>
    <mergeCell ref="G208:H209"/>
    <mergeCell ref="B212:H213"/>
    <mergeCell ref="B186:G188"/>
    <mergeCell ref="B204:D205"/>
    <mergeCell ref="E204:F205"/>
    <mergeCell ref="G204:H205"/>
    <mergeCell ref="B206:D207"/>
    <mergeCell ref="E206:F207"/>
    <mergeCell ref="G206:H207"/>
    <mergeCell ref="B159:C159"/>
    <mergeCell ref="E159:F159"/>
    <mergeCell ref="B162:C162"/>
    <mergeCell ref="B165:B168"/>
    <mergeCell ref="C165:C168"/>
    <mergeCell ref="B155:C155"/>
    <mergeCell ref="E155:F155"/>
    <mergeCell ref="B156:C156"/>
    <mergeCell ref="E156:F156"/>
    <mergeCell ref="B157:C157"/>
    <mergeCell ref="E157:F157"/>
    <mergeCell ref="B152:C152"/>
    <mergeCell ref="E152:F152"/>
    <mergeCell ref="B153:C153"/>
    <mergeCell ref="E153:F153"/>
    <mergeCell ref="B154:C154"/>
    <mergeCell ref="E154:F154"/>
    <mergeCell ref="G124:G125"/>
    <mergeCell ref="H124:H125"/>
    <mergeCell ref="I124:I125"/>
    <mergeCell ref="B143:H143"/>
    <mergeCell ref="C148:F148"/>
    <mergeCell ref="B150:C150"/>
    <mergeCell ref="C116:F116"/>
    <mergeCell ref="B119:E119"/>
    <mergeCell ref="B124:B125"/>
    <mergeCell ref="C124:C125"/>
    <mergeCell ref="D124:D125"/>
    <mergeCell ref="E124:E125"/>
    <mergeCell ref="F124:F125"/>
    <mergeCell ref="H91:H92"/>
    <mergeCell ref="I91:I92"/>
    <mergeCell ref="J91:J92"/>
    <mergeCell ref="K91:K92"/>
    <mergeCell ref="L91:L92"/>
    <mergeCell ref="B111:H111"/>
    <mergeCell ref="B85:E85"/>
    <mergeCell ref="C82:F82"/>
    <mergeCell ref="B91:C92"/>
    <mergeCell ref="E91:E92"/>
    <mergeCell ref="F91:F92"/>
    <mergeCell ref="G91:G92"/>
    <mergeCell ref="F58:F59"/>
    <mergeCell ref="G58:G59"/>
    <mergeCell ref="H58:H59"/>
    <mergeCell ref="I58:I59"/>
    <mergeCell ref="B70:G70"/>
    <mergeCell ref="B43:E43"/>
    <mergeCell ref="C49:E49"/>
    <mergeCell ref="B52:E52"/>
    <mergeCell ref="B58:B59"/>
    <mergeCell ref="C58:C59"/>
    <mergeCell ref="D58:D59"/>
    <mergeCell ref="E58:E59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B38:B39"/>
    <mergeCell ref="C38:C39"/>
    <mergeCell ref="D38:D39"/>
    <mergeCell ref="E38:E39"/>
    <mergeCell ref="F38:F39"/>
    <mergeCell ref="G38:G39"/>
    <mergeCell ref="C30:E30"/>
    <mergeCell ref="B34:B35"/>
    <mergeCell ref="C34:D35"/>
    <mergeCell ref="E34:E35"/>
    <mergeCell ref="F34:F35"/>
    <mergeCell ref="C36:D36"/>
    <mergeCell ref="N19:N20"/>
    <mergeCell ref="O19:O20"/>
    <mergeCell ref="P19:P20"/>
    <mergeCell ref="Q19:Q20"/>
    <mergeCell ref="R19:R20"/>
    <mergeCell ref="B24:E24"/>
    <mergeCell ref="H19:H20"/>
    <mergeCell ref="I19:I20"/>
    <mergeCell ref="J19:J20"/>
    <mergeCell ref="K19:K20"/>
    <mergeCell ref="L19:L20"/>
    <mergeCell ref="M19:M20"/>
    <mergeCell ref="F17:G17"/>
    <mergeCell ref="B19:B20"/>
    <mergeCell ref="C19:C20"/>
    <mergeCell ref="D19:D20"/>
    <mergeCell ref="E19:E20"/>
    <mergeCell ref="F19:F20"/>
    <mergeCell ref="G19:G20"/>
    <mergeCell ref="E14:E15"/>
    <mergeCell ref="F14:G15"/>
    <mergeCell ref="H14:H15"/>
    <mergeCell ref="I14:I15"/>
    <mergeCell ref="J14:J15"/>
    <mergeCell ref="F16:G16"/>
    <mergeCell ref="B2:C2"/>
    <mergeCell ref="B4:C4"/>
    <mergeCell ref="B6:C6"/>
    <mergeCell ref="E8:F8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2024-11-27T16:01:54Z</dcterms:created>
  <dcterms:modified xsi:type="dcterms:W3CDTF">2024-11-27T19:16:46Z</dcterms:modified>
</cp:coreProperties>
</file>