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4E6AFDC1-FEC0-42C0-846D-55B2FCD4C628}" xr6:coauthVersionLast="31" xr6:coauthVersionMax="31" xr10:uidLastSave="{00000000-0000-0000-0000-000000000000}"/>
  <bookViews>
    <workbookView xWindow="0" yWindow="0" windowWidth="21570" windowHeight="8430" activeTab="2" xr2:uid="{00000000-000D-0000-FFFF-FFFF00000000}"/>
  </bookViews>
  <sheets>
    <sheet name="Costes y presupuesto" sheetId="2" r:id="rId1"/>
    <sheet name="Hoja1" sheetId="4" r:id="rId2"/>
    <sheet name="Caculadora" sheetId="1" r:id="rId3"/>
    <sheet name="Estadística" sheetId="6" r:id="rId4"/>
    <sheet name="Imputaciones semana" sheetId="3" r:id="rId5"/>
    <sheet name="Hoja2" sheetId="5" r:id="rId6"/>
  </sheets>
  <calcPr calcId="179017"/>
</workbook>
</file>

<file path=xl/calcChain.xml><?xml version="1.0" encoding="utf-8"?>
<calcChain xmlns="http://schemas.openxmlformats.org/spreadsheetml/2006/main">
  <c r="Z11" i="6" l="1"/>
  <c r="Y9" i="6"/>
  <c r="Y8" i="6"/>
  <c r="Y7" i="6"/>
  <c r="Y6" i="6"/>
  <c r="Y5" i="6"/>
  <c r="Y4" i="6"/>
  <c r="C16" i="6"/>
  <c r="B16" i="6"/>
  <c r="Y3" i="6"/>
  <c r="X3" i="6"/>
  <c r="O3" i="6"/>
  <c r="M114" i="6"/>
  <c r="O6" i="6" s="1"/>
  <c r="X6" i="6" s="1"/>
  <c r="M106" i="6"/>
  <c r="O7" i="6" s="1"/>
  <c r="X7" i="6" s="1"/>
  <c r="M94" i="6"/>
  <c r="O4" i="6" s="1"/>
  <c r="X4" i="6" s="1"/>
  <c r="M85" i="6"/>
  <c r="O8" i="6" s="1"/>
  <c r="X8" i="6" s="1"/>
  <c r="M77" i="6"/>
  <c r="O9" i="6" s="1"/>
  <c r="X9" i="6" s="1"/>
  <c r="M66" i="6"/>
  <c r="O5" i="6" s="1"/>
  <c r="X5" i="6" s="1"/>
  <c r="M59" i="6"/>
  <c r="Z4" i="6" l="1"/>
  <c r="Z3" i="6"/>
  <c r="Z5" i="6"/>
  <c r="Z8" i="6"/>
  <c r="Z6" i="6"/>
  <c r="D16" i="6"/>
  <c r="Z9" i="6"/>
  <c r="Z7" i="6"/>
  <c r="C13" i="6"/>
  <c r="B13" i="6"/>
  <c r="B10" i="6"/>
  <c r="D10" i="6" s="1"/>
  <c r="C10" i="6"/>
  <c r="W9" i="6"/>
  <c r="W8" i="6"/>
  <c r="W7" i="6"/>
  <c r="W6" i="6"/>
  <c r="W5" i="6"/>
  <c r="W4" i="6"/>
  <c r="W3" i="6"/>
  <c r="T4" i="6"/>
  <c r="T5" i="6"/>
  <c r="T6" i="6"/>
  <c r="T7" i="6"/>
  <c r="T8" i="6"/>
  <c r="T9" i="6"/>
  <c r="T3" i="6"/>
  <c r="I3" i="6"/>
  <c r="H3" i="6"/>
  <c r="Z10" i="6" l="1"/>
  <c r="W10" i="6"/>
  <c r="T10" i="6"/>
  <c r="D13" i="6"/>
  <c r="H14" i="5" l="1"/>
  <c r="H13" i="5"/>
  <c r="I5" i="5" l="1"/>
  <c r="G4" i="5"/>
  <c r="I4" i="5" s="1"/>
  <c r="G3" i="5"/>
  <c r="I3" i="5" s="1"/>
  <c r="G2" i="5"/>
  <c r="I2" i="5" s="1"/>
  <c r="A2" i="5"/>
  <c r="I11" i="5" l="1"/>
  <c r="I12" i="5"/>
  <c r="I17" i="5"/>
  <c r="B8" i="5" s="1"/>
  <c r="I7" i="5"/>
  <c r="I10" i="5"/>
  <c r="I9" i="5"/>
  <c r="I8" i="5"/>
  <c r="I6" i="5"/>
  <c r="I18" i="5" s="1"/>
  <c r="I20" i="5" l="1"/>
  <c r="B19" i="5"/>
  <c r="C16" i="5"/>
  <c r="C19" i="5"/>
  <c r="B18" i="5"/>
  <c r="C18" i="5"/>
  <c r="B17" i="5"/>
  <c r="C17" i="5"/>
  <c r="B16" i="5"/>
  <c r="I19" i="5"/>
  <c r="B15" i="5" s="1"/>
  <c r="B10" i="5"/>
  <c r="B11" i="5"/>
  <c r="B12" i="5"/>
  <c r="C12" i="5"/>
  <c r="C10" i="5"/>
  <c r="C11" i="5"/>
  <c r="C14" i="5"/>
  <c r="B14" i="5"/>
  <c r="C13" i="5"/>
  <c r="C15" i="5"/>
  <c r="B9" i="5"/>
  <c r="C9" i="5"/>
  <c r="C8" i="5"/>
  <c r="B13" i="5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H14" i="1"/>
  <c r="G14" i="1"/>
  <c r="F14" i="1"/>
  <c r="E14" i="1"/>
  <c r="D14" i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4" i="1"/>
  <c r="B6" i="1"/>
  <c r="E6" i="1" s="1"/>
  <c r="I25" i="1" l="1"/>
  <c r="I22" i="1"/>
  <c r="I26" i="1"/>
  <c r="I27" i="1"/>
  <c r="I23" i="1"/>
  <c r="I28" i="1"/>
  <c r="I21" i="1"/>
  <c r="I24" i="1"/>
  <c r="I17" i="1"/>
  <c r="I18" i="1"/>
  <c r="I19" i="1"/>
  <c r="I20" i="1"/>
  <c r="C30" i="1"/>
  <c r="G30" i="1"/>
  <c r="H30" i="1"/>
  <c r="B30" i="1"/>
  <c r="E4" i="2"/>
  <c r="F4" i="2" s="1"/>
  <c r="F7" i="2"/>
  <c r="E3" i="2"/>
  <c r="E2" i="2"/>
  <c r="F6" i="2"/>
  <c r="M3" i="2"/>
  <c r="F5" i="2" s="1"/>
  <c r="K3" i="1" l="1"/>
  <c r="G7" i="2"/>
  <c r="F30" i="1"/>
  <c r="B9" i="1"/>
  <c r="B8" i="1"/>
  <c r="B7" i="1"/>
  <c r="D6" i="1"/>
  <c r="B5" i="1"/>
  <c r="B4" i="1"/>
  <c r="B3" i="1"/>
  <c r="F3" i="2"/>
  <c r="F2" i="2"/>
  <c r="G4" i="1" l="1"/>
  <c r="G3" i="1"/>
  <c r="G4" i="2"/>
  <c r="B10" i="1"/>
  <c r="F8" i="2"/>
  <c r="F10" i="2" s="1"/>
  <c r="D5" i="1"/>
  <c r="E5" i="1"/>
  <c r="D4" i="1"/>
  <c r="E4" i="1"/>
  <c r="D3" i="1"/>
  <c r="E3" i="1"/>
  <c r="D9" i="1"/>
  <c r="E9" i="1"/>
  <c r="D8" i="1"/>
  <c r="E8" i="1"/>
  <c r="D7" i="1"/>
  <c r="E7" i="1"/>
  <c r="I16" i="1"/>
  <c r="D30" i="1"/>
  <c r="I15" i="1"/>
  <c r="E30" i="1"/>
  <c r="I14" i="1"/>
  <c r="J14" i="1" s="1"/>
  <c r="J15" i="1" l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E10" i="1"/>
  <c r="I30" i="1"/>
  <c r="F9" i="2"/>
  <c r="F11" i="2" s="1"/>
  <c r="L29" i="1" l="1"/>
  <c r="L13" i="1"/>
  <c r="L14" i="1"/>
  <c r="L23" i="1"/>
  <c r="L17" i="1"/>
  <c r="L24" i="1"/>
  <c r="L18" i="1"/>
  <c r="L25" i="1"/>
  <c r="L19" i="1"/>
  <c r="L26" i="1"/>
  <c r="L16" i="1"/>
  <c r="L20" i="1"/>
  <c r="L27" i="1"/>
  <c r="L21" i="1"/>
  <c r="L28" i="1"/>
  <c r="L15" i="1"/>
  <c r="L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 Garrido Resina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  <comment ref="E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5 Personas
</t>
        </r>
      </text>
    </comment>
    <comment ref="E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Personas
</t>
        </r>
      </text>
    </comment>
    <comment ref="C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Estimado desde estandar Heroku</t>
        </r>
      </text>
    </comment>
    <comment ref="D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mes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 Garrido Resina</author>
  </authors>
  <commentList>
    <comment ref="C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</commentList>
</comments>
</file>

<file path=xl/sharedStrings.xml><?xml version="1.0" encoding="utf-8"?>
<sst xmlns="http://schemas.openxmlformats.org/spreadsheetml/2006/main" count="319" uniqueCount="221">
  <si>
    <t>Registered time</t>
  </si>
  <si>
    <t>User</t>
  </si>
  <si>
    <t>Álvaro Sánchez López</t>
  </si>
  <si>
    <t>Miguel A. Baños Carretón</t>
  </si>
  <si>
    <t>€/H</t>
  </si>
  <si>
    <t>Concepto</t>
  </si>
  <si>
    <t>€/Ud.</t>
  </si>
  <si>
    <t>Uds.</t>
  </si>
  <si>
    <t>Directo</t>
  </si>
  <si>
    <t>Indirecto</t>
  </si>
  <si>
    <t>Total</t>
  </si>
  <si>
    <t>Tipo</t>
  </si>
  <si>
    <t>Subtipo</t>
  </si>
  <si>
    <t>Salario</t>
  </si>
  <si>
    <t>Marketing(20%)</t>
  </si>
  <si>
    <t>Contingencia(20%)</t>
  </si>
  <si>
    <t>SubTotal</t>
  </si>
  <si>
    <t>Horas</t>
  </si>
  <si>
    <t>…</t>
  </si>
  <si>
    <t>Coste total de personal actual</t>
  </si>
  <si>
    <t>Coste por semana</t>
  </si>
  <si>
    <t>Semana 1</t>
  </si>
  <si>
    <t>Semana 2</t>
  </si>
  <si>
    <t>Semana 3</t>
  </si>
  <si>
    <t>Semana 4</t>
  </si>
  <si>
    <t>Semana 5</t>
  </si>
  <si>
    <t>Semana 6</t>
  </si>
  <si>
    <t>Semana 7</t>
  </si>
  <si>
    <t>Alejandro Garrido Resina</t>
  </si>
  <si>
    <t>Alejandro Román Rodríguez</t>
  </si>
  <si>
    <t>Amortización equipos</t>
  </si>
  <si>
    <t>Amortización</t>
  </si>
  <si>
    <t>nºEquipos</t>
  </si>
  <si>
    <t>Precio</t>
  </si>
  <si>
    <t>Años</t>
  </si>
  <si>
    <t>Duración(meses)</t>
  </si>
  <si>
    <t>-</t>
  </si>
  <si>
    <t>Arrendamientos y canones (local)(mes)</t>
  </si>
  <si>
    <t>Horas semanales</t>
  </si>
  <si>
    <t>Salario Project manager</t>
  </si>
  <si>
    <t>Business Analyst</t>
  </si>
  <si>
    <t>Ingenieros Software</t>
  </si>
  <si>
    <t>Hosting</t>
  </si>
  <si>
    <t>Álvaro Domínguez Núñez</t>
  </si>
  <si>
    <t>Andrés Fernández Alés</t>
  </si>
  <si>
    <t>Jesús Sosa Sánchez</t>
  </si>
  <si>
    <t>Semana 8</t>
  </si>
  <si>
    <t>Semana 9</t>
  </si>
  <si>
    <t>Subtotal</t>
  </si>
  <si>
    <t>Acumulado</t>
  </si>
  <si>
    <t>Total semana</t>
  </si>
  <si>
    <t>Progreso</t>
  </si>
  <si>
    <t>Real</t>
  </si>
  <si>
    <t>Objetivo</t>
  </si>
  <si>
    <t>Gastos indirectos</t>
  </si>
  <si>
    <t>Mes</t>
  </si>
  <si>
    <t>4688(16%)</t>
  </si>
  <si>
    <t>x</t>
  </si>
  <si>
    <t>y</t>
  </si>
  <si>
    <t>z</t>
  </si>
  <si>
    <t>Precio Licencia</t>
  </si>
  <si>
    <t>Nº</t>
  </si>
  <si>
    <t>Tipo Licencia</t>
  </si>
  <si>
    <t>Básica</t>
  </si>
  <si>
    <t>Media</t>
  </si>
  <si>
    <t>Grande</t>
  </si>
  <si>
    <t>Precio total redondeado</t>
  </si>
  <si>
    <t>Precio mensual</t>
  </si>
  <si>
    <t>Precio mensual redondeado</t>
  </si>
  <si>
    <t>A partir del 3 trimestre</t>
  </si>
  <si>
    <t>Inicial</t>
  </si>
  <si>
    <t>A partir del 3 mes</t>
  </si>
  <si>
    <t>A partir del 6 mes</t>
  </si>
  <si>
    <t>A partir del 9 mes</t>
  </si>
  <si>
    <t>23F</t>
  </si>
  <si>
    <t>15-28</t>
  </si>
  <si>
    <t>29 a 5</t>
  </si>
  <si>
    <t>Identificación errores</t>
  </si>
  <si>
    <t>Nº Identificados</t>
  </si>
  <si>
    <t>Solucionados</t>
  </si>
  <si>
    <t>Repartos irregulares</t>
  </si>
  <si>
    <t>Sp asignados</t>
  </si>
  <si>
    <t>Usuario</t>
  </si>
  <si>
    <t>Sprint 2</t>
  </si>
  <si>
    <t>Sprint 3</t>
  </si>
  <si>
    <t>Sprint 1</t>
  </si>
  <si>
    <t>S1 Est.</t>
  </si>
  <si>
    <t>S1 Ded.</t>
  </si>
  <si>
    <t>S2 Est.</t>
  </si>
  <si>
    <t>Error</t>
  </si>
  <si>
    <t>Presentacion 1</t>
  </si>
  <si>
    <t>Presentacion 2</t>
  </si>
  <si>
    <t>Informe</t>
  </si>
  <si>
    <t>Plan pilotaje</t>
  </si>
  <si>
    <t>Buscar metricas</t>
  </si>
  <si>
    <t>Video 1</t>
  </si>
  <si>
    <t>Video 2</t>
  </si>
  <si>
    <t>Ejercicio 1</t>
  </si>
  <si>
    <t>Ejercicio 2</t>
  </si>
  <si>
    <t>Ejercicio 3</t>
  </si>
  <si>
    <t>Ejercicio 4</t>
  </si>
  <si>
    <t>Ejercicio 5</t>
  </si>
  <si>
    <t>Welcome</t>
  </si>
  <si>
    <t>Diseño welcome</t>
  </si>
  <si>
    <t>Navbar</t>
  </si>
  <si>
    <t>Estandarizacion</t>
  </si>
  <si>
    <t>Diseño responsive</t>
  </si>
  <si>
    <t>Automatizacion despliege</t>
  </si>
  <si>
    <t>Registros escuel</t>
  </si>
  <si>
    <t>Editar prog</t>
  </si>
  <si>
    <t>Lista ejr</t>
  </si>
  <si>
    <t>Lista ejr prop</t>
  </si>
  <si>
    <t>Metodos CRUD note</t>
  </si>
  <si>
    <t>Ver saldo</t>
  </si>
  <si>
    <t>Editar perfil</t>
  </si>
  <si>
    <t>Listar ejercicio (act1)</t>
  </si>
  <si>
    <t>Listar ejercicio (act2)</t>
  </si>
  <si>
    <t>Cambiar modelo para compra</t>
  </si>
  <si>
    <t>Paypal</t>
  </si>
  <si>
    <t>Creacion asig</t>
  </si>
  <si>
    <t>Gestion prof</t>
  </si>
  <si>
    <t xml:space="preserve">Gestion estudiante </t>
  </si>
  <si>
    <t>List</t>
  </si>
  <si>
    <t>Visualizacion note</t>
  </si>
  <si>
    <t>Editar</t>
  </si>
  <si>
    <t>Listar asig</t>
  </si>
  <si>
    <t>Visualizar note y ejec</t>
  </si>
  <si>
    <t>Tareas gordas</t>
  </si>
  <si>
    <t>Tar. Gordas</t>
  </si>
  <si>
    <t>Tareas</t>
  </si>
  <si>
    <t>Porcentaje</t>
  </si>
  <si>
    <t>Valor limite</t>
  </si>
  <si>
    <t>SP S1</t>
  </si>
  <si>
    <t>SP S2</t>
  </si>
  <si>
    <t>Notebook</t>
  </si>
  <si>
    <t>Chart</t>
  </si>
  <si>
    <t>Powerpoint</t>
  </si>
  <si>
    <t>Report</t>
  </si>
  <si>
    <t>Plan</t>
  </si>
  <si>
    <t>Ej dis</t>
  </si>
  <si>
    <t>Crear</t>
  </si>
  <si>
    <t>Chartr</t>
  </si>
  <si>
    <t>Creacion</t>
  </si>
  <si>
    <t>Django</t>
  </si>
  <si>
    <t>Digital</t>
  </si>
  <si>
    <t>Bootstrap</t>
  </si>
  <si>
    <t>AleG</t>
  </si>
  <si>
    <t>Ale R</t>
  </si>
  <si>
    <t>Alv D</t>
  </si>
  <si>
    <t>Migue</t>
  </si>
  <si>
    <t>Andres</t>
  </si>
  <si>
    <t>Jesus</t>
  </si>
  <si>
    <t>Alv S</t>
  </si>
  <si>
    <t>(a partir de marzo)</t>
  </si>
  <si>
    <t>SP S3</t>
  </si>
  <si>
    <t>Boton guardar/publicar</t>
  </si>
  <si>
    <t>Vista solo lectura programador</t>
  </si>
  <si>
    <t>Investigar cifrado</t>
  </si>
  <si>
    <t>Seguridad logica CRUD</t>
  </si>
  <si>
    <t>Persistencia ID Grafica</t>
  </si>
  <si>
    <t>Vista lectura escuela</t>
  </si>
  <si>
    <t>Vista detalle escuela</t>
  </si>
  <si>
    <t>[Analisis]Persistencia ilustraciones</t>
  </si>
  <si>
    <t>[Impl]Persistencia ilustraciones</t>
  </si>
  <si>
    <t>[Analisis]Sandbox</t>
  </si>
  <si>
    <t>[Impl]Sandbox</t>
  </si>
  <si>
    <t>Ejercicio interactivo</t>
  </si>
  <si>
    <t>Tarea periodica cobro</t>
  </si>
  <si>
    <t>Cobro prog paypal</t>
  </si>
  <si>
    <t>Carga inicial datos</t>
  </si>
  <si>
    <t>Creacion video</t>
  </si>
  <si>
    <t>Insercion video</t>
  </si>
  <si>
    <t>Demo semana 1</t>
  </si>
  <si>
    <t>Demo semana 2</t>
  </si>
  <si>
    <t>[Analisis]Librerias excel</t>
  </si>
  <si>
    <t xml:space="preserve">Excel tipo </t>
  </si>
  <si>
    <t>Vista excel</t>
  </si>
  <si>
    <t>Tratamiento excel</t>
  </si>
  <si>
    <t>[Analisis]Info segura alumnos</t>
  </si>
  <si>
    <t>[Impl]Info segura</t>
  </si>
  <si>
    <t>Alvaro S</t>
  </si>
  <si>
    <t>Cambio modelo asignaturas</t>
  </si>
  <si>
    <t>Plantilla PDF</t>
  </si>
  <si>
    <t>Escuela gratuita</t>
  </si>
  <si>
    <t>Vigencia licencia</t>
  </si>
  <si>
    <t>Promocionar ejercicio</t>
  </si>
  <si>
    <t>Gestion licencias escuela</t>
  </si>
  <si>
    <t>Cambios modelos (correccion</t>
  </si>
  <si>
    <t>Especificacion req. Y UML</t>
  </si>
  <si>
    <t>Alvaro D</t>
  </si>
  <si>
    <t>Actualizar pantalla ppal</t>
  </si>
  <si>
    <t>Idea video prom</t>
  </si>
  <si>
    <t>Sonido video prom</t>
  </si>
  <si>
    <t>Publicidad RRSS</t>
  </si>
  <si>
    <t>Presentacion Sem1</t>
  </si>
  <si>
    <t>Presentacion Sem2</t>
  </si>
  <si>
    <t>Informe mejora Sem1</t>
  </si>
  <si>
    <t>Informe mejora Sem2</t>
  </si>
  <si>
    <t>Montaje entrega</t>
  </si>
  <si>
    <t>Reuniones pilotaje</t>
  </si>
  <si>
    <t>Plan contingencia</t>
  </si>
  <si>
    <t>Ale G</t>
  </si>
  <si>
    <t>Nav Mejora diseño</t>
  </si>
  <si>
    <t>Navegacion</t>
  </si>
  <si>
    <t>Diseño listados</t>
  </si>
  <si>
    <t>Validacion rojo</t>
  </si>
  <si>
    <t>Mejora diseño notebook</t>
  </si>
  <si>
    <t>Documentacion presupuesto</t>
  </si>
  <si>
    <t>S3 Est.</t>
  </si>
  <si>
    <t>S2 Ded.</t>
  </si>
  <si>
    <t>Diseño y estanradizacion</t>
  </si>
  <si>
    <t>Seguridad Sem 1</t>
  </si>
  <si>
    <t>Seguridad Sem 2</t>
  </si>
  <si>
    <t>Seguridad escuela</t>
  </si>
  <si>
    <t xml:space="preserve"> </t>
  </si>
  <si>
    <t>Semana 10</t>
  </si>
  <si>
    <t>Semana 11</t>
  </si>
  <si>
    <t>Semana 12</t>
  </si>
  <si>
    <t>Semana 13</t>
  </si>
  <si>
    <t>Semana 14</t>
  </si>
  <si>
    <t>Semana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</si>
</sst>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400]h:mm:ss\ AM/PM"/>
    <numFmt numFmtId="165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44" fontId="0" fillId="0" borderId="0" xfId="0" applyNumberFormat="1"/>
    <xf numFmtId="0" fontId="0" fillId="34" borderId="10" xfId="0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8" borderId="11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7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4" fontId="0" fillId="39" borderId="0" xfId="0" applyNumberFormat="1" applyFill="1"/>
    <xf numFmtId="0" fontId="0" fillId="40" borderId="0" xfId="0" applyFill="1"/>
    <xf numFmtId="0" fontId="0" fillId="34" borderId="0" xfId="0" applyFill="1"/>
    <xf numFmtId="0" fontId="0" fillId="0" borderId="11" xfId="0" applyBorder="1"/>
    <xf numFmtId="0" fontId="0" fillId="0" borderId="0" xfId="0" applyBorder="1"/>
    <xf numFmtId="0" fontId="0" fillId="35" borderId="12" xfId="0" applyFill="1" applyBorder="1"/>
    <xf numFmtId="0" fontId="0" fillId="33" borderId="13" xfId="0" applyFill="1" applyBorder="1"/>
    <xf numFmtId="0" fontId="0" fillId="41" borderId="13" xfId="0" applyFill="1" applyBorder="1"/>
    <xf numFmtId="0" fontId="0" fillId="42" borderId="13" xfId="0" applyFill="1" applyBorder="1"/>
    <xf numFmtId="44" fontId="0" fillId="41" borderId="14" xfId="1" applyFont="1" applyFill="1" applyBorder="1"/>
    <xf numFmtId="0" fontId="0" fillId="33" borderId="0" xfId="0" applyFill="1" applyBorder="1"/>
    <xf numFmtId="44" fontId="0" fillId="33" borderId="15" xfId="1" applyFont="1" applyFill="1" applyBorder="1"/>
    <xf numFmtId="0" fontId="0" fillId="41" borderId="17" xfId="0" applyFill="1" applyBorder="1"/>
    <xf numFmtId="44" fontId="0" fillId="41" borderId="18" xfId="1" applyFont="1" applyFill="1" applyBorder="1"/>
    <xf numFmtId="0" fontId="0" fillId="43" borderId="12" xfId="0" applyFill="1" applyBorder="1"/>
    <xf numFmtId="44" fontId="0" fillId="33" borderId="14" xfId="1" applyFont="1" applyFill="1" applyBorder="1"/>
    <xf numFmtId="0" fontId="0" fillId="41" borderId="0" xfId="0" applyFill="1" applyBorder="1"/>
    <xf numFmtId="44" fontId="0" fillId="41" borderId="15" xfId="1" applyFont="1" applyFill="1" applyBorder="1"/>
    <xf numFmtId="0" fontId="0" fillId="33" borderId="17" xfId="0" applyFill="1" applyBorder="1"/>
    <xf numFmtId="44" fontId="0" fillId="33" borderId="18" xfId="1" applyFont="1" applyFill="1" applyBorder="1"/>
    <xf numFmtId="0" fontId="0" fillId="0" borderId="0" xfId="0" applyNumberFormat="1"/>
    <xf numFmtId="165" fontId="0" fillId="0" borderId="11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0" fontId="0" fillId="44" borderId="12" xfId="0" applyFill="1" applyBorder="1"/>
    <xf numFmtId="0" fontId="0" fillId="44" borderId="13" xfId="0" applyFill="1" applyBorder="1"/>
    <xf numFmtId="0" fontId="0" fillId="44" borderId="16" xfId="0" applyFill="1" applyBorder="1"/>
    <xf numFmtId="0" fontId="0" fillId="44" borderId="17" xfId="0" applyFill="1" applyBorder="1"/>
    <xf numFmtId="44" fontId="0" fillId="45" borderId="14" xfId="0" applyNumberFormat="1" applyFill="1" applyBorder="1"/>
    <xf numFmtId="44" fontId="0" fillId="45" borderId="18" xfId="0" applyNumberFormat="1" applyFill="1" applyBorder="1"/>
    <xf numFmtId="0" fontId="0" fillId="41" borderId="12" xfId="0" applyFill="1" applyBorder="1"/>
    <xf numFmtId="0" fontId="0" fillId="33" borderId="11" xfId="0" applyFill="1" applyBorder="1"/>
    <xf numFmtId="0" fontId="20" fillId="41" borderId="16" xfId="0" applyFont="1" applyFill="1" applyBorder="1"/>
    <xf numFmtId="0" fontId="0" fillId="33" borderId="12" xfId="0" applyFill="1" applyBorder="1"/>
    <xf numFmtId="0" fontId="0" fillId="41" borderId="11" xfId="0" applyFill="1" applyBorder="1"/>
    <xf numFmtId="0" fontId="0" fillId="33" borderId="16" xfId="0" applyFill="1" applyBorder="1"/>
    <xf numFmtId="0" fontId="0" fillId="46" borderId="16" xfId="0" applyFill="1" applyBorder="1" applyAlignment="1">
      <alignment horizontal="center" vertical="center"/>
    </xf>
    <xf numFmtId="44" fontId="0" fillId="46" borderId="18" xfId="0" applyNumberFormat="1" applyFill="1" applyBorder="1" applyAlignment="1">
      <alignment horizontal="center" vertical="center"/>
    </xf>
    <xf numFmtId="0" fontId="0" fillId="44" borderId="19" xfId="0" applyFill="1" applyBorder="1"/>
    <xf numFmtId="0" fontId="0" fillId="44" borderId="21" xfId="0" applyFill="1" applyBorder="1"/>
    <xf numFmtId="0" fontId="0" fillId="44" borderId="22" xfId="0" applyFill="1" applyBorder="1"/>
    <xf numFmtId="9" fontId="0" fillId="46" borderId="22" xfId="43" applyFont="1" applyFill="1" applyBorder="1" applyAlignment="1">
      <alignment horizontal="center" vertical="center"/>
    </xf>
    <xf numFmtId="1" fontId="0" fillId="46" borderId="24" xfId="0" applyNumberFormat="1" applyFill="1" applyBorder="1" applyAlignment="1">
      <alignment horizontal="center" vertical="center"/>
    </xf>
    <xf numFmtId="0" fontId="0" fillId="46" borderId="24" xfId="0" applyFill="1" applyBorder="1" applyAlignment="1">
      <alignment horizontal="center" vertical="center"/>
    </xf>
    <xf numFmtId="0" fontId="0" fillId="35" borderId="13" xfId="0" applyNumberFormat="1" applyFill="1" applyBorder="1"/>
    <xf numFmtId="0" fontId="0" fillId="35" borderId="13" xfId="0" applyFill="1" applyBorder="1"/>
    <xf numFmtId="2" fontId="0" fillId="35" borderId="13" xfId="0" applyNumberFormat="1" applyFill="1" applyBorder="1"/>
    <xf numFmtId="165" fontId="0" fillId="35" borderId="14" xfId="0" applyNumberFormat="1" applyFill="1" applyBorder="1"/>
    <xf numFmtId="0" fontId="0" fillId="35" borderId="0" xfId="0" applyNumberFormat="1" applyFill="1" applyBorder="1"/>
    <xf numFmtId="0" fontId="0" fillId="35" borderId="0" xfId="0" applyFill="1" applyBorder="1"/>
    <xf numFmtId="2" fontId="0" fillId="35" borderId="0" xfId="0" applyNumberFormat="1" applyFill="1" applyBorder="1"/>
    <xf numFmtId="165" fontId="0" fillId="35" borderId="15" xfId="0" applyNumberFormat="1" applyFill="1" applyBorder="1"/>
    <xf numFmtId="0" fontId="0" fillId="35" borderId="17" xfId="0" applyNumberFormat="1" applyFill="1" applyBorder="1"/>
    <xf numFmtId="0" fontId="0" fillId="35" borderId="17" xfId="0" applyFill="1" applyBorder="1"/>
    <xf numFmtId="2" fontId="0" fillId="35" borderId="17" xfId="0" applyNumberFormat="1" applyFill="1" applyBorder="1"/>
    <xf numFmtId="165" fontId="0" fillId="35" borderId="18" xfId="0" applyNumberFormat="1" applyFill="1" applyBorder="1"/>
    <xf numFmtId="0" fontId="0" fillId="43" borderId="11" xfId="0" applyFill="1" applyBorder="1"/>
    <xf numFmtId="0" fontId="0" fillId="43" borderId="16" xfId="0" applyFill="1" applyBorder="1"/>
    <xf numFmtId="0" fontId="0" fillId="47" borderId="0" xfId="0" applyFill="1"/>
    <xf numFmtId="44" fontId="0" fillId="42" borderId="0" xfId="0" applyNumberFormat="1" applyFill="1"/>
    <xf numFmtId="0" fontId="21" fillId="0" borderId="0" xfId="0" applyFont="1"/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/>
    <xf numFmtId="0" fontId="0" fillId="43" borderId="24" xfId="0" applyFill="1" applyBorder="1"/>
    <xf numFmtId="0" fontId="0" fillId="35" borderId="22" xfId="0" applyFill="1" applyBorder="1"/>
    <xf numFmtId="0" fontId="0" fillId="43" borderId="10" xfId="0" applyFill="1" applyBorder="1"/>
    <xf numFmtId="0" fontId="0" fillId="35" borderId="23" xfId="0" applyFill="1" applyBorder="1"/>
    <xf numFmtId="0" fontId="0" fillId="35" borderId="24" xfId="0" applyFill="1" applyBorder="1"/>
    <xf numFmtId="0" fontId="0" fillId="0" borderId="0" xfId="0" applyFill="1" applyBorder="1" applyAlignment="1"/>
    <xf numFmtId="0" fontId="0" fillId="47" borderId="19" xfId="0" applyFill="1" applyBorder="1" applyAlignment="1"/>
    <xf numFmtId="0" fontId="0" fillId="47" borderId="20" xfId="0" applyFill="1" applyBorder="1" applyAlignment="1"/>
    <xf numFmtId="0" fontId="0" fillId="47" borderId="21" xfId="0" applyFill="1" applyBorder="1" applyAlignment="1"/>
    <xf numFmtId="0" fontId="0" fillId="46" borderId="10" xfId="0" applyFill="1" applyBorder="1" applyAlignment="1"/>
    <xf numFmtId="0" fontId="0" fillId="46" borderId="10" xfId="0" applyFill="1" applyBorder="1" applyAlignment="1">
      <alignment horizontal="center"/>
    </xf>
    <xf numFmtId="0" fontId="0" fillId="33" borderId="24" xfId="0" applyFill="1" applyBorder="1" applyAlignment="1"/>
    <xf numFmtId="0" fontId="0" fillId="49" borderId="10" xfId="0" applyFill="1" applyBorder="1"/>
    <xf numFmtId="0" fontId="0" fillId="33" borderId="10" xfId="0" applyFill="1" applyBorder="1"/>
    <xf numFmtId="0" fontId="0" fillId="49" borderId="19" xfId="0" applyFill="1" applyBorder="1"/>
    <xf numFmtId="0" fontId="0" fillId="49" borderId="21" xfId="0" applyFill="1" applyBorder="1"/>
    <xf numFmtId="0" fontId="0" fillId="46" borderId="10" xfId="0" applyFill="1" applyBorder="1"/>
    <xf numFmtId="0" fontId="0" fillId="38" borderId="22" xfId="0" applyFill="1" applyBorder="1"/>
    <xf numFmtId="0" fontId="0" fillId="38" borderId="23" xfId="0" applyFill="1" applyBorder="1"/>
    <xf numFmtId="0" fontId="0" fillId="50" borderId="19" xfId="0" applyFill="1" applyBorder="1"/>
    <xf numFmtId="0" fontId="0" fillId="38" borderId="10" xfId="0" applyFill="1" applyBorder="1"/>
    <xf numFmtId="0" fontId="0" fillId="35" borderId="22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7" borderId="16" xfId="0" applyFill="1" applyBorder="1"/>
    <xf numFmtId="0" fontId="0" fillId="37" borderId="17" xfId="0" applyFill="1" applyBorder="1"/>
    <xf numFmtId="0" fontId="0" fillId="0" borderId="23" xfId="0" applyFill="1" applyBorder="1"/>
    <xf numFmtId="0" fontId="0" fillId="37" borderId="24" xfId="0" applyFill="1" applyBorder="1"/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5" borderId="12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21" xfId="0" applyFill="1" applyBorder="1" applyAlignment="1">
      <alignment horizontal="center"/>
    </xf>
    <xf numFmtId="0" fontId="0" fillId="47" borderId="19" xfId="0" applyFill="1" applyBorder="1" applyAlignment="1">
      <alignment horizontal="center"/>
    </xf>
    <xf numFmtId="0" fontId="0" fillId="47" borderId="20" xfId="0" applyFill="1" applyBorder="1" applyAlignment="1">
      <alignment horizontal="center"/>
    </xf>
    <xf numFmtId="0" fontId="0" fillId="47" borderId="21" xfId="0" applyFill="1" applyBorder="1" applyAlignment="1">
      <alignment horizontal="center"/>
    </xf>
    <xf numFmtId="0" fontId="0" fillId="50" borderId="19" xfId="0" applyFont="1" applyFill="1" applyBorder="1" applyAlignment="1">
      <alignment horizontal="center"/>
    </xf>
    <xf numFmtId="0" fontId="0" fillId="50" borderId="20" xfId="0" applyFont="1" applyFill="1" applyBorder="1" applyAlignment="1">
      <alignment horizontal="center"/>
    </xf>
    <xf numFmtId="0" fontId="0" fillId="50" borderId="21" xfId="0" applyFont="1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41" borderId="20" xfId="0" applyFill="1" applyBorder="1" applyAlignment="1">
      <alignment horizontal="center"/>
    </xf>
    <xf numFmtId="0" fontId="0" fillId="41" borderId="21" xfId="0" applyFill="1" applyBorder="1" applyAlignment="1">
      <alignment horizontal="center"/>
    </xf>
    <xf numFmtId="0" fontId="0" fillId="45" borderId="20" xfId="0" applyFill="1" applyBorder="1" applyAlignment="1">
      <alignment horizontal="center"/>
    </xf>
    <xf numFmtId="0" fontId="0" fillId="44" borderId="19" xfId="0" applyFill="1" applyBorder="1" applyAlignment="1">
      <alignment horizontal="center"/>
    </xf>
    <xf numFmtId="0" fontId="0" fillId="44" borderId="20" xfId="0" applyFill="1" applyBorder="1" applyAlignment="1">
      <alignment horizontal="center"/>
    </xf>
    <xf numFmtId="0" fontId="0" fillId="44" borderId="21" xfId="0" applyFill="1" applyBorder="1" applyAlignment="1">
      <alignment horizontal="center"/>
    </xf>
    <xf numFmtId="0" fontId="0" fillId="0" borderId="0" xfId="0" applyAlignment="1">
      <alignment horizontal="right"/>
    </xf>
    <xf numFmtId="0" fontId="13" fillId="47" borderId="19" xfId="0" applyFont="1" applyFill="1" applyBorder="1" applyAlignment="1"/>
    <xf numFmtId="0" fontId="0" fillId="0" borderId="0" xfId="0" applyAlignment="1">
      <alignment horizontal="right" indent="1"/>
    </xf>
    <xf numFmtId="0" fontId="0" fillId="33" borderId="0" xfId="0" applyFill="1" applyBorder="1" applyAlignment="1">
      <alignment horizontal="right"/>
    </xf>
    <xf numFmtId="0" fontId="0" fillId="33" borderId="0" xfId="0" applyFill="1"/>
    <xf numFmtId="0" fontId="13" fillId="43" borderId="24" xfId="0" applyFont="1" applyFill="1" applyBorder="1"/>
    <xf numFmtId="0" fontId="13" fillId="43" borderId="0" xfId="0" applyFont="1" applyFill="1" applyBorder="1"/>
    <xf numFmtId="0" fontId="13" fillId="43" borderId="10" xfId="0" applyFont="1" applyFill="1" applyBorder="1"/>
    <xf numFmtId="0" fontId="0" fillId="35" borderId="0" xfId="0" applyNumberFormat="1" applyFill="1"/>
    <xf numFmtId="0" fontId="0" fillId="0" borderId="0" xfId="0" applyNumberFormat="1" applyFill="1" applyBorder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Porcentaje" xfId="43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Caculadora!$G$1:$G$2</c:f>
              <c:strCache>
                <c:ptCount val="2"/>
                <c:pt idx="0">
                  <c:v>Progreso</c:v>
                </c:pt>
                <c:pt idx="1">
                  <c:v>Real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4688#(16%)</a:t>
                    </a:r>
                    <a:br>
                      <a:rPr lang="en-US"/>
                    </a:br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Caculadora!$G$3</c:f>
              <c:numCache>
                <c:formatCode>0%</c:formatCode>
                <c:ptCount val="1"/>
                <c:pt idx="0">
                  <c:v>0.55350965818358699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9-4349-BB70-B4830E9B9444}"/>
            </c:ext>
          </c:extLst>
        </c:ser>
        <c:ser>
          <c:idx val="1"/>
          <c:order val="1"/>
          <c:tx>
            <c:strRef>
              <c:f>Caculadora!$H$1:$H$2</c:f>
              <c:strCache>
                <c:ptCount val="2"/>
                <c:pt idx="0">
                  <c:v>Progreso</c:v>
                </c:pt>
                <c:pt idx="1">
                  <c:v>Objetivo</c:v>
                </c:pt>
              </c:strCache>
            </c:strRef>
          </c:tx>
          <c:spPr>
            <a:solidFill>
              <a:schemeClr val="accent1">
                <a:alpha val="15000"/>
              </a:schemeClr>
            </a:soli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19C38A9-BCE2-4F3E-A795-1FE93E1CC0BC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Caculadora!$H$4</c15:f>
                <c15:dlblRangeCache>
                  <c:ptCount val="1"/>
                  <c:pt idx="0">
                    <c:v>29000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409-4349-BB70-B4830E9B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2950656"/>
        <c:axId val="320139776"/>
      </c:barChart>
      <c:valAx>
        <c:axId val="320139776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0656"/>
        <c:crosses val="max"/>
        <c:crossBetween val="between"/>
        <c:majorUnit val="0.25"/>
      </c:valAx>
      <c:catAx>
        <c:axId val="322950656"/>
        <c:scaling>
          <c:orientation val="minMax"/>
        </c:scaling>
        <c:delete val="1"/>
        <c:axPos val="l"/>
        <c:majorTickMark val="out"/>
        <c:minorTickMark val="none"/>
        <c:tickLblPos val="nextTo"/>
        <c:crossAx val="32013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9203849518809"/>
          <c:y val="6.9444444444444448E-2"/>
          <c:w val="0.68473139526760662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E-482A-8138-6F93BA323EB6}"/>
            </c:ext>
          </c:extLst>
        </c:ser>
        <c:ser>
          <c:idx val="2"/>
          <c:order val="2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E-482A-8138-6F93BA32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51680"/>
        <c:axId val="320142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CE-482A-8138-6F93BA323EB6}"/>
                  </c:ext>
                </c:extLst>
              </c15:ser>
            </c15:filteredLineSeries>
          </c:ext>
        </c:extLst>
      </c:lineChart>
      <c:catAx>
        <c:axId val="32295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</a:t>
                </a:r>
              </a:p>
            </c:rich>
          </c:tx>
          <c:layout>
            <c:manualLayout>
              <c:xMode val="edge"/>
              <c:yMode val="edge"/>
              <c:x val="0.86692234763430231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142080"/>
        <c:crosses val="autoZero"/>
        <c:auto val="1"/>
        <c:lblAlgn val="ctr"/>
        <c:lblOffset val="100"/>
        <c:noMultiLvlLbl val="0"/>
      </c:catAx>
      <c:valAx>
        <c:axId val="32014208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Presupuesto</a:t>
                </a:r>
                <a:r>
                  <a:rPr lang="es-ES" baseline="0"/>
                  <a:t> (€)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1"/>
        <c:axId val="532476552"/>
        <c:axId val="532476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Caculadora!$H$2:$H$3</c15:sqref>
                        </c15:formulaRef>
                      </c:ext>
                    </c:extLst>
                    <c:strCache>
                      <c:ptCount val="1"/>
                      <c:pt idx="0">
                        <c:v>Objetivo 100%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265-4F25-A2FB-0BD8B087B9C9}"/>
                  </c:ext>
                </c:extLst>
              </c15:ser>
            </c15:filteredBarSeries>
          </c:ext>
        </c:extLst>
      </c:barChar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1"/>
        <c:axId val="637636648"/>
        <c:axId val="637642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Caculadora!$G$2:$G$3</c15:sqref>
                        </c15:formulaRef>
                      </c:ext>
                    </c:extLst>
                    <c:strCache>
                      <c:ptCount val="1"/>
                      <c:pt idx="0">
                        <c:v>Real 55%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265-4F25-A2FB-0BD8B087B9C9}"/>
                  </c:ext>
                </c:extLst>
              </c15:ser>
            </c15:filteredBarSeries>
          </c:ext>
        </c:extLst>
      </c:barChart>
      <c:valAx>
        <c:axId val="53247622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476552"/>
        <c:crosses val="max"/>
        <c:crossBetween val="between"/>
      </c:valAx>
      <c:catAx>
        <c:axId val="532476552"/>
        <c:scaling>
          <c:orientation val="minMax"/>
        </c:scaling>
        <c:delete val="1"/>
        <c:axPos val="l"/>
        <c:majorTickMark val="out"/>
        <c:minorTickMark val="none"/>
        <c:tickLblPos val="nextTo"/>
        <c:crossAx val="532476224"/>
        <c:crosses val="autoZero"/>
        <c:auto val="1"/>
        <c:lblAlgn val="ctr"/>
        <c:lblOffset val="100"/>
        <c:noMultiLvlLbl val="0"/>
      </c:catAx>
      <c:valAx>
        <c:axId val="637642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636648"/>
        <c:crosses val="autoZero"/>
        <c:crossBetween val="between"/>
      </c:valAx>
      <c:catAx>
        <c:axId val="637636648"/>
        <c:scaling>
          <c:orientation val="minMax"/>
        </c:scaling>
        <c:delete val="1"/>
        <c:axPos val="l"/>
        <c:majorTickMark val="out"/>
        <c:minorTickMark val="none"/>
        <c:tickLblPos val="nextTo"/>
        <c:crossAx val="637642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2950656"/>
        <c:axId val="32013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Caculadora!$G$1:$G$2</c15:sqref>
                        </c15:formulaRef>
                      </c:ext>
                    </c:extLst>
                    <c:strCache>
                      <c:ptCount val="2"/>
                      <c:pt idx="0">
                        <c:v>Progreso</c:v>
                      </c:pt>
                      <c:pt idx="1">
                        <c:v>Real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solidFill>
                      <a:schemeClr val="accent1"/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Caculadora!$G$3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Caculadora!$G$3</c15:sqref>
                        <c15:dLbl>
                          <c:idx val="-1"/>
                          <c:tx>
                            <c:rich>
                              <a:bodyPr/>
                              <a:lstStyle/>
                              <a:p>
                                <a:r>
                                  <a:rPr lang="en-US"/>
                                  <a:t>4688#(16%)</a:t>
                                </a:r>
                                <a:br>
                                  <a:rPr lang="en-US"/>
                                </a:br>
                                <a:endParaRPr lang="en-US"/>
                              </a:p>
                            </c:rich>
                          </c:tx>
                          <c:dLblPos val="inEnd"/>
                          <c:showLegendKey val="0"/>
                          <c:showVal val="0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0-B5E8-4102-A9F2-C6B9F3CE44B9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1-BDD2-4A28-88C6-261E584C24C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Caculadora!$H$1:$H$2</c15:sqref>
                        </c15:formulaRef>
                      </c:ext>
                    </c:extLst>
                    <c:strCache>
                      <c:ptCount val="2"/>
                      <c:pt idx="0">
                        <c:v>Progreso</c:v>
                      </c:pt>
                      <c:pt idx="1">
                        <c:v>Objetivo</c:v>
                      </c:pt>
                    </c:strCache>
                  </c:strRef>
                </c:tx>
                <c:spPr>
                  <a:solidFill>
                    <a:schemeClr val="accent1">
                      <a:alpha val="15000"/>
                    </a:schemeClr>
                  </a:solidFill>
                  <a:ln>
                    <a:solidFill>
                      <a:schemeClr val="accent1"/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DataLabelsRange val="1"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Caculadora!$H$3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Caculadora!$H$4</c15:f>
                      <c15:dlblRangeCache>
                        <c:ptCount val="1"/>
                        <c:pt idx="0">
                          <c:v>29000</c:v>
                        </c:pt>
                      </c15:dlblRangeCache>
                    </c15:datalabelsRange>
                  </c:ext>
                  <c:ext xmlns:c15="http://schemas.microsoft.com/office/drawing/2012/chart" uri="{02D57815-91ED-43cb-92C2-25804820EDAC}">
                    <c15:categoryFilterExceptions>
                      <c15:categoryFilterException>
                        <c15:sqref>Caculadora!$H$3</c15:sqref>
                        <c15:dLbl>
                          <c:idx val="-1"/>
                          <c:tx>
                            <c:rich>
                              <a:bodyPr/>
                              <a:lstStyle/>
                              <a:p>
                                <a:fld id="{CFDC6F51-8DF1-452B-B426-4E93378297F7}" type="CELLRANGE">
                                  <a:rPr lang="en-US"/>
                                  <a:pPr/>
                                  <a:t>[CELLRANGE]</a:t>
                                </a:fld>
                                <a:endParaRPr lang="es-ES"/>
                              </a:p>
                            </c:rich>
                          </c:tx>
                          <c:showLegendKey val="0"/>
                          <c:showVal val="0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>
                              <c15:dlblFieldTable/>
                              <c15:showDataLabelsRange val="1"/>
                            </c:ext>
                            <c:ext xmlns:c16="http://schemas.microsoft.com/office/drawing/2014/chart" uri="{C3380CC4-5D6E-409C-BE32-E72D297353CC}">
                              <c16:uniqueId val="{00000001-B5E8-4102-A9F2-C6B9F3CE44B9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3-BDD2-4A28-88C6-261E584C24CF}"/>
                  </c:ext>
                </c:extLst>
              </c15:ser>
            </c15:filteredBarSeries>
          </c:ext>
        </c:extLst>
      </c:barChart>
      <c:valAx>
        <c:axId val="320139776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950656"/>
        <c:crosses val="max"/>
        <c:crossBetween val="between"/>
        <c:majorUnit val="0.25"/>
      </c:valAx>
      <c:catAx>
        <c:axId val="322950656"/>
        <c:scaling>
          <c:orientation val="minMax"/>
        </c:scaling>
        <c:delete val="1"/>
        <c:axPos val="l"/>
        <c:majorTickMark val="out"/>
        <c:minorTickMark val="none"/>
        <c:tickLblPos val="nextTo"/>
        <c:crossAx val="32013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  <a:ln w="12700">
              <a:solidFill>
                <a:schemeClr val="accent1"/>
              </a:solidFill>
            </a:ln>
            <a:effectLst/>
          </c:spPr>
          <c:invertIfNegative val="0"/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Caculadora!$G$3</c:f>
              <c:numCache>
                <c:formatCode>0%</c:formatCode>
                <c:ptCount val="1"/>
                <c:pt idx="0">
                  <c:v>0.55350965818358699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4-400A-B33D-B67D2768AA75}"/>
            </c:ext>
          </c:extLst>
        </c:ser>
        <c:ser>
          <c:idx val="1"/>
          <c:order val="1"/>
          <c:spPr>
            <a:solidFill>
              <a:schemeClr val="accent1">
                <a:alpha val="15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 w="12700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1374-400A-B33D-B67D2768AA75}"/>
              </c:ext>
            </c:extLst>
          </c:dPt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4-400A-B33D-B67D2768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1"/>
        <c:overlap val="100"/>
        <c:axId val="530596592"/>
        <c:axId val="530596920"/>
      </c:barChart>
      <c:catAx>
        <c:axId val="53059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596920"/>
        <c:crosses val="autoZero"/>
        <c:auto val="1"/>
        <c:lblAlgn val="ctr"/>
        <c:lblOffset val="100"/>
        <c:noMultiLvlLbl val="0"/>
      </c:catAx>
      <c:valAx>
        <c:axId val="5305969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596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1">
                <a:alpha val="15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 w="12700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4E0C-435C-BC82-ECD95DF43843}"/>
              </c:ext>
            </c:extLst>
          </c:dPt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C-435C-BC82-ECD95DF43843}"/>
            </c:ext>
          </c:extLst>
        </c:ser>
        <c:ser>
          <c:idx val="2"/>
          <c:order val="1"/>
          <c:tx>
            <c:v>Horas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Caculadora!$G$6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C-435C-BC82-ECD95DF43843}"/>
            </c:ext>
          </c:extLst>
        </c:ser>
        <c:ser>
          <c:idx val="0"/>
          <c:order val="2"/>
          <c:tx>
            <c:v>Presupuest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  <a:ln w="12700">
              <a:solidFill>
                <a:schemeClr val="accent1"/>
              </a:solidFill>
            </a:ln>
            <a:effectLst/>
          </c:spPr>
          <c:invertIfNegative val="0"/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Caculadora!$G$3</c:f>
              <c:numCache>
                <c:formatCode>0%</c:formatCode>
                <c:ptCount val="1"/>
                <c:pt idx="0">
                  <c:v>0.55350965818358699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C-435C-BC82-ECD95DF4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1"/>
        <c:overlap val="100"/>
        <c:axId val="530596592"/>
        <c:axId val="530596920"/>
      </c:barChart>
      <c:catAx>
        <c:axId val="530596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0596920"/>
        <c:crosses val="autoZero"/>
        <c:auto val="1"/>
        <c:lblAlgn val="ctr"/>
        <c:lblOffset val="100"/>
        <c:noMultiLvlLbl val="0"/>
      </c:catAx>
      <c:valAx>
        <c:axId val="53059692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530596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010917113621679E-2"/>
          <c:y val="5.0925925925925923E-2"/>
          <c:w val="0.96250922439042941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1-4738-B608-7F29A7F5D55D}"/>
            </c:ext>
          </c:extLst>
        </c:ser>
        <c:ser>
          <c:idx val="2"/>
          <c:order val="2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1-4738-B608-7F29A7F5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840"/>
        <c:axId val="324018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61-4738-B608-7F29A7F5D55D}"/>
                  </c:ext>
                </c:extLst>
              </c15:ser>
            </c15:filteredLineSeries>
          </c:ext>
        </c:extLst>
      </c:lineChart>
      <c:catAx>
        <c:axId val="32419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4018176"/>
        <c:crosses val="autoZero"/>
        <c:auto val="1"/>
        <c:lblAlgn val="ctr"/>
        <c:lblOffset val="100"/>
        <c:noMultiLvlLbl val="0"/>
      </c:catAx>
      <c:valAx>
        <c:axId val="324018176"/>
        <c:scaling>
          <c:orientation val="minMax"/>
          <c:max val="3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3241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1"/>
          <c:order val="1"/>
          <c:tx>
            <c:strRef>
              <c:f>Hoja1!$H$1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B81-4B8A-9CC2-7323559F094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EB81-4B8A-9CC2-7323559F094F}"/>
            </c:ext>
          </c:extLst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EB81-4B8A-9CC2-7323559F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24196864"/>
        <c:axId val="324019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19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4-EB81-4B8A-9CC2-7323559F094F}"/>
                  </c:ext>
                </c:extLst>
              </c15:ser>
            </c15:filteredBarSeries>
          </c:ext>
        </c:extLst>
      </c:barChart>
      <c:valAx>
        <c:axId val="32401990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196864"/>
        <c:crosses val="max"/>
        <c:crossBetween val="between"/>
        <c:majorUnit val="0.25"/>
      </c:valAx>
      <c:catAx>
        <c:axId val="324196864"/>
        <c:scaling>
          <c:orientation val="minMax"/>
        </c:scaling>
        <c:delete val="1"/>
        <c:axPos val="l"/>
        <c:majorTickMark val="out"/>
        <c:minorTickMark val="none"/>
        <c:tickLblPos val="nextTo"/>
        <c:crossAx val="32401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Investment</c:v>
          </c:tx>
          <c:spPr>
            <a:ln w="31750"/>
          </c:spPr>
          <c:marker>
            <c:symbol val="none"/>
          </c:marker>
          <c:dPt>
            <c:idx val="5"/>
            <c:bubble3D val="0"/>
            <c:spPr>
              <a:ln w="44450"/>
            </c:spPr>
            <c:extLst>
              <c:ext xmlns:c16="http://schemas.microsoft.com/office/drawing/2014/chart" uri="{C3380CC4-5D6E-409C-BE32-E72D297353CC}">
                <c16:uniqueId val="{00000001-38B4-46DF-BC24-A92988660D8E}"/>
              </c:ext>
            </c:extLst>
          </c:dPt>
          <c:val>
            <c:numRef>
              <c:f>Hoja2!$B$8:$B$19</c:f>
              <c:numCache>
                <c:formatCode>General</c:formatCode>
                <c:ptCount val="12"/>
                <c:pt idx="0">
                  <c:v>28208.333333333332</c:v>
                </c:pt>
                <c:pt idx="1">
                  <c:v>27416.666666666668</c:v>
                </c:pt>
                <c:pt idx="2">
                  <c:v>25962.5</c:v>
                </c:pt>
                <c:pt idx="3">
                  <c:v>24950</c:v>
                </c:pt>
                <c:pt idx="4">
                  <c:v>23937.5</c:v>
                </c:pt>
                <c:pt idx="5">
                  <c:v>21250</c:v>
                </c:pt>
                <c:pt idx="6">
                  <c:v>19958.333333333332</c:v>
                </c:pt>
                <c:pt idx="7">
                  <c:v>18666.666666666664</c:v>
                </c:pt>
                <c:pt idx="8">
                  <c:v>16100</c:v>
                </c:pt>
                <c:pt idx="9">
                  <c:v>14666.666666666668</c:v>
                </c:pt>
                <c:pt idx="10">
                  <c:v>13233.333333333334</c:v>
                </c:pt>
                <c:pt idx="11">
                  <c:v>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4-46DF-BC24-A92988660D8E}"/>
            </c:ext>
          </c:extLst>
        </c:ser>
        <c:ser>
          <c:idx val="1"/>
          <c:order val="1"/>
          <c:tx>
            <c:v>Earnings</c:v>
          </c:tx>
          <c:spPr>
            <a:ln w="44450"/>
          </c:spPr>
          <c:marker>
            <c:symbol val="none"/>
          </c:marker>
          <c:val>
            <c:numRef>
              <c:f>Hoja2!$C$8:$C$19</c:f>
              <c:numCache>
                <c:formatCode>General</c:formatCode>
                <c:ptCount val="12"/>
                <c:pt idx="0">
                  <c:v>791.66666666666674</c:v>
                </c:pt>
                <c:pt idx="1">
                  <c:v>1583.3333333333335</c:v>
                </c:pt>
                <c:pt idx="2">
                  <c:v>3037.5</c:v>
                </c:pt>
                <c:pt idx="3">
                  <c:v>4050</c:v>
                </c:pt>
                <c:pt idx="4">
                  <c:v>5062.5</c:v>
                </c:pt>
                <c:pt idx="5">
                  <c:v>7750</c:v>
                </c:pt>
                <c:pt idx="6">
                  <c:v>9041.6666666666679</c:v>
                </c:pt>
                <c:pt idx="7">
                  <c:v>10333.333333333334</c:v>
                </c:pt>
                <c:pt idx="8">
                  <c:v>12900</c:v>
                </c:pt>
                <c:pt idx="9">
                  <c:v>14333.333333333332</c:v>
                </c:pt>
                <c:pt idx="10">
                  <c:v>15766.666666666666</c:v>
                </c:pt>
                <c:pt idx="11">
                  <c:v>17200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4-46DF-BC24-A9298866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339776"/>
        <c:axId val="324023360"/>
      </c:lineChart>
      <c:catAx>
        <c:axId val="323339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Months</a:t>
                </a:r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324023360"/>
        <c:crosses val="autoZero"/>
        <c:auto val="1"/>
        <c:lblAlgn val="ctr"/>
        <c:lblOffset val="100"/>
        <c:noMultiLvlLbl val="0"/>
      </c:catAx>
      <c:valAx>
        <c:axId val="32402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Euros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323339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3000"/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170949</xdr:colOff>
      <xdr:row>14</xdr:row>
      <xdr:rowOff>187492</xdr:rowOff>
    </xdr:from>
    <xdr:to>
      <xdr:col>6</xdr:col>
      <xdr:colOff>545785</xdr:colOff>
      <xdr:row>26</xdr:row>
      <xdr:rowOff>85519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78CC80-9EF6-4ADD-B060-B7DA1112C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4</xdr:row>
      <xdr:rowOff>133350</xdr:rowOff>
    </xdr:from>
    <xdr:to>
      <xdr:col>15</xdr:col>
      <xdr:colOff>19050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D435CB-CF32-4D44-8F73-691DA66C6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8</xdr:col>
      <xdr:colOff>755837</xdr:colOff>
      <xdr:row>44</xdr:row>
      <xdr:rowOff>88527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103F18-A0C7-4B1D-9AA7-FC1DF2027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17</xdr:col>
      <xdr:colOff>408454</xdr:colOff>
      <xdr:row>46</xdr:row>
      <xdr:rowOff>88527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66839E-D215-45B1-85CB-C1DBDE50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246529</xdr:colOff>
      <xdr:row>23</xdr:row>
      <xdr:rowOff>56029</xdr:rowOff>
    </xdr:from>
    <xdr:to>
      <xdr:col>8</xdr:col>
      <xdr:colOff>179294</xdr:colOff>
      <xdr:row>37</xdr:row>
      <xdr:rowOff>132229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0C9487-2BA0-4B6C-A542-6AB4EE3A7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22</xdr:col>
      <xdr:colOff>0</xdr:colOff>
      <xdr:row>45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77959D-44AB-436C-92F7-826CA891F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17</xdr:row>
      <xdr:rowOff>0</xdr:rowOff>
    </xdr:from>
    <xdr:to>
      <xdr:col>10</xdr:col>
      <xdr:colOff>57150</xdr:colOff>
      <xdr:row>34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DB4FA1-CE3C-4ABC-8972-8E314AEC1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14</xdr:col>
      <xdr:colOff>394543</xdr:colOff>
      <xdr:row>15</xdr:row>
      <xdr:rowOff>88527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28A001-ABB8-4817-8FF8-E1823E57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121920</xdr:colOff>
      <xdr:row>8</xdr:row>
      <xdr:rowOff>110490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𝑦</m:t>
                    </m:r>
                    <m:r>
                      <a:rPr lang="es-ES" sz="1100" b="0" i="1">
                        <a:latin typeface="Cambria Math"/>
                      </a:rPr>
                      <m:t>=29000 −2600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𝑦=29000 −2600𝑥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114300</xdr:colOff>
      <xdr:row>6</xdr:row>
      <xdr:rowOff>137160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𝑧</m:t>
                    </m:r>
                    <m:r>
                      <a:rPr lang="es-ES" sz="1100" b="0" i="1">
                        <a:latin typeface="Cambria Math"/>
                      </a:rPr>
                      <m:t> =2600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𝑧 =2600𝑥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twoCellAnchor>
    <xdr:from>
      <xdr:col>1</xdr:col>
      <xdr:colOff>213360</xdr:colOff>
      <xdr:row>24</xdr:row>
      <xdr:rowOff>68580</xdr:rowOff>
    </xdr:from>
    <xdr:to>
      <xdr:col>14</xdr:col>
      <xdr:colOff>274320</xdr:colOff>
      <xdr:row>51</xdr:row>
      <xdr:rowOff>175260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zoomScale="85" zoomScaleNormal="85" workbookViewId="0">
      <selection activeCell="F11" sqref="F11"/>
    </sheetView>
  </sheetViews>
  <sheetFormatPr baseColWidth="10" defaultRowHeight="15" x14ac:dyDescent="0.25"/>
  <cols>
    <col min="1" max="1" width="17.7109375" bestFit="1" customWidth="1"/>
    <col min="3" max="3" width="36.28515625" bestFit="1" customWidth="1"/>
    <col min="4" max="4" width="5.85546875" bestFit="1" customWidth="1"/>
    <col min="5" max="5" width="8.7109375" bestFit="1" customWidth="1"/>
    <col min="6" max="6" width="11.85546875" bestFit="1" customWidth="1"/>
    <col min="7" max="7" width="12" bestFit="1" customWidth="1"/>
  </cols>
  <sheetData>
    <row r="1" spans="1:16" x14ac:dyDescent="0.25">
      <c r="A1" s="2" t="s">
        <v>11</v>
      </c>
      <c r="B1" s="2" t="s">
        <v>12</v>
      </c>
      <c r="C1" s="2" t="s">
        <v>5</v>
      </c>
      <c r="D1" s="2" t="s">
        <v>6</v>
      </c>
      <c r="E1" s="2" t="s">
        <v>7</v>
      </c>
      <c r="F1" s="2" t="s">
        <v>10</v>
      </c>
      <c r="J1" s="115" t="s">
        <v>31</v>
      </c>
      <c r="K1" s="116"/>
      <c r="L1" s="116"/>
      <c r="M1" s="117"/>
    </row>
    <row r="2" spans="1:16" x14ac:dyDescent="0.25">
      <c r="A2" s="20" t="s">
        <v>8</v>
      </c>
      <c r="B2" s="23" t="s">
        <v>13</v>
      </c>
      <c r="C2" s="51" t="s">
        <v>39</v>
      </c>
      <c r="D2" s="22">
        <v>27.19</v>
      </c>
      <c r="E2" s="22">
        <f>B15*4*A15</f>
        <v>160</v>
      </c>
      <c r="F2" s="24">
        <f>D2*E2</f>
        <v>4350.4000000000005</v>
      </c>
      <c r="J2" s="8" t="s">
        <v>32</v>
      </c>
      <c r="K2" s="9" t="s">
        <v>33</v>
      </c>
      <c r="L2" s="10" t="s">
        <v>34</v>
      </c>
      <c r="M2" s="11" t="s">
        <v>10</v>
      </c>
    </row>
    <row r="3" spans="1:16" x14ac:dyDescent="0.25">
      <c r="A3" s="18"/>
      <c r="B3" s="19"/>
      <c r="C3" s="52" t="s">
        <v>40</v>
      </c>
      <c r="D3" s="25">
        <v>16.010000000000002</v>
      </c>
      <c r="E3" s="25">
        <f>B15*4*A15</f>
        <v>160</v>
      </c>
      <c r="F3" s="26">
        <f>D3*E3</f>
        <v>2561.6000000000004</v>
      </c>
      <c r="J3" s="12">
        <v>7</v>
      </c>
      <c r="K3" s="13">
        <v>1000</v>
      </c>
      <c r="L3" s="13">
        <v>5</v>
      </c>
      <c r="M3" s="14">
        <f>J3*K3/L3/12*A15</f>
        <v>466.66666666666669</v>
      </c>
    </row>
    <row r="4" spans="1:16" x14ac:dyDescent="0.25">
      <c r="A4" s="12"/>
      <c r="B4" s="13"/>
      <c r="C4" s="53" t="s">
        <v>41</v>
      </c>
      <c r="D4" s="27">
        <v>11.47</v>
      </c>
      <c r="E4" s="27">
        <f>B15*4*A15*5</f>
        <v>800</v>
      </c>
      <c r="F4" s="28">
        <f>D4*E4</f>
        <v>9176</v>
      </c>
      <c r="G4" s="80">
        <f>SUM(F2:F4)</f>
        <v>16088</v>
      </c>
    </row>
    <row r="5" spans="1:16" x14ac:dyDescent="0.25">
      <c r="A5" s="29" t="s">
        <v>9</v>
      </c>
      <c r="B5" s="23"/>
      <c r="C5" s="54" t="s">
        <v>30</v>
      </c>
      <c r="D5" s="21" t="s">
        <v>36</v>
      </c>
      <c r="E5" s="21" t="s">
        <v>36</v>
      </c>
      <c r="F5" s="30">
        <f>M3</f>
        <v>466.66666666666669</v>
      </c>
    </row>
    <row r="6" spans="1:16" x14ac:dyDescent="0.25">
      <c r="A6" s="18"/>
      <c r="B6" s="19"/>
      <c r="C6" s="55" t="s">
        <v>37</v>
      </c>
      <c r="D6" s="31">
        <v>150</v>
      </c>
      <c r="E6" s="31">
        <v>7</v>
      </c>
      <c r="F6" s="32">
        <f>D6*E6*A15</f>
        <v>4200</v>
      </c>
    </row>
    <row r="7" spans="1:16" x14ac:dyDescent="0.25">
      <c r="A7" s="12"/>
      <c r="B7" s="13"/>
      <c r="C7" s="56" t="s">
        <v>42</v>
      </c>
      <c r="D7" s="33">
        <v>20.5</v>
      </c>
      <c r="E7" s="33">
        <v>4</v>
      </c>
      <c r="F7" s="34">
        <f>D7*E7</f>
        <v>82</v>
      </c>
      <c r="G7" s="80">
        <f>SUM(F5:F7)</f>
        <v>4748.666666666667</v>
      </c>
    </row>
    <row r="8" spans="1:16" x14ac:dyDescent="0.25">
      <c r="E8" t="s">
        <v>16</v>
      </c>
      <c r="F8" s="1">
        <f>SUM(F2:F6)</f>
        <v>20754.666666666668</v>
      </c>
    </row>
    <row r="9" spans="1:16" x14ac:dyDescent="0.25">
      <c r="A9" s="45" t="s">
        <v>14</v>
      </c>
      <c r="B9" s="46"/>
      <c r="C9" s="46"/>
      <c r="D9" s="46"/>
      <c r="E9" s="46">
        <v>0.2</v>
      </c>
      <c r="F9" s="49">
        <f>E9*F8</f>
        <v>4150.9333333333334</v>
      </c>
    </row>
    <row r="10" spans="1:16" x14ac:dyDescent="0.25">
      <c r="A10" s="47" t="s">
        <v>15</v>
      </c>
      <c r="B10" s="48"/>
      <c r="C10" s="48"/>
      <c r="D10" s="48"/>
      <c r="E10" s="48">
        <v>0.2</v>
      </c>
      <c r="F10" s="50">
        <f>E10*F8</f>
        <v>4150.9333333333334</v>
      </c>
    </row>
    <row r="11" spans="1:16" x14ac:dyDescent="0.25">
      <c r="E11" s="16" t="s">
        <v>10</v>
      </c>
      <c r="F11" s="15">
        <f>SUM(F8:F10)</f>
        <v>29056.533333333336</v>
      </c>
    </row>
    <row r="14" spans="1:16" x14ac:dyDescent="0.25">
      <c r="A14" s="7" t="s">
        <v>35</v>
      </c>
      <c r="B14" s="17" t="s">
        <v>38</v>
      </c>
    </row>
    <row r="15" spans="1:16" x14ac:dyDescent="0.25">
      <c r="A15">
        <v>4</v>
      </c>
      <c r="B15">
        <v>10</v>
      </c>
      <c r="P15" s="81"/>
    </row>
  </sheetData>
  <mergeCells count="1">
    <mergeCell ref="J1:M1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H1"/>
  <sheetViews>
    <sheetView topLeftCell="C1" zoomScaleNormal="100" workbookViewId="0">
      <selection activeCell="F41" sqref="F41"/>
    </sheetView>
  </sheetViews>
  <sheetFormatPr baseColWidth="10" defaultRowHeight="15" x14ac:dyDescent="0.25"/>
  <sheetData>
    <row r="1" spans="7:8" x14ac:dyDescent="0.25">
      <c r="G1">
        <v>19</v>
      </c>
      <c r="H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tabSelected="1" zoomScale="85" zoomScaleNormal="85" workbookViewId="0">
      <selection activeCell="M28" sqref="M14:M28"/>
    </sheetView>
  </sheetViews>
  <sheetFormatPr baseColWidth="10" defaultRowHeight="15" x14ac:dyDescent="0.25"/>
  <cols>
    <col min="1" max="1" width="23.42578125" customWidth="1"/>
    <col min="2" max="2" width="16.5703125" customWidth="1"/>
    <col min="3" max="3" width="15.140625" customWidth="1"/>
    <col min="4" max="4" width="11.85546875" bestFit="1" customWidth="1"/>
    <col min="11" max="12" width="12.140625" bestFit="1" customWidth="1"/>
  </cols>
  <sheetData>
    <row r="1" spans="1:13" x14ac:dyDescent="0.25">
      <c r="A1" s="118" t="s">
        <v>19</v>
      </c>
      <c r="B1" s="118"/>
      <c r="C1" s="118"/>
      <c r="D1" s="118"/>
      <c r="E1" s="118"/>
      <c r="G1" s="120" t="s">
        <v>51</v>
      </c>
      <c r="H1" s="121"/>
      <c r="J1" s="122" t="s">
        <v>54</v>
      </c>
      <c r="K1" s="123"/>
    </row>
    <row r="2" spans="1:13" x14ac:dyDescent="0.25">
      <c r="A2" s="79" t="s">
        <v>1</v>
      </c>
      <c r="B2" s="79" t="s">
        <v>0</v>
      </c>
      <c r="C2" s="79" t="s">
        <v>4</v>
      </c>
      <c r="D2" s="79" t="s">
        <v>17</v>
      </c>
      <c r="E2" s="79" t="s">
        <v>10</v>
      </c>
      <c r="G2" s="61" t="s">
        <v>52</v>
      </c>
      <c r="H2" s="61" t="s">
        <v>53</v>
      </c>
      <c r="J2" s="59" t="s">
        <v>55</v>
      </c>
      <c r="K2" s="60" t="s">
        <v>10</v>
      </c>
      <c r="M2" s="62" t="s">
        <v>214</v>
      </c>
    </row>
    <row r="3" spans="1:13" x14ac:dyDescent="0.25">
      <c r="A3" s="29" t="s">
        <v>29</v>
      </c>
      <c r="B3" s="65">
        <f>SUM('Imputaciones semana'!A$2:A$30)</f>
        <v>131.6</v>
      </c>
      <c r="C3" s="66">
        <v>27.19</v>
      </c>
      <c r="D3" s="67">
        <f>HOUR(B3)+MINUTE(B3)/60+SECOND(B3)/3600</f>
        <v>14.4</v>
      </c>
      <c r="E3" s="68">
        <f t="shared" ref="E3:E9" si="0">B3*C3</f>
        <v>3578.2040000000002</v>
      </c>
      <c r="F3">
        <v>0</v>
      </c>
      <c r="G3" s="62">
        <f>(E10+K3)/L13</f>
        <v>0.55350965818358699</v>
      </c>
      <c r="H3" s="62">
        <v>1</v>
      </c>
      <c r="J3" s="57">
        <v>2</v>
      </c>
      <c r="K3" s="58">
        <f>'Costes y presupuesto'!D6*7*J3+'Costes y presupuesto'!D7*J3+'Costes y presupuesto'!F5*J3</f>
        <v>3074.3333333333335</v>
      </c>
    </row>
    <row r="4" spans="1:13" x14ac:dyDescent="0.25">
      <c r="A4" s="77" t="s">
        <v>2</v>
      </c>
      <c r="B4" s="69">
        <f>SUM('Imputaciones semana'!B$2:B$30)</f>
        <v>152</v>
      </c>
      <c r="C4" s="70">
        <v>11.47</v>
      </c>
      <c r="D4" s="71">
        <f t="shared" ref="D4:D9" si="1">HOUR(B4)+MINUTE(B4)/60+SECOND(B4)/3600</f>
        <v>0</v>
      </c>
      <c r="E4" s="72">
        <f t="shared" si="0"/>
        <v>1743.44</v>
      </c>
      <c r="G4" s="63">
        <f>E10+K3</f>
        <v>16083.071833333337</v>
      </c>
      <c r="H4" s="64">
        <v>29000</v>
      </c>
      <c r="J4" t="s">
        <v>153</v>
      </c>
    </row>
    <row r="5" spans="1:13" x14ac:dyDescent="0.25">
      <c r="A5" s="77" t="s">
        <v>3</v>
      </c>
      <c r="B5" s="69">
        <f>SUM('Imputaciones semana'!C$2:C$30)</f>
        <v>139</v>
      </c>
      <c r="C5" s="70">
        <v>11.47</v>
      </c>
      <c r="D5" s="71">
        <f t="shared" si="1"/>
        <v>0</v>
      </c>
      <c r="E5" s="72">
        <f t="shared" si="0"/>
        <v>1594.3300000000002</v>
      </c>
      <c r="G5" t="s">
        <v>56</v>
      </c>
    </row>
    <row r="6" spans="1:13" x14ac:dyDescent="0.25">
      <c r="A6" s="77" t="s">
        <v>28</v>
      </c>
      <c r="B6" s="69">
        <f>SUM('Imputaciones semana'!D$2:D$30)</f>
        <v>78.5</v>
      </c>
      <c r="C6" s="70">
        <v>11.47</v>
      </c>
      <c r="D6" s="71">
        <f t="shared" si="1"/>
        <v>12</v>
      </c>
      <c r="E6" s="72">
        <f t="shared" si="0"/>
        <v>900.3950000000001</v>
      </c>
      <c r="G6" s="83">
        <v>0.8</v>
      </c>
    </row>
    <row r="7" spans="1:13" x14ac:dyDescent="0.25">
      <c r="A7" s="77" t="s">
        <v>43</v>
      </c>
      <c r="B7" s="69">
        <f>SUM('Imputaciones semana'!E$2:E$30)</f>
        <v>133.5</v>
      </c>
      <c r="C7" s="70">
        <v>16.010000000000002</v>
      </c>
      <c r="D7" s="71">
        <f t="shared" si="1"/>
        <v>12</v>
      </c>
      <c r="E7" s="72">
        <f t="shared" si="0"/>
        <v>2137.335</v>
      </c>
    </row>
    <row r="8" spans="1:13" x14ac:dyDescent="0.25">
      <c r="A8" s="77" t="s">
        <v>44</v>
      </c>
      <c r="B8" s="69">
        <f>SUM('Imputaciones semana'!F$2:F$30)</f>
        <v>138.25</v>
      </c>
      <c r="C8" s="70">
        <v>11.47</v>
      </c>
      <c r="D8" s="71">
        <f t="shared" si="1"/>
        <v>6</v>
      </c>
      <c r="E8" s="72">
        <f t="shared" si="0"/>
        <v>1585.7275000000002</v>
      </c>
    </row>
    <row r="9" spans="1:13" x14ac:dyDescent="0.25">
      <c r="A9" s="78" t="s">
        <v>45</v>
      </c>
      <c r="B9" s="73">
        <f>SUM('Imputaciones semana'!G$2:G$30)</f>
        <v>128.1</v>
      </c>
      <c r="C9" s="74">
        <v>11.47</v>
      </c>
      <c r="D9" s="75">
        <f t="shared" si="1"/>
        <v>2.4</v>
      </c>
      <c r="E9" s="76">
        <f t="shared" si="0"/>
        <v>1469.307</v>
      </c>
    </row>
    <row r="10" spans="1:13" x14ac:dyDescent="0.25">
      <c r="B10">
        <f>SUM(B3:B9)</f>
        <v>900.95</v>
      </c>
      <c r="C10" s="70">
        <v>1120</v>
      </c>
      <c r="D10" t="s">
        <v>10</v>
      </c>
      <c r="E10" s="4">
        <f>SUM(E3:E9)</f>
        <v>13008.738500000003</v>
      </c>
    </row>
    <row r="12" spans="1:13" x14ac:dyDescent="0.25">
      <c r="A12" s="119" t="s">
        <v>20</v>
      </c>
      <c r="B12" s="119"/>
      <c r="C12" s="119"/>
      <c r="D12" s="119"/>
      <c r="E12" s="119"/>
      <c r="F12" s="119"/>
      <c r="G12" s="119"/>
      <c r="H12" s="119"/>
    </row>
    <row r="13" spans="1:13" x14ac:dyDescent="0.25">
      <c r="B13" t="s">
        <v>29</v>
      </c>
      <c r="C13" t="s">
        <v>2</v>
      </c>
      <c r="D13" t="s">
        <v>3</v>
      </c>
      <c r="E13" t="s">
        <v>28</v>
      </c>
      <c r="F13" t="s">
        <v>43</v>
      </c>
      <c r="G13" t="s">
        <v>44</v>
      </c>
      <c r="H13" t="s">
        <v>45</v>
      </c>
      <c r="I13" t="s">
        <v>50</v>
      </c>
      <c r="J13" t="s">
        <v>49</v>
      </c>
      <c r="L13" s="1">
        <f>'Costes y presupuesto'!F11</f>
        <v>29056.533333333336</v>
      </c>
    </row>
    <row r="14" spans="1:13" x14ac:dyDescent="0.25">
      <c r="A14" s="5" t="s">
        <v>21</v>
      </c>
      <c r="B14" s="39">
        <f>('Imputaciones semana'!A2)*$C$3</f>
        <v>271.90000000000003</v>
      </c>
      <c r="C14" s="40">
        <f>('Imputaciones semana'!B2)*$C$4</f>
        <v>80.290000000000006</v>
      </c>
      <c r="D14" s="40">
        <f>('Imputaciones semana'!C2)*$C$5</f>
        <v>80.290000000000006</v>
      </c>
      <c r="E14" s="40">
        <f>('Imputaciones semana'!D2)*$C$6</f>
        <v>80.290000000000006</v>
      </c>
      <c r="F14" s="40">
        <f>('Imputaciones semana'!E2)*$C$7</f>
        <v>176.11</v>
      </c>
      <c r="G14" s="40">
        <f>('Imputaciones semana'!F2)*$C$8</f>
        <v>22.94</v>
      </c>
      <c r="H14" s="41">
        <f>('Imputaciones semana'!G2)*$C$9</f>
        <v>74.555000000000007</v>
      </c>
      <c r="I14" s="42">
        <f>SUM(B14:H14)</f>
        <v>786.37500000000023</v>
      </c>
      <c r="J14" s="4">
        <f>I14</f>
        <v>786.37500000000023</v>
      </c>
      <c r="K14">
        <v>1</v>
      </c>
      <c r="L14" s="1">
        <f>'Costes y presupuesto'!$F$11/16*K14</f>
        <v>1816.0333333333335</v>
      </c>
      <c r="M14">
        <v>2200</v>
      </c>
    </row>
    <row r="15" spans="1:13" x14ac:dyDescent="0.25">
      <c r="A15" s="5" t="s">
        <v>22</v>
      </c>
      <c r="B15" s="36">
        <f>('Imputaciones semana'!A3)*$C$3</f>
        <v>478.54400000000004</v>
      </c>
      <c r="C15" s="37">
        <f>('Imputaciones semana'!B3)*$C$4</f>
        <v>189.25500000000002</v>
      </c>
      <c r="D15" s="37">
        <f>('Imputaciones semana'!C3)*$C$5</f>
        <v>253.48700000000002</v>
      </c>
      <c r="E15" s="37">
        <f>('Imputaciones semana'!D3)*$C$6</f>
        <v>149.11000000000001</v>
      </c>
      <c r="F15" s="37">
        <f>('Imputaciones semana'!E3)*$C$7</f>
        <v>376.23500000000001</v>
      </c>
      <c r="G15" s="37">
        <f>('Imputaciones semana'!F3)*$C$8</f>
        <v>74.555000000000007</v>
      </c>
      <c r="H15" s="38">
        <f>('Imputaciones semana'!G3)*$C$9</f>
        <v>172.05</v>
      </c>
      <c r="I15" s="43">
        <f t="shared" ref="I15:I28" si="2">SUM(B15:H15)</f>
        <v>1693.2360000000003</v>
      </c>
      <c r="J15" s="4">
        <f>I15+J14</f>
        <v>2479.6110000000008</v>
      </c>
      <c r="K15">
        <v>2</v>
      </c>
      <c r="L15" s="1">
        <f>'Costes y presupuesto'!$F$11/16*K15</f>
        <v>3632.0666666666671</v>
      </c>
      <c r="M15">
        <v>4000</v>
      </c>
    </row>
    <row r="16" spans="1:13" x14ac:dyDescent="0.25">
      <c r="A16" s="5" t="s">
        <v>23</v>
      </c>
      <c r="B16" s="39">
        <f>('Imputaciones semana'!A4)*$C$3</f>
        <v>149.54500000000002</v>
      </c>
      <c r="C16" s="40">
        <f>('Imputaciones semana'!B4)*$C$4</f>
        <v>63.085000000000001</v>
      </c>
      <c r="D16" s="40">
        <f>('Imputaciones semana'!C4)*$C$5</f>
        <v>63.085000000000001</v>
      </c>
      <c r="E16" s="40">
        <f>('Imputaciones semana'!D4)*$C$6</f>
        <v>51.615000000000002</v>
      </c>
      <c r="F16" s="40">
        <f>('Imputaciones semana'!E4)*$C$7</f>
        <v>192.12</v>
      </c>
      <c r="G16" s="40">
        <f>('Imputaciones semana'!F4)*$C$8</f>
        <v>97.495000000000005</v>
      </c>
      <c r="H16" s="41">
        <f>('Imputaciones semana'!G4)*$C$9</f>
        <v>63.085000000000001</v>
      </c>
      <c r="I16" s="43">
        <f t="shared" si="2"/>
        <v>680.03000000000009</v>
      </c>
      <c r="J16" s="4">
        <f t="shared" ref="J16:J28" si="3">I16+J15</f>
        <v>3159.641000000001</v>
      </c>
      <c r="K16">
        <v>3</v>
      </c>
      <c r="L16" s="1">
        <f>'Costes y presupuesto'!$F$11/16*K16</f>
        <v>5448.1</v>
      </c>
      <c r="M16">
        <v>4600</v>
      </c>
    </row>
    <row r="17" spans="1:13" x14ac:dyDescent="0.25">
      <c r="A17" s="5" t="s">
        <v>24</v>
      </c>
      <c r="B17" s="36">
        <f>('Imputaciones semana'!A5)*$C$3</f>
        <v>435.04</v>
      </c>
      <c r="C17" s="37">
        <f>('Imputaciones semana'!B5)*$C$4</f>
        <v>238.00250000000003</v>
      </c>
      <c r="D17" s="37">
        <f>('Imputaciones semana'!C5)*$C$5</f>
        <v>172.05</v>
      </c>
      <c r="E17" s="37">
        <f>('Imputaciones semana'!D5)*$C$6</f>
        <v>134.77250000000001</v>
      </c>
      <c r="F17" s="37">
        <f>('Imputaciones semana'!E5)*$C$7</f>
        <v>336.21000000000004</v>
      </c>
      <c r="G17" s="37">
        <f>('Imputaciones semana'!F5)*$C$8</f>
        <v>154.845</v>
      </c>
      <c r="H17" s="38">
        <f>('Imputaciones semana'!G5)*$C$9</f>
        <v>173.197</v>
      </c>
      <c r="I17" s="43">
        <f t="shared" si="2"/>
        <v>1644.1170000000002</v>
      </c>
      <c r="J17" s="4">
        <f t="shared" si="3"/>
        <v>4803.7580000000016</v>
      </c>
      <c r="K17">
        <v>4</v>
      </c>
      <c r="L17" s="1">
        <f>'Costes y presupuesto'!$F$11/16*K17</f>
        <v>7264.1333333333341</v>
      </c>
      <c r="M17">
        <v>7803</v>
      </c>
    </row>
    <row r="18" spans="1:13" x14ac:dyDescent="0.25">
      <c r="A18" s="5" t="s">
        <v>25</v>
      </c>
      <c r="B18" s="39">
        <f>('Imputaciones semana'!A6)*$C$3</f>
        <v>965.245</v>
      </c>
      <c r="C18" s="40">
        <f>('Imputaciones semana'!B6)*$C$4</f>
        <v>447.33000000000004</v>
      </c>
      <c r="D18" s="40">
        <f>('Imputaciones semana'!C6)*$C$5</f>
        <v>453.065</v>
      </c>
      <c r="E18" s="40">
        <f>('Imputaciones semana'!D6)*$C$6</f>
        <v>215.0625</v>
      </c>
      <c r="F18" s="40">
        <f>('Imputaciones semana'!E6)*$C$7</f>
        <v>472.29500000000007</v>
      </c>
      <c r="G18" s="40">
        <f>('Imputaciones semana'!F6)*$C$8</f>
        <v>539.09</v>
      </c>
      <c r="H18" s="41">
        <f>('Imputaciones semana'!G6)*$C$9</f>
        <v>378.51000000000005</v>
      </c>
      <c r="I18" s="43">
        <f t="shared" si="2"/>
        <v>3470.5975000000008</v>
      </c>
      <c r="J18" s="4">
        <f t="shared" si="3"/>
        <v>8274.3555000000015</v>
      </c>
      <c r="K18">
        <v>5</v>
      </c>
      <c r="L18" s="1">
        <f>'Costes y presupuesto'!$F$11/16*K18</f>
        <v>9080.1666666666679</v>
      </c>
      <c r="M18">
        <v>11000</v>
      </c>
    </row>
    <row r="19" spans="1:13" x14ac:dyDescent="0.25">
      <c r="A19" s="5" t="s">
        <v>26</v>
      </c>
      <c r="B19" s="36">
        <f>('Imputaciones semana'!A7)*$C$3</f>
        <v>353.47</v>
      </c>
      <c r="C19" s="37">
        <f>('Imputaciones semana'!B7)*$C$4</f>
        <v>238.00250000000003</v>
      </c>
      <c r="D19" s="37">
        <f>('Imputaciones semana'!C7)*$C$5</f>
        <v>57.35</v>
      </c>
      <c r="E19" s="37">
        <f>('Imputaciones semana'!D7)*$C$6</f>
        <v>57.35</v>
      </c>
      <c r="F19" s="37">
        <f>('Imputaciones semana'!E7)*$C$7</f>
        <v>152.09500000000003</v>
      </c>
      <c r="G19" s="37">
        <f>('Imputaciones semana'!F7)*$C$8</f>
        <v>160.58000000000001</v>
      </c>
      <c r="H19" s="38">
        <f>('Imputaciones semana'!G7)*$C$9</f>
        <v>137.64000000000001</v>
      </c>
      <c r="I19" s="43">
        <f t="shared" si="2"/>
        <v>1156.4875000000002</v>
      </c>
      <c r="J19" s="4">
        <f t="shared" si="3"/>
        <v>9430.8430000000008</v>
      </c>
      <c r="K19">
        <v>6</v>
      </c>
      <c r="L19" s="1">
        <f>'Costes y presupuesto'!$F$11/16*K19</f>
        <v>10896.2</v>
      </c>
      <c r="M19">
        <v>12500</v>
      </c>
    </row>
    <row r="20" spans="1:13" x14ac:dyDescent="0.25">
      <c r="A20" s="5" t="s">
        <v>27</v>
      </c>
      <c r="B20" s="39">
        <f>('Imputaciones semana'!A8)*$C$3</f>
        <v>462.23</v>
      </c>
      <c r="C20" s="40">
        <f>('Imputaciones semana'!B8)*$C$4</f>
        <v>246.60500000000002</v>
      </c>
      <c r="D20" s="40">
        <f>('Imputaciones semana'!C8)*$C$5</f>
        <v>165.16800000000001</v>
      </c>
      <c r="E20" s="40">
        <f>('Imputaciones semana'!D8)*$C$6</f>
        <v>126.17</v>
      </c>
      <c r="F20" s="40">
        <f>('Imputaciones semana'!E8)*$C$7</f>
        <v>272.17</v>
      </c>
      <c r="G20" s="40">
        <f>('Imputaciones semana'!F8)*$C$8</f>
        <v>344.1</v>
      </c>
      <c r="H20" s="41">
        <f>('Imputaciones semana'!G8)*$C$9</f>
        <v>240.87</v>
      </c>
      <c r="I20" s="43">
        <f t="shared" si="2"/>
        <v>1857.3130000000001</v>
      </c>
      <c r="J20" s="4">
        <f t="shared" si="3"/>
        <v>11288.156000000001</v>
      </c>
      <c r="K20">
        <v>7</v>
      </c>
      <c r="L20" s="1">
        <f>'Costes y presupuesto'!$F$11/16*K20</f>
        <v>12712.233333333335</v>
      </c>
    </row>
    <row r="21" spans="1:13" x14ac:dyDescent="0.25">
      <c r="A21" s="84" t="s">
        <v>46</v>
      </c>
      <c r="B21" s="36">
        <f>('Imputaciones semana'!A9)*$C$3</f>
        <v>462.23</v>
      </c>
      <c r="C21" s="37">
        <f>('Imputaciones semana'!B9)*$C$4</f>
        <v>240.87</v>
      </c>
      <c r="D21" s="37">
        <f>('Imputaciones semana'!C9)*$C$5</f>
        <v>349.83500000000004</v>
      </c>
      <c r="E21" s="37">
        <f>('Imputaciones semana'!D9)*$C$6</f>
        <v>86.025000000000006</v>
      </c>
      <c r="F21" s="37">
        <f>('Imputaciones semana'!E9)*$C$7</f>
        <v>160.10000000000002</v>
      </c>
      <c r="G21" s="37">
        <f>('Imputaciones semana'!F9)*$C$8</f>
        <v>192.1225</v>
      </c>
      <c r="H21" s="38">
        <f>('Imputaciones semana'!G9)*$C$9</f>
        <v>229.4</v>
      </c>
      <c r="I21" s="43">
        <f t="shared" si="2"/>
        <v>1720.5825</v>
      </c>
      <c r="J21" s="4">
        <f t="shared" si="3"/>
        <v>13008.738500000001</v>
      </c>
      <c r="K21">
        <v>8</v>
      </c>
      <c r="L21" s="1">
        <f>'Costes y presupuesto'!$F$11/16*K21</f>
        <v>14528.266666666668</v>
      </c>
    </row>
    <row r="22" spans="1:13" x14ac:dyDescent="0.25">
      <c r="A22" s="84" t="s">
        <v>47</v>
      </c>
      <c r="B22" s="39">
        <f>('Imputaciones semana'!A10)*$C$3</f>
        <v>0</v>
      </c>
      <c r="C22" s="40">
        <f>('Imputaciones semana'!B10)*$C$4</f>
        <v>0</v>
      </c>
      <c r="D22" s="40">
        <f>('Imputaciones semana'!C10)*$C$5</f>
        <v>0</v>
      </c>
      <c r="E22" s="40">
        <f>('Imputaciones semana'!D10)*$C$6</f>
        <v>0</v>
      </c>
      <c r="F22" s="40">
        <f>('Imputaciones semana'!E10)*$C$7</f>
        <v>0</v>
      </c>
      <c r="G22" s="40">
        <f>('Imputaciones semana'!F10)*$C$8</f>
        <v>0</v>
      </c>
      <c r="H22" s="41">
        <f>('Imputaciones semana'!G10)*$C$9</f>
        <v>0</v>
      </c>
      <c r="I22" s="43">
        <f t="shared" si="2"/>
        <v>0</v>
      </c>
      <c r="J22" s="4">
        <f t="shared" si="3"/>
        <v>13008.738500000001</v>
      </c>
      <c r="K22">
        <v>9</v>
      </c>
      <c r="L22" s="1">
        <f>'Costes y presupuesto'!$F$11/16*K22</f>
        <v>16344.300000000001</v>
      </c>
    </row>
    <row r="23" spans="1:13" x14ac:dyDescent="0.25">
      <c r="A23" s="84" t="s">
        <v>215</v>
      </c>
      <c r="B23" s="36">
        <f>('Imputaciones semana'!A11)*$C$3</f>
        <v>0</v>
      </c>
      <c r="C23" s="37">
        <f>('Imputaciones semana'!B11)*$C$4</f>
        <v>0</v>
      </c>
      <c r="D23" s="37">
        <f>('Imputaciones semana'!C11)*$C$5</f>
        <v>0</v>
      </c>
      <c r="E23" s="37">
        <f>('Imputaciones semana'!D11)*$C$6</f>
        <v>0</v>
      </c>
      <c r="F23" s="37">
        <f>('Imputaciones semana'!E11)*$C$7</f>
        <v>0</v>
      </c>
      <c r="G23" s="37">
        <f>('Imputaciones semana'!F11)*$C$8</f>
        <v>0</v>
      </c>
      <c r="H23" s="38">
        <f>('Imputaciones semana'!G11)*$C$9</f>
        <v>0</v>
      </c>
      <c r="I23" s="43">
        <f t="shared" si="2"/>
        <v>0</v>
      </c>
      <c r="J23" s="4">
        <f t="shared" si="3"/>
        <v>13008.738500000001</v>
      </c>
      <c r="K23">
        <v>10</v>
      </c>
      <c r="L23" s="1">
        <f>'Costes y presupuesto'!$F$11/16*K23</f>
        <v>18160.333333333336</v>
      </c>
    </row>
    <row r="24" spans="1:13" x14ac:dyDescent="0.25">
      <c r="A24" s="84" t="s">
        <v>216</v>
      </c>
      <c r="B24" s="39">
        <f>('Imputaciones semana'!A12)*$C$3</f>
        <v>0</v>
      </c>
      <c r="C24" s="40">
        <f>('Imputaciones semana'!B12)*$C$4</f>
        <v>0</v>
      </c>
      <c r="D24" s="40">
        <f>('Imputaciones semana'!C12)*$C$5</f>
        <v>0</v>
      </c>
      <c r="E24" s="40">
        <f>('Imputaciones semana'!D12)*$C$6</f>
        <v>0</v>
      </c>
      <c r="F24" s="40">
        <f>('Imputaciones semana'!E12)*$C$7</f>
        <v>0</v>
      </c>
      <c r="G24" s="40">
        <f>('Imputaciones semana'!F12)*$C$8</f>
        <v>0</v>
      </c>
      <c r="H24" s="41">
        <f>('Imputaciones semana'!G12)*$C$9</f>
        <v>0</v>
      </c>
      <c r="I24" s="43">
        <f t="shared" si="2"/>
        <v>0</v>
      </c>
      <c r="J24" s="4">
        <f t="shared" si="3"/>
        <v>13008.738500000001</v>
      </c>
      <c r="K24">
        <v>11</v>
      </c>
      <c r="L24" s="1">
        <f>'Costes y presupuesto'!$F$11/16*K24</f>
        <v>19976.366666666669</v>
      </c>
    </row>
    <row r="25" spans="1:13" x14ac:dyDescent="0.25">
      <c r="A25" s="84" t="s">
        <v>217</v>
      </c>
      <c r="B25" s="36">
        <f>('Imputaciones semana'!A13)*$C$3</f>
        <v>0</v>
      </c>
      <c r="C25" s="37">
        <f>('Imputaciones semana'!B13)*$C$4</f>
        <v>0</v>
      </c>
      <c r="D25" s="37">
        <f>('Imputaciones semana'!C13)*$C$5</f>
        <v>0</v>
      </c>
      <c r="E25" s="37">
        <f>('Imputaciones semana'!D13)*$C$6</f>
        <v>0</v>
      </c>
      <c r="F25" s="37">
        <f>('Imputaciones semana'!E13)*$C$7</f>
        <v>0</v>
      </c>
      <c r="G25" s="37">
        <f>('Imputaciones semana'!F13)*$C$8</f>
        <v>0</v>
      </c>
      <c r="H25" s="38">
        <f>('Imputaciones semana'!G13)*$C$9</f>
        <v>0</v>
      </c>
      <c r="I25" s="43">
        <f t="shared" si="2"/>
        <v>0</v>
      </c>
      <c r="J25" s="4">
        <f t="shared" si="3"/>
        <v>13008.738500000001</v>
      </c>
      <c r="K25">
        <v>12</v>
      </c>
      <c r="L25" s="1">
        <f>'Costes y presupuesto'!$F$11/16*K25</f>
        <v>21792.400000000001</v>
      </c>
    </row>
    <row r="26" spans="1:13" x14ac:dyDescent="0.25">
      <c r="A26" s="84" t="s">
        <v>218</v>
      </c>
      <c r="B26" s="39">
        <f>('Imputaciones semana'!A14)*$C$3</f>
        <v>0</v>
      </c>
      <c r="C26" s="40">
        <f>('Imputaciones semana'!B14)*$C$4</f>
        <v>0</v>
      </c>
      <c r="D26" s="40">
        <f>('Imputaciones semana'!C14)*$C$5</f>
        <v>0</v>
      </c>
      <c r="E26" s="40">
        <f>('Imputaciones semana'!D14)*$C$6</f>
        <v>0</v>
      </c>
      <c r="F26" s="40">
        <f>('Imputaciones semana'!E14)*$C$7</f>
        <v>0</v>
      </c>
      <c r="G26" s="40">
        <f>('Imputaciones semana'!F14)*$C$8</f>
        <v>0</v>
      </c>
      <c r="H26" s="41">
        <f>('Imputaciones semana'!G14)*$C$9</f>
        <v>0</v>
      </c>
      <c r="I26" s="43">
        <f t="shared" si="2"/>
        <v>0</v>
      </c>
      <c r="J26" s="4">
        <f t="shared" si="3"/>
        <v>13008.738500000001</v>
      </c>
      <c r="K26">
        <v>13</v>
      </c>
      <c r="L26" s="1">
        <f>'Costes y presupuesto'!$F$11/16*K26</f>
        <v>23608.433333333334</v>
      </c>
    </row>
    <row r="27" spans="1:13" x14ac:dyDescent="0.25">
      <c r="A27" s="84" t="s">
        <v>219</v>
      </c>
      <c r="B27" s="36">
        <f>('Imputaciones semana'!A15)*$C$3</f>
        <v>0</v>
      </c>
      <c r="C27" s="37">
        <f>('Imputaciones semana'!B15)*$C$4</f>
        <v>0</v>
      </c>
      <c r="D27" s="37">
        <f>('Imputaciones semana'!C15)*$C$5</f>
        <v>0</v>
      </c>
      <c r="E27" s="37">
        <f>('Imputaciones semana'!D15)*$C$6</f>
        <v>0</v>
      </c>
      <c r="F27" s="37">
        <f>('Imputaciones semana'!E15)*$C$7</f>
        <v>0</v>
      </c>
      <c r="G27" s="37">
        <f>('Imputaciones semana'!F15)*$C$8</f>
        <v>0</v>
      </c>
      <c r="H27" s="38">
        <f>('Imputaciones semana'!G15)*$C$9</f>
        <v>0</v>
      </c>
      <c r="I27" s="43">
        <f t="shared" si="2"/>
        <v>0</v>
      </c>
      <c r="J27" s="4">
        <f t="shared" si="3"/>
        <v>13008.738500000001</v>
      </c>
      <c r="K27">
        <v>14</v>
      </c>
      <c r="L27" s="1">
        <f>'Costes y presupuesto'!$F$11/16*K27</f>
        <v>25424.466666666671</v>
      </c>
    </row>
    <row r="28" spans="1:13" x14ac:dyDescent="0.25">
      <c r="A28" s="84" t="s">
        <v>220</v>
      </c>
      <c r="B28" s="39">
        <f>('Imputaciones semana'!A16)*$C$3</f>
        <v>0</v>
      </c>
      <c r="C28" s="40">
        <f>('Imputaciones semana'!B16)*$C$4</f>
        <v>0</v>
      </c>
      <c r="D28" s="40">
        <f>('Imputaciones semana'!C16)*$C$5</f>
        <v>0</v>
      </c>
      <c r="E28" s="40">
        <f>('Imputaciones semana'!D16)*$C$6</f>
        <v>0</v>
      </c>
      <c r="F28" s="40">
        <f>('Imputaciones semana'!E16)*$C$7</f>
        <v>0</v>
      </c>
      <c r="G28" s="40">
        <f>('Imputaciones semana'!F16)*$C$8</f>
        <v>0</v>
      </c>
      <c r="H28" s="41">
        <f>('Imputaciones semana'!G16)*$C$9</f>
        <v>0</v>
      </c>
      <c r="I28" s="44">
        <f t="shared" si="2"/>
        <v>0</v>
      </c>
      <c r="J28" s="4">
        <f t="shared" si="3"/>
        <v>13008.738500000001</v>
      </c>
      <c r="K28">
        <v>15</v>
      </c>
      <c r="L28" s="1">
        <f>'Costes y presupuesto'!$F$11/16*K28</f>
        <v>27240.500000000004</v>
      </c>
    </row>
    <row r="29" spans="1:13" x14ac:dyDescent="0.25">
      <c r="K29">
        <v>16</v>
      </c>
      <c r="L29" s="1">
        <f>'Costes y presupuesto'!$F$11/16*K29</f>
        <v>29056.533333333336</v>
      </c>
    </row>
    <row r="30" spans="1:13" x14ac:dyDescent="0.25">
      <c r="A30" s="6" t="s">
        <v>48</v>
      </c>
      <c r="B30" s="4">
        <f t="shared" ref="B30:H30" si="4">SUM(B14:B20)</f>
        <v>3115.9739999999997</v>
      </c>
      <c r="C30" s="4">
        <f t="shared" si="4"/>
        <v>1502.5700000000002</v>
      </c>
      <c r="D30" s="4">
        <f t="shared" si="4"/>
        <v>1244.4949999999999</v>
      </c>
      <c r="E30" s="4">
        <f t="shared" si="4"/>
        <v>814.37</v>
      </c>
      <c r="F30" s="4">
        <f t="shared" si="4"/>
        <v>1977.2350000000004</v>
      </c>
      <c r="G30" s="4">
        <f t="shared" si="4"/>
        <v>1393.605</v>
      </c>
      <c r="H30" s="4">
        <f t="shared" si="4"/>
        <v>1239.9070000000002</v>
      </c>
      <c r="I30" s="4">
        <f>SUM(B30:H30)</f>
        <v>11288.155999999999</v>
      </c>
    </row>
  </sheetData>
  <mergeCells count="4">
    <mergeCell ref="A1:E1"/>
    <mergeCell ref="A12:H12"/>
    <mergeCell ref="G1:H1"/>
    <mergeCell ref="J1:K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1B54-FF6D-4BF5-9258-A64C5BD1513B}">
  <dimension ref="A1:Z114"/>
  <sheetViews>
    <sheetView topLeftCell="F1" zoomScale="85" zoomScaleNormal="85" workbookViewId="0">
      <selection activeCell="Z12" sqref="Z12"/>
    </sheetView>
  </sheetViews>
  <sheetFormatPr baseColWidth="10" defaultRowHeight="15" x14ac:dyDescent="0.25"/>
  <cols>
    <col min="1" max="2" width="11.85546875" bestFit="1" customWidth="1"/>
    <col min="11" max="11" width="20" bestFit="1" customWidth="1"/>
    <col min="12" max="12" width="34.5703125" bestFit="1" customWidth="1"/>
    <col min="13" max="13" width="11.85546875" bestFit="1" customWidth="1"/>
    <col min="14" max="15" width="7.7109375" bestFit="1" customWidth="1"/>
    <col min="17" max="17" width="25.7109375" bestFit="1" customWidth="1"/>
    <col min="18" max="18" width="6.5703125" bestFit="1" customWidth="1"/>
    <col min="19" max="19" width="7.5703125" bestFit="1" customWidth="1"/>
    <col min="20" max="20" width="5.28515625" bestFit="1" customWidth="1"/>
    <col min="21" max="21" width="6.5703125" bestFit="1" customWidth="1"/>
    <col min="22" max="22" width="7.7109375" bestFit="1" customWidth="1"/>
    <col min="23" max="23" width="12" bestFit="1" customWidth="1"/>
  </cols>
  <sheetData>
    <row r="1" spans="1:26" x14ac:dyDescent="0.25">
      <c r="A1" s="122" t="s">
        <v>77</v>
      </c>
      <c r="B1" s="133"/>
      <c r="C1" s="133"/>
      <c r="D1" s="133"/>
      <c r="E1" s="133"/>
      <c r="F1" s="123"/>
      <c r="H1" s="130" t="s">
        <v>80</v>
      </c>
      <c r="I1" s="131"/>
      <c r="J1" s="132"/>
      <c r="K1" s="91"/>
      <c r="L1" s="92" t="s">
        <v>81</v>
      </c>
      <c r="M1" s="93"/>
      <c r="N1" s="93"/>
      <c r="O1" s="94"/>
      <c r="Q1" s="124" t="s">
        <v>81</v>
      </c>
      <c r="R1" s="125"/>
      <c r="S1" s="125"/>
      <c r="T1" s="125"/>
      <c r="U1" s="125"/>
      <c r="V1" s="125"/>
      <c r="W1" s="126"/>
    </row>
    <row r="2" spans="1:26" x14ac:dyDescent="0.25">
      <c r="A2" s="134" t="s">
        <v>78</v>
      </c>
      <c r="B2" s="135"/>
      <c r="C2" s="136"/>
      <c r="D2" s="134" t="s">
        <v>79</v>
      </c>
      <c r="E2" s="135"/>
      <c r="F2" s="136"/>
      <c r="H2" s="99" t="s">
        <v>85</v>
      </c>
      <c r="I2" s="97" t="s">
        <v>83</v>
      </c>
      <c r="J2" s="97" t="s">
        <v>84</v>
      </c>
      <c r="L2" s="86" t="s">
        <v>82</v>
      </c>
      <c r="M2" s="86" t="s">
        <v>85</v>
      </c>
      <c r="N2" s="86" t="s">
        <v>83</v>
      </c>
      <c r="O2" s="88" t="s">
        <v>84</v>
      </c>
      <c r="Q2" s="142" t="s">
        <v>82</v>
      </c>
      <c r="R2" s="142" t="s">
        <v>86</v>
      </c>
      <c r="S2" s="142" t="s">
        <v>87</v>
      </c>
      <c r="T2" s="143" t="s">
        <v>89</v>
      </c>
      <c r="U2" s="144" t="s">
        <v>88</v>
      </c>
      <c r="V2" s="142" t="s">
        <v>83</v>
      </c>
      <c r="W2" s="144" t="s">
        <v>89</v>
      </c>
      <c r="X2" s="144" t="s">
        <v>208</v>
      </c>
      <c r="Y2" s="142" t="s">
        <v>209</v>
      </c>
      <c r="Z2" s="144" t="s">
        <v>89</v>
      </c>
    </row>
    <row r="3" spans="1:26" x14ac:dyDescent="0.25">
      <c r="A3" s="95" t="s">
        <v>85</v>
      </c>
      <c r="B3" s="95" t="s">
        <v>83</v>
      </c>
      <c r="C3" s="95" t="s">
        <v>84</v>
      </c>
      <c r="D3" s="95" t="s">
        <v>85</v>
      </c>
      <c r="E3" s="95" t="s">
        <v>83</v>
      </c>
      <c r="F3" s="95" t="s">
        <v>84</v>
      </c>
      <c r="H3" s="100">
        <f>_xlfn.STDEV.S(M3:M9)</f>
        <v>4.4986770542121848</v>
      </c>
      <c r="I3" s="98">
        <f>_xlfn.STDEV.P(N3:N9)</f>
        <v>4.5039665058384131</v>
      </c>
      <c r="J3" s="101"/>
      <c r="L3" s="87" t="s">
        <v>29</v>
      </c>
      <c r="M3" s="107">
        <v>16</v>
      </c>
      <c r="N3" s="107">
        <v>27</v>
      </c>
      <c r="O3" s="89">
        <f>M59</f>
        <v>13</v>
      </c>
      <c r="Q3" s="87" t="s">
        <v>29</v>
      </c>
      <c r="R3" s="87">
        <v>20</v>
      </c>
      <c r="S3" s="87">
        <v>16</v>
      </c>
      <c r="T3" s="103">
        <f>ABS(R3-S3)/S3</f>
        <v>0.25</v>
      </c>
      <c r="U3" s="87">
        <v>27</v>
      </c>
      <c r="V3" s="145">
        <v>17</v>
      </c>
      <c r="W3" s="103">
        <f>ABS(U3-V3)/V3</f>
        <v>0.58823529411764708</v>
      </c>
      <c r="X3" s="87">
        <f>O3</f>
        <v>13</v>
      </c>
      <c r="Y3" s="145">
        <f>'Imputaciones semana'!A9+'Imputaciones semana'!A10</f>
        <v>17</v>
      </c>
      <c r="Z3" s="103">
        <f>ABS(X3-Y3)/Y3</f>
        <v>0.23529411764705882</v>
      </c>
    </row>
    <row r="4" spans="1:26" x14ac:dyDescent="0.25">
      <c r="A4" s="96">
        <v>0</v>
      </c>
      <c r="B4" s="102"/>
      <c r="C4" s="102"/>
      <c r="D4" s="102"/>
      <c r="E4" s="102"/>
      <c r="F4" s="102"/>
      <c r="L4" s="89" t="s">
        <v>2</v>
      </c>
      <c r="M4" s="108">
        <v>17</v>
      </c>
      <c r="N4" s="108">
        <v>18</v>
      </c>
      <c r="O4" s="89">
        <f>M94</f>
        <v>16</v>
      </c>
      <c r="Q4" s="89" t="s">
        <v>2</v>
      </c>
      <c r="R4" s="89">
        <v>20</v>
      </c>
      <c r="S4" s="89">
        <v>17</v>
      </c>
      <c r="T4" s="103">
        <f t="shared" ref="T4:T9" si="0">ABS(R4-S4)/S4</f>
        <v>0.17647058823529413</v>
      </c>
      <c r="U4" s="89">
        <v>22</v>
      </c>
      <c r="V4" s="89">
        <v>21.5</v>
      </c>
      <c r="W4" s="103">
        <f t="shared" ref="W4:W9" si="1">ABS(U4-V4)/V4</f>
        <v>2.3255813953488372E-2</v>
      </c>
      <c r="X4" s="87">
        <f t="shared" ref="X4:X8" si="2">O4</f>
        <v>16</v>
      </c>
      <c r="Y4" s="145">
        <f>'Imputaciones semana'!B9+'Imputaciones semana'!B10</f>
        <v>21</v>
      </c>
      <c r="Z4" s="103">
        <f t="shared" ref="Z4:Z9" si="3">ABS(X4-Y4)/Y4</f>
        <v>0.23809523809523808</v>
      </c>
    </row>
    <row r="5" spans="1:26" x14ac:dyDescent="0.25">
      <c r="L5" s="89" t="s">
        <v>3</v>
      </c>
      <c r="M5" s="108">
        <v>18</v>
      </c>
      <c r="N5" s="108">
        <v>27</v>
      </c>
      <c r="O5" s="89">
        <f>M66</f>
        <v>21</v>
      </c>
      <c r="Q5" s="89" t="s">
        <v>3</v>
      </c>
      <c r="R5" s="89">
        <v>20</v>
      </c>
      <c r="S5" s="89">
        <v>18</v>
      </c>
      <c r="T5" s="103">
        <f t="shared" si="0"/>
        <v>0.1111111111111111</v>
      </c>
      <c r="U5" s="89">
        <v>27</v>
      </c>
      <c r="V5" s="145">
        <v>14.4</v>
      </c>
      <c r="W5" s="103">
        <f t="shared" si="1"/>
        <v>0.875</v>
      </c>
      <c r="X5" s="87">
        <f t="shared" si="2"/>
        <v>21</v>
      </c>
      <c r="Y5" s="145">
        <f>'Imputaciones semana'!C9+'Imputaciones semana'!C10</f>
        <v>30.5</v>
      </c>
      <c r="Z5" s="103">
        <f t="shared" si="3"/>
        <v>0.31147540983606559</v>
      </c>
    </row>
    <row r="6" spans="1:26" x14ac:dyDescent="0.25">
      <c r="L6" s="89" t="s">
        <v>28</v>
      </c>
      <c r="M6" s="108">
        <v>8</v>
      </c>
      <c r="N6" s="108">
        <v>14</v>
      </c>
      <c r="O6" s="89">
        <f>M114</f>
        <v>19</v>
      </c>
      <c r="Q6" s="89" t="s">
        <v>28</v>
      </c>
      <c r="R6" s="89">
        <v>20</v>
      </c>
      <c r="S6" s="89">
        <v>8</v>
      </c>
      <c r="T6" s="103">
        <f t="shared" si="0"/>
        <v>1.5</v>
      </c>
      <c r="U6" s="89">
        <v>14</v>
      </c>
      <c r="V6" s="89">
        <v>11</v>
      </c>
      <c r="W6" s="103">
        <f t="shared" si="1"/>
        <v>0.27272727272727271</v>
      </c>
      <c r="X6" s="87">
        <f t="shared" si="2"/>
        <v>19</v>
      </c>
      <c r="Y6" s="145">
        <f>'Imputaciones semana'!D9+'Imputaciones semana'!D10</f>
        <v>7.5</v>
      </c>
      <c r="Z6" s="103">
        <f t="shared" si="3"/>
        <v>1.5333333333333334</v>
      </c>
    </row>
    <row r="7" spans="1:26" x14ac:dyDescent="0.25">
      <c r="A7" s="115" t="s">
        <v>127</v>
      </c>
      <c r="B7" s="116"/>
      <c r="C7" s="116"/>
      <c r="D7" s="117"/>
      <c r="L7" s="89" t="s">
        <v>43</v>
      </c>
      <c r="M7" s="108">
        <v>12</v>
      </c>
      <c r="N7" s="108">
        <v>23</v>
      </c>
      <c r="O7" s="89">
        <f>M106</f>
        <v>23</v>
      </c>
      <c r="Q7" s="89" t="s">
        <v>43</v>
      </c>
      <c r="R7" s="89">
        <v>20</v>
      </c>
      <c r="S7" s="89">
        <v>12</v>
      </c>
      <c r="T7" s="103">
        <f t="shared" si="0"/>
        <v>0.66666666666666663</v>
      </c>
      <c r="U7" s="89">
        <v>23</v>
      </c>
      <c r="V7" s="89">
        <v>17</v>
      </c>
      <c r="W7" s="103">
        <f t="shared" si="1"/>
        <v>0.35294117647058826</v>
      </c>
      <c r="X7" s="87">
        <f t="shared" si="2"/>
        <v>23</v>
      </c>
      <c r="Y7" s="145">
        <f>'Imputaciones semana'!E9+'Imputaciones semana'!E10</f>
        <v>10</v>
      </c>
      <c r="Z7" s="103">
        <f t="shared" si="3"/>
        <v>1.3</v>
      </c>
    </row>
    <row r="8" spans="1:26" x14ac:dyDescent="0.25">
      <c r="A8" s="127" t="s">
        <v>83</v>
      </c>
      <c r="B8" s="128"/>
      <c r="C8" s="128"/>
      <c r="D8" s="129"/>
      <c r="L8" s="89" t="s">
        <v>44</v>
      </c>
      <c r="M8" s="108">
        <v>22</v>
      </c>
      <c r="N8" s="108">
        <v>19</v>
      </c>
      <c r="O8" s="89">
        <f>M85</f>
        <v>17</v>
      </c>
      <c r="Q8" s="89" t="s">
        <v>44</v>
      </c>
      <c r="R8" s="89">
        <v>20</v>
      </c>
      <c r="S8" s="89">
        <v>22</v>
      </c>
      <c r="T8" s="103">
        <f t="shared" si="0"/>
        <v>9.0909090909090912E-2</v>
      </c>
      <c r="U8" s="89">
        <v>19</v>
      </c>
      <c r="V8" s="89">
        <v>30</v>
      </c>
      <c r="W8" s="103">
        <f t="shared" si="1"/>
        <v>0.36666666666666664</v>
      </c>
      <c r="X8" s="87">
        <f t="shared" si="2"/>
        <v>17</v>
      </c>
      <c r="Y8" s="145">
        <f>'Imputaciones semana'!F9+'Imputaciones semana'!F10</f>
        <v>16.75</v>
      </c>
      <c r="Z8" s="103">
        <f t="shared" si="3"/>
        <v>1.4925373134328358E-2</v>
      </c>
    </row>
    <row r="9" spans="1:26" x14ac:dyDescent="0.25">
      <c r="A9" s="8" t="s">
        <v>131</v>
      </c>
      <c r="B9" s="104" t="s">
        <v>128</v>
      </c>
      <c r="C9" s="10" t="s">
        <v>129</v>
      </c>
      <c r="D9" s="104" t="s">
        <v>130</v>
      </c>
      <c r="L9" s="90" t="s">
        <v>45</v>
      </c>
      <c r="M9" s="109">
        <v>17</v>
      </c>
      <c r="N9" s="109">
        <v>19</v>
      </c>
      <c r="O9" s="90">
        <f>M77</f>
        <v>26</v>
      </c>
      <c r="Q9" s="90" t="s">
        <v>45</v>
      </c>
      <c r="R9" s="90">
        <v>20</v>
      </c>
      <c r="S9" s="90">
        <v>17</v>
      </c>
      <c r="T9" s="103">
        <f t="shared" si="0"/>
        <v>0.17647058823529413</v>
      </c>
      <c r="U9" s="90">
        <v>19</v>
      </c>
      <c r="V9" s="90">
        <v>21</v>
      </c>
      <c r="W9" s="103">
        <f t="shared" si="1"/>
        <v>9.5238095238095233E-2</v>
      </c>
      <c r="X9" s="87">
        <f>O9</f>
        <v>26</v>
      </c>
      <c r="Y9" s="145">
        <f>'Imputaciones semana'!G9+'Imputaciones semana'!G10</f>
        <v>20</v>
      </c>
      <c r="Z9" s="103">
        <f t="shared" si="3"/>
        <v>0.3</v>
      </c>
    </row>
    <row r="10" spans="1:26" x14ac:dyDescent="0.25">
      <c r="A10" s="111">
        <v>3</v>
      </c>
      <c r="B10" s="114">
        <f>COUNTIF(N12:N51,"&gt;3")</f>
        <v>9</v>
      </c>
      <c r="C10" s="112">
        <f>COUNT(N12:N51)</f>
        <v>40</v>
      </c>
      <c r="D10" s="114">
        <f>B10/C10*100</f>
        <v>22.5</v>
      </c>
      <c r="S10" s="105" t="s">
        <v>64</v>
      </c>
      <c r="T10" s="106">
        <f>AVERAGEA(T3:T9)</f>
        <v>0.42451829216535092</v>
      </c>
      <c r="V10" s="105" t="s">
        <v>64</v>
      </c>
      <c r="W10" s="106">
        <f>AVERAGEA(W3:W9)</f>
        <v>0.36772347416767975</v>
      </c>
      <c r="Y10" s="105" t="s">
        <v>64</v>
      </c>
      <c r="Z10" s="106">
        <f>AVERAGEA(Z3:Z9)</f>
        <v>0.56187478172086058</v>
      </c>
    </row>
    <row r="11" spans="1:26" x14ac:dyDescent="0.25">
      <c r="A11" s="127" t="s">
        <v>85</v>
      </c>
      <c r="B11" s="128"/>
      <c r="C11" s="128"/>
      <c r="D11" s="129"/>
      <c r="J11" s="92" t="s">
        <v>132</v>
      </c>
      <c r="L11" s="92" t="s">
        <v>133</v>
      </c>
      <c r="M11" s="93"/>
      <c r="N11" s="93"/>
      <c r="O11" s="94"/>
      <c r="Z11" s="104">
        <f>Z10/2</f>
        <v>0.28093739086043029</v>
      </c>
    </row>
    <row r="12" spans="1:26" x14ac:dyDescent="0.25">
      <c r="A12" s="8" t="s">
        <v>131</v>
      </c>
      <c r="B12" s="104" t="s">
        <v>128</v>
      </c>
      <c r="C12" s="10" t="s">
        <v>129</v>
      </c>
      <c r="D12" s="104" t="s">
        <v>130</v>
      </c>
      <c r="H12" t="s">
        <v>147</v>
      </c>
      <c r="I12" s="70" t="s">
        <v>134</v>
      </c>
      <c r="J12">
        <v>10</v>
      </c>
      <c r="K12" s="113"/>
      <c r="L12" s="70" t="s">
        <v>90</v>
      </c>
      <c r="N12" s="110">
        <v>5</v>
      </c>
    </row>
    <row r="13" spans="1:26" x14ac:dyDescent="0.25">
      <c r="A13" s="111">
        <v>3</v>
      </c>
      <c r="B13" s="114">
        <f>COUNTIF(J12:J28,"&gt;3")</f>
        <v>9</v>
      </c>
      <c r="C13" s="112">
        <f>COUNT(J12:J28)</f>
        <v>17</v>
      </c>
      <c r="D13" s="114">
        <f>B13/C13*100</f>
        <v>52.941176470588239</v>
      </c>
      <c r="I13" t="s">
        <v>135</v>
      </c>
      <c r="J13">
        <v>5</v>
      </c>
      <c r="L13" s="70" t="s">
        <v>91</v>
      </c>
      <c r="N13" s="110">
        <v>5</v>
      </c>
    </row>
    <row r="14" spans="1:26" x14ac:dyDescent="0.25">
      <c r="A14" s="127" t="s">
        <v>84</v>
      </c>
      <c r="B14" s="128"/>
      <c r="C14" s="128"/>
      <c r="D14" s="129"/>
      <c r="H14" t="s">
        <v>148</v>
      </c>
      <c r="I14" t="s">
        <v>136</v>
      </c>
      <c r="J14">
        <v>4</v>
      </c>
      <c r="L14" s="70" t="s">
        <v>92</v>
      </c>
      <c r="N14" s="110">
        <v>2</v>
      </c>
    </row>
    <row r="15" spans="1:26" x14ac:dyDescent="0.25">
      <c r="A15" s="8" t="s">
        <v>131</v>
      </c>
      <c r="B15" s="104" t="s">
        <v>128</v>
      </c>
      <c r="C15" s="10" t="s">
        <v>129</v>
      </c>
      <c r="D15" s="104" t="s">
        <v>130</v>
      </c>
      <c r="F15" s="85"/>
      <c r="I15" t="s">
        <v>137</v>
      </c>
      <c r="J15">
        <v>1</v>
      </c>
      <c r="L15" s="70" t="s">
        <v>93</v>
      </c>
      <c r="N15" s="110">
        <v>7</v>
      </c>
    </row>
    <row r="16" spans="1:26" x14ac:dyDescent="0.25">
      <c r="A16" s="111">
        <v>3</v>
      </c>
      <c r="B16" s="114">
        <f>COUNTIF(M54:M58,"&gt;3")+COUNTIF(M60:M65,"&gt;3")+COUNTIF(M67:M76,"&gt;3")+COUNTIF(M78:M84,"&gt;3")+COUNTIF(M86:M93,"&gt;3")+COUNTIF(M95:M105,"&gt;3")+COUNTIF(M107:M113,"&gt;3")</f>
        <v>9</v>
      </c>
      <c r="C16" s="112">
        <f>COUNT(M54:M58)+COUNT(M60:M65)+COUNT(M67:M76)+COUNT(M78:M84)+COUNT(M86:M93)+COUNT(M95:M105)+COUNT(M107:M113)</f>
        <v>54</v>
      </c>
      <c r="D16" s="114">
        <f>B16/C16*100</f>
        <v>16.666666666666664</v>
      </c>
      <c r="I16" t="s">
        <v>138</v>
      </c>
      <c r="J16">
        <v>1</v>
      </c>
      <c r="L16" s="70" t="s">
        <v>94</v>
      </c>
      <c r="N16" s="110">
        <v>1</v>
      </c>
    </row>
    <row r="17" spans="8:14" x14ac:dyDescent="0.25">
      <c r="I17" t="s">
        <v>139</v>
      </c>
      <c r="J17">
        <v>2</v>
      </c>
      <c r="L17" s="70" t="s">
        <v>95</v>
      </c>
      <c r="N17" s="110">
        <v>1</v>
      </c>
    </row>
    <row r="18" spans="8:14" x14ac:dyDescent="0.25">
      <c r="I18" t="s">
        <v>140</v>
      </c>
      <c r="J18">
        <v>3</v>
      </c>
      <c r="L18" s="70" t="s">
        <v>96</v>
      </c>
      <c r="N18" s="110">
        <v>1</v>
      </c>
    </row>
    <row r="19" spans="8:14" x14ac:dyDescent="0.25">
      <c r="H19" t="s">
        <v>149</v>
      </c>
      <c r="I19" t="s">
        <v>134</v>
      </c>
      <c r="J19">
        <v>15</v>
      </c>
      <c r="L19" s="70" t="s">
        <v>97</v>
      </c>
      <c r="N19" s="110">
        <v>3</v>
      </c>
    </row>
    <row r="20" spans="8:14" x14ac:dyDescent="0.25">
      <c r="I20" t="s">
        <v>141</v>
      </c>
      <c r="J20">
        <v>2</v>
      </c>
      <c r="L20" s="70" t="s">
        <v>98</v>
      </c>
      <c r="N20" s="110">
        <v>3</v>
      </c>
    </row>
    <row r="21" spans="8:14" x14ac:dyDescent="0.25">
      <c r="I21" t="s">
        <v>142</v>
      </c>
      <c r="J21">
        <v>1</v>
      </c>
      <c r="L21" s="70" t="s">
        <v>99</v>
      </c>
      <c r="N21" s="110">
        <v>3</v>
      </c>
    </row>
    <row r="22" spans="8:14" x14ac:dyDescent="0.25">
      <c r="H22" t="s">
        <v>150</v>
      </c>
      <c r="I22" t="s">
        <v>143</v>
      </c>
      <c r="J22">
        <v>15</v>
      </c>
      <c r="L22" s="70" t="s">
        <v>100</v>
      </c>
      <c r="N22" s="110">
        <v>3</v>
      </c>
    </row>
    <row r="23" spans="8:14" x14ac:dyDescent="0.25">
      <c r="I23" t="s">
        <v>144</v>
      </c>
      <c r="J23">
        <v>7</v>
      </c>
      <c r="L23" s="70" t="s">
        <v>101</v>
      </c>
      <c r="N23" s="110">
        <v>3</v>
      </c>
    </row>
    <row r="24" spans="8:14" x14ac:dyDescent="0.25">
      <c r="H24" t="s">
        <v>151</v>
      </c>
      <c r="I24" t="s">
        <v>143</v>
      </c>
      <c r="J24">
        <v>15</v>
      </c>
      <c r="L24" s="70" t="s">
        <v>102</v>
      </c>
      <c r="N24" s="110">
        <v>2</v>
      </c>
    </row>
    <row r="25" spans="8:14" x14ac:dyDescent="0.25">
      <c r="I25" t="s">
        <v>144</v>
      </c>
      <c r="J25">
        <v>3</v>
      </c>
      <c r="L25" s="70" t="s">
        <v>103</v>
      </c>
      <c r="N25" s="110">
        <v>3</v>
      </c>
    </row>
    <row r="26" spans="8:14" x14ac:dyDescent="0.25">
      <c r="H26" t="s">
        <v>152</v>
      </c>
      <c r="I26" t="s">
        <v>143</v>
      </c>
      <c r="J26">
        <v>18</v>
      </c>
      <c r="L26" s="70" t="s">
        <v>104</v>
      </c>
      <c r="N26" s="110">
        <v>2</v>
      </c>
    </row>
    <row r="27" spans="8:14" x14ac:dyDescent="0.25">
      <c r="H27" t="s">
        <v>146</v>
      </c>
      <c r="I27" t="s">
        <v>145</v>
      </c>
      <c r="J27">
        <v>7</v>
      </c>
      <c r="L27" s="70" t="s">
        <v>105</v>
      </c>
      <c r="N27" s="110">
        <v>3</v>
      </c>
    </row>
    <row r="28" spans="8:14" x14ac:dyDescent="0.25">
      <c r="I28" t="s">
        <v>142</v>
      </c>
      <c r="J28">
        <v>1</v>
      </c>
      <c r="L28" s="70" t="s">
        <v>106</v>
      </c>
      <c r="N28" s="110">
        <v>2</v>
      </c>
    </row>
    <row r="29" spans="8:14" x14ac:dyDescent="0.25">
      <c r="L29" s="70" t="s">
        <v>107</v>
      </c>
      <c r="N29" s="110">
        <v>6</v>
      </c>
    </row>
    <row r="30" spans="8:14" x14ac:dyDescent="0.25">
      <c r="L30" s="70" t="s">
        <v>108</v>
      </c>
      <c r="N30" s="110">
        <v>7</v>
      </c>
    </row>
    <row r="31" spans="8:14" x14ac:dyDescent="0.25">
      <c r="L31" s="70" t="s">
        <v>109</v>
      </c>
      <c r="N31" s="110">
        <v>2</v>
      </c>
    </row>
    <row r="32" spans="8:14" x14ac:dyDescent="0.25">
      <c r="L32" s="70" t="s">
        <v>110</v>
      </c>
      <c r="N32" s="110">
        <v>2</v>
      </c>
    </row>
    <row r="33" spans="12:14" x14ac:dyDescent="0.25">
      <c r="L33" s="70" t="s">
        <v>111</v>
      </c>
      <c r="N33" s="110">
        <v>1</v>
      </c>
    </row>
    <row r="34" spans="12:14" x14ac:dyDescent="0.25">
      <c r="L34" s="70" t="s">
        <v>112</v>
      </c>
      <c r="N34" s="110">
        <v>20</v>
      </c>
    </row>
    <row r="35" spans="12:14" x14ac:dyDescent="0.25">
      <c r="L35" s="70" t="s">
        <v>113</v>
      </c>
      <c r="N35" s="110">
        <v>2</v>
      </c>
    </row>
    <row r="36" spans="12:14" x14ac:dyDescent="0.25">
      <c r="L36" s="70" t="s">
        <v>114</v>
      </c>
      <c r="N36" s="110">
        <v>1</v>
      </c>
    </row>
    <row r="37" spans="12:14" x14ac:dyDescent="0.25">
      <c r="L37" s="70" t="s">
        <v>115</v>
      </c>
      <c r="N37" s="110">
        <v>1</v>
      </c>
    </row>
    <row r="38" spans="12:14" x14ac:dyDescent="0.25">
      <c r="L38" s="70" t="s">
        <v>116</v>
      </c>
      <c r="N38" s="110">
        <v>1</v>
      </c>
    </row>
    <row r="39" spans="12:14" x14ac:dyDescent="0.25">
      <c r="L39" s="70" t="s">
        <v>117</v>
      </c>
      <c r="N39" s="110">
        <v>1</v>
      </c>
    </row>
    <row r="40" spans="12:14" x14ac:dyDescent="0.25">
      <c r="L40" s="70" t="s">
        <v>118</v>
      </c>
      <c r="N40" s="110">
        <v>4</v>
      </c>
    </row>
    <row r="41" spans="12:14" x14ac:dyDescent="0.25">
      <c r="L41" s="70" t="s">
        <v>119</v>
      </c>
      <c r="N41" s="110">
        <v>7</v>
      </c>
    </row>
    <row r="42" spans="12:14" x14ac:dyDescent="0.25">
      <c r="L42" s="70" t="s">
        <v>120</v>
      </c>
      <c r="N42" s="110">
        <v>2</v>
      </c>
    </row>
    <row r="43" spans="12:14" x14ac:dyDescent="0.25">
      <c r="L43" s="70" t="s">
        <v>121</v>
      </c>
      <c r="N43" s="110">
        <v>2</v>
      </c>
    </row>
    <row r="44" spans="12:14" x14ac:dyDescent="0.25">
      <c r="L44" s="70" t="s">
        <v>114</v>
      </c>
      <c r="N44" s="110">
        <v>1</v>
      </c>
    </row>
    <row r="45" spans="12:14" x14ac:dyDescent="0.25">
      <c r="L45" s="70" t="s">
        <v>122</v>
      </c>
      <c r="N45" s="110">
        <v>1</v>
      </c>
    </row>
    <row r="46" spans="12:14" x14ac:dyDescent="0.25">
      <c r="L46" s="70" t="s">
        <v>122</v>
      </c>
      <c r="N46" s="110">
        <v>1</v>
      </c>
    </row>
    <row r="47" spans="12:14" x14ac:dyDescent="0.25">
      <c r="L47" s="70" t="s">
        <v>122</v>
      </c>
      <c r="N47" s="110">
        <v>1</v>
      </c>
    </row>
    <row r="48" spans="12:14" x14ac:dyDescent="0.25">
      <c r="L48" s="70" t="s">
        <v>123</v>
      </c>
      <c r="N48" s="110">
        <v>6</v>
      </c>
    </row>
    <row r="49" spans="11:15" x14ac:dyDescent="0.25">
      <c r="L49" s="70" t="s">
        <v>124</v>
      </c>
      <c r="N49" s="110">
        <v>1</v>
      </c>
    </row>
    <row r="50" spans="11:15" x14ac:dyDescent="0.25">
      <c r="L50" s="70" t="s">
        <v>125</v>
      </c>
      <c r="N50" s="110">
        <v>1</v>
      </c>
    </row>
    <row r="51" spans="11:15" x14ac:dyDescent="0.25">
      <c r="L51" s="70" t="s">
        <v>126</v>
      </c>
      <c r="N51" s="110">
        <v>1</v>
      </c>
    </row>
    <row r="53" spans="11:15" x14ac:dyDescent="0.25">
      <c r="L53" s="138" t="s">
        <v>154</v>
      </c>
      <c r="M53" s="93"/>
      <c r="N53" s="93"/>
      <c r="O53" s="94"/>
    </row>
    <row r="54" spans="11:15" x14ac:dyDescent="0.25">
      <c r="K54" s="139" t="s">
        <v>147</v>
      </c>
      <c r="L54" s="70" t="s">
        <v>155</v>
      </c>
      <c r="M54">
        <v>3</v>
      </c>
    </row>
    <row r="55" spans="11:15" x14ac:dyDescent="0.25">
      <c r="K55" s="137"/>
      <c r="L55" s="70" t="s">
        <v>162</v>
      </c>
      <c r="M55">
        <v>3</v>
      </c>
    </row>
    <row r="56" spans="11:15" x14ac:dyDescent="0.25">
      <c r="L56" s="70" t="s">
        <v>163</v>
      </c>
      <c r="M56">
        <v>3</v>
      </c>
    </row>
    <row r="57" spans="11:15" x14ac:dyDescent="0.25">
      <c r="L57" s="70" t="s">
        <v>156</v>
      </c>
      <c r="M57">
        <v>2</v>
      </c>
    </row>
    <row r="58" spans="11:15" x14ac:dyDescent="0.25">
      <c r="L58" s="70" t="s">
        <v>157</v>
      </c>
      <c r="M58">
        <v>2</v>
      </c>
    </row>
    <row r="59" spans="11:15" x14ac:dyDescent="0.25">
      <c r="L59" s="140" t="s">
        <v>10</v>
      </c>
      <c r="M59" s="141">
        <f>SUM(M54:M58)</f>
        <v>13</v>
      </c>
    </row>
    <row r="60" spans="11:15" x14ac:dyDescent="0.25">
      <c r="K60" s="139" t="s">
        <v>149</v>
      </c>
      <c r="L60" s="70" t="s">
        <v>158</v>
      </c>
      <c r="M60">
        <v>2</v>
      </c>
    </row>
    <row r="61" spans="11:15" x14ac:dyDescent="0.25">
      <c r="L61" s="70" t="s">
        <v>159</v>
      </c>
      <c r="M61">
        <v>1</v>
      </c>
    </row>
    <row r="62" spans="11:15" x14ac:dyDescent="0.25">
      <c r="L62" s="70" t="s">
        <v>160</v>
      </c>
      <c r="M62">
        <v>6</v>
      </c>
    </row>
    <row r="63" spans="11:15" x14ac:dyDescent="0.25">
      <c r="L63" s="70" t="s">
        <v>161</v>
      </c>
      <c r="M63">
        <v>1</v>
      </c>
    </row>
    <row r="64" spans="11:15" x14ac:dyDescent="0.25">
      <c r="L64" s="70" t="s">
        <v>164</v>
      </c>
      <c r="M64">
        <v>5</v>
      </c>
    </row>
    <row r="65" spans="11:13" x14ac:dyDescent="0.25">
      <c r="L65" s="70" t="s">
        <v>165</v>
      </c>
      <c r="M65">
        <v>6</v>
      </c>
    </row>
    <row r="66" spans="11:13" x14ac:dyDescent="0.25">
      <c r="L66" s="140" t="s">
        <v>10</v>
      </c>
      <c r="M66" s="141">
        <f>SUM(M60:M65)</f>
        <v>21</v>
      </c>
    </row>
    <row r="67" spans="11:13" x14ac:dyDescent="0.25">
      <c r="K67" s="139" t="s">
        <v>151</v>
      </c>
      <c r="L67" s="70" t="s">
        <v>166</v>
      </c>
      <c r="M67">
        <v>3</v>
      </c>
    </row>
    <row r="68" spans="11:13" x14ac:dyDescent="0.25">
      <c r="L68" s="70" t="s">
        <v>167</v>
      </c>
      <c r="M68">
        <v>2</v>
      </c>
    </row>
    <row r="69" spans="11:13" x14ac:dyDescent="0.25">
      <c r="L69" s="70" t="s">
        <v>168</v>
      </c>
      <c r="M69">
        <v>2</v>
      </c>
    </row>
    <row r="70" spans="11:13" x14ac:dyDescent="0.25">
      <c r="L70" s="70" t="s">
        <v>169</v>
      </c>
      <c r="M70">
        <v>2</v>
      </c>
    </row>
    <row r="71" spans="11:13" x14ac:dyDescent="0.25">
      <c r="L71" s="70" t="s">
        <v>170</v>
      </c>
      <c r="M71">
        <v>1</v>
      </c>
    </row>
    <row r="72" spans="11:13" x14ac:dyDescent="0.25">
      <c r="L72" s="70" t="s">
        <v>171</v>
      </c>
      <c r="M72">
        <v>2</v>
      </c>
    </row>
    <row r="73" spans="11:13" x14ac:dyDescent="0.25">
      <c r="L73" s="70" t="s">
        <v>172</v>
      </c>
      <c r="M73">
        <v>2</v>
      </c>
    </row>
    <row r="74" spans="11:13" x14ac:dyDescent="0.25">
      <c r="L74" s="70" t="s">
        <v>211</v>
      </c>
      <c r="M74">
        <v>5</v>
      </c>
    </row>
    <row r="75" spans="11:13" x14ac:dyDescent="0.25">
      <c r="L75" s="70" t="s">
        <v>212</v>
      </c>
      <c r="M75">
        <v>5</v>
      </c>
    </row>
    <row r="76" spans="11:13" x14ac:dyDescent="0.25">
      <c r="L76" s="70" t="s">
        <v>173</v>
      </c>
      <c r="M76">
        <v>2</v>
      </c>
    </row>
    <row r="77" spans="11:13" x14ac:dyDescent="0.25">
      <c r="L77" s="140" t="s">
        <v>10</v>
      </c>
      <c r="M77" s="141">
        <f>SUM(M67:M76)</f>
        <v>26</v>
      </c>
    </row>
    <row r="78" spans="11:13" x14ac:dyDescent="0.25">
      <c r="K78" s="139" t="s">
        <v>150</v>
      </c>
      <c r="L78" s="70" t="s">
        <v>174</v>
      </c>
      <c r="M78">
        <v>2</v>
      </c>
    </row>
    <row r="79" spans="11:13" x14ac:dyDescent="0.25">
      <c r="L79" s="70" t="s">
        <v>175</v>
      </c>
      <c r="M79">
        <v>2</v>
      </c>
    </row>
    <row r="80" spans="11:13" x14ac:dyDescent="0.25">
      <c r="L80" s="70" t="s">
        <v>176</v>
      </c>
      <c r="M80">
        <v>2</v>
      </c>
    </row>
    <row r="81" spans="11:13" x14ac:dyDescent="0.25">
      <c r="L81" s="70" t="s">
        <v>177</v>
      </c>
      <c r="M81">
        <v>2</v>
      </c>
    </row>
    <row r="82" spans="11:13" x14ac:dyDescent="0.25">
      <c r="L82" s="70" t="s">
        <v>178</v>
      </c>
      <c r="M82">
        <v>2</v>
      </c>
    </row>
    <row r="83" spans="11:13" x14ac:dyDescent="0.25">
      <c r="L83" s="70" t="s">
        <v>213</v>
      </c>
      <c r="M83">
        <v>1</v>
      </c>
    </row>
    <row r="84" spans="11:13" x14ac:dyDescent="0.25">
      <c r="L84" s="70" t="s">
        <v>179</v>
      </c>
      <c r="M84">
        <v>8</v>
      </c>
    </row>
    <row r="85" spans="11:13" x14ac:dyDescent="0.25">
      <c r="L85" s="140" t="s">
        <v>10</v>
      </c>
      <c r="M85" s="141">
        <f>SUM(M79:M84)</f>
        <v>17</v>
      </c>
    </row>
    <row r="86" spans="11:13" x14ac:dyDescent="0.25">
      <c r="K86" s="139" t="s">
        <v>180</v>
      </c>
      <c r="L86" s="70" t="s">
        <v>181</v>
      </c>
      <c r="M86">
        <v>2</v>
      </c>
    </row>
    <row r="87" spans="11:13" x14ac:dyDescent="0.25">
      <c r="L87" s="70" t="s">
        <v>182</v>
      </c>
      <c r="M87">
        <v>1</v>
      </c>
    </row>
    <row r="88" spans="11:13" x14ac:dyDescent="0.25">
      <c r="L88" s="70" t="s">
        <v>183</v>
      </c>
      <c r="M88">
        <v>2</v>
      </c>
    </row>
    <row r="89" spans="11:13" x14ac:dyDescent="0.25">
      <c r="L89" s="70" t="s">
        <v>184</v>
      </c>
      <c r="M89">
        <v>2</v>
      </c>
    </row>
    <row r="90" spans="11:13" x14ac:dyDescent="0.25">
      <c r="L90" s="70" t="s">
        <v>185</v>
      </c>
      <c r="M90">
        <v>3</v>
      </c>
    </row>
    <row r="91" spans="11:13" x14ac:dyDescent="0.25">
      <c r="L91" s="70" t="s">
        <v>186</v>
      </c>
      <c r="M91">
        <v>3</v>
      </c>
    </row>
    <row r="92" spans="11:13" x14ac:dyDescent="0.25">
      <c r="L92" s="70" t="s">
        <v>187</v>
      </c>
      <c r="M92">
        <v>2</v>
      </c>
    </row>
    <row r="93" spans="11:13" x14ac:dyDescent="0.25">
      <c r="L93" s="70" t="s">
        <v>188</v>
      </c>
      <c r="M93">
        <v>1</v>
      </c>
    </row>
    <row r="94" spans="11:13" x14ac:dyDescent="0.25">
      <c r="L94" s="140" t="s">
        <v>10</v>
      </c>
      <c r="M94" s="141">
        <f>SUM(M86:M93)</f>
        <v>16</v>
      </c>
    </row>
    <row r="95" spans="11:13" x14ac:dyDescent="0.25">
      <c r="K95" s="139" t="s">
        <v>189</v>
      </c>
      <c r="L95" s="70" t="s">
        <v>190</v>
      </c>
      <c r="M95">
        <v>1</v>
      </c>
    </row>
    <row r="96" spans="11:13" x14ac:dyDescent="0.25">
      <c r="L96" s="70" t="s">
        <v>191</v>
      </c>
      <c r="M96">
        <v>1</v>
      </c>
    </row>
    <row r="97" spans="11:13" x14ac:dyDescent="0.25">
      <c r="L97" s="70" t="s">
        <v>192</v>
      </c>
      <c r="M97">
        <v>1</v>
      </c>
    </row>
    <row r="98" spans="11:13" x14ac:dyDescent="0.25">
      <c r="L98" s="70" t="s">
        <v>193</v>
      </c>
      <c r="M98">
        <v>1</v>
      </c>
    </row>
    <row r="99" spans="11:13" x14ac:dyDescent="0.25">
      <c r="L99" s="70" t="s">
        <v>194</v>
      </c>
      <c r="M99">
        <v>5</v>
      </c>
    </row>
    <row r="100" spans="11:13" x14ac:dyDescent="0.25">
      <c r="L100" s="70" t="s">
        <v>195</v>
      </c>
      <c r="M100">
        <v>5</v>
      </c>
    </row>
    <row r="101" spans="11:13" x14ac:dyDescent="0.25">
      <c r="L101" s="70" t="s">
        <v>196</v>
      </c>
      <c r="M101">
        <v>1</v>
      </c>
    </row>
    <row r="102" spans="11:13" x14ac:dyDescent="0.25">
      <c r="L102" s="70" t="s">
        <v>197</v>
      </c>
      <c r="M102">
        <v>1</v>
      </c>
    </row>
    <row r="103" spans="11:13" x14ac:dyDescent="0.25">
      <c r="L103" s="70" t="s">
        <v>198</v>
      </c>
      <c r="M103">
        <v>1</v>
      </c>
    </row>
    <row r="104" spans="11:13" x14ac:dyDescent="0.25">
      <c r="L104" s="70" t="s">
        <v>199</v>
      </c>
      <c r="M104">
        <v>5</v>
      </c>
    </row>
    <row r="105" spans="11:13" x14ac:dyDescent="0.25">
      <c r="L105" s="70" t="s">
        <v>200</v>
      </c>
      <c r="M105">
        <v>1</v>
      </c>
    </row>
    <row r="106" spans="11:13" x14ac:dyDescent="0.25">
      <c r="L106" s="140" t="s">
        <v>10</v>
      </c>
      <c r="M106" s="141">
        <f>SUM(M95:M105)</f>
        <v>23</v>
      </c>
    </row>
    <row r="107" spans="11:13" x14ac:dyDescent="0.25">
      <c r="K107" s="139" t="s">
        <v>201</v>
      </c>
      <c r="L107" s="70" t="s">
        <v>202</v>
      </c>
      <c r="M107">
        <v>3</v>
      </c>
    </row>
    <row r="108" spans="11:13" x14ac:dyDescent="0.25">
      <c r="L108" s="70" t="s">
        <v>203</v>
      </c>
      <c r="M108">
        <v>3</v>
      </c>
    </row>
    <row r="109" spans="11:13" x14ac:dyDescent="0.25">
      <c r="L109" s="70" t="s">
        <v>210</v>
      </c>
      <c r="M109">
        <v>3</v>
      </c>
    </row>
    <row r="110" spans="11:13" x14ac:dyDescent="0.25">
      <c r="L110" s="70" t="s">
        <v>204</v>
      </c>
      <c r="M110">
        <v>3</v>
      </c>
    </row>
    <row r="111" spans="11:13" x14ac:dyDescent="0.25">
      <c r="L111" s="70" t="s">
        <v>205</v>
      </c>
      <c r="M111">
        <v>3</v>
      </c>
    </row>
    <row r="112" spans="11:13" x14ac:dyDescent="0.25">
      <c r="L112" s="70" t="s">
        <v>206</v>
      </c>
      <c r="M112">
        <v>3</v>
      </c>
    </row>
    <row r="113" spans="12:13" x14ac:dyDescent="0.25">
      <c r="L113" s="70" t="s">
        <v>207</v>
      </c>
      <c r="M113">
        <v>1</v>
      </c>
    </row>
    <row r="114" spans="12:13" x14ac:dyDescent="0.25">
      <c r="L114" s="140" t="s">
        <v>10</v>
      </c>
      <c r="M114" s="141">
        <f>SUM(M107:M113)</f>
        <v>19</v>
      </c>
    </row>
  </sheetData>
  <mergeCells count="9">
    <mergeCell ref="A14:D14"/>
    <mergeCell ref="Q1:W1"/>
    <mergeCell ref="A7:D7"/>
    <mergeCell ref="A8:D8"/>
    <mergeCell ref="A11:D11"/>
    <mergeCell ref="H1:J1"/>
    <mergeCell ref="A1:F1"/>
    <mergeCell ref="A2:C2"/>
    <mergeCell ref="D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workbookViewId="0">
      <selection activeCell="I2" sqref="I2"/>
    </sheetView>
  </sheetViews>
  <sheetFormatPr baseColWidth="10" defaultRowHeight="15" x14ac:dyDescent="0.25"/>
  <cols>
    <col min="1" max="7" width="16.7109375" customWidth="1"/>
    <col min="8" max="8" width="15.140625" bestFit="1" customWidth="1"/>
  </cols>
  <sheetData>
    <row r="1" spans="1:12" x14ac:dyDescent="0.25">
      <c r="A1" t="s">
        <v>29</v>
      </c>
      <c r="B1" t="s">
        <v>2</v>
      </c>
      <c r="C1" t="s">
        <v>3</v>
      </c>
      <c r="D1" t="s">
        <v>28</v>
      </c>
      <c r="E1" t="s">
        <v>43</v>
      </c>
      <c r="F1" t="s">
        <v>44</v>
      </c>
      <c r="G1" t="s">
        <v>45</v>
      </c>
    </row>
    <row r="2" spans="1:12" x14ac:dyDescent="0.25">
      <c r="A2" s="35">
        <v>10</v>
      </c>
      <c r="B2" s="35">
        <v>7</v>
      </c>
      <c r="C2" s="35">
        <v>7</v>
      </c>
      <c r="D2" s="35">
        <v>7</v>
      </c>
      <c r="E2" s="35">
        <v>11</v>
      </c>
      <c r="F2" s="35">
        <v>2</v>
      </c>
      <c r="G2" s="35">
        <v>6.5</v>
      </c>
      <c r="H2" t="s">
        <v>21</v>
      </c>
      <c r="I2" t="s">
        <v>74</v>
      </c>
      <c r="J2" s="3"/>
      <c r="K2" s="3"/>
      <c r="L2" s="3"/>
    </row>
    <row r="3" spans="1:12" x14ac:dyDescent="0.25">
      <c r="A3" s="35">
        <v>17.600000000000001</v>
      </c>
      <c r="B3" s="35">
        <v>16.5</v>
      </c>
      <c r="C3" s="35">
        <v>22.1</v>
      </c>
      <c r="D3" s="35">
        <v>13</v>
      </c>
      <c r="E3" s="35">
        <v>23.5</v>
      </c>
      <c r="F3" s="35">
        <v>6.5</v>
      </c>
      <c r="G3" s="35">
        <v>15</v>
      </c>
      <c r="H3" t="s">
        <v>22</v>
      </c>
      <c r="J3" s="3"/>
      <c r="K3" s="3"/>
      <c r="L3" s="3"/>
    </row>
    <row r="4" spans="1:12" x14ac:dyDescent="0.25">
      <c r="A4" s="35">
        <v>5.5</v>
      </c>
      <c r="B4" s="35">
        <v>5.5</v>
      </c>
      <c r="C4" s="35">
        <v>5.5</v>
      </c>
      <c r="D4" s="35">
        <v>4.5</v>
      </c>
      <c r="E4" s="35">
        <v>12</v>
      </c>
      <c r="F4" s="35">
        <v>8.5</v>
      </c>
      <c r="G4" s="35">
        <v>5.5</v>
      </c>
      <c r="H4" t="s">
        <v>23</v>
      </c>
      <c r="J4" s="3"/>
      <c r="K4" s="3"/>
      <c r="L4" s="3"/>
    </row>
    <row r="5" spans="1:12" x14ac:dyDescent="0.25">
      <c r="A5" s="35">
        <v>16</v>
      </c>
      <c r="B5" s="35">
        <v>20.75</v>
      </c>
      <c r="C5" s="35">
        <v>15</v>
      </c>
      <c r="D5" s="35">
        <v>11.75</v>
      </c>
      <c r="E5" s="35">
        <v>21</v>
      </c>
      <c r="F5" s="35">
        <v>13.5</v>
      </c>
      <c r="G5" s="35">
        <v>15.1</v>
      </c>
      <c r="H5" t="s">
        <v>24</v>
      </c>
    </row>
    <row r="6" spans="1:12" x14ac:dyDescent="0.25">
      <c r="A6" s="35">
        <v>35.5</v>
      </c>
      <c r="B6" s="35">
        <v>39</v>
      </c>
      <c r="C6" s="35">
        <v>39.5</v>
      </c>
      <c r="D6" s="35">
        <v>18.75</v>
      </c>
      <c r="E6" s="35">
        <v>29.5</v>
      </c>
      <c r="F6" s="35">
        <v>47</v>
      </c>
      <c r="G6" s="35">
        <v>33</v>
      </c>
      <c r="H6" t="s">
        <v>25</v>
      </c>
      <c r="I6" t="s">
        <v>75</v>
      </c>
    </row>
    <row r="7" spans="1:12" x14ac:dyDescent="0.25">
      <c r="A7" s="35">
        <v>13</v>
      </c>
      <c r="B7" s="35">
        <v>20.75</v>
      </c>
      <c r="C7" s="35">
        <v>5</v>
      </c>
      <c r="D7" s="35">
        <v>5</v>
      </c>
      <c r="E7" s="35">
        <v>9.5</v>
      </c>
      <c r="F7" s="35">
        <v>14</v>
      </c>
      <c r="G7" s="35">
        <v>12</v>
      </c>
      <c r="H7" t="s">
        <v>26</v>
      </c>
      <c r="I7" s="82" t="s">
        <v>76</v>
      </c>
    </row>
    <row r="8" spans="1:12" x14ac:dyDescent="0.25">
      <c r="A8" s="35">
        <v>17</v>
      </c>
      <c r="B8" s="89">
        <v>21.5</v>
      </c>
      <c r="C8" s="35">
        <v>14.4</v>
      </c>
      <c r="D8" s="89">
        <v>11</v>
      </c>
      <c r="E8" s="89">
        <v>17</v>
      </c>
      <c r="F8" s="89">
        <v>30</v>
      </c>
      <c r="G8" s="90">
        <v>21</v>
      </c>
      <c r="H8" t="s">
        <v>27</v>
      </c>
    </row>
    <row r="9" spans="1:12" x14ac:dyDescent="0.25">
      <c r="A9" s="146">
        <v>17</v>
      </c>
      <c r="B9" s="146">
        <v>21</v>
      </c>
      <c r="C9" s="146">
        <v>30.5</v>
      </c>
      <c r="D9" s="146">
        <v>7.5</v>
      </c>
      <c r="E9" s="146">
        <v>10</v>
      </c>
      <c r="F9" s="146">
        <v>16.75</v>
      </c>
      <c r="G9" s="146">
        <v>20</v>
      </c>
      <c r="H9" t="s">
        <v>46</v>
      </c>
    </row>
    <row r="10" spans="1:12" x14ac:dyDescent="0.25">
      <c r="A10" s="35"/>
      <c r="B10" s="35"/>
      <c r="C10" s="35"/>
      <c r="D10" s="35"/>
      <c r="E10" s="35"/>
      <c r="F10" s="35"/>
      <c r="G10" s="35"/>
      <c r="H10" t="s">
        <v>47</v>
      </c>
    </row>
    <row r="11" spans="1:12" x14ac:dyDescent="0.25">
      <c r="A11" s="3"/>
      <c r="B11" s="3"/>
      <c r="C11" s="3"/>
      <c r="D11" s="3"/>
      <c r="E11" s="3"/>
      <c r="F11" s="3"/>
      <c r="G11" s="3"/>
      <c r="H11" s="3" t="s">
        <v>18</v>
      </c>
    </row>
    <row r="12" spans="1:12" x14ac:dyDescent="0.25">
      <c r="A12" s="3"/>
      <c r="B12" s="3"/>
      <c r="C12" s="3"/>
      <c r="D12" s="3"/>
      <c r="E12" s="3"/>
      <c r="F12" s="3"/>
      <c r="G12" s="3"/>
      <c r="H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topLeftCell="A25" zoomScale="85" zoomScaleNormal="85" workbookViewId="0">
      <selection activeCell="E22" sqref="E22"/>
    </sheetView>
  </sheetViews>
  <sheetFormatPr baseColWidth="10" defaultRowHeight="15" x14ac:dyDescent="0.25"/>
  <sheetData>
    <row r="1" spans="1:9" x14ac:dyDescent="0.25">
      <c r="A1">
        <v>29000</v>
      </c>
      <c r="B1" t="s">
        <v>66</v>
      </c>
      <c r="F1" t="s">
        <v>62</v>
      </c>
      <c r="G1" t="s">
        <v>60</v>
      </c>
      <c r="H1" t="s">
        <v>61</v>
      </c>
      <c r="I1" t="s">
        <v>10</v>
      </c>
    </row>
    <row r="2" spans="1:9" x14ac:dyDescent="0.25">
      <c r="A2">
        <f>A1/12</f>
        <v>2416.6666666666665</v>
      </c>
      <c r="B2" t="s">
        <v>67</v>
      </c>
      <c r="F2" t="s">
        <v>63</v>
      </c>
      <c r="G2">
        <f>200/12</f>
        <v>16.666666666666668</v>
      </c>
      <c r="H2">
        <v>20</v>
      </c>
      <c r="I2">
        <f>H2*G2</f>
        <v>333.33333333333337</v>
      </c>
    </row>
    <row r="3" spans="1:9" x14ac:dyDescent="0.25">
      <c r="A3">
        <v>2400</v>
      </c>
      <c r="B3" t="s">
        <v>68</v>
      </c>
      <c r="F3" t="s">
        <v>64</v>
      </c>
      <c r="G3">
        <f>550/12</f>
        <v>45.833333333333336</v>
      </c>
      <c r="H3">
        <v>10</v>
      </c>
      <c r="I3">
        <f>H3*G3</f>
        <v>458.33333333333337</v>
      </c>
    </row>
    <row r="4" spans="1:9" x14ac:dyDescent="0.25">
      <c r="F4" t="s">
        <v>65</v>
      </c>
      <c r="G4">
        <f>700/12</f>
        <v>58.333333333333336</v>
      </c>
      <c r="H4">
        <v>0</v>
      </c>
      <c r="I4">
        <f>H4*G4</f>
        <v>0</v>
      </c>
    </row>
    <row r="5" spans="1:9" x14ac:dyDescent="0.25">
      <c r="G5" t="s">
        <v>71</v>
      </c>
      <c r="H5">
        <v>25</v>
      </c>
      <c r="I5">
        <f>H5*G2</f>
        <v>416.66666666666669</v>
      </c>
    </row>
    <row r="6" spans="1:9" x14ac:dyDescent="0.25">
      <c r="G6" t="s">
        <v>71</v>
      </c>
      <c r="H6">
        <v>13</v>
      </c>
      <c r="I6">
        <f>H6*G3</f>
        <v>595.83333333333337</v>
      </c>
    </row>
    <row r="7" spans="1:9" x14ac:dyDescent="0.25">
      <c r="A7" t="s">
        <v>57</v>
      </c>
      <c r="B7" t="s">
        <v>58</v>
      </c>
      <c r="C7" t="s">
        <v>59</v>
      </c>
      <c r="G7" t="s">
        <v>72</v>
      </c>
      <c r="H7">
        <v>30</v>
      </c>
      <c r="I7">
        <f>H7*G2</f>
        <v>500.00000000000006</v>
      </c>
    </row>
    <row r="8" spans="1:9" x14ac:dyDescent="0.25">
      <c r="A8">
        <v>1</v>
      </c>
      <c r="B8">
        <f>A1 -I17*A8</f>
        <v>28208.333333333332</v>
      </c>
      <c r="C8">
        <f>I17*A8</f>
        <v>791.66666666666674</v>
      </c>
      <c r="G8" t="s">
        <v>72</v>
      </c>
      <c r="H8">
        <v>16</v>
      </c>
      <c r="I8">
        <f>H8*G3</f>
        <v>733.33333333333337</v>
      </c>
    </row>
    <row r="9" spans="1:9" x14ac:dyDescent="0.25">
      <c r="A9">
        <v>2</v>
      </c>
      <c r="B9">
        <f>A1 -I17*A9</f>
        <v>27416.666666666668</v>
      </c>
      <c r="C9">
        <f>I17*A9</f>
        <v>1583.3333333333335</v>
      </c>
      <c r="G9" t="s">
        <v>72</v>
      </c>
      <c r="H9">
        <v>1</v>
      </c>
      <c r="I9">
        <f>H9*G4</f>
        <v>58.333333333333336</v>
      </c>
    </row>
    <row r="10" spans="1:9" x14ac:dyDescent="0.25">
      <c r="A10">
        <v>3</v>
      </c>
      <c r="B10">
        <f>A1 -I18*A10</f>
        <v>25962.5</v>
      </c>
      <c r="C10">
        <f>I18*A10</f>
        <v>3037.5</v>
      </c>
      <c r="G10" t="s">
        <v>73</v>
      </c>
      <c r="H10">
        <v>33</v>
      </c>
      <c r="I10">
        <f>H10*G2</f>
        <v>550</v>
      </c>
    </row>
    <row r="11" spans="1:9" x14ac:dyDescent="0.25">
      <c r="A11">
        <v>4</v>
      </c>
      <c r="B11">
        <f>A1 -I18*A11</f>
        <v>24950</v>
      </c>
      <c r="C11">
        <f>I18*A11</f>
        <v>4050</v>
      </c>
      <c r="G11" t="s">
        <v>73</v>
      </c>
      <c r="H11">
        <v>18</v>
      </c>
      <c r="I11">
        <f>H11*G3</f>
        <v>825</v>
      </c>
    </row>
    <row r="12" spans="1:9" x14ac:dyDescent="0.25">
      <c r="A12">
        <v>5</v>
      </c>
      <c r="B12">
        <f>A1 -I18*A12</f>
        <v>23937.5</v>
      </c>
      <c r="C12">
        <f>I18*A12</f>
        <v>5062.5</v>
      </c>
      <c r="G12" t="s">
        <v>73</v>
      </c>
      <c r="H12">
        <v>1</v>
      </c>
      <c r="I12">
        <f>H12*G4</f>
        <v>58.333333333333336</v>
      </c>
    </row>
    <row r="13" spans="1:9" x14ac:dyDescent="0.25">
      <c r="A13">
        <v>6</v>
      </c>
      <c r="B13">
        <f>A1 -I19*A13</f>
        <v>21250</v>
      </c>
      <c r="C13">
        <f>I19*A13</f>
        <v>7750</v>
      </c>
      <c r="H13">
        <f>H10+H11+H12</f>
        <v>52</v>
      </c>
    </row>
    <row r="14" spans="1:9" x14ac:dyDescent="0.25">
      <c r="A14">
        <v>7</v>
      </c>
      <c r="B14">
        <f>A1 -I19*A14</f>
        <v>19958.333333333332</v>
      </c>
      <c r="C14">
        <f>I19*A14</f>
        <v>9041.6666666666679</v>
      </c>
      <c r="H14">
        <f>H2+H3+H4</f>
        <v>30</v>
      </c>
    </row>
    <row r="15" spans="1:9" x14ac:dyDescent="0.25">
      <c r="A15">
        <v>8</v>
      </c>
      <c r="B15">
        <f>A1 -I19*A15</f>
        <v>18666.666666666664</v>
      </c>
      <c r="C15">
        <f>I19*A15</f>
        <v>10333.333333333334</v>
      </c>
    </row>
    <row r="16" spans="1:9" x14ac:dyDescent="0.25">
      <c r="A16">
        <v>9</v>
      </c>
      <c r="B16">
        <f>A1 -I20*A16</f>
        <v>16100</v>
      </c>
      <c r="C16">
        <f>I20*A16</f>
        <v>12900</v>
      </c>
    </row>
    <row r="17" spans="1:9" x14ac:dyDescent="0.25">
      <c r="A17">
        <v>10</v>
      </c>
      <c r="B17">
        <f>A1 -I20*A17</f>
        <v>14666.666666666668</v>
      </c>
      <c r="C17">
        <f>I20*A17</f>
        <v>14333.333333333332</v>
      </c>
      <c r="H17" t="s">
        <v>70</v>
      </c>
      <c r="I17">
        <f>I2+I3+I4</f>
        <v>791.66666666666674</v>
      </c>
    </row>
    <row r="18" spans="1:9" x14ac:dyDescent="0.25">
      <c r="A18">
        <v>11</v>
      </c>
      <c r="B18">
        <f>A1 -I20*A18</f>
        <v>13233.333333333334</v>
      </c>
      <c r="C18">
        <f>I20*A18</f>
        <v>15766.666666666666</v>
      </c>
      <c r="H18" t="s">
        <v>69</v>
      </c>
      <c r="I18">
        <f>I5+I6+I4</f>
        <v>1012.5</v>
      </c>
    </row>
    <row r="19" spans="1:9" x14ac:dyDescent="0.25">
      <c r="A19">
        <v>12</v>
      </c>
      <c r="B19">
        <f>A1 -I20*A19</f>
        <v>11800</v>
      </c>
      <c r="C19">
        <f>I20*A19</f>
        <v>17200</v>
      </c>
      <c r="H19" t="s">
        <v>72</v>
      </c>
      <c r="I19">
        <f>I7+I8+I9</f>
        <v>1291.6666666666667</v>
      </c>
    </row>
    <row r="20" spans="1:9" x14ac:dyDescent="0.25">
      <c r="H20" t="s">
        <v>72</v>
      </c>
      <c r="I20">
        <f>I10+I11+I12</f>
        <v>1433.3333333333333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Costes y presupuesto</vt:lpstr>
      <vt:lpstr>Hoja1</vt:lpstr>
      <vt:lpstr>Caculadora</vt:lpstr>
      <vt:lpstr>Estadística</vt:lpstr>
      <vt:lpstr>Imputaciones semana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Garrido Resina</dc:creator>
  <cp:lastModifiedBy>Ale Garrido Resina</cp:lastModifiedBy>
  <cp:lastPrinted>2018-03-07T15:42:30Z</cp:lastPrinted>
  <dcterms:created xsi:type="dcterms:W3CDTF">2018-03-07T14:38:53Z</dcterms:created>
  <dcterms:modified xsi:type="dcterms:W3CDTF">2018-04-26T19:21:10Z</dcterms:modified>
</cp:coreProperties>
</file>