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R38" i="20"/>
  <c r="G56"/>
  <c r="N11" l="1"/>
  <c r="O13"/>
  <c r="O12"/>
  <c r="N12"/>
  <c r="N13"/>
  <c r="G11"/>
  <c r="G12"/>
  <c r="D13"/>
  <c r="H13"/>
  <c r="E15"/>
  <c r="H18" i="78" l="1"/>
  <c r="H20" s="1"/>
  <c r="C20"/>
  <c r="H10"/>
  <c r="C10"/>
  <c r="H8"/>
  <c r="M28" i="20" l="1"/>
  <c r="M27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O24" i="5"/>
  <c r="P24" s="1"/>
  <c r="L31" i="63"/>
  <c r="M27" i="5" s="1"/>
  <c r="N27" s="1"/>
  <c r="K23"/>
  <c r="M31" i="20"/>
  <c r="O27" i="5" s="1"/>
  <c r="P27" s="1"/>
  <c r="M9" i="20"/>
  <c r="N10"/>
  <c r="L10"/>
  <c r="O7"/>
  <c r="S11"/>
  <c r="L11"/>
  <c r="K11"/>
  <c r="P38"/>
  <c r="O10"/>
  <c r="K10"/>
  <c r="S8"/>
  <c r="E23"/>
  <c r="O8"/>
  <c r="L8"/>
  <c r="K8"/>
  <c r="S9"/>
  <c r="N9"/>
  <c r="L9"/>
  <c r="S7"/>
  <c r="E22"/>
  <c r="M7"/>
  <c r="L7"/>
  <c r="D11"/>
  <c r="D10"/>
  <c r="G10" s="1"/>
  <c r="D9"/>
  <c r="D8"/>
  <c r="E8" s="1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37"/>
  <c r="G59" i="20"/>
  <c r="F23" i="21"/>
  <c r="K60" i="20"/>
  <c r="M44" i="21"/>
  <c r="H59" i="63"/>
  <c r="N56" i="64" s="1"/>
  <c r="H58" i="63"/>
  <c r="S20" i="5" s="1"/>
  <c r="H56" i="63"/>
  <c r="E77" i="64"/>
  <c r="H11" i="63"/>
  <c r="M11" i="64"/>
  <c r="N26" i="20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7"/>
  <c r="C7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I9"/>
  <c r="I18" s="1"/>
  <c r="E12"/>
  <c r="T12" s="1"/>
  <c r="P76" i="21"/>
  <c r="H12" i="20"/>
  <c r="E13"/>
  <c r="E14"/>
  <c r="V14" s="1"/>
  <c r="G14"/>
  <c r="H14"/>
  <c r="N113" i="21" s="1"/>
  <c r="T15" i="20"/>
  <c r="G15"/>
  <c r="H15"/>
  <c r="F146" i="21" s="1"/>
  <c r="E16" i="20"/>
  <c r="P16" s="1"/>
  <c r="G16"/>
  <c r="H16"/>
  <c r="X17"/>
  <c r="R21"/>
  <c r="B22"/>
  <c r="M35" s="1"/>
  <c r="C22"/>
  <c r="C56" s="1"/>
  <c r="B23"/>
  <c r="B57" s="1"/>
  <c r="C23"/>
  <c r="C57" s="1"/>
  <c r="B24"/>
  <c r="D37" s="1"/>
  <c r="C24"/>
  <c r="C58" s="1"/>
  <c r="F59" i="21"/>
  <c r="B25" i="20"/>
  <c r="M38" s="1"/>
  <c r="C25"/>
  <c r="C59" s="1"/>
  <c r="K33"/>
  <c r="B26"/>
  <c r="M39" s="1"/>
  <c r="C26"/>
  <c r="C60" s="1"/>
  <c r="B27"/>
  <c r="B61" s="1"/>
  <c r="C27"/>
  <c r="C61" s="1"/>
  <c r="B28"/>
  <c r="B62" s="1"/>
  <c r="C28"/>
  <c r="C62" s="1"/>
  <c r="B29"/>
  <c r="L106" i="21" s="1"/>
  <c r="C29" i="20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M44" i="20"/>
  <c r="H30" i="63"/>
  <c r="P15"/>
  <c r="F145" i="64"/>
  <c r="V15" i="63"/>
  <c r="F149" i="64"/>
  <c r="L107" i="21"/>
  <c r="T14" i="20"/>
  <c r="N115" i="21" s="1"/>
  <c r="P13" i="63"/>
  <c r="T13"/>
  <c r="F146" i="64"/>
  <c r="R11" i="63"/>
  <c r="F81" i="64"/>
  <c r="M44"/>
  <c r="J56" i="20"/>
  <c r="G9"/>
  <c r="H43" i="21" s="1"/>
  <c r="E9" i="20"/>
  <c r="H24" s="1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M36" i="20"/>
  <c r="E8" i="63"/>
  <c r="T8"/>
  <c r="G8"/>
  <c r="N112" i="64"/>
  <c r="F30" i="20"/>
  <c r="R15"/>
  <c r="F147" i="21" s="1"/>
  <c r="H30" i="20"/>
  <c r="D140" i="21"/>
  <c r="V15" i="20"/>
  <c r="F149" i="21"/>
  <c r="F113"/>
  <c r="P15" i="20"/>
  <c r="V16"/>
  <c r="T16"/>
  <c r="F31"/>
  <c r="L8" i="64"/>
  <c r="B58" i="20"/>
  <c r="M37"/>
  <c r="M40"/>
  <c r="M43" i="63"/>
  <c r="B64"/>
  <c r="R14" i="20"/>
  <c r="N114" i="21" s="1"/>
  <c r="H29" i="20"/>
  <c r="P14"/>
  <c r="B65" i="63"/>
  <c r="P149" i="64"/>
  <c r="G9" i="63"/>
  <c r="E9"/>
  <c r="R9"/>
  <c r="T9"/>
  <c r="R7" i="20"/>
  <c r="F15" i="21" s="1"/>
  <c r="J3" i="64"/>
  <c r="T11" i="63"/>
  <c r="F82" i="64"/>
  <c r="N112" i="21"/>
  <c r="H24" i="63"/>
  <c r="F145" i="21"/>
  <c r="F157"/>
  <c r="G7" i="20"/>
  <c r="B37" i="5" s="1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M41" i="20"/>
  <c r="M40" i="63"/>
  <c r="B61"/>
  <c r="R14"/>
  <c r="L107" i="64"/>
  <c r="F29" i="63"/>
  <c r="N124" i="64"/>
  <c r="V14" i="63"/>
  <c r="N116" i="64"/>
  <c r="E7" i="63"/>
  <c r="G7"/>
  <c r="B36" i="64"/>
  <c r="E11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B63" i="20"/>
  <c r="P159" i="21"/>
  <c r="B60" i="63"/>
  <c r="M39"/>
  <c r="H109" i="64"/>
  <c r="R28" i="63"/>
  <c r="H24" i="5" s="1"/>
  <c r="H23" i="63"/>
  <c r="B57"/>
  <c r="B25"/>
  <c r="M38" s="1"/>
  <c r="B22"/>
  <c r="B56" s="1"/>
  <c r="D7" i="64"/>
  <c r="L58" i="63"/>
  <c r="N13" i="64"/>
  <c r="F147"/>
  <c r="X15" i="63"/>
  <c r="D30" s="1"/>
  <c r="R30"/>
  <c r="H26" i="5" s="1"/>
  <c r="H10" i="64"/>
  <c r="V7" i="63"/>
  <c r="R7"/>
  <c r="X14"/>
  <c r="D29"/>
  <c r="N114" i="64"/>
  <c r="R29" i="63"/>
  <c r="H25" i="5"/>
  <c r="N47" i="64"/>
  <c r="E10" i="20"/>
  <c r="T9"/>
  <c r="F49" i="21" s="1"/>
  <c r="F25" i="20"/>
  <c r="L59" i="63"/>
  <c r="L56"/>
  <c r="F17" i="64"/>
  <c r="H9" i="63"/>
  <c r="F47" i="64"/>
  <c r="L26" i="5"/>
  <c r="K26"/>
  <c r="L30" i="63"/>
  <c r="J31"/>
  <c r="J27" i="5" s="1"/>
  <c r="P36" i="20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F120" i="64" s="1"/>
  <c r="K24" i="5"/>
  <c r="L23"/>
  <c r="J27" i="63"/>
  <c r="F20" i="64"/>
  <c r="R18" i="5"/>
  <c r="O31" i="63"/>
  <c r="Q27" i="5" s="1"/>
  <c r="L27" i="63"/>
  <c r="L24" i="5"/>
  <c r="J28" i="63"/>
  <c r="H149" i="64"/>
  <c r="N80" i="21"/>
  <c r="P34" i="5"/>
  <c r="P36" s="1"/>
  <c r="F126" i="21"/>
  <c r="R10" i="20"/>
  <c r="L41" i="21"/>
  <c r="P10" i="20"/>
  <c r="F15" i="64"/>
  <c r="F22" i="63"/>
  <c r="H22"/>
  <c r="D8" i="64"/>
  <c r="P7" i="63"/>
  <c r="E44" i="21"/>
  <c r="H9" i="20"/>
  <c r="F47" i="21" s="1"/>
  <c r="E77"/>
  <c r="H11" i="20"/>
  <c r="F80" i="21" s="1"/>
  <c r="T7" i="63"/>
  <c r="N25" i="64"/>
  <c r="H10" i="21"/>
  <c r="N80" i="64"/>
  <c r="E11" i="20"/>
  <c r="P9" i="63"/>
  <c r="V8"/>
  <c r="R8"/>
  <c r="M41"/>
  <c r="B62"/>
  <c r="X16"/>
  <c r="D31" s="1"/>
  <c r="D18" i="20"/>
  <c r="G8"/>
  <c r="P109" i="21"/>
  <c r="H27" i="20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H38" i="5" s="1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M24" i="5"/>
  <c r="N24" s="1"/>
  <c r="J24"/>
  <c r="F118" i="64"/>
  <c r="K25" i="5"/>
  <c r="L25"/>
  <c r="J29" i="63"/>
  <c r="M29" i="20"/>
  <c r="N126" i="21" s="1"/>
  <c r="L29" i="63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F82" i="21" s="1"/>
  <c r="D74"/>
  <c r="R11" i="20"/>
  <c r="F81" i="21" s="1"/>
  <c r="V11" i="20"/>
  <c r="F83" i="21" s="1"/>
  <c r="F13" i="64"/>
  <c r="I37" i="5"/>
  <c r="F46" i="64"/>
  <c r="H76" i="21"/>
  <c r="F16" i="64"/>
  <c r="N46" i="21"/>
  <c r="K56" i="20"/>
  <c r="G18" i="63"/>
  <c r="P43" i="64"/>
  <c r="D37" i="63"/>
  <c r="N15" i="64"/>
  <c r="R18" i="63"/>
  <c r="R27"/>
  <c r="H23" i="5"/>
  <c r="F25" i="64"/>
  <c r="O25" i="5"/>
  <c r="P25" s="1"/>
  <c r="O27" i="63"/>
  <c r="M25" i="5"/>
  <c r="N25" s="1"/>
  <c r="J25"/>
  <c r="O28" i="63"/>
  <c r="J39" i="5"/>
  <c r="L21"/>
  <c r="J25" i="63"/>
  <c r="N52" i="64" s="1"/>
  <c r="K21" i="5"/>
  <c r="L18"/>
  <c r="J22" i="63"/>
  <c r="K18" i="5"/>
  <c r="K19"/>
  <c r="L19"/>
  <c r="J23" i="63"/>
  <c r="K20" i="5"/>
  <c r="L20"/>
  <c r="J24" i="63"/>
  <c r="J33" s="1"/>
  <c r="M23" i="20"/>
  <c r="N27" i="21" s="1"/>
  <c r="M24" i="20"/>
  <c r="F60" i="21" s="1"/>
  <c r="M19" i="5"/>
  <c r="N21" i="64"/>
  <c r="Q24" i="5"/>
  <c r="N88" i="64"/>
  <c r="O29" i="63"/>
  <c r="O19" i="5"/>
  <c r="P19" s="1"/>
  <c r="J19"/>
  <c r="N19" i="64"/>
  <c r="L22" i="5"/>
  <c r="K22"/>
  <c r="K29" s="1"/>
  <c r="J26" i="63"/>
  <c r="O25"/>
  <c r="N55" i="64" s="1"/>
  <c r="O22" i="63"/>
  <c r="M22" i="20"/>
  <c r="O18" i="5" s="1"/>
  <c r="P18" s="1"/>
  <c r="F21" i="64"/>
  <c r="M18" i="5"/>
  <c r="N18" s="1"/>
  <c r="M21"/>
  <c r="N21" s="1"/>
  <c r="N54" i="64"/>
  <c r="M25" i="20"/>
  <c r="O21" i="5" s="1"/>
  <c r="M26" i="20"/>
  <c r="M20" i="5"/>
  <c r="N20" s="1"/>
  <c r="F54" i="64"/>
  <c r="J18" i="5"/>
  <c r="F19" i="64"/>
  <c r="J21" i="5"/>
  <c r="J20"/>
  <c r="N19"/>
  <c r="Q25"/>
  <c r="J63" i="63"/>
  <c r="O26"/>
  <c r="F85" i="64"/>
  <c r="F87"/>
  <c r="M22" i="5"/>
  <c r="N22" s="1"/>
  <c r="Q18"/>
  <c r="F93" i="21"/>
  <c r="O22" i="5"/>
  <c r="P22" s="1"/>
  <c r="F27" i="21"/>
  <c r="Q21" i="5"/>
  <c r="Q22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H17" s="1"/>
  <c r="N14"/>
  <c r="P13" i="20" l="1"/>
  <c r="G13"/>
  <c r="H109" i="21" s="1"/>
  <c r="M35" i="63"/>
  <c r="O33"/>
  <c r="O20" i="5"/>
  <c r="P20" s="1"/>
  <c r="L33" i="63"/>
  <c r="N116" i="21"/>
  <c r="X14" i="20"/>
  <c r="D29" s="1"/>
  <c r="V8"/>
  <c r="L8" i="21"/>
  <c r="H23" i="20"/>
  <c r="F23"/>
  <c r="N25" i="21" s="1"/>
  <c r="P27" s="1"/>
  <c r="E18" i="20"/>
  <c r="N60" i="21"/>
  <c r="B58" i="63"/>
  <c r="J37" i="5"/>
  <c r="F24" i="20"/>
  <c r="D41" i="21"/>
  <c r="M42" i="20"/>
  <c r="R9"/>
  <c r="F48" i="21" s="1"/>
  <c r="A37" i="20"/>
  <c r="H31"/>
  <c r="R16"/>
  <c r="X16" s="1"/>
  <c r="D31" s="1"/>
  <c r="F29"/>
  <c r="R29" s="1"/>
  <c r="G25" i="5" s="1"/>
  <c r="I25" s="1"/>
  <c r="B59" i="20"/>
  <c r="D8" i="21"/>
  <c r="I63" i="20"/>
  <c r="R8"/>
  <c r="T8"/>
  <c r="K38" i="5" s="1"/>
  <c r="V10" i="20"/>
  <c r="H25"/>
  <c r="N58" i="21" s="1"/>
  <c r="P60" s="1"/>
  <c r="M41" i="5"/>
  <c r="P149" i="21"/>
  <c r="T29" i="5"/>
  <c r="N16" i="21"/>
  <c r="P93" i="64"/>
  <c r="M37" i="63"/>
  <c r="H159" i="64"/>
  <c r="H160" s="1"/>
  <c r="P83"/>
  <c r="R29" i="5"/>
  <c r="H159" i="21"/>
  <c r="A37" i="63"/>
  <c r="L40" i="64"/>
  <c r="B135"/>
  <c r="J102"/>
  <c r="B69"/>
  <c r="O41" i="5"/>
  <c r="O44" s="1"/>
  <c r="K58" i="20"/>
  <c r="V13"/>
  <c r="F116" i="21" s="1"/>
  <c r="T13" i="20"/>
  <c r="F115" i="21" s="1"/>
  <c r="F28" i="20"/>
  <c r="H28"/>
  <c r="D107" i="21"/>
  <c r="N91"/>
  <c r="P93" s="1"/>
  <c r="K57" i="20"/>
  <c r="L34" i="5"/>
  <c r="L36" s="1"/>
  <c r="L29"/>
  <c r="X11" i="20"/>
  <c r="D26" s="1"/>
  <c r="P26" s="1"/>
  <c r="S39" s="1"/>
  <c r="P116" i="21"/>
  <c r="B59" i="63"/>
  <c r="P9" i="20"/>
  <c r="X9" s="1"/>
  <c r="D24" s="1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P29" s="1"/>
  <c r="J61" i="63"/>
  <c r="O61" s="1"/>
  <c r="P27"/>
  <c r="J65"/>
  <c r="P31"/>
  <c r="J64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F112" i="21"/>
  <c r="N82"/>
  <c r="P83" s="1"/>
  <c r="X12" i="20"/>
  <c r="D27" s="1"/>
  <c r="R27"/>
  <c r="G23" i="5" s="1"/>
  <c r="I23" s="1"/>
  <c r="N17" i="21"/>
  <c r="L38" i="5"/>
  <c r="P43" i="21"/>
  <c r="G18" i="20"/>
  <c r="B39" i="5"/>
  <c r="B41"/>
  <c r="B44" s="1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P27" i="64"/>
  <c r="Q23" i="5"/>
  <c r="Q29" s="1"/>
  <c r="F121" i="64"/>
  <c r="N118"/>
  <c r="N120"/>
  <c r="F25" i="63"/>
  <c r="T10"/>
  <c r="P10"/>
  <c r="K34" i="5"/>
  <c r="K36" s="1"/>
  <c r="H43" i="64"/>
  <c r="F49"/>
  <c r="F48"/>
  <c r="P10"/>
  <c r="N16"/>
  <c r="P17" s="1"/>
  <c r="F114"/>
  <c r="F116"/>
  <c r="F115"/>
  <c r="F112"/>
  <c r="F124"/>
  <c r="N113"/>
  <c r="P116" s="1"/>
  <c r="P109"/>
  <c r="P76"/>
  <c r="P11" i="63"/>
  <c r="S18" i="5"/>
  <c r="S29" s="1"/>
  <c r="M44"/>
  <c r="H22" i="20"/>
  <c r="V7"/>
  <c r="P8"/>
  <c r="H83" i="21"/>
  <c r="P160"/>
  <c r="P159" i="64"/>
  <c r="P160" s="1"/>
  <c r="G41" i="5"/>
  <c r="T10" i="20"/>
  <c r="X10" s="1"/>
  <c r="D25" s="1"/>
  <c r="P39" i="5"/>
  <c r="P41" s="1"/>
  <c r="P44" s="1"/>
  <c r="N50" i="21"/>
  <c r="K59" i="20"/>
  <c r="N29" i="5"/>
  <c r="M31" s="1"/>
  <c r="F33" i="20" l="1"/>
  <c r="N124" i="21"/>
  <c r="P126" s="1"/>
  <c r="P29" i="20"/>
  <c r="S42" s="1"/>
  <c r="X13"/>
  <c r="D28" s="1"/>
  <c r="I62" s="1"/>
  <c r="N62" s="1"/>
  <c r="I60"/>
  <c r="N60" s="1"/>
  <c r="K39" i="5"/>
  <c r="P94" i="64"/>
  <c r="N38" i="5"/>
  <c r="P31" i="20"/>
  <c r="S44" s="1"/>
  <c r="I65"/>
  <c r="V160" i="21"/>
  <c r="R23" i="20"/>
  <c r="G19" i="5" s="1"/>
  <c r="I19" s="1"/>
  <c r="J34"/>
  <c r="J36" s="1"/>
  <c r="J44" s="1"/>
  <c r="R24" i="20"/>
  <c r="G20" i="5" s="1"/>
  <c r="I20" s="1"/>
  <c r="R18" i="20"/>
  <c r="R31"/>
  <c r="G27" i="5" s="1"/>
  <c r="I27" s="1"/>
  <c r="N15" i="21"/>
  <c r="J38" i="5"/>
  <c r="J41" s="1"/>
  <c r="K41"/>
  <c r="K44" s="1"/>
  <c r="R25" i="20"/>
  <c r="G21" i="5" s="1"/>
  <c r="H116" i="21"/>
  <c r="R28" i="20"/>
  <c r="G24" i="5" s="1"/>
  <c r="I24" s="1"/>
  <c r="X8" i="20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T18" i="20"/>
  <c r="P18"/>
  <c r="H116" i="64"/>
  <c r="H127" s="1"/>
  <c r="P28"/>
  <c r="H50"/>
  <c r="H94" i="21"/>
  <c r="T94" s="1"/>
  <c r="P17"/>
  <c r="P28" s="1"/>
  <c r="H126" i="64"/>
  <c r="S35" i="63"/>
  <c r="H44" i="5"/>
  <c r="L51" s="1"/>
  <c r="M51" s="1"/>
  <c r="N51" s="1"/>
  <c r="T28" i="64"/>
  <c r="H61" i="21"/>
  <c r="F17"/>
  <c r="H17" s="1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P30"/>
  <c r="S43" s="1"/>
  <c r="T160" i="21" s="1"/>
  <c r="I64" i="20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D64" i="63"/>
  <c r="S43"/>
  <c r="T160" i="64" s="1"/>
  <c r="S44" i="63"/>
  <c r="D65"/>
  <c r="S40"/>
  <c r="V94" i="64" s="1"/>
  <c r="D61" i="63"/>
  <c r="S41"/>
  <c r="D62"/>
  <c r="H61" i="64"/>
  <c r="X10" i="63"/>
  <c r="P126" i="64"/>
  <c r="P127" s="1"/>
  <c r="V127" s="1"/>
  <c r="X7" i="20"/>
  <c r="D22" s="1"/>
  <c r="R22"/>
  <c r="G18" i="5" s="1"/>
  <c r="I18" s="1"/>
  <c r="P25" i="20"/>
  <c r="S38" s="1"/>
  <c r="I59"/>
  <c r="N59" s="1"/>
  <c r="D23"/>
  <c r="T127" i="64" l="1"/>
  <c r="H28" i="21"/>
  <c r="I21" i="5"/>
  <c r="L52"/>
  <c r="T61" i="21"/>
  <c r="V94"/>
  <c r="I41" i="5"/>
  <c r="L50" s="1"/>
  <c r="L49" s="1"/>
  <c r="T127" i="21"/>
  <c r="I44" i="5"/>
  <c r="V61" i="21"/>
  <c r="X18" i="20"/>
  <c r="N41" i="5"/>
  <c r="N44" s="1"/>
  <c r="D25" i="63"/>
  <c r="X18"/>
  <c r="P50" i="64"/>
  <c r="P61" s="1"/>
  <c r="V28"/>
  <c r="P22" i="20"/>
  <c r="S35" s="1"/>
  <c r="I56"/>
  <c r="N56" s="1"/>
  <c r="P26" i="63"/>
  <c r="J60"/>
  <c r="O60" s="1"/>
  <c r="I29" i="5"/>
  <c r="M48" s="1"/>
  <c r="G29"/>
  <c r="V160" i="64"/>
  <c r="T61"/>
  <c r="I57" i="20"/>
  <c r="P23"/>
  <c r="D33"/>
  <c r="T28" i="21" l="1"/>
  <c r="Q44" i="5"/>
  <c r="M50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<sst xmlns="http://schemas.openxmlformats.org/spreadsheetml/2006/main" count="1796" uniqueCount="293">
  <si>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</si>
  <si>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</si>
  <si>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</si>
  <si>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</si>
  <si>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</si>
  <si>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</si>
  <si>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</si>
  <si>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</si>
  <si>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</si>
  <si>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</si>
  <si>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</si>
  <si>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</si>
  <si>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</si>
  <si>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</si>
  <si>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</si>
  <si>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</si>
  <si>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</si>
  <si>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</si>
  <si>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</si>
  <si>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</si>
  <si>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</si>
  <si>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</si>
  <si>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</si>
  <si>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</si>
  <si>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</si>
  <si>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</si>
  <si>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</si>
  <si>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</si>
  <si>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</si>
  <si>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</si>
  <si>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</si>
  <si>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</si>
  <si>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</si>
  <si>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</si>
  <si>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</si>
  <si>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</si>
  <si>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</si>
  <si>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</si>
  <si>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</si>
  <si>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</si>
  <si>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</si>
  <si>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</si>
  <si>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</si>
  <si>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</si>
  <si>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</si>
  <si>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</si>
  <si>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</si>
  <si>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</si>
  <si>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</si>
  <si>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</si>
  <si>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</si>
  <si>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</si>
  <si>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</si>
  <si>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</si>
  <si>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</si>
  <si>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</si>
  <si>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</si>
  <si>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</si>
  <si>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</si>
  <si>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</si>
  <si>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</si>
  <si>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</si>
  <si>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</si>
  <si>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</si>
  <si>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</si>
  <si>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</si>
  <si>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</si>
  <si>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</si>
  <si>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</si>
  <si>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</si>
  <si>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</si>
  <si>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</si>
  <si>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</si>
  <si>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</si>
  <si>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</si>
  <si>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</si>
  <si>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</si>
  <si>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</si>
  <si>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</si>
  <si>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</si>
  <si>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</si>
  <si>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</si>
  <si>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</si>
  <si>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</si>
  <si>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</si>
  <si>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</si>
  <si>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</si>
  <si>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</si>
  <si>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</si>
  <si>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</si>
  <si>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</si>
  <si>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</si>
  <si>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</si>
  <si>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</si>
  <si>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</si>
  <si>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</si>
  <si>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</si>
  <si>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</si>
  <si>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</si>
  <si>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</si>
  <si>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</si>
  <si>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</si>
  <si>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</si>
  <si>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</si>
  <si>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</si>
  <si>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</si>
  <si>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</si>
  <si>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</si>
  <si>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</si>
  <si>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</si>
  <si>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</si>
  <si>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</si>
  <si>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</si>
  <si>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</si>
  <si>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</si>
  <si>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</si>
  <si>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</si>
  <si>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</si>
  <si>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</si>
  <si>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</si>
  <si>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</si>
  <si>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</si>
  <si>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</si>
  <si>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</si>
  <si>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</si>
  <si>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</si>
  <si>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</si>
  <si>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</si>
  <si>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</si>
  <si>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</si>
  <si>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</si>
  <si>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</si>
  <si>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</si>
  <si>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</si>
  <si>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</si>
  <si>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</si>
  <si>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</si>
  <si>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</si>
  <si>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</si>
  <si>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</si>
  <si>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</si>
  <si>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</si>
  <si>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</si>
  <si>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</si>
  <si>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</si>
  <si>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</si>
  <si>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</si>
  <si>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</si>
  <si>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</si>
  <si>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</si>
  <si>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</si>
  <si>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</si>
  <si>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</si>
  <si>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</si>
  <si>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</si>
  <si>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</si>
  <si>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</si>
  <si>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</si>
  <si>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</si>
  <si>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</si>
  <si>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</si>
  <si>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</si>
  <si>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</si>
  <si>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</si>
  <si>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</si>
  <si>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</si>
  <si>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</si>
  <si>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</si>
  <si>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</si>
  <si>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</si>
  <si>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</si>
  <si>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</si>
  <si>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</si>
  <si>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</si>
  <si>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</si>
  <si>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</si>
  <si>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</si>
  <si>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</si>
  <si>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</si>
  <si>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</si>
  <si>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</si>
  <si>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</si>
  <si>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</si>
  <si>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</si>
  <si>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</si>
  <si>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</si>
  <si>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</si>
  <si>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</si>
  <si>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</si>
  <si>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</si>
  <si>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</si>
  <si>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</si>
  <si>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</si>
  <si>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</si>
  <si>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</si>
  <si>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</si>
  <si>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</si>
  <si>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</si>
  <si>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</si>
  <si>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</si>
  <si>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</si>
  <si>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</si>
  <si>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</si>
  <si>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</si>
  <si>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</si>
  <si>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</si>
  <si>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</si>
  <si>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</si>
  <si>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</si>
  <si>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</si>
  <si>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</si>
  <si>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</si>
  <si>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</si>
  <si>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</si>
  <si>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</si>
  <si>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</si>
  <si>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</si>
  <si>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</si>
  <si>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</si>
  <si>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</si>
  <si>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</si>
  <si>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</si>
  <si>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</si>
  <si>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</si>
  <si>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</si>
  <si>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</si>
  <si>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</si>
  <si>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</si>
  <si>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</si>
  <si>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</si>
  <si>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</si>
  <si>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</si>
  <si>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</si>
  <si>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</si>
  <si>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</si>
  <si>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</si>
  <si>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</si>
  <si>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</si>
  <si>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</si>
  <si>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</si>
  <si>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</si>
  <si>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</si>
  <si>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</si>
  <si>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</si>
  <si>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</si>
  <si>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</si>
  <si>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</si>
  <si>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</si>
  <si>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</si>
  <si>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</si>
  <si>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</si>
  <si>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</si>
  <si>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</si>
  <si>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</si>
  <si>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</si>
  <si>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</si>
  <si>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</si>
  <si>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</si>
  <si>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</si>
  <si>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</si>
  <si>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</si>
  <si>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</si>
  <si>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</si>
  <si>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</si>
  <si>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</si>
  <si>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</si>
  <si>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</si>
  <si>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</si>
  <si>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</si>
  <si>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</si>
  <si>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</si>
  <si>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</si>
  <si>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</si>
  <si>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</si>
  <si>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</si>
  <si>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</si>
  <si>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</si>
  <si>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</si>
  <si>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</si>
  <si>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</si>
  <si>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</si>
  <si>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</si>
  <si>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</si>
  <si>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</si>
  <si>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</si>
  <si>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</si>
  <si>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</si>
  <si>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</si>
  <si>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</si>
  <si>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</si>
  <si>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</si>
  <si>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</si>
  <si>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August 26-Sept 10,2018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</si>
</sst>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2" fontId="2" fillId="8" borderId="2" xfId="1" applyNumberFormat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9" borderId="55" xfId="1" applyFont="1" applyFill="1" applyBorder="1" applyAlignment="1" applyProtection="1">
      <alignment horizontal="center" vertical="center" wrapText="1"/>
      <protection locked="0"/>
    </xf>
    <xf numFmtId="0" fontId="1" fillId="19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colors>
    <mruColors>
      <color rgb="FF92D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76" t="s">
        <v>152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</row>
    <row r="2" spans="1:27" s="277" customFormat="1" ht="24.6">
      <c r="A2" s="376" t="s">
        <v>214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s="277" customFormat="1" ht="24.6">
      <c r="A3" s="376" t="s">
        <v>215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7" t="s">
        <v>153</v>
      </c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3" t="s">
        <v>91</v>
      </c>
      <c r="I5" s="374"/>
      <c r="J5" s="374"/>
      <c r="K5" s="375"/>
      <c r="L5" s="366" t="s">
        <v>90</v>
      </c>
      <c r="M5" s="362" t="s">
        <v>157</v>
      </c>
      <c r="N5" s="362" t="s">
        <v>158</v>
      </c>
      <c r="O5" s="368" t="s">
        <v>159</v>
      </c>
      <c r="P5" s="369"/>
      <c r="Q5" s="370"/>
      <c r="R5" s="362" t="s">
        <v>160</v>
      </c>
      <c r="S5" s="368" t="s">
        <v>19</v>
      </c>
      <c r="T5" s="369"/>
      <c r="U5" s="370"/>
      <c r="V5" s="362" t="s">
        <v>124</v>
      </c>
      <c r="W5" s="362" t="s">
        <v>125</v>
      </c>
      <c r="X5" s="36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7"/>
      <c r="M6" s="363"/>
      <c r="N6" s="363"/>
      <c r="O6" s="285" t="s">
        <v>167</v>
      </c>
      <c r="P6" s="285" t="s">
        <v>168</v>
      </c>
      <c r="Q6" s="316" t="s">
        <v>125</v>
      </c>
      <c r="R6" s="363"/>
      <c r="S6" s="285" t="s">
        <v>167</v>
      </c>
      <c r="T6" s="285" t="s">
        <v>168</v>
      </c>
      <c r="U6" s="316" t="s">
        <v>125</v>
      </c>
      <c r="V6" s="363"/>
      <c r="W6" s="363"/>
      <c r="X6" s="365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7" t="s">
        <v>174</v>
      </c>
      <c r="G11" s="35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0" t="s">
        <v>221</v>
      </c>
      <c r="G12" s="36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0" t="s">
        <v>224</v>
      </c>
      <c r="G14" s="36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7" t="s">
        <v>224</v>
      </c>
      <c r="G15" s="35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7" t="s">
        <v>173</v>
      </c>
      <c r="G19" s="35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0" t="s">
        <v>235</v>
      </c>
      <c r="G22" s="36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7" t="s">
        <v>235</v>
      </c>
      <c r="G23" s="35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0" t="s">
        <v>235</v>
      </c>
      <c r="G24" s="36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3" t="s">
        <v>91</v>
      </c>
      <c r="I27" s="374"/>
      <c r="J27" s="374"/>
      <c r="K27" s="375"/>
      <c r="L27" s="366" t="s">
        <v>90</v>
      </c>
      <c r="M27" s="362" t="s">
        <v>157</v>
      </c>
      <c r="N27" s="362" t="s">
        <v>158</v>
      </c>
      <c r="O27" s="368" t="s">
        <v>159</v>
      </c>
      <c r="P27" s="369"/>
      <c r="Q27" s="370"/>
      <c r="R27" s="362" t="s">
        <v>160</v>
      </c>
      <c r="S27" s="368" t="s">
        <v>19</v>
      </c>
      <c r="T27" s="369"/>
      <c r="U27" s="370"/>
      <c r="V27" s="362" t="s">
        <v>124</v>
      </c>
      <c r="W27" s="362" t="s">
        <v>125</v>
      </c>
      <c r="X27" s="36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7"/>
      <c r="M28" s="363"/>
      <c r="N28" s="363"/>
      <c r="O28" s="285" t="s">
        <v>167</v>
      </c>
      <c r="P28" s="285" t="s">
        <v>168</v>
      </c>
      <c r="Q28" s="316" t="s">
        <v>125</v>
      </c>
      <c r="R28" s="363"/>
      <c r="S28" s="285" t="s">
        <v>167</v>
      </c>
      <c r="T28" s="285" t="s">
        <v>168</v>
      </c>
      <c r="U28" s="316" t="s">
        <v>125</v>
      </c>
      <c r="V28" s="363"/>
      <c r="W28" s="363"/>
      <c r="X28" s="365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7" t="s">
        <v>173</v>
      </c>
      <c r="G33" s="35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0" t="s">
        <v>173</v>
      </c>
      <c r="G34" s="36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7" t="s">
        <v>224</v>
      </c>
      <c r="G37" s="35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0" t="s">
        <v>224</v>
      </c>
      <c r="G38" s="36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7" t="s">
        <v>173</v>
      </c>
      <c r="G43" s="35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0" t="s">
        <v>173</v>
      </c>
      <c r="G44" s="36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1" t="s">
        <v>238</v>
      </c>
      <c r="G47" s="36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0" t="s">
        <v>239</v>
      </c>
      <c r="G48" s="36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7" t="s">
        <v>239</v>
      </c>
      <c r="G49" s="35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0" t="s">
        <v>239</v>
      </c>
      <c r="G50" s="36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3" t="s">
        <v>91</v>
      </c>
      <c r="I53" s="374"/>
      <c r="J53" s="374"/>
      <c r="K53" s="375"/>
      <c r="L53" s="366" t="s">
        <v>90</v>
      </c>
      <c r="M53" s="362" t="s">
        <v>157</v>
      </c>
      <c r="N53" s="362" t="s">
        <v>158</v>
      </c>
      <c r="O53" s="368" t="s">
        <v>159</v>
      </c>
      <c r="P53" s="369"/>
      <c r="Q53" s="370"/>
      <c r="R53" s="362" t="s">
        <v>160</v>
      </c>
      <c r="S53" s="368" t="s">
        <v>19</v>
      </c>
      <c r="T53" s="369"/>
      <c r="U53" s="370"/>
      <c r="V53" s="362" t="s">
        <v>124</v>
      </c>
      <c r="W53" s="362" t="s">
        <v>125</v>
      </c>
      <c r="X53" s="36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7"/>
      <c r="M54" s="363"/>
      <c r="N54" s="363"/>
      <c r="O54" s="285" t="s">
        <v>167</v>
      </c>
      <c r="P54" s="285" t="s">
        <v>168</v>
      </c>
      <c r="Q54" s="316" t="s">
        <v>125</v>
      </c>
      <c r="R54" s="363"/>
      <c r="S54" s="285" t="s">
        <v>167</v>
      </c>
      <c r="T54" s="285" t="s">
        <v>168</v>
      </c>
      <c r="U54" s="316" t="s">
        <v>125</v>
      </c>
      <c r="V54" s="363"/>
      <c r="W54" s="363"/>
      <c r="X54" s="365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2" t="s">
        <v>177</v>
      </c>
      <c r="G56" s="36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7" t="s">
        <v>173</v>
      </c>
      <c r="G57" s="35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0" t="s">
        <v>224</v>
      </c>
      <c r="G60" s="36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7" t="s">
        <v>224</v>
      </c>
      <c r="G61" s="35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0" t="s">
        <v>174</v>
      </c>
      <c r="G64" s="36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7" t="s">
        <v>173</v>
      </c>
      <c r="G65" s="35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7" t="s">
        <v>165</v>
      </c>
      <c r="G67" s="35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0" t="s">
        <v>244</v>
      </c>
      <c r="G68" s="36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7" t="s">
        <v>244</v>
      </c>
      <c r="G69" s="35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0" t="s">
        <v>244</v>
      </c>
      <c r="G70" s="36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3" t="s">
        <v>91</v>
      </c>
      <c r="I73" s="374"/>
      <c r="J73" s="374"/>
      <c r="K73" s="375"/>
      <c r="L73" s="366" t="s">
        <v>90</v>
      </c>
      <c r="M73" s="362" t="s">
        <v>157</v>
      </c>
      <c r="N73" s="362" t="s">
        <v>158</v>
      </c>
      <c r="O73" s="368" t="s">
        <v>159</v>
      </c>
      <c r="P73" s="369"/>
      <c r="Q73" s="370"/>
      <c r="R73" s="362" t="s">
        <v>160</v>
      </c>
      <c r="S73" s="368" t="s">
        <v>19</v>
      </c>
      <c r="T73" s="369"/>
      <c r="U73" s="370"/>
      <c r="V73" s="362" t="s">
        <v>124</v>
      </c>
      <c r="W73" s="362" t="s">
        <v>125</v>
      </c>
      <c r="X73" s="36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7"/>
      <c r="M74" s="363"/>
      <c r="N74" s="363"/>
      <c r="O74" s="285" t="s">
        <v>167</v>
      </c>
      <c r="P74" s="285" t="s">
        <v>168</v>
      </c>
      <c r="Q74" s="316" t="s">
        <v>125</v>
      </c>
      <c r="R74" s="363"/>
      <c r="S74" s="285" t="s">
        <v>167</v>
      </c>
      <c r="T74" s="285" t="s">
        <v>168</v>
      </c>
      <c r="U74" s="316" t="s">
        <v>125</v>
      </c>
      <c r="V74" s="363"/>
      <c r="W74" s="363"/>
      <c r="X74" s="365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7" t="s">
        <v>173</v>
      </c>
      <c r="G79" s="35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0" t="s">
        <v>173</v>
      </c>
      <c r="G80" s="36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7" t="s">
        <v>224</v>
      </c>
      <c r="G83" s="35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0" t="s">
        <v>224</v>
      </c>
      <c r="G84" s="36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7"/>
      <c r="G91" s="35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7" t="s">
        <v>239</v>
      </c>
      <c r="G95" s="35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7" t="s">
        <v>239</v>
      </c>
      <c r="G96" s="35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7" t="s">
        <v>239</v>
      </c>
      <c r="G97" s="35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3" t="s">
        <v>91</v>
      </c>
      <c r="I100" s="374"/>
      <c r="J100" s="374"/>
      <c r="K100" s="375"/>
      <c r="L100" s="366" t="s">
        <v>90</v>
      </c>
      <c r="M100" s="362" t="s">
        <v>157</v>
      </c>
      <c r="N100" s="362" t="s">
        <v>158</v>
      </c>
      <c r="O100" s="368" t="s">
        <v>159</v>
      </c>
      <c r="P100" s="369"/>
      <c r="Q100" s="370"/>
      <c r="R100" s="362" t="s">
        <v>160</v>
      </c>
      <c r="S100" s="368" t="s">
        <v>19</v>
      </c>
      <c r="T100" s="369"/>
      <c r="U100" s="370"/>
      <c r="V100" s="362" t="s">
        <v>124</v>
      </c>
      <c r="W100" s="362" t="s">
        <v>125</v>
      </c>
      <c r="X100" s="36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7"/>
      <c r="M101" s="363"/>
      <c r="N101" s="363"/>
      <c r="O101" s="285" t="s">
        <v>167</v>
      </c>
      <c r="P101" s="285" t="s">
        <v>168</v>
      </c>
      <c r="Q101" s="316" t="s">
        <v>125</v>
      </c>
      <c r="R101" s="363"/>
      <c r="S101" s="285" t="s">
        <v>167</v>
      </c>
      <c r="T101" s="285" t="s">
        <v>168</v>
      </c>
      <c r="U101" s="316" t="s">
        <v>125</v>
      </c>
      <c r="V101" s="363"/>
      <c r="W101" s="363"/>
      <c r="X101" s="365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0" t="s">
        <v>173</v>
      </c>
      <c r="G105" s="36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7" t="s">
        <v>173</v>
      </c>
      <c r="G106" s="35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7" t="s">
        <v>224</v>
      </c>
      <c r="G108" s="35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0" t="s">
        <v>224</v>
      </c>
      <c r="G109" s="36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7" t="s">
        <v>173</v>
      </c>
      <c r="G112" s="35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0" t="s">
        <v>173</v>
      </c>
      <c r="G113" s="36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59" t="s">
        <v>235</v>
      </c>
      <c r="G115" s="35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7" t="s">
        <v>248</v>
      </c>
      <c r="G116" s="35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59" t="s">
        <v>235</v>
      </c>
      <c r="G117" s="35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7" t="s">
        <v>248</v>
      </c>
      <c r="G118" s="35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3" t="s">
        <v>91</v>
      </c>
      <c r="I121" s="374"/>
      <c r="J121" s="374"/>
      <c r="K121" s="375"/>
      <c r="L121" s="366" t="s">
        <v>90</v>
      </c>
      <c r="M121" s="362" t="s">
        <v>157</v>
      </c>
      <c r="N121" s="362" t="s">
        <v>158</v>
      </c>
      <c r="O121" s="368" t="s">
        <v>159</v>
      </c>
      <c r="P121" s="369"/>
      <c r="Q121" s="370"/>
      <c r="R121" s="362" t="s">
        <v>160</v>
      </c>
      <c r="S121" s="368" t="s">
        <v>19</v>
      </c>
      <c r="T121" s="369"/>
      <c r="U121" s="370"/>
      <c r="V121" s="362" t="s">
        <v>124</v>
      </c>
      <c r="W121" s="362" t="s">
        <v>125</v>
      </c>
      <c r="X121" s="36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7"/>
      <c r="M122" s="363"/>
      <c r="N122" s="363"/>
      <c r="O122" s="285" t="s">
        <v>167</v>
      </c>
      <c r="P122" s="285" t="s">
        <v>168</v>
      </c>
      <c r="Q122" s="316" t="s">
        <v>125</v>
      </c>
      <c r="R122" s="363"/>
      <c r="S122" s="285" t="s">
        <v>167</v>
      </c>
      <c r="T122" s="285" t="s">
        <v>168</v>
      </c>
      <c r="U122" s="316" t="s">
        <v>125</v>
      </c>
      <c r="V122" s="363"/>
      <c r="W122" s="363"/>
      <c r="X122" s="365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7" t="s">
        <v>173</v>
      </c>
      <c r="G129" s="35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7" t="s">
        <v>224</v>
      </c>
      <c r="G132" s="35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0" t="s">
        <v>224</v>
      </c>
      <c r="G133" s="36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0" t="s">
        <v>173</v>
      </c>
      <c r="G138" s="36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7" t="s">
        <v>173</v>
      </c>
      <c r="G139" s="35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0" t="s">
        <v>239</v>
      </c>
      <c r="G142" s="36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7" t="s">
        <v>249</v>
      </c>
      <c r="G143" s="35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0" t="s">
        <v>239</v>
      </c>
      <c r="G144" s="36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7" t="s">
        <v>249</v>
      </c>
      <c r="G145" s="35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3" t="s">
        <v>91</v>
      </c>
      <c r="I148" s="374"/>
      <c r="J148" s="374"/>
      <c r="K148" s="375"/>
      <c r="L148" s="366" t="s">
        <v>90</v>
      </c>
      <c r="M148" s="362" t="s">
        <v>157</v>
      </c>
      <c r="N148" s="362" t="s">
        <v>158</v>
      </c>
      <c r="O148" s="368" t="s">
        <v>159</v>
      </c>
      <c r="P148" s="369"/>
      <c r="Q148" s="370"/>
      <c r="R148" s="362" t="s">
        <v>160</v>
      </c>
      <c r="S148" s="368" t="s">
        <v>19</v>
      </c>
      <c r="T148" s="369"/>
      <c r="U148" s="370"/>
      <c r="V148" s="362" t="s">
        <v>124</v>
      </c>
      <c r="W148" s="362" t="s">
        <v>125</v>
      </c>
      <c r="X148" s="36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7"/>
      <c r="M149" s="363"/>
      <c r="N149" s="363"/>
      <c r="O149" s="285" t="s">
        <v>167</v>
      </c>
      <c r="P149" s="285" t="s">
        <v>168</v>
      </c>
      <c r="Q149" s="316" t="s">
        <v>125</v>
      </c>
      <c r="R149" s="363"/>
      <c r="S149" s="285" t="s">
        <v>167</v>
      </c>
      <c r="T149" s="285" t="s">
        <v>168</v>
      </c>
      <c r="U149" s="316" t="s">
        <v>125</v>
      </c>
      <c r="V149" s="363"/>
      <c r="W149" s="363"/>
      <c r="X149" s="365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0" t="s">
        <v>173</v>
      </c>
      <c r="G157" s="36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7" t="s">
        <v>224</v>
      </c>
      <c r="G160" s="35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0" t="s">
        <v>224</v>
      </c>
      <c r="G161" s="36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7" t="s">
        <v>22</v>
      </c>
      <c r="G164" s="35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0" t="s">
        <v>173</v>
      </c>
      <c r="G165" s="36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7" t="s">
        <v>173</v>
      </c>
      <c r="G166" s="35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59" t="s">
        <v>239</v>
      </c>
      <c r="G169" s="35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7" t="s">
        <v>239</v>
      </c>
      <c r="G170" s="35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59" t="s">
        <v>239</v>
      </c>
      <c r="G171" s="35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7" t="s">
        <v>239</v>
      </c>
      <c r="G172" s="35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3" t="s">
        <v>91</v>
      </c>
      <c r="I175" s="374"/>
      <c r="J175" s="374"/>
      <c r="K175" s="375"/>
      <c r="L175" s="366" t="s">
        <v>90</v>
      </c>
      <c r="M175" s="362" t="s">
        <v>157</v>
      </c>
      <c r="N175" s="362" t="s">
        <v>158</v>
      </c>
      <c r="O175" s="368" t="s">
        <v>159</v>
      </c>
      <c r="P175" s="369"/>
      <c r="Q175" s="370"/>
      <c r="R175" s="362" t="s">
        <v>160</v>
      </c>
      <c r="S175" s="368" t="s">
        <v>19</v>
      </c>
      <c r="T175" s="369"/>
      <c r="U175" s="370"/>
      <c r="V175" s="362" t="s">
        <v>124</v>
      </c>
      <c r="W175" s="362" t="s">
        <v>125</v>
      </c>
      <c r="X175" s="36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7"/>
      <c r="M176" s="363"/>
      <c r="N176" s="363"/>
      <c r="O176" s="285" t="s">
        <v>167</v>
      </c>
      <c r="P176" s="285" t="s">
        <v>168</v>
      </c>
      <c r="Q176" s="316" t="s">
        <v>125</v>
      </c>
      <c r="R176" s="363"/>
      <c r="S176" s="285" t="s">
        <v>167</v>
      </c>
      <c r="T176" s="285" t="s">
        <v>168</v>
      </c>
      <c r="U176" s="316" t="s">
        <v>125</v>
      </c>
      <c r="V176" s="363"/>
      <c r="W176" s="363"/>
      <c r="X176" s="365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0" t="s">
        <v>173</v>
      </c>
      <c r="G182" s="36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7" t="s">
        <v>224</v>
      </c>
      <c r="G185" s="35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0" t="s">
        <v>224</v>
      </c>
      <c r="G186" s="36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7" t="s">
        <v>173</v>
      </c>
      <c r="G193" s="35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1"/>
      <c r="G196" s="36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58" t="s">
        <v>251</v>
      </c>
      <c r="G197" s="35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2" t="s">
        <v>251</v>
      </c>
      <c r="G198" s="36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6" t="s">
        <v>251</v>
      </c>
      <c r="G199" s="35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2" t="s">
        <v>251</v>
      </c>
      <c r="G200" s="36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3" t="s">
        <v>91</v>
      </c>
      <c r="I203" s="374"/>
      <c r="J203" s="374"/>
      <c r="K203" s="375"/>
      <c r="L203" s="366" t="s">
        <v>90</v>
      </c>
      <c r="M203" s="362" t="s">
        <v>157</v>
      </c>
      <c r="N203" s="362" t="s">
        <v>158</v>
      </c>
      <c r="O203" s="368" t="s">
        <v>159</v>
      </c>
      <c r="P203" s="369"/>
      <c r="Q203" s="370"/>
      <c r="R203" s="362" t="s">
        <v>160</v>
      </c>
      <c r="S203" s="368" t="s">
        <v>19</v>
      </c>
      <c r="T203" s="369"/>
      <c r="U203" s="370"/>
      <c r="V203" s="362" t="s">
        <v>124</v>
      </c>
      <c r="W203" s="362" t="s">
        <v>125</v>
      </c>
      <c r="X203" s="36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7"/>
      <c r="M204" s="363"/>
      <c r="N204" s="363"/>
      <c r="O204" s="285" t="s">
        <v>167</v>
      </c>
      <c r="P204" s="285" t="s">
        <v>168</v>
      </c>
      <c r="Q204" s="316" t="s">
        <v>125</v>
      </c>
      <c r="R204" s="363"/>
      <c r="S204" s="285" t="s">
        <v>167</v>
      </c>
      <c r="T204" s="285" t="s">
        <v>168</v>
      </c>
      <c r="U204" s="316" t="s">
        <v>125</v>
      </c>
      <c r="V204" s="363"/>
      <c r="W204" s="363"/>
      <c r="X204" s="365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0" t="s">
        <v>173</v>
      </c>
      <c r="G210" s="36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7" t="s">
        <v>224</v>
      </c>
      <c r="G213" s="35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0" t="s">
        <v>224</v>
      </c>
      <c r="G214" s="36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7" t="s">
        <v>173</v>
      </c>
      <c r="G221" s="35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1"/>
      <c r="G224" s="36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58" t="s">
        <v>177</v>
      </c>
      <c r="G225" s="35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2" t="s">
        <v>177</v>
      </c>
      <c r="G226" s="36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6" t="s">
        <v>177</v>
      </c>
      <c r="G227" s="35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2" t="s">
        <v>177</v>
      </c>
      <c r="G228" s="36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3" t="s">
        <v>91</v>
      </c>
      <c r="I231" s="374"/>
      <c r="J231" s="374"/>
      <c r="K231" s="375"/>
      <c r="L231" s="366" t="s">
        <v>90</v>
      </c>
      <c r="M231" s="362" t="s">
        <v>157</v>
      </c>
      <c r="N231" s="362" t="s">
        <v>158</v>
      </c>
      <c r="O231" s="368" t="s">
        <v>159</v>
      </c>
      <c r="P231" s="369"/>
      <c r="Q231" s="370"/>
      <c r="R231" s="362" t="s">
        <v>160</v>
      </c>
      <c r="S231" s="368" t="s">
        <v>19</v>
      </c>
      <c r="T231" s="369"/>
      <c r="U231" s="370"/>
      <c r="V231" s="362" t="s">
        <v>124</v>
      </c>
      <c r="W231" s="362" t="s">
        <v>125</v>
      </c>
      <c r="X231" s="36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7"/>
      <c r="M232" s="363"/>
      <c r="N232" s="363"/>
      <c r="O232" s="285" t="s">
        <v>167</v>
      </c>
      <c r="P232" s="285" t="s">
        <v>168</v>
      </c>
      <c r="Q232" s="316" t="s">
        <v>125</v>
      </c>
      <c r="R232" s="363"/>
      <c r="S232" s="285" t="s">
        <v>167</v>
      </c>
      <c r="T232" s="285" t="s">
        <v>168</v>
      </c>
      <c r="U232" s="316" t="s">
        <v>125</v>
      </c>
      <c r="V232" s="363"/>
      <c r="W232" s="363"/>
      <c r="X232" s="365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7" t="s">
        <v>173</v>
      </c>
      <c r="G237" s="35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7" t="s">
        <v>224</v>
      </c>
      <c r="G239" s="35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0" t="s">
        <v>224</v>
      </c>
      <c r="G240" s="36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7" t="s">
        <v>165</v>
      </c>
      <c r="G241" s="35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7" t="s">
        <v>174</v>
      </c>
      <c r="G243" s="35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0" t="s">
        <v>173</v>
      </c>
      <c r="G244" s="36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1" t="s">
        <v>255</v>
      </c>
      <c r="G245" s="36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59" t="s">
        <v>255</v>
      </c>
      <c r="G246" s="35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1" t="s">
        <v>255</v>
      </c>
      <c r="G247" s="36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59" t="s">
        <v>255</v>
      </c>
      <c r="G248" s="35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1" t="s">
        <v>255</v>
      </c>
      <c r="G249" s="36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3" t="s">
        <v>91</v>
      </c>
      <c r="I252" s="374"/>
      <c r="J252" s="374"/>
      <c r="K252" s="375"/>
      <c r="L252" s="366" t="s">
        <v>90</v>
      </c>
      <c r="M252" s="362" t="s">
        <v>157</v>
      </c>
      <c r="N252" s="362" t="s">
        <v>158</v>
      </c>
      <c r="O252" s="368" t="s">
        <v>159</v>
      </c>
      <c r="P252" s="369"/>
      <c r="Q252" s="370"/>
      <c r="R252" s="362" t="s">
        <v>160</v>
      </c>
      <c r="S252" s="368" t="s">
        <v>19</v>
      </c>
      <c r="T252" s="369"/>
      <c r="U252" s="370"/>
      <c r="V252" s="362" t="s">
        <v>124</v>
      </c>
      <c r="W252" s="362" t="s">
        <v>125</v>
      </c>
      <c r="X252" s="36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7"/>
      <c r="M253" s="363"/>
      <c r="N253" s="363"/>
      <c r="O253" s="285" t="s">
        <v>167</v>
      </c>
      <c r="P253" s="285" t="s">
        <v>168</v>
      </c>
      <c r="Q253" s="316" t="s">
        <v>125</v>
      </c>
      <c r="R253" s="363"/>
      <c r="S253" s="285" t="s">
        <v>167</v>
      </c>
      <c r="T253" s="285" t="s">
        <v>168</v>
      </c>
      <c r="U253" s="316" t="s">
        <v>125</v>
      </c>
      <c r="V253" s="363"/>
      <c r="W253" s="363"/>
      <c r="X253" s="365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7" t="s">
        <v>173</v>
      </c>
      <c r="G258" s="35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0" t="s">
        <v>173</v>
      </c>
      <c r="G259" s="36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7" t="s">
        <v>224</v>
      </c>
      <c r="G262" s="35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0" t="s">
        <v>224</v>
      </c>
      <c r="G263" s="36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7" t="s">
        <v>173</v>
      </c>
      <c r="G268" s="35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0" t="s">
        <v>173</v>
      </c>
      <c r="G269" s="36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59"/>
      <c r="G272" s="35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1" t="s">
        <v>177</v>
      </c>
      <c r="G273" s="36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6" t="s">
        <v>177</v>
      </c>
      <c r="G274" s="35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2" t="s">
        <v>177</v>
      </c>
      <c r="G275" s="36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6" t="s">
        <v>177</v>
      </c>
      <c r="G276" s="35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3" t="s">
        <v>91</v>
      </c>
      <c r="I279" s="374"/>
      <c r="J279" s="374"/>
      <c r="K279" s="375"/>
      <c r="L279" s="366" t="s">
        <v>90</v>
      </c>
      <c r="M279" s="362" t="s">
        <v>157</v>
      </c>
      <c r="N279" s="362" t="s">
        <v>158</v>
      </c>
      <c r="O279" s="368" t="s">
        <v>159</v>
      </c>
      <c r="P279" s="369"/>
      <c r="Q279" s="370"/>
      <c r="R279" s="362" t="s">
        <v>160</v>
      </c>
      <c r="S279" s="368" t="s">
        <v>19</v>
      </c>
      <c r="T279" s="369"/>
      <c r="U279" s="370"/>
      <c r="V279" s="362" t="s">
        <v>124</v>
      </c>
      <c r="W279" s="362" t="s">
        <v>125</v>
      </c>
      <c r="X279" s="36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7"/>
      <c r="M280" s="363"/>
      <c r="N280" s="363"/>
      <c r="O280" s="285" t="s">
        <v>167</v>
      </c>
      <c r="P280" s="285" t="s">
        <v>168</v>
      </c>
      <c r="Q280" s="316" t="s">
        <v>125</v>
      </c>
      <c r="R280" s="363"/>
      <c r="S280" s="285" t="s">
        <v>167</v>
      </c>
      <c r="T280" s="285" t="s">
        <v>168</v>
      </c>
      <c r="U280" s="316" t="s">
        <v>125</v>
      </c>
      <c r="V280" s="363"/>
      <c r="W280" s="363"/>
      <c r="X280" s="365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0" t="s">
        <v>173</v>
      </c>
      <c r="G284" s="36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7" t="s">
        <v>173</v>
      </c>
      <c r="G285" s="35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1"/>
      <c r="G288" s="36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7" t="s">
        <v>224</v>
      </c>
      <c r="G289" s="35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0" t="s">
        <v>224</v>
      </c>
      <c r="G290" s="36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7" t="s">
        <v>173</v>
      </c>
      <c r="G297" s="35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1"/>
      <c r="G298" s="36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8" t="s">
        <v>257</v>
      </c>
      <c r="G299" s="35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8" t="s">
        <v>257</v>
      </c>
      <c r="G300" s="35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6" t="s">
        <v>257</v>
      </c>
      <c r="G301" s="35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58" t="s">
        <v>257</v>
      </c>
      <c r="G302" s="35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6" t="s">
        <v>257</v>
      </c>
      <c r="G303" s="35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76" t="s">
        <v>258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</row>
    <row r="2" spans="1:27" s="277" customFormat="1" ht="24.6">
      <c r="A2" s="376" t="s">
        <v>214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s="277" customFormat="1" ht="24.6">
      <c r="A3" s="376" t="s">
        <v>215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7" t="s">
        <v>153</v>
      </c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3" t="s">
        <v>91</v>
      </c>
      <c r="I5" s="374"/>
      <c r="J5" s="374"/>
      <c r="K5" s="375"/>
      <c r="L5" s="366" t="s">
        <v>90</v>
      </c>
      <c r="M5" s="362" t="s">
        <v>157</v>
      </c>
      <c r="N5" s="362" t="s">
        <v>158</v>
      </c>
      <c r="O5" s="368" t="s">
        <v>159</v>
      </c>
      <c r="P5" s="369"/>
      <c r="Q5" s="370"/>
      <c r="R5" s="362" t="s">
        <v>160</v>
      </c>
      <c r="S5" s="368" t="s">
        <v>19</v>
      </c>
      <c r="T5" s="369"/>
      <c r="U5" s="370"/>
      <c r="V5" s="362" t="s">
        <v>124</v>
      </c>
      <c r="W5" s="362" t="s">
        <v>125</v>
      </c>
      <c r="X5" s="36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7"/>
      <c r="M6" s="363"/>
      <c r="N6" s="363"/>
      <c r="O6" s="285" t="s">
        <v>167</v>
      </c>
      <c r="P6" s="285" t="s">
        <v>168</v>
      </c>
      <c r="Q6" s="316" t="s">
        <v>125</v>
      </c>
      <c r="R6" s="363"/>
      <c r="S6" s="285" t="s">
        <v>167</v>
      </c>
      <c r="T6" s="285" t="s">
        <v>168</v>
      </c>
      <c r="U6" s="316" t="s">
        <v>125</v>
      </c>
      <c r="V6" s="363"/>
      <c r="W6" s="363"/>
      <c r="X6" s="365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0"/>
      <c r="G14" s="36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0" t="s">
        <v>224</v>
      </c>
      <c r="G16" s="36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7" t="s">
        <v>224</v>
      </c>
      <c r="G17" s="35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0" t="s">
        <v>173</v>
      </c>
      <c r="G22" s="36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7" t="s">
        <v>235</v>
      </c>
      <c r="G25" s="35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0" t="s">
        <v>235</v>
      </c>
      <c r="G26" s="36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7" t="s">
        <v>235</v>
      </c>
      <c r="G27" s="35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3" t="s">
        <v>91</v>
      </c>
      <c r="I30" s="374"/>
      <c r="J30" s="374"/>
      <c r="K30" s="375"/>
      <c r="L30" s="366" t="s">
        <v>90</v>
      </c>
      <c r="M30" s="362" t="s">
        <v>157</v>
      </c>
      <c r="N30" s="362" t="s">
        <v>158</v>
      </c>
      <c r="O30" s="368" t="s">
        <v>159</v>
      </c>
      <c r="P30" s="369"/>
      <c r="Q30" s="370"/>
      <c r="R30" s="362" t="s">
        <v>160</v>
      </c>
      <c r="S30" s="368" t="s">
        <v>19</v>
      </c>
      <c r="T30" s="369"/>
      <c r="U30" s="370"/>
      <c r="V30" s="362" t="s">
        <v>124</v>
      </c>
      <c r="W30" s="362" t="s">
        <v>125</v>
      </c>
      <c r="X30" s="36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7"/>
      <c r="M31" s="363"/>
      <c r="N31" s="363"/>
      <c r="O31" s="285" t="s">
        <v>167</v>
      </c>
      <c r="P31" s="285" t="s">
        <v>168</v>
      </c>
      <c r="Q31" s="316" t="s">
        <v>125</v>
      </c>
      <c r="R31" s="363"/>
      <c r="S31" s="285" t="s">
        <v>167</v>
      </c>
      <c r="T31" s="285" t="s">
        <v>168</v>
      </c>
      <c r="U31" s="316" t="s">
        <v>125</v>
      </c>
      <c r="V31" s="363"/>
      <c r="W31" s="363"/>
      <c r="X31" s="365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7" t="s">
        <v>263</v>
      </c>
      <c r="G32" s="35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2" t="s">
        <v>207</v>
      </c>
      <c r="G33" s="37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7" t="s">
        <v>173</v>
      </c>
      <c r="G34" s="35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0" t="s">
        <v>173</v>
      </c>
      <c r="G35" s="36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6" t="s">
        <v>201</v>
      </c>
      <c r="G36" s="35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0" t="s">
        <v>224</v>
      </c>
      <c r="G37" s="36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0" t="s">
        <v>224</v>
      </c>
      <c r="G38" s="36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2" t="s">
        <v>201</v>
      </c>
      <c r="G39" s="36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6" t="s">
        <v>201</v>
      </c>
      <c r="G40" s="35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0" t="s">
        <v>173</v>
      </c>
      <c r="G41" s="36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7" t="s">
        <v>173</v>
      </c>
      <c r="G42" s="35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2" t="s">
        <v>201</v>
      </c>
      <c r="G43" s="36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6" t="s">
        <v>201</v>
      </c>
      <c r="G44" s="35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2" t="s">
        <v>201</v>
      </c>
      <c r="G45" s="36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6" t="s">
        <v>201</v>
      </c>
      <c r="G46" s="35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2" t="s">
        <v>201</v>
      </c>
      <c r="G47" s="36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3" t="s">
        <v>91</v>
      </c>
      <c r="I50" s="374"/>
      <c r="J50" s="374"/>
      <c r="K50" s="375"/>
      <c r="L50" s="366" t="s">
        <v>90</v>
      </c>
      <c r="M50" s="362" t="s">
        <v>157</v>
      </c>
      <c r="N50" s="362" t="s">
        <v>158</v>
      </c>
      <c r="O50" s="368" t="s">
        <v>159</v>
      </c>
      <c r="P50" s="369"/>
      <c r="Q50" s="370"/>
      <c r="R50" s="362" t="s">
        <v>160</v>
      </c>
      <c r="S50" s="368" t="s">
        <v>19</v>
      </c>
      <c r="T50" s="369"/>
      <c r="U50" s="370"/>
      <c r="V50" s="362" t="s">
        <v>124</v>
      </c>
      <c r="W50" s="362" t="s">
        <v>125</v>
      </c>
      <c r="X50" s="36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7"/>
      <c r="M51" s="363"/>
      <c r="N51" s="363"/>
      <c r="O51" s="285" t="s">
        <v>167</v>
      </c>
      <c r="P51" s="285" t="s">
        <v>168</v>
      </c>
      <c r="Q51" s="316" t="s">
        <v>125</v>
      </c>
      <c r="R51" s="363"/>
      <c r="S51" s="285" t="s">
        <v>167</v>
      </c>
      <c r="T51" s="285" t="s">
        <v>168</v>
      </c>
      <c r="U51" s="316" t="s">
        <v>125</v>
      </c>
      <c r="V51" s="363"/>
      <c r="W51" s="363"/>
      <c r="X51" s="365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6" t="s">
        <v>201</v>
      </c>
      <c r="G52" s="35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2" t="s">
        <v>201</v>
      </c>
      <c r="G53" s="37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7" t="s">
        <v>173</v>
      </c>
      <c r="G54" s="35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0" t="s">
        <v>173</v>
      </c>
      <c r="G55" s="36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6" t="s">
        <v>201</v>
      </c>
      <c r="G56" s="35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0" t="s">
        <v>224</v>
      </c>
      <c r="G57" s="36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7" t="s">
        <v>224</v>
      </c>
      <c r="G58" s="35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2" t="s">
        <v>201</v>
      </c>
      <c r="G59" s="36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6" t="s">
        <v>201</v>
      </c>
      <c r="G60" s="35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0" t="s">
        <v>173</v>
      </c>
      <c r="G61" s="36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7" t="s">
        <v>173</v>
      </c>
      <c r="G62" s="35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2" t="s">
        <v>201</v>
      </c>
      <c r="G63" s="36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6" t="s">
        <v>201</v>
      </c>
      <c r="G64" s="35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2" t="s">
        <v>201</v>
      </c>
      <c r="G65" s="36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6" t="s">
        <v>201</v>
      </c>
      <c r="G66" s="35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2" t="s">
        <v>201</v>
      </c>
      <c r="G67" s="36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45" workbookViewId="0">
      <selection activeCell="N67" sqref="N67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292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2"/>
      <c r="B5" s="384" t="s">
        <v>0</v>
      </c>
      <c r="C5" s="386" t="s">
        <v>1</v>
      </c>
      <c r="D5" s="387" t="s">
        <v>13</v>
      </c>
      <c r="E5" s="386" t="s">
        <v>14</v>
      </c>
      <c r="F5" s="387" t="s">
        <v>15</v>
      </c>
      <c r="G5" s="386" t="s">
        <v>16</v>
      </c>
      <c r="H5" s="387" t="s">
        <v>44</v>
      </c>
      <c r="I5" s="420" t="s">
        <v>118</v>
      </c>
      <c r="J5" s="426" t="s">
        <v>91</v>
      </c>
      <c r="K5" s="427"/>
      <c r="L5" s="428"/>
      <c r="M5" s="409" t="s">
        <v>108</v>
      </c>
      <c r="N5" s="410"/>
      <c r="O5" s="410"/>
      <c r="P5" s="386" t="s">
        <v>2</v>
      </c>
      <c r="Q5" s="387" t="s">
        <v>17</v>
      </c>
      <c r="R5" s="386" t="s">
        <v>2</v>
      </c>
      <c r="S5" s="387" t="s">
        <v>18</v>
      </c>
      <c r="T5" s="386" t="s">
        <v>2</v>
      </c>
      <c r="U5" s="387" t="s">
        <v>19</v>
      </c>
      <c r="V5" s="386" t="s">
        <v>2</v>
      </c>
      <c r="W5" s="387" t="s">
        <v>20</v>
      </c>
      <c r="X5" s="414" t="s">
        <v>3</v>
      </c>
    </row>
    <row r="6" spans="1:26" s="138" customFormat="1" ht="27" customHeight="1" thickBot="1">
      <c r="A6" s="383"/>
      <c r="B6" s="385"/>
      <c r="C6" s="385"/>
      <c r="D6" s="388"/>
      <c r="E6" s="389"/>
      <c r="F6" s="388"/>
      <c r="G6" s="389"/>
      <c r="H6" s="413"/>
      <c r="I6" s="42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5"/>
      <c r="Q6" s="388"/>
      <c r="R6" s="385"/>
      <c r="S6" s="388"/>
      <c r="T6" s="385"/>
      <c r="U6" s="388"/>
      <c r="V6" s="385"/>
      <c r="W6" s="413"/>
      <c r="X6" s="415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352">
        <v>11</v>
      </c>
      <c r="G7" s="132">
        <f>+D7</f>
        <v>6526</v>
      </c>
      <c r="H7" s="20">
        <f>(F7+J7+K7+L7+Q7)*10</f>
        <v>120</v>
      </c>
      <c r="I7" s="20"/>
      <c r="J7" s="133">
        <v>0</v>
      </c>
      <c r="K7" s="133">
        <v>1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5">
        <v>3</v>
      </c>
      <c r="V7" s="21">
        <f>(E7/8/10)*U7</f>
        <v>18.825000000000003</v>
      </c>
      <c r="W7" s="136"/>
      <c r="X7" s="137">
        <f>+G7+H7+P7+R7+T7+V7+W7+I7</f>
        <v>6664.8249999999998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353">
        <v>12</v>
      </c>
      <c r="G8" s="141">
        <f>+D8</f>
        <v>6526</v>
      </c>
      <c r="H8" s="21">
        <f>(F8+J8+K8+L8+Q8)*10</f>
        <v>120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353">
        <v>5</v>
      </c>
      <c r="V8" s="21">
        <f t="shared" ref="V8:V16" si="3">(E8/8/10)*U8</f>
        <v>31.375</v>
      </c>
      <c r="W8" s="15"/>
      <c r="X8" s="137">
        <f t="shared" ref="X8:X16" si="4">+G8+H8+P8+R8+T8+V8+W8+I8</f>
        <v>6677.375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11</v>
      </c>
      <c r="G9" s="141">
        <f>D9</f>
        <v>10273</v>
      </c>
      <c r="H9" s="21">
        <f t="shared" ref="H9:H16" si="5">(F9+J9+K9+L9+Q9)*10</f>
        <v>110</v>
      </c>
      <c r="I9" s="21">
        <f>50</f>
        <v>50</v>
      </c>
      <c r="J9" s="73">
        <v>0</v>
      </c>
      <c r="K9" s="73"/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353">
        <v>1</v>
      </c>
      <c r="V9" s="21">
        <f t="shared" si="3"/>
        <v>9.877884615384616</v>
      </c>
      <c r="W9" s="15"/>
      <c r="X9" s="137">
        <f t="shared" si="4"/>
        <v>10442.877884615385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353">
        <v>11</v>
      </c>
      <c r="G10" s="141">
        <f t="shared" ref="G10:G16" si="6">+D10</f>
        <v>6526</v>
      </c>
      <c r="H10" s="21">
        <f t="shared" si="5"/>
        <v>110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353">
        <v>2</v>
      </c>
      <c r="V10" s="21">
        <f t="shared" si="3"/>
        <v>12.55</v>
      </c>
      <c r="W10" s="15"/>
      <c r="X10" s="137">
        <f t="shared" si="4"/>
        <v>6648.55</v>
      </c>
      <c r="Y10" s="142"/>
      <c r="Z10" s="142"/>
    </row>
    <row r="11" spans="1:26" s="138" customFormat="1" ht="12" customHeigh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353">
        <v>11</v>
      </c>
      <c r="G11" s="141">
        <f>E11*F11</f>
        <v>5522</v>
      </c>
      <c r="H11" s="21">
        <f t="shared" si="5"/>
        <v>120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>
        <v>1</v>
      </c>
      <c r="R11" s="21">
        <f t="shared" si="1"/>
        <v>502</v>
      </c>
      <c r="S11" s="73">
        <f>+'10.26-11.10(SI)'!W28</f>
        <v>0</v>
      </c>
      <c r="T11" s="21">
        <f t="shared" si="2"/>
        <v>0</v>
      </c>
      <c r="U11" s="353">
        <v>5</v>
      </c>
      <c r="V11" s="21">
        <f t="shared" si="3"/>
        <v>31.375</v>
      </c>
      <c r="W11" s="15"/>
      <c r="X11" s="137">
        <f t="shared" si="4"/>
        <v>6175.375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53">
        <v>11</v>
      </c>
      <c r="G12" s="141">
        <f>E12*F12</f>
        <v>5522</v>
      </c>
      <c r="H12" s="21">
        <f t="shared" si="5"/>
        <v>120</v>
      </c>
      <c r="I12" s="21"/>
      <c r="J12" s="73"/>
      <c r="K12" s="73"/>
      <c r="L12" s="73"/>
      <c r="M12" s="7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>
        <v>1</v>
      </c>
      <c r="R12" s="21">
        <f>+Q12*E12</f>
        <v>502</v>
      </c>
      <c r="S12" s="73"/>
      <c r="T12" s="21">
        <f>(+S12*E12)*0.3</f>
        <v>0</v>
      </c>
      <c r="U12" s="353">
        <v>5</v>
      </c>
      <c r="V12" s="21">
        <f>(E12/8/10)*U12</f>
        <v>31.375</v>
      </c>
      <c r="W12" s="15"/>
      <c r="X12" s="137">
        <f t="shared" si="4"/>
        <v>6175.375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353">
        <v>12</v>
      </c>
      <c r="G13" s="141">
        <f>E13*F13</f>
        <v>6024</v>
      </c>
      <c r="H13" s="21">
        <f t="shared" si="5"/>
        <v>130</v>
      </c>
      <c r="I13" s="21"/>
      <c r="J13" s="73"/>
      <c r="K13" s="73"/>
      <c r="L13" s="73"/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0"/>
        <v>0</v>
      </c>
      <c r="Q13" s="73">
        <v>1</v>
      </c>
      <c r="R13" s="21">
        <f t="shared" si="1"/>
        <v>502</v>
      </c>
      <c r="S13" s="73"/>
      <c r="T13" s="21">
        <f t="shared" si="2"/>
        <v>0</v>
      </c>
      <c r="U13" s="353">
        <v>10</v>
      </c>
      <c r="V13" s="21">
        <f t="shared" si="3"/>
        <v>62.75</v>
      </c>
      <c r="W13" s="15"/>
      <c r="X13" s="137">
        <f t="shared" si="4"/>
        <v>6718.75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354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>+D15/13</f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46919</v>
      </c>
      <c r="H18" s="3">
        <f>SUM(H7:H16)</f>
        <v>830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1506</v>
      </c>
      <c r="S18" s="4"/>
      <c r="T18" s="3">
        <f>SUM(T7:T16)</f>
        <v>0</v>
      </c>
      <c r="U18" s="6"/>
      <c r="V18" s="3">
        <f>SUM(V7:V16)</f>
        <v>198.12788461538463</v>
      </c>
      <c r="W18" s="4"/>
      <c r="X18" s="3">
        <f>SUM(X7:X16)</f>
        <v>49503.127884615387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0"/>
      <c r="B20" s="392" t="s">
        <v>0</v>
      </c>
      <c r="C20" s="394" t="s">
        <v>1</v>
      </c>
      <c r="D20" s="380" t="s">
        <v>3</v>
      </c>
      <c r="E20" s="416" t="s">
        <v>22</v>
      </c>
      <c r="F20" s="422" t="s">
        <v>2</v>
      </c>
      <c r="G20" s="424" t="s">
        <v>21</v>
      </c>
      <c r="H20" s="380" t="s">
        <v>2</v>
      </c>
      <c r="I20" s="418" t="s">
        <v>126</v>
      </c>
      <c r="J20" s="405" t="s">
        <v>4</v>
      </c>
      <c r="K20" s="407" t="s">
        <v>23</v>
      </c>
      <c r="L20" s="380" t="s">
        <v>5</v>
      </c>
      <c r="M20" s="380" t="s">
        <v>6</v>
      </c>
      <c r="N20" s="380" t="s">
        <v>24</v>
      </c>
      <c r="O20" s="380" t="s">
        <v>7</v>
      </c>
      <c r="P20" s="400" t="s">
        <v>3</v>
      </c>
      <c r="Q20" s="244"/>
      <c r="R20" s="152" t="s">
        <v>103</v>
      </c>
      <c r="S20" s="244"/>
    </row>
    <row r="21" spans="1:24" s="138" customFormat="1" ht="15" customHeight="1" thickBot="1">
      <c r="A21" s="391"/>
      <c r="B21" s="393"/>
      <c r="C21" s="395"/>
      <c r="D21" s="412"/>
      <c r="E21" s="417"/>
      <c r="F21" s="423"/>
      <c r="G21" s="425"/>
      <c r="H21" s="396"/>
      <c r="I21" s="419"/>
      <c r="J21" s="406"/>
      <c r="K21" s="408"/>
      <c r="L21" s="396"/>
      <c r="M21" s="396"/>
      <c r="N21" s="412"/>
      <c r="O21" s="396"/>
      <c r="P21" s="401"/>
      <c r="R21" s="250" t="str">
        <f>D3</f>
        <v>August 26-Sept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6664.8249999999998</v>
      </c>
      <c r="E22" s="133">
        <f>+'10.26-11.10'!R25</f>
        <v>0</v>
      </c>
      <c r="F22" s="20">
        <f>+E22*E7</f>
        <v>0</v>
      </c>
      <c r="G22" s="355">
        <v>0.32</v>
      </c>
      <c r="H22" s="20">
        <f>(+E7/8)*G22</f>
        <v>20.080000000000002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5465.4849999999997</v>
      </c>
      <c r="R22" s="71">
        <f t="shared" ref="R22:R31" si="9">G7+H7+P7+R7+T7+V7+W7-F22-H22</f>
        <v>6644.7449999999999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6677.375</v>
      </c>
      <c r="E23" s="73">
        <f>+'10.26-11.10'!R229</f>
        <v>0</v>
      </c>
      <c r="F23" s="21">
        <f t="shared" ref="F23:F31" si="10">+E23*E8</f>
        <v>0</v>
      </c>
      <c r="G23" s="353">
        <v>0</v>
      </c>
      <c r="H23" s="21">
        <f t="shared" ref="H23:H31" si="11">(+E8/8)*G23</f>
        <v>0</v>
      </c>
      <c r="I23" s="73"/>
      <c r="J23" s="15"/>
      <c r="K23" s="15">
        <v>1245.9100000000001</v>
      </c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5331.4650000000001</v>
      </c>
      <c r="R23" s="71">
        <f t="shared" si="9"/>
        <v>6677.375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10442.877884615385</v>
      </c>
      <c r="E24" s="73">
        <v>1</v>
      </c>
      <c r="F24" s="21">
        <f t="shared" si="10"/>
        <v>790.23076923076928</v>
      </c>
      <c r="G24" s="353">
        <v>5.36</v>
      </c>
      <c r="H24" s="21">
        <f t="shared" si="11"/>
        <v>529.45461538461541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7144.3025000000007</v>
      </c>
      <c r="R24" s="71">
        <f t="shared" si="9"/>
        <v>9073.192500000001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6648.55</v>
      </c>
      <c r="E25" s="73">
        <v>1</v>
      </c>
      <c r="F25" s="21">
        <f t="shared" si="10"/>
        <v>502</v>
      </c>
      <c r="G25" s="353">
        <v>0</v>
      </c>
      <c r="H25" s="21">
        <f t="shared" ref="H25" si="13">(+E10/8)*G25</f>
        <v>0</v>
      </c>
      <c r="I25" s="353"/>
      <c r="J25" s="15"/>
      <c r="K25" s="15">
        <v>600</v>
      </c>
      <c r="L25" s="15"/>
      <c r="M25" s="18">
        <f>'[1]summary of contribution'!$O$21</f>
        <v>100</v>
      </c>
      <c r="N25" s="15">
        <v>567</v>
      </c>
      <c r="O25" s="18"/>
      <c r="P25" s="158">
        <f t="shared" si="12"/>
        <v>4879.55</v>
      </c>
      <c r="R25" s="71">
        <f t="shared" si="9"/>
        <v>6146.55</v>
      </c>
    </row>
    <row r="26" spans="1:24" s="138" customFormat="1" ht="12" customHeight="1">
      <c r="A26" s="139">
        <v>5</v>
      </c>
      <c r="B26" s="22" t="str">
        <f t="shared" ref="B26:B31" si="14">+B11</f>
        <v>Briones, Christian Joy</v>
      </c>
      <c r="C26" s="248" t="str">
        <f t="shared" ref="C26:C31" si="15">C11</f>
        <v>Asst. Cook</v>
      </c>
      <c r="D26" s="141">
        <f t="shared" si="8"/>
        <v>6175.375</v>
      </c>
      <c r="E26" s="353">
        <v>0</v>
      </c>
      <c r="F26" s="21">
        <f t="shared" si="10"/>
        <v>0</v>
      </c>
      <c r="G26" s="353">
        <v>1.1100000000000001</v>
      </c>
      <c r="H26" s="21">
        <f t="shared" si="11"/>
        <v>69.652500000000003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5019.0225</v>
      </c>
      <c r="R26" s="71">
        <f t="shared" si="9"/>
        <v>6105.7224999999999</v>
      </c>
    </row>
    <row r="27" spans="1:24" s="138" customFormat="1" ht="12" customHeight="1">
      <c r="A27" s="139">
        <v>6</v>
      </c>
      <c r="B27" s="22" t="str">
        <f t="shared" si="14"/>
        <v>Cahilig,Benzen</v>
      </c>
      <c r="C27" s="248" t="str">
        <f t="shared" si="15"/>
        <v>Cook</v>
      </c>
      <c r="D27" s="141">
        <f>+X12</f>
        <v>6175.375</v>
      </c>
      <c r="E27" s="353">
        <v>0</v>
      </c>
      <c r="F27" s="21">
        <f t="shared" si="10"/>
        <v>0</v>
      </c>
      <c r="G27" s="353">
        <v>0</v>
      </c>
      <c r="H27" s="21">
        <f t="shared" si="11"/>
        <v>0</v>
      </c>
      <c r="I27" s="73"/>
      <c r="J27" s="15"/>
      <c r="K27" s="15">
        <v>507.6</v>
      </c>
      <c r="L27" s="15"/>
      <c r="M27" s="18">
        <f>'[1]summary of contribution'!$O$21</f>
        <v>100</v>
      </c>
      <c r="N27" s="15">
        <v>432.98</v>
      </c>
      <c r="O27" s="18"/>
      <c r="P27" s="158">
        <f t="shared" si="12"/>
        <v>5134.7950000000001</v>
      </c>
      <c r="R27" s="71">
        <f>G12+H12+P12+R12+T12+V12+W12-F27-H27</f>
        <v>6175.375</v>
      </c>
    </row>
    <row r="28" spans="1:24" s="138" customFormat="1" ht="12" customHeight="1">
      <c r="A28" s="139">
        <v>7</v>
      </c>
      <c r="B28" s="22" t="str">
        <f t="shared" si="14"/>
        <v>Pantoja,Nancy</v>
      </c>
      <c r="C28" s="248" t="str">
        <f t="shared" si="15"/>
        <v>Cashier</v>
      </c>
      <c r="D28" s="141">
        <f t="shared" si="8"/>
        <v>6718.75</v>
      </c>
      <c r="E28" s="353">
        <v>0</v>
      </c>
      <c r="F28" s="21">
        <f t="shared" si="10"/>
        <v>0</v>
      </c>
      <c r="G28" s="353">
        <v>3.05</v>
      </c>
      <c r="H28" s="21">
        <f t="shared" si="11"/>
        <v>191.38749999999999</v>
      </c>
      <c r="I28" s="73"/>
      <c r="J28" s="15"/>
      <c r="K28" s="15">
        <v>507.6</v>
      </c>
      <c r="L28" s="15"/>
      <c r="M28" s="18">
        <f>'[1]summary of contribution'!$O$21</f>
        <v>100</v>
      </c>
      <c r="N28" s="15"/>
      <c r="O28" s="18"/>
      <c r="P28" s="158">
        <f t="shared" si="12"/>
        <v>5919.7624999999998</v>
      </c>
      <c r="R28" s="71">
        <f t="shared" si="9"/>
        <v>6527.3625000000002</v>
      </c>
    </row>
    <row r="29" spans="1:24" s="138" customFormat="1" ht="12" customHeight="1">
      <c r="A29" s="139">
        <v>8</v>
      </c>
      <c r="B29" s="22">
        <f t="shared" si="14"/>
        <v>0</v>
      </c>
      <c r="C29" s="248">
        <f t="shared" si="15"/>
        <v>0</v>
      </c>
      <c r="D29" s="141">
        <f t="shared" si="8"/>
        <v>0</v>
      </c>
      <c r="E29" s="73">
        <v>0</v>
      </c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4"/>
        <v>0</v>
      </c>
      <c r="C30" s="248">
        <f t="shared" si="15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4"/>
        <v>0</v>
      </c>
      <c r="C31" s="248">
        <f t="shared" si="15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49503.127884615387</v>
      </c>
      <c r="E33" s="4">
        <f>+SUM(E22:E32)</f>
        <v>2</v>
      </c>
      <c r="F33" s="3">
        <f>SUM(F22:F32)</f>
        <v>1292.2307692307693</v>
      </c>
      <c r="G33" s="4"/>
      <c r="H33" s="3">
        <f>SUM(H22:H32)</f>
        <v>810.57461538461553</v>
      </c>
      <c r="I33" s="3">
        <f>+SUM(I22:I32)</f>
        <v>0</v>
      </c>
      <c r="J33" s="3">
        <f t="shared" ref="J33:O33" si="16">+SUM(J22:J32)</f>
        <v>0</v>
      </c>
      <c r="K33" s="3">
        <f t="shared" si="16"/>
        <v>3361.1099999999997</v>
      </c>
      <c r="L33" s="3">
        <f t="shared" si="16"/>
        <v>0</v>
      </c>
      <c r="M33" s="3">
        <f t="shared" si="16"/>
        <v>700</v>
      </c>
      <c r="N33" s="3">
        <f t="shared" si="16"/>
        <v>4444.83</v>
      </c>
      <c r="O33" s="3">
        <f t="shared" si="16"/>
        <v>0</v>
      </c>
      <c r="P33" s="5">
        <f>+SUM(P22:P32)</f>
        <v>38894.3825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8">+P22+(SUM(O35:Q35))</f>
        <v>6499.4849999999997</v>
      </c>
    </row>
    <row r="36" spans="1:25">
      <c r="M36" s="16" t="str">
        <f t="shared" si="17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8"/>
        <v>5831.4650000000001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7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8"/>
        <v>8394.3025000000016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f>300/2</f>
        <v>150</v>
      </c>
      <c r="P38" s="16">
        <f>((1768/2)/13)*(13-E25)</f>
        <v>816</v>
      </c>
      <c r="Q38" s="16">
        <v>0</v>
      </c>
      <c r="R38" s="165">
        <f>SUM(O35:P38)</f>
        <v>3750</v>
      </c>
      <c r="S38" s="166">
        <f t="shared" si="18"/>
        <v>5845.55</v>
      </c>
      <c r="T38" s="334"/>
      <c r="U38" s="334"/>
      <c r="V38" s="334"/>
      <c r="W38" s="334"/>
      <c r="X38" s="334"/>
      <c r="Y38" s="334"/>
    </row>
    <row r="39" spans="1:25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5019.0225</v>
      </c>
      <c r="T39" s="334"/>
      <c r="U39" s="334"/>
      <c r="V39" s="334"/>
      <c r="W39" s="334"/>
      <c r="X39" s="334"/>
      <c r="Y39" s="334"/>
    </row>
    <row r="40" spans="1:25"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5134.7950000000001</v>
      </c>
    </row>
    <row r="41" spans="1:25"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5919.7624999999998</v>
      </c>
    </row>
    <row r="42" spans="1:25">
      <c r="M42" s="16">
        <f t="shared" si="17"/>
        <v>0</v>
      </c>
      <c r="O42" s="16">
        <v>0</v>
      </c>
      <c r="P42" s="16">
        <v>0</v>
      </c>
      <c r="Q42" s="16">
        <v>0</v>
      </c>
      <c r="S42" s="166">
        <f t="shared" si="18"/>
        <v>0</v>
      </c>
    </row>
    <row r="43" spans="1:25">
      <c r="M43" s="16">
        <f t="shared" si="17"/>
        <v>0</v>
      </c>
      <c r="O43" s="16">
        <v>0</v>
      </c>
      <c r="P43" s="16">
        <v>0</v>
      </c>
      <c r="Q43" s="16">
        <v>0</v>
      </c>
      <c r="S43" s="166">
        <f t="shared" si="18"/>
        <v>0</v>
      </c>
    </row>
    <row r="44" spans="1:25"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 t="shared" si="18"/>
        <v>0</v>
      </c>
    </row>
    <row r="46" spans="1:25">
      <c r="P46" s="169">
        <f>+P33+(SUM(O35:Q44))</f>
        <v>42644.3825</v>
      </c>
    </row>
    <row r="53" spans="1:14" ht="13.8" thickBot="1"/>
    <row r="54" spans="1:14" ht="13.8" thickBot="1">
      <c r="A54" s="390"/>
      <c r="B54" s="392" t="s">
        <v>0</v>
      </c>
      <c r="C54" s="394" t="s">
        <v>1</v>
      </c>
      <c r="D54" s="380" t="s">
        <v>45</v>
      </c>
      <c r="E54" s="378" t="s">
        <v>151</v>
      </c>
      <c r="F54" s="398" t="s">
        <v>112</v>
      </c>
      <c r="G54" s="399"/>
      <c r="H54" s="403" t="s">
        <v>267</v>
      </c>
      <c r="I54" s="400" t="s">
        <v>3</v>
      </c>
      <c r="J54" s="402" t="s">
        <v>114</v>
      </c>
      <c r="K54" s="397" t="s">
        <v>115</v>
      </c>
      <c r="L54" s="397" t="s">
        <v>116</v>
      </c>
      <c r="N54" s="411" t="s">
        <v>102</v>
      </c>
    </row>
    <row r="55" spans="1:14" ht="13.8" thickBot="1">
      <c r="A55" s="391"/>
      <c r="B55" s="393"/>
      <c r="C55" s="395"/>
      <c r="D55" s="381"/>
      <c r="E55" s="379"/>
      <c r="F55" s="245" t="s">
        <v>113</v>
      </c>
      <c r="G55" s="246" t="s">
        <v>148</v>
      </c>
      <c r="H55" s="404"/>
      <c r="I55" s="401"/>
      <c r="J55" s="402"/>
      <c r="K55" s="397"/>
      <c r="L55" s="397"/>
      <c r="N55" s="411"/>
    </row>
    <row r="56" spans="1:14" ht="13.8" thickBot="1">
      <c r="A56" s="153">
        <v>1</v>
      </c>
      <c r="B56" s="49" t="str">
        <f t="shared" ref="B56:C65" si="19">+B22</f>
        <v>Biarcal, Ronald Glenn</v>
      </c>
      <c r="C56" s="49" t="str">
        <f t="shared" si="19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4077.9849999999997</v>
      </c>
      <c r="J56" s="274">
        <f>+O35</f>
        <v>150</v>
      </c>
      <c r="K56" s="274">
        <f t="shared" ref="K56:L60" si="20">+P35</f>
        <v>884</v>
      </c>
      <c r="L56" s="274">
        <f t="shared" si="20"/>
        <v>0</v>
      </c>
      <c r="N56" s="165">
        <f t="shared" ref="N56:N62" si="21">+I56+J56+K56</f>
        <v>5111.9849999999997</v>
      </c>
    </row>
    <row r="57" spans="1:14" ht="13.8" thickBot="1">
      <c r="A57" s="139">
        <v>2</v>
      </c>
      <c r="B57" s="22" t="str">
        <f t="shared" si="19"/>
        <v>Sanchez, Angelo</v>
      </c>
      <c r="C57" s="248" t="str">
        <f t="shared" si="19"/>
        <v>Head Cook</v>
      </c>
      <c r="D57" s="73"/>
      <c r="E57" s="122"/>
      <c r="F57" s="122"/>
      <c r="G57" s="122"/>
      <c r="H57" s="157"/>
      <c r="I57" s="158">
        <f t="shared" ref="I57:I65" si="22">+D23-F23-H23-D57-J23-K23-L23-M23-N23-O23-E57-H57-F57-G57-I23</f>
        <v>5331.4650000000001</v>
      </c>
      <c r="J57" s="274">
        <f>+O36</f>
        <v>0</v>
      </c>
      <c r="K57" s="274">
        <f t="shared" si="20"/>
        <v>500</v>
      </c>
      <c r="L57" s="274">
        <f t="shared" si="20"/>
        <v>0</v>
      </c>
      <c r="N57" s="165">
        <f t="shared" si="21"/>
        <v>5831.4650000000001</v>
      </c>
    </row>
    <row r="58" spans="1:14" ht="13.8" thickBot="1">
      <c r="A58" s="139">
        <v>3</v>
      </c>
      <c r="B58" s="22" t="str">
        <f t="shared" si="19"/>
        <v>Dino, Joyce</v>
      </c>
      <c r="C58" s="248" t="str">
        <f t="shared" si="19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2"/>
        <v>5542.9125000000004</v>
      </c>
      <c r="J58" s="274">
        <f>+O37</f>
        <v>250</v>
      </c>
      <c r="K58" s="274">
        <f t="shared" si="20"/>
        <v>1000</v>
      </c>
      <c r="L58" s="274">
        <f t="shared" si="20"/>
        <v>0</v>
      </c>
      <c r="N58" s="165">
        <f t="shared" si="21"/>
        <v>6792.9125000000004</v>
      </c>
    </row>
    <row r="59" spans="1:14" ht="13.8" thickBot="1">
      <c r="A59" s="139">
        <v>4</v>
      </c>
      <c r="B59" s="22" t="str">
        <f t="shared" si="19"/>
        <v xml:space="preserve">Sosa, Anna Marie </v>
      </c>
      <c r="C59" s="248" t="str">
        <f t="shared" si="19"/>
        <v>M.T.Bookkeeper</v>
      </c>
      <c r="D59" s="73"/>
      <c r="E59" s="122"/>
      <c r="F59" s="122"/>
      <c r="G59" s="122">
        <f>3074.67/2</f>
        <v>1537.335</v>
      </c>
      <c r="H59" s="157"/>
      <c r="I59" s="158">
        <f t="shared" si="22"/>
        <v>3342.2150000000001</v>
      </c>
      <c r="J59" s="274">
        <f>+O38</f>
        <v>150</v>
      </c>
      <c r="K59" s="274">
        <f t="shared" si="20"/>
        <v>816</v>
      </c>
      <c r="L59" s="274">
        <f t="shared" si="20"/>
        <v>0</v>
      </c>
      <c r="N59" s="165">
        <f t="shared" si="21"/>
        <v>4308.2150000000001</v>
      </c>
    </row>
    <row r="60" spans="1:14">
      <c r="A60" s="139">
        <v>5</v>
      </c>
      <c r="B60" s="22" t="str">
        <f t="shared" si="19"/>
        <v>Briones, Christian Joy</v>
      </c>
      <c r="C60" s="248" t="str">
        <f t="shared" si="19"/>
        <v>Asst. Cook</v>
      </c>
      <c r="D60" s="73"/>
      <c r="E60" s="122"/>
      <c r="F60" s="122"/>
      <c r="G60" s="122"/>
      <c r="H60" s="157"/>
      <c r="I60" s="158">
        <f t="shared" si="22"/>
        <v>5019.0225</v>
      </c>
      <c r="J60" s="274">
        <f>+O39</f>
        <v>0</v>
      </c>
      <c r="K60" s="274">
        <f t="shared" si="20"/>
        <v>0</v>
      </c>
      <c r="L60" s="274">
        <f t="shared" si="20"/>
        <v>0</v>
      </c>
      <c r="N60" s="165">
        <f t="shared" si="21"/>
        <v>5019.0225</v>
      </c>
    </row>
    <row r="61" spans="1:14">
      <c r="A61" s="139">
        <v>6</v>
      </c>
      <c r="B61" s="22" t="str">
        <f t="shared" si="19"/>
        <v>Cahilig,Benzen</v>
      </c>
      <c r="C61" s="248" t="str">
        <f t="shared" si="19"/>
        <v>Cook</v>
      </c>
      <c r="D61" s="73"/>
      <c r="E61" s="122"/>
      <c r="F61" s="122"/>
      <c r="G61" s="122"/>
      <c r="H61" s="122"/>
      <c r="I61" s="158">
        <f t="shared" si="22"/>
        <v>5134.7950000000001</v>
      </c>
      <c r="N61" s="165">
        <f t="shared" si="21"/>
        <v>5134.7950000000001</v>
      </c>
    </row>
    <row r="62" spans="1:14">
      <c r="A62" s="139">
        <v>7</v>
      </c>
      <c r="B62" s="22" t="str">
        <f t="shared" si="19"/>
        <v>Pantoja,Nancy</v>
      </c>
      <c r="C62" s="248" t="str">
        <f t="shared" si="19"/>
        <v>Cashier</v>
      </c>
      <c r="D62" s="73">
        <v>445.5</v>
      </c>
      <c r="E62" s="122"/>
      <c r="F62" s="122"/>
      <c r="G62" s="122"/>
      <c r="H62" s="122"/>
      <c r="I62" s="158">
        <f t="shared" si="22"/>
        <v>5474.2624999999998</v>
      </c>
      <c r="N62" s="165">
        <f t="shared" si="21"/>
        <v>5474.2624999999998</v>
      </c>
    </row>
    <row r="63" spans="1:14">
      <c r="A63" s="139">
        <v>8</v>
      </c>
      <c r="B63" s="22">
        <f t="shared" si="19"/>
        <v>0</v>
      </c>
      <c r="C63" s="248">
        <f t="shared" si="19"/>
        <v>0</v>
      </c>
      <c r="D63" s="73"/>
      <c r="E63" s="122"/>
      <c r="F63" s="122"/>
      <c r="G63" s="122"/>
      <c r="H63" s="15">
        <v>0</v>
      </c>
      <c r="I63" s="158">
        <f t="shared" si="22"/>
        <v>0</v>
      </c>
    </row>
    <row r="64" spans="1:14">
      <c r="A64" s="139">
        <v>9</v>
      </c>
      <c r="B64" s="22">
        <f t="shared" si="19"/>
        <v>0</v>
      </c>
      <c r="C64" s="248">
        <f t="shared" si="19"/>
        <v>0</v>
      </c>
      <c r="D64" s="73"/>
      <c r="E64" s="122"/>
      <c r="F64" s="122"/>
      <c r="G64" s="122"/>
      <c r="H64" s="15">
        <v>0</v>
      </c>
      <c r="I64" s="158">
        <f t="shared" si="22"/>
        <v>0</v>
      </c>
    </row>
    <row r="65" spans="1:14">
      <c r="A65" s="139">
        <v>10</v>
      </c>
      <c r="B65" s="22">
        <f t="shared" si="19"/>
        <v>0</v>
      </c>
      <c r="C65" s="248">
        <f t="shared" si="19"/>
        <v>0</v>
      </c>
      <c r="D65" s="22"/>
      <c r="E65" s="122"/>
      <c r="F65" s="122"/>
      <c r="G65" s="122"/>
      <c r="H65" s="15">
        <v>0</v>
      </c>
      <c r="I65" s="158">
        <f t="shared" si="22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445.5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33922.657499999994</v>
      </c>
      <c r="N67" s="275">
        <f>SUM(N56:N66)</f>
        <v>37672.657500000001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29" t="str">
        <f>'26-10 payroll'!A1</f>
        <v>THE OLD SPAGHETTI HOUSE</v>
      </c>
      <c r="C2" s="430"/>
      <c r="D2" s="430"/>
      <c r="E2" s="430"/>
      <c r="F2" s="430"/>
      <c r="G2" s="430"/>
      <c r="H2" s="431"/>
      <c r="I2" s="178"/>
      <c r="J2" s="429" t="str">
        <f>'26-10 payroll'!A1</f>
        <v>THE OLD SPAGHETTI HOUSE</v>
      </c>
      <c r="K2" s="430"/>
      <c r="L2" s="430"/>
      <c r="M2" s="430"/>
      <c r="N2" s="430"/>
      <c r="O2" s="430"/>
      <c r="P2" s="431"/>
    </row>
    <row r="3" spans="1:22" s="179" customFormat="1">
      <c r="A3" s="170"/>
      <c r="B3" s="432" t="str">
        <f>'26-10 payroll'!D2</f>
        <v>VALERO</v>
      </c>
      <c r="C3" s="433"/>
      <c r="D3" s="433"/>
      <c r="E3" s="433"/>
      <c r="F3" s="433"/>
      <c r="G3" s="433"/>
      <c r="H3" s="434"/>
      <c r="I3" s="178"/>
      <c r="J3" s="432" t="str">
        <f>'26-10 payroll'!D2</f>
        <v>VALERO</v>
      </c>
      <c r="K3" s="433"/>
      <c r="L3" s="433"/>
      <c r="M3" s="433"/>
      <c r="N3" s="433"/>
      <c r="O3" s="433"/>
      <c r="P3" s="43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5" t="s">
        <v>25</v>
      </c>
      <c r="C5" s="436"/>
      <c r="D5" s="436"/>
      <c r="E5" s="436"/>
      <c r="F5" s="436"/>
      <c r="G5" s="436"/>
      <c r="H5" s="437"/>
      <c r="I5" s="178"/>
      <c r="J5" s="435" t="s">
        <v>25</v>
      </c>
      <c r="K5" s="436"/>
      <c r="L5" s="436"/>
      <c r="M5" s="436"/>
      <c r="N5" s="436"/>
      <c r="O5" s="436"/>
      <c r="P5" s="43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8" t="str">
        <f>'26-10 payroll'!B7</f>
        <v>Biarcal, Ronald Glenn</v>
      </c>
      <c r="E7" s="438"/>
      <c r="F7" s="438"/>
      <c r="G7" s="55"/>
      <c r="H7" s="194"/>
      <c r="I7" s="195"/>
      <c r="J7" s="192" t="s">
        <v>26</v>
      </c>
      <c r="K7" s="193" t="s">
        <v>27</v>
      </c>
      <c r="L7" s="438" t="str">
        <f>'26-10 payroll'!B8</f>
        <v>Sanchez, Angelo</v>
      </c>
      <c r="M7" s="438"/>
      <c r="N7" s="438"/>
      <c r="O7" s="9"/>
      <c r="P7" s="194"/>
    </row>
    <row r="8" spans="1:22">
      <c r="B8" s="192" t="s">
        <v>28</v>
      </c>
      <c r="C8" s="193" t="s">
        <v>27</v>
      </c>
      <c r="D8" s="439">
        <f>'26-10 payroll'!E7</f>
        <v>502</v>
      </c>
      <c r="E8" s="439"/>
      <c r="F8" s="439"/>
      <c r="G8" s="55"/>
      <c r="H8" s="196"/>
      <c r="I8" s="195"/>
      <c r="J8" s="192" t="s">
        <v>28</v>
      </c>
      <c r="K8" s="193" t="s">
        <v>27</v>
      </c>
      <c r="L8" s="439">
        <f>'26-10 payroll'!E8</f>
        <v>502</v>
      </c>
      <c r="M8" s="439"/>
      <c r="N8" s="439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0" t="str">
        <f>'26-10 payroll'!D3</f>
        <v>August 26-Sept 10,2018</v>
      </c>
      <c r="E9" s="440"/>
      <c r="F9" s="440"/>
      <c r="G9" s="55"/>
      <c r="H9" s="194"/>
      <c r="I9" s="195"/>
      <c r="J9" s="192" t="s">
        <v>29</v>
      </c>
      <c r="K9" s="193" t="s">
        <v>27</v>
      </c>
      <c r="L9" s="440" t="str">
        <f>'26-10 payroll'!D3</f>
        <v>August 26-Sept 10,2018</v>
      </c>
      <c r="M9" s="440"/>
      <c r="N9" s="44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1052.825</v>
      </c>
      <c r="G17" s="55"/>
      <c r="H17" s="56">
        <f>SUM(F13:F17)</f>
        <v>1172.825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531.375</v>
      </c>
      <c r="O17" s="9"/>
      <c r="P17" s="10">
        <f>SUM(N13:N17)</f>
        <v>651.375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20.080000000000002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-2586.84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-1345.91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5111.9849999999997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5831.4650000000001</v>
      </c>
      <c r="R28" s="215"/>
      <c r="T28" s="216">
        <f>+H28-'26-10 payroll'!S35</f>
        <v>-1387.5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29" t="str">
        <f>'26-10 payroll'!A1</f>
        <v>THE OLD SPAGHETTI HOUSE</v>
      </c>
      <c r="C35" s="430"/>
      <c r="D35" s="430"/>
      <c r="E35" s="430"/>
      <c r="F35" s="430"/>
      <c r="G35" s="430"/>
      <c r="H35" s="431"/>
      <c r="I35" s="178"/>
      <c r="J35" s="429" t="str">
        <f>'26-10 payroll'!A1</f>
        <v>THE OLD SPAGHETTI HOUSE</v>
      </c>
      <c r="K35" s="430"/>
      <c r="L35" s="430"/>
      <c r="M35" s="430"/>
      <c r="N35" s="430"/>
      <c r="O35" s="430"/>
      <c r="P35" s="431"/>
    </row>
    <row r="36" spans="2:17">
      <c r="B36" s="432" t="str">
        <f>'26-10 payroll'!D2</f>
        <v>VALERO</v>
      </c>
      <c r="C36" s="433"/>
      <c r="D36" s="433"/>
      <c r="E36" s="433"/>
      <c r="F36" s="433"/>
      <c r="G36" s="433"/>
      <c r="H36" s="434"/>
      <c r="I36" s="178"/>
      <c r="J36" s="432" t="str">
        <f>'26-10 payroll'!D2</f>
        <v>VALERO</v>
      </c>
      <c r="K36" s="433"/>
      <c r="L36" s="433"/>
      <c r="M36" s="433"/>
      <c r="N36" s="433"/>
      <c r="O36" s="433"/>
      <c r="P36" s="43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5" t="s">
        <v>25</v>
      </c>
      <c r="C38" s="436"/>
      <c r="D38" s="436"/>
      <c r="E38" s="436"/>
      <c r="F38" s="436"/>
      <c r="G38" s="436"/>
      <c r="H38" s="437"/>
      <c r="I38" s="178"/>
      <c r="J38" s="435" t="s">
        <v>25</v>
      </c>
      <c r="K38" s="436"/>
      <c r="L38" s="436"/>
      <c r="M38" s="436"/>
      <c r="N38" s="436"/>
      <c r="O38" s="436"/>
      <c r="P38" s="43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8" t="str">
        <f>'26-10 payroll'!B24</f>
        <v>Dino, Joyce</v>
      </c>
      <c r="E40" s="438"/>
      <c r="F40" s="438"/>
      <c r="G40" s="55"/>
      <c r="H40" s="194"/>
      <c r="I40" s="195"/>
      <c r="J40" s="192" t="s">
        <v>26</v>
      </c>
      <c r="K40" s="193" t="s">
        <v>27</v>
      </c>
      <c r="L40" s="441" t="str">
        <f>'26-10 payroll'!B10</f>
        <v xml:space="preserve">Sosa, Anna Marie </v>
      </c>
      <c r="M40" s="438"/>
      <c r="N40" s="438"/>
      <c r="O40" s="9"/>
      <c r="P40" s="194"/>
    </row>
    <row r="41" spans="2:17">
      <c r="B41" s="192" t="s">
        <v>28</v>
      </c>
      <c r="C41" s="193" t="s">
        <v>27</v>
      </c>
      <c r="D41" s="439">
        <f>'26-10 payroll'!E9</f>
        <v>790.23076923076928</v>
      </c>
      <c r="E41" s="439"/>
      <c r="F41" s="439"/>
      <c r="G41" s="55"/>
      <c r="H41" s="196"/>
      <c r="I41" s="195"/>
      <c r="J41" s="192" t="s">
        <v>28</v>
      </c>
      <c r="K41" s="193" t="s">
        <v>27</v>
      </c>
      <c r="L41" s="439">
        <f>'26-10 payroll'!E10</f>
        <v>502</v>
      </c>
      <c r="M41" s="439"/>
      <c r="N41" s="439"/>
      <c r="O41" s="9"/>
      <c r="P41" s="196"/>
    </row>
    <row r="42" spans="2:17">
      <c r="B42" s="192" t="s">
        <v>29</v>
      </c>
      <c r="C42" s="193" t="s">
        <v>27</v>
      </c>
      <c r="D42" s="440" t="str">
        <f>'26-10 payroll'!D3</f>
        <v>August 26-Sept 10,2018</v>
      </c>
      <c r="E42" s="440"/>
      <c r="F42" s="440"/>
      <c r="G42" s="55"/>
      <c r="H42" s="194"/>
      <c r="I42" s="195"/>
      <c r="J42" s="192" t="s">
        <v>29</v>
      </c>
      <c r="K42" s="193" t="s">
        <v>27</v>
      </c>
      <c r="L42" s="440" t="str">
        <f>'26-10 payroll'!D3</f>
        <v>August 26-Sept 10,2018</v>
      </c>
      <c r="M42" s="440"/>
      <c r="N42" s="440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1259.8778846153846</v>
      </c>
      <c r="G50" s="55"/>
      <c r="H50" s="56">
        <f>SUM(F46:F50)</f>
        <v>1369.8778846153846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978.55</v>
      </c>
      <c r="O50" s="9"/>
      <c r="P50" s="10">
        <f>SUM(N46:N50)</f>
        <v>1088.55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1319.6853846153847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502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-4899.9653846153851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-3306.335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6742.9124999999985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4308.2150000000001</v>
      </c>
      <c r="Q61" s="174"/>
      <c r="T61" s="216">
        <f>+H61-'26-10 payroll'!S37</f>
        <v>-1651.3900000000031</v>
      </c>
      <c r="V61" s="237">
        <f>+P61-'26-10 payroll'!S38</f>
        <v>-1537.335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29" t="str">
        <f>'26-10 payroll'!A1</f>
        <v>THE OLD SPAGHETTI HOUSE</v>
      </c>
      <c r="C68" s="430"/>
      <c r="D68" s="430"/>
      <c r="E68" s="430"/>
      <c r="F68" s="430"/>
      <c r="G68" s="430"/>
      <c r="H68" s="431"/>
      <c r="I68" s="178"/>
      <c r="J68" s="429" t="str">
        <f>'26-10 payroll'!A1</f>
        <v>THE OLD SPAGHETTI HOUSE</v>
      </c>
      <c r="K68" s="430"/>
      <c r="L68" s="430"/>
      <c r="M68" s="430"/>
      <c r="N68" s="430"/>
      <c r="O68" s="430"/>
      <c r="P68" s="431"/>
    </row>
    <row r="69" spans="2:17">
      <c r="B69" s="432" t="str">
        <f>'26-10 payroll'!D2</f>
        <v>VALERO</v>
      </c>
      <c r="C69" s="433"/>
      <c r="D69" s="433"/>
      <c r="E69" s="433"/>
      <c r="F69" s="433"/>
      <c r="G69" s="433"/>
      <c r="H69" s="434"/>
      <c r="I69" s="178"/>
      <c r="J69" s="432" t="str">
        <f>'26-10 payroll'!D2</f>
        <v>VALERO</v>
      </c>
      <c r="K69" s="433"/>
      <c r="L69" s="433"/>
      <c r="M69" s="433"/>
      <c r="N69" s="433"/>
      <c r="O69" s="433"/>
      <c r="P69" s="43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5" t="s">
        <v>25</v>
      </c>
      <c r="C71" s="436"/>
      <c r="D71" s="436"/>
      <c r="E71" s="436"/>
      <c r="F71" s="436"/>
      <c r="G71" s="436"/>
      <c r="H71" s="437"/>
      <c r="I71" s="178"/>
      <c r="J71" s="435" t="s">
        <v>25</v>
      </c>
      <c r="K71" s="436"/>
      <c r="L71" s="436"/>
      <c r="M71" s="436"/>
      <c r="N71" s="436"/>
      <c r="O71" s="436"/>
      <c r="P71" s="43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1" t="str">
        <f>'26-10 payroll'!B11</f>
        <v>Briones, Christian Joy</v>
      </c>
      <c r="E73" s="438"/>
      <c r="F73" s="438"/>
      <c r="G73" s="55"/>
      <c r="H73" s="194"/>
      <c r="I73" s="195"/>
      <c r="J73" s="192" t="s">
        <v>26</v>
      </c>
      <c r="K73" s="193" t="s">
        <v>27</v>
      </c>
      <c r="L73" s="441" t="str">
        <f>'26-10 payroll'!B12</f>
        <v>Cahilig,Benzen</v>
      </c>
      <c r="M73" s="438"/>
      <c r="N73" s="438"/>
      <c r="O73" s="9"/>
      <c r="P73" s="194"/>
    </row>
    <row r="74" spans="2:17">
      <c r="B74" s="192" t="s">
        <v>28</v>
      </c>
      <c r="C74" s="193" t="s">
        <v>27</v>
      </c>
      <c r="D74" s="439">
        <f>'26-10 payroll'!E11</f>
        <v>502</v>
      </c>
      <c r="E74" s="439"/>
      <c r="F74" s="439"/>
      <c r="G74" s="55"/>
      <c r="H74" s="196"/>
      <c r="I74" s="195"/>
      <c r="J74" s="192" t="s">
        <v>28</v>
      </c>
      <c r="K74" s="193" t="s">
        <v>27</v>
      </c>
      <c r="L74" s="439">
        <f>'26-10 payroll'!E12</f>
        <v>502</v>
      </c>
      <c r="M74" s="439"/>
      <c r="N74" s="439"/>
      <c r="O74" s="9"/>
      <c r="P74" s="196"/>
    </row>
    <row r="75" spans="2:17">
      <c r="B75" s="192" t="s">
        <v>29</v>
      </c>
      <c r="C75" s="193" t="s">
        <v>27</v>
      </c>
      <c r="D75" s="440" t="str">
        <f>'26-10 payroll'!D3</f>
        <v>August 26-Sept 10,2018</v>
      </c>
      <c r="E75" s="440"/>
      <c r="F75" s="440"/>
      <c r="G75" s="55"/>
      <c r="H75" s="194"/>
      <c r="I75" s="195"/>
      <c r="J75" s="192" t="s">
        <v>29</v>
      </c>
      <c r="K75" s="193" t="s">
        <v>27</v>
      </c>
      <c r="L75" s="440" t="str">
        <f>'26-10 payroll'!D3</f>
        <v>August 26-Sept 10,2018</v>
      </c>
      <c r="M75" s="440"/>
      <c r="N75" s="44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5522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5522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502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502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31.375</v>
      </c>
      <c r="G83" s="55"/>
      <c r="H83" s="56">
        <f>SUM(F79:F83)</f>
        <v>653.375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31.375</v>
      </c>
      <c r="O83" s="9"/>
      <c r="P83" s="10">
        <f>SUM(N79:N83)</f>
        <v>653.375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69.652500000000003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-1156.3525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-1040.58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5019.0225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5134.7950000000001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29" t="str">
        <f>'26-10 payroll'!A1</f>
        <v>THE OLD SPAGHETTI HOUSE</v>
      </c>
      <c r="C101" s="430"/>
      <c r="D101" s="430"/>
      <c r="E101" s="430"/>
      <c r="F101" s="430"/>
      <c r="G101" s="430"/>
      <c r="H101" s="431"/>
      <c r="I101" s="178"/>
      <c r="J101" s="429" t="str">
        <f>'26-10 payroll'!A1</f>
        <v>THE OLD SPAGHETTI HOUSE</v>
      </c>
      <c r="K101" s="430"/>
      <c r="L101" s="430"/>
      <c r="M101" s="430"/>
      <c r="N101" s="430"/>
      <c r="O101" s="430"/>
      <c r="P101" s="431"/>
    </row>
    <row r="102" spans="2:17">
      <c r="B102" s="432" t="str">
        <f>'26-10 payroll'!D2</f>
        <v>VALERO</v>
      </c>
      <c r="C102" s="433"/>
      <c r="D102" s="433"/>
      <c r="E102" s="433"/>
      <c r="F102" s="433"/>
      <c r="G102" s="433"/>
      <c r="H102" s="434"/>
      <c r="I102" s="178"/>
      <c r="J102" s="432" t="str">
        <f>'26-10 payroll'!D2</f>
        <v>VALERO</v>
      </c>
      <c r="K102" s="433"/>
      <c r="L102" s="433"/>
      <c r="M102" s="433"/>
      <c r="N102" s="433"/>
      <c r="O102" s="433"/>
      <c r="P102" s="43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5" t="s">
        <v>25</v>
      </c>
      <c r="C104" s="436"/>
      <c r="D104" s="436"/>
      <c r="E104" s="436"/>
      <c r="F104" s="436"/>
      <c r="G104" s="436"/>
      <c r="H104" s="437"/>
      <c r="I104" s="178"/>
      <c r="J104" s="435" t="s">
        <v>25</v>
      </c>
      <c r="K104" s="436"/>
      <c r="L104" s="436"/>
      <c r="M104" s="436"/>
      <c r="N104" s="436"/>
      <c r="O104" s="436"/>
      <c r="P104" s="43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1" t="str">
        <f>'26-10 payroll'!B13</f>
        <v>Pantoja,Nancy</v>
      </c>
      <c r="E106" s="438"/>
      <c r="F106" s="438"/>
      <c r="G106" s="55"/>
      <c r="H106" s="194"/>
      <c r="I106" s="195"/>
      <c r="J106" s="192" t="s">
        <v>26</v>
      </c>
      <c r="K106" s="193" t="s">
        <v>27</v>
      </c>
      <c r="L106" s="441">
        <f>'26-10 payroll'!B29</f>
        <v>0</v>
      </c>
      <c r="M106" s="438"/>
      <c r="N106" s="438"/>
      <c r="O106" s="9"/>
      <c r="P106" s="194"/>
    </row>
    <row r="107" spans="2:17">
      <c r="B107" s="192" t="s">
        <v>28</v>
      </c>
      <c r="C107" s="193" t="s">
        <v>27</v>
      </c>
      <c r="D107" s="439">
        <f>'26-10 payroll'!E13</f>
        <v>502</v>
      </c>
      <c r="E107" s="439"/>
      <c r="F107" s="439"/>
      <c r="G107" s="55"/>
      <c r="H107" s="196"/>
      <c r="I107" s="195"/>
      <c r="J107" s="192" t="s">
        <v>28</v>
      </c>
      <c r="K107" s="193" t="s">
        <v>27</v>
      </c>
      <c r="L107" s="439">
        <f>'26-10 payroll'!E14</f>
        <v>0</v>
      </c>
      <c r="M107" s="439"/>
      <c r="N107" s="439"/>
      <c r="O107" s="9"/>
      <c r="P107" s="196"/>
    </row>
    <row r="108" spans="2:17">
      <c r="B108" s="192" t="s">
        <v>29</v>
      </c>
      <c r="C108" s="193" t="s">
        <v>27</v>
      </c>
      <c r="D108" s="440" t="str">
        <f>'26-10 payroll'!D3</f>
        <v>August 26-Sept 10,2018</v>
      </c>
      <c r="E108" s="440"/>
      <c r="F108" s="440"/>
      <c r="G108" s="55"/>
      <c r="H108" s="194"/>
      <c r="I108" s="195"/>
      <c r="J108" s="192" t="s">
        <v>29</v>
      </c>
      <c r="K108" s="193" t="s">
        <v>27</v>
      </c>
      <c r="L108" s="440" t="str">
        <f>'26-10 payroll'!D3</f>
        <v>August 26-Sept 10,2018</v>
      </c>
      <c r="M108" s="440"/>
      <c r="N108" s="44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6024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502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62.75</v>
      </c>
      <c r="G116" s="55"/>
      <c r="H116" s="56">
        <f>SUM(F112:F116)</f>
        <v>694.75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445.5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191.38749999999999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-1244.4875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5474.2624999999998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-445.5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29" t="str">
        <f>'26-10 payroll'!A1</f>
        <v>THE OLD SPAGHETTI HOUSE</v>
      </c>
      <c r="C134" s="430"/>
      <c r="D134" s="430"/>
      <c r="E134" s="430"/>
      <c r="F134" s="430"/>
      <c r="G134" s="430"/>
      <c r="H134" s="431"/>
      <c r="I134" s="178"/>
      <c r="J134" s="429" t="str">
        <f>'26-10 payroll'!A1</f>
        <v>THE OLD SPAGHETTI HOUSE</v>
      </c>
      <c r="K134" s="430"/>
      <c r="L134" s="430"/>
      <c r="M134" s="430"/>
      <c r="N134" s="430"/>
      <c r="O134" s="430"/>
      <c r="P134" s="431"/>
    </row>
    <row r="135" spans="2:17">
      <c r="B135" s="432" t="str">
        <f>'26-10 payroll'!D2</f>
        <v>VALERO</v>
      </c>
      <c r="C135" s="433"/>
      <c r="D135" s="433"/>
      <c r="E135" s="433"/>
      <c r="F135" s="433"/>
      <c r="G135" s="433"/>
      <c r="H135" s="434"/>
      <c r="I135" s="178"/>
      <c r="J135" s="432" t="str">
        <f>'26-10 payroll'!D2</f>
        <v>VALERO</v>
      </c>
      <c r="K135" s="433"/>
      <c r="L135" s="433"/>
      <c r="M135" s="433"/>
      <c r="N135" s="433"/>
      <c r="O135" s="433"/>
      <c r="P135" s="43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5" t="s">
        <v>25</v>
      </c>
      <c r="C137" s="436"/>
      <c r="D137" s="436"/>
      <c r="E137" s="436"/>
      <c r="F137" s="436"/>
      <c r="G137" s="436"/>
      <c r="H137" s="437"/>
      <c r="I137" s="178"/>
      <c r="J137" s="435" t="s">
        <v>25</v>
      </c>
      <c r="K137" s="436"/>
      <c r="L137" s="436"/>
      <c r="M137" s="436"/>
      <c r="N137" s="436"/>
      <c r="O137" s="436"/>
      <c r="P137" s="43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1">
        <f>'26-10 payroll'!B15</f>
        <v>0</v>
      </c>
      <c r="E139" s="438"/>
      <c r="F139" s="438"/>
      <c r="G139" s="55"/>
      <c r="H139" s="194"/>
      <c r="I139" s="195"/>
      <c r="J139" s="192" t="s">
        <v>26</v>
      </c>
      <c r="K139" s="193" t="s">
        <v>27</v>
      </c>
      <c r="L139" s="438">
        <f>'26-10 payroll'!C112</f>
        <v>0</v>
      </c>
      <c r="M139" s="438"/>
      <c r="N139" s="438"/>
      <c r="O139" s="9"/>
      <c r="P139" s="194"/>
    </row>
    <row r="140" spans="2:17">
      <c r="B140" s="192" t="s">
        <v>28</v>
      </c>
      <c r="C140" s="193" t="s">
        <v>27</v>
      </c>
      <c r="D140" s="439">
        <f>'26-10 payroll'!E15</f>
        <v>0</v>
      </c>
      <c r="E140" s="439"/>
      <c r="F140" s="439"/>
      <c r="G140" s="55"/>
      <c r="H140" s="196"/>
      <c r="I140" s="195"/>
      <c r="J140" s="192" t="s">
        <v>28</v>
      </c>
      <c r="K140" s="193" t="s">
        <v>27</v>
      </c>
      <c r="L140" s="439">
        <f>'26-10 payroll'!E112</f>
        <v>0</v>
      </c>
      <c r="M140" s="439"/>
      <c r="N140" s="439"/>
      <c r="O140" s="9"/>
      <c r="P140" s="196"/>
    </row>
    <row r="141" spans="2:17">
      <c r="B141" s="192" t="s">
        <v>29</v>
      </c>
      <c r="C141" s="193" t="s">
        <v>27</v>
      </c>
      <c r="D141" s="440" t="str">
        <f>'26-10 payroll'!D3</f>
        <v>August 26-Sept 10,2018</v>
      </c>
      <c r="E141" s="440"/>
      <c r="F141" s="440"/>
      <c r="G141" s="55"/>
      <c r="H141" s="194"/>
      <c r="I141" s="195"/>
      <c r="J141" s="192" t="s">
        <v>29</v>
      </c>
      <c r="K141" s="193" t="s">
        <v>27</v>
      </c>
      <c r="L141" s="440">
        <f>'26-10 payroll'!D105</f>
        <v>0</v>
      </c>
      <c r="M141" s="440"/>
      <c r="N141" s="44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2"/>
      <c r="B5" s="384" t="s">
        <v>0</v>
      </c>
      <c r="C5" s="386" t="s">
        <v>1</v>
      </c>
      <c r="D5" s="387" t="s">
        <v>13</v>
      </c>
      <c r="E5" s="386" t="s">
        <v>14</v>
      </c>
      <c r="F5" s="387" t="s">
        <v>15</v>
      </c>
      <c r="G5" s="386" t="s">
        <v>16</v>
      </c>
      <c r="H5" s="387" t="s">
        <v>44</v>
      </c>
      <c r="I5" s="420" t="s">
        <v>118</v>
      </c>
      <c r="J5" s="426" t="s">
        <v>91</v>
      </c>
      <c r="K5" s="427"/>
      <c r="L5" s="428"/>
      <c r="M5" s="409" t="s">
        <v>108</v>
      </c>
      <c r="N5" s="410"/>
      <c r="O5" s="410"/>
      <c r="P5" s="386" t="s">
        <v>2</v>
      </c>
      <c r="Q5" s="387" t="s">
        <v>17</v>
      </c>
      <c r="R5" s="386" t="s">
        <v>2</v>
      </c>
      <c r="S5" s="387" t="s">
        <v>18</v>
      </c>
      <c r="T5" s="386" t="s">
        <v>2</v>
      </c>
      <c r="U5" s="387" t="s">
        <v>19</v>
      </c>
      <c r="V5" s="386" t="s">
        <v>2</v>
      </c>
      <c r="W5" s="387" t="s">
        <v>20</v>
      </c>
      <c r="X5" s="414" t="s">
        <v>3</v>
      </c>
    </row>
    <row r="6" spans="1:26" s="138" customFormat="1" ht="27" customHeight="1" thickBot="1">
      <c r="A6" s="383"/>
      <c r="B6" s="385"/>
      <c r="C6" s="385"/>
      <c r="D6" s="388"/>
      <c r="E6" s="389"/>
      <c r="F6" s="388"/>
      <c r="G6" s="389"/>
      <c r="H6" s="413"/>
      <c r="I6" s="42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5"/>
      <c r="Q6" s="388"/>
      <c r="R6" s="385"/>
      <c r="S6" s="388"/>
      <c r="T6" s="385"/>
      <c r="U6" s="388"/>
      <c r="V6" s="385"/>
      <c r="W6" s="413"/>
      <c r="X6" s="415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0"/>
      <c r="B20" s="392" t="s">
        <v>0</v>
      </c>
      <c r="C20" s="394" t="s">
        <v>1</v>
      </c>
      <c r="D20" s="380" t="s">
        <v>3</v>
      </c>
      <c r="E20" s="416" t="s">
        <v>22</v>
      </c>
      <c r="F20" s="422" t="s">
        <v>2</v>
      </c>
      <c r="G20" s="394" t="s">
        <v>21</v>
      </c>
      <c r="H20" s="380" t="s">
        <v>2</v>
      </c>
      <c r="I20" s="418" t="s">
        <v>126</v>
      </c>
      <c r="J20" s="405" t="s">
        <v>4</v>
      </c>
      <c r="K20" s="407" t="s">
        <v>23</v>
      </c>
      <c r="L20" s="380" t="s">
        <v>5</v>
      </c>
      <c r="M20" s="380" t="s">
        <v>6</v>
      </c>
      <c r="N20" s="380" t="s">
        <v>24</v>
      </c>
      <c r="O20" s="380" t="s">
        <v>7</v>
      </c>
      <c r="P20" s="400" t="s">
        <v>3</v>
      </c>
      <c r="Q20" s="244"/>
      <c r="R20" s="152" t="s">
        <v>103</v>
      </c>
      <c r="S20" s="244"/>
    </row>
    <row r="21" spans="1:24" s="138" customFormat="1" ht="15" customHeight="1" thickBot="1">
      <c r="A21" s="391"/>
      <c r="B21" s="393"/>
      <c r="C21" s="395"/>
      <c r="D21" s="412"/>
      <c r="E21" s="417"/>
      <c r="F21" s="423"/>
      <c r="G21" s="442"/>
      <c r="H21" s="396"/>
      <c r="I21" s="419"/>
      <c r="J21" s="406"/>
      <c r="K21" s="408"/>
      <c r="L21" s="396"/>
      <c r="M21" s="396"/>
      <c r="N21" s="412"/>
      <c r="O21" s="396"/>
      <c r="P21" s="401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0"/>
      <c r="B54" s="392" t="s">
        <v>0</v>
      </c>
      <c r="C54" s="394" t="s">
        <v>1</v>
      </c>
      <c r="D54" s="380" t="s">
        <v>3</v>
      </c>
      <c r="E54" s="380" t="s">
        <v>45</v>
      </c>
      <c r="F54" s="378" t="s">
        <v>151</v>
      </c>
      <c r="G54" s="398" t="s">
        <v>112</v>
      </c>
      <c r="H54" s="399"/>
      <c r="I54" s="403"/>
      <c r="J54" s="400" t="s">
        <v>3</v>
      </c>
      <c r="K54" s="402" t="s">
        <v>114</v>
      </c>
      <c r="L54" s="397" t="s">
        <v>115</v>
      </c>
      <c r="M54" s="397" t="s">
        <v>116</v>
      </c>
      <c r="O54" s="411" t="s">
        <v>102</v>
      </c>
    </row>
    <row r="55" spans="1:15" ht="13.8" thickBot="1">
      <c r="A55" s="391"/>
      <c r="B55" s="393"/>
      <c r="C55" s="395"/>
      <c r="D55" s="412"/>
      <c r="E55" s="381"/>
      <c r="F55" s="379"/>
      <c r="G55" s="245" t="s">
        <v>113</v>
      </c>
      <c r="H55" s="246" t="s">
        <v>148</v>
      </c>
      <c r="I55" s="404"/>
      <c r="J55" s="401"/>
      <c r="K55" s="402"/>
      <c r="L55" s="397"/>
      <c r="M55" s="397"/>
      <c r="O55" s="411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29" t="str">
        <f>'11-25 payroll'!A1</f>
        <v>THE OLD SPAGHETTI HOUSE</v>
      </c>
      <c r="C2" s="430"/>
      <c r="D2" s="430"/>
      <c r="E2" s="430"/>
      <c r="F2" s="430"/>
      <c r="G2" s="430"/>
      <c r="H2" s="431"/>
      <c r="I2" s="178"/>
      <c r="J2" s="429" t="str">
        <f>'11-25 payroll'!A1</f>
        <v>THE OLD SPAGHETTI HOUSE</v>
      </c>
      <c r="K2" s="430"/>
      <c r="L2" s="430"/>
      <c r="M2" s="430"/>
      <c r="N2" s="430"/>
      <c r="O2" s="430"/>
      <c r="P2" s="431"/>
    </row>
    <row r="3" spans="1:22" s="179" customFormat="1">
      <c r="A3" s="170"/>
      <c r="B3" s="432" t="str">
        <f>'11-25 payroll'!D2</f>
        <v>VALERO</v>
      </c>
      <c r="C3" s="433"/>
      <c r="D3" s="433"/>
      <c r="E3" s="433"/>
      <c r="F3" s="433"/>
      <c r="G3" s="433"/>
      <c r="H3" s="434"/>
      <c r="I3" s="178"/>
      <c r="J3" s="432" t="str">
        <f>'11-25 payroll'!D2</f>
        <v>VALERO</v>
      </c>
      <c r="K3" s="433"/>
      <c r="L3" s="433"/>
      <c r="M3" s="433"/>
      <c r="N3" s="433"/>
      <c r="O3" s="433"/>
      <c r="P3" s="43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5" t="s">
        <v>25</v>
      </c>
      <c r="C5" s="436"/>
      <c r="D5" s="436"/>
      <c r="E5" s="436"/>
      <c r="F5" s="436"/>
      <c r="G5" s="436"/>
      <c r="H5" s="437"/>
      <c r="I5" s="178"/>
      <c r="J5" s="435" t="s">
        <v>25</v>
      </c>
      <c r="K5" s="436"/>
      <c r="L5" s="436"/>
      <c r="M5" s="436"/>
      <c r="N5" s="436"/>
      <c r="O5" s="436"/>
      <c r="P5" s="43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8" t="str">
        <f>'11-25 payroll'!B7</f>
        <v>Biarcal, Ronald Glenn</v>
      </c>
      <c r="E7" s="438"/>
      <c r="F7" s="438"/>
      <c r="G7" s="55"/>
      <c r="H7" s="194"/>
      <c r="I7" s="195"/>
      <c r="J7" s="192" t="s">
        <v>26</v>
      </c>
      <c r="K7" s="193" t="s">
        <v>27</v>
      </c>
      <c r="L7" s="438" t="str">
        <f>'11-25 payroll'!B8</f>
        <v>Sanchez, Angelo</v>
      </c>
      <c r="M7" s="438"/>
      <c r="N7" s="438"/>
      <c r="O7" s="9"/>
      <c r="P7" s="194"/>
    </row>
    <row r="8" spans="1:22">
      <c r="B8" s="192" t="s">
        <v>28</v>
      </c>
      <c r="C8" s="193" t="s">
        <v>27</v>
      </c>
      <c r="D8" s="439">
        <f>'11-25 payroll'!E7</f>
        <v>502</v>
      </c>
      <c r="E8" s="439"/>
      <c r="F8" s="439"/>
      <c r="G8" s="55"/>
      <c r="H8" s="235"/>
      <c r="I8" s="195"/>
      <c r="J8" s="192" t="s">
        <v>28</v>
      </c>
      <c r="K8" s="193" t="s">
        <v>27</v>
      </c>
      <c r="L8" s="439">
        <f>'11-25 payroll'!E8</f>
        <v>502</v>
      </c>
      <c r="M8" s="439"/>
      <c r="N8" s="439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0" t="str">
        <f>'11-25 payroll'!D3</f>
        <v>August 11-25</v>
      </c>
      <c r="E9" s="440"/>
      <c r="F9" s="440"/>
      <c r="G9" s="55"/>
      <c r="H9" s="194"/>
      <c r="I9" s="195"/>
      <c r="J9" s="192" t="s">
        <v>29</v>
      </c>
      <c r="K9" s="193" t="s">
        <v>27</v>
      </c>
      <c r="L9" s="440" t="str">
        <f>'11-25 payroll'!D3</f>
        <v>August 11-25</v>
      </c>
      <c r="M9" s="440"/>
      <c r="N9" s="44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29" t="str">
        <f>'11-25 payroll'!A1</f>
        <v>THE OLD SPAGHETTI HOUSE</v>
      </c>
      <c r="C35" s="430"/>
      <c r="D35" s="430"/>
      <c r="E35" s="430"/>
      <c r="F35" s="430"/>
      <c r="G35" s="430"/>
      <c r="H35" s="431"/>
      <c r="I35" s="178"/>
      <c r="J35" s="429" t="str">
        <f>'11-25 payroll'!A1</f>
        <v>THE OLD SPAGHETTI HOUSE</v>
      </c>
      <c r="K35" s="430"/>
      <c r="L35" s="430"/>
      <c r="M35" s="430"/>
      <c r="N35" s="430"/>
      <c r="O35" s="430"/>
      <c r="P35" s="431"/>
    </row>
    <row r="36" spans="2:17">
      <c r="B36" s="432" t="str">
        <f>'11-25 payroll'!D2</f>
        <v>VALERO</v>
      </c>
      <c r="C36" s="433"/>
      <c r="D36" s="433"/>
      <c r="E36" s="433"/>
      <c r="F36" s="433"/>
      <c r="G36" s="433"/>
      <c r="H36" s="434"/>
      <c r="I36" s="178"/>
      <c r="J36" s="432" t="str">
        <f>'11-25 payroll'!D2</f>
        <v>VALERO</v>
      </c>
      <c r="K36" s="433"/>
      <c r="L36" s="433"/>
      <c r="M36" s="433"/>
      <c r="N36" s="433"/>
      <c r="O36" s="433"/>
      <c r="P36" s="43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5" t="s">
        <v>25</v>
      </c>
      <c r="C38" s="436"/>
      <c r="D38" s="436"/>
      <c r="E38" s="436"/>
      <c r="F38" s="436"/>
      <c r="G38" s="436"/>
      <c r="H38" s="437"/>
      <c r="I38" s="178"/>
      <c r="J38" s="435" t="s">
        <v>25</v>
      </c>
      <c r="K38" s="436"/>
      <c r="L38" s="436"/>
      <c r="M38" s="436"/>
      <c r="N38" s="436"/>
      <c r="O38" s="436"/>
      <c r="P38" s="43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8" t="str">
        <f>'11-25 payroll'!B24</f>
        <v>Dino, Joyce</v>
      </c>
      <c r="E40" s="438"/>
      <c r="F40" s="438"/>
      <c r="G40" s="55"/>
      <c r="H40" s="194"/>
      <c r="I40" s="195"/>
      <c r="J40" s="192" t="s">
        <v>26</v>
      </c>
      <c r="K40" s="193" t="s">
        <v>27</v>
      </c>
      <c r="L40" s="441" t="str">
        <f>'11-25 payroll'!B10</f>
        <v xml:space="preserve">Sosa, Anna Marie </v>
      </c>
      <c r="M40" s="438"/>
      <c r="N40" s="438"/>
      <c r="O40" s="9"/>
      <c r="P40" s="194"/>
    </row>
    <row r="41" spans="2:17">
      <c r="B41" s="192" t="s">
        <v>28</v>
      </c>
      <c r="C41" s="193" t="s">
        <v>27</v>
      </c>
      <c r="D41" s="439">
        <f>'11-25 payroll'!E9</f>
        <v>790.23076923076928</v>
      </c>
      <c r="E41" s="439"/>
      <c r="F41" s="439"/>
      <c r="G41" s="55"/>
      <c r="H41" s="235"/>
      <c r="I41" s="195"/>
      <c r="J41" s="192" t="s">
        <v>28</v>
      </c>
      <c r="K41" s="193" t="s">
        <v>27</v>
      </c>
      <c r="L41" s="439">
        <f>'11-25 payroll'!E10</f>
        <v>502</v>
      </c>
      <c r="M41" s="439"/>
      <c r="N41" s="439"/>
      <c r="O41" s="9"/>
      <c r="P41" s="235"/>
    </row>
    <row r="42" spans="2:17">
      <c r="B42" s="192" t="s">
        <v>29</v>
      </c>
      <c r="C42" s="193" t="s">
        <v>27</v>
      </c>
      <c r="D42" s="440" t="str">
        <f>'11-25 payroll'!D3</f>
        <v>August 11-25</v>
      </c>
      <c r="E42" s="440"/>
      <c r="F42" s="440"/>
      <c r="G42" s="55"/>
      <c r="H42" s="194"/>
      <c r="I42" s="195"/>
      <c r="J42" s="192" t="s">
        <v>29</v>
      </c>
      <c r="K42" s="193" t="s">
        <v>27</v>
      </c>
      <c r="L42" s="440" t="str">
        <f>'11-25 payroll'!D3</f>
        <v>August 11-25</v>
      </c>
      <c r="M42" s="440"/>
      <c r="N42" s="440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29" t="str">
        <f>'11-25 payroll'!A1</f>
        <v>THE OLD SPAGHETTI HOUSE</v>
      </c>
      <c r="C68" s="430"/>
      <c r="D68" s="430"/>
      <c r="E68" s="430"/>
      <c r="F68" s="430"/>
      <c r="G68" s="430"/>
      <c r="H68" s="431"/>
      <c r="I68" s="178"/>
      <c r="J68" s="429" t="str">
        <f>'11-25 payroll'!A1</f>
        <v>THE OLD SPAGHETTI HOUSE</v>
      </c>
      <c r="K68" s="430"/>
      <c r="L68" s="430"/>
      <c r="M68" s="430"/>
      <c r="N68" s="430"/>
      <c r="O68" s="430"/>
      <c r="P68" s="431"/>
    </row>
    <row r="69" spans="2:17">
      <c r="B69" s="432" t="str">
        <f>'11-25 payroll'!D2</f>
        <v>VALERO</v>
      </c>
      <c r="C69" s="433"/>
      <c r="D69" s="433"/>
      <c r="E69" s="433"/>
      <c r="F69" s="433"/>
      <c r="G69" s="433"/>
      <c r="H69" s="434"/>
      <c r="I69" s="178"/>
      <c r="J69" s="432" t="str">
        <f>'11-25 payroll'!D2</f>
        <v>VALERO</v>
      </c>
      <c r="K69" s="433"/>
      <c r="L69" s="433"/>
      <c r="M69" s="433"/>
      <c r="N69" s="433"/>
      <c r="O69" s="433"/>
      <c r="P69" s="43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5" t="s">
        <v>25</v>
      </c>
      <c r="C71" s="436"/>
      <c r="D71" s="436"/>
      <c r="E71" s="436"/>
      <c r="F71" s="436"/>
      <c r="G71" s="436"/>
      <c r="H71" s="437"/>
      <c r="I71" s="178"/>
      <c r="J71" s="435" t="s">
        <v>25</v>
      </c>
      <c r="K71" s="436"/>
      <c r="L71" s="436"/>
      <c r="M71" s="436"/>
      <c r="N71" s="436"/>
      <c r="O71" s="436"/>
      <c r="P71" s="43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1" t="str">
        <f>'11-25 payroll'!B11</f>
        <v>Briones, Christain Joy</v>
      </c>
      <c r="E73" s="438"/>
      <c r="F73" s="438"/>
      <c r="G73" s="55"/>
      <c r="H73" s="194"/>
      <c r="I73" s="195"/>
      <c r="J73" s="192" t="s">
        <v>26</v>
      </c>
      <c r="K73" s="193" t="s">
        <v>27</v>
      </c>
      <c r="L73" s="441">
        <f>'11-25 payroll'!B12</f>
        <v>0</v>
      </c>
      <c r="M73" s="438"/>
      <c r="N73" s="438"/>
      <c r="O73" s="9"/>
      <c r="P73" s="194"/>
    </row>
    <row r="74" spans="2:17">
      <c r="B74" s="192" t="s">
        <v>28</v>
      </c>
      <c r="C74" s="193" t="s">
        <v>27</v>
      </c>
      <c r="D74" s="439">
        <f>'11-25 payroll'!E11</f>
        <v>502</v>
      </c>
      <c r="E74" s="439"/>
      <c r="F74" s="439"/>
      <c r="G74" s="55"/>
      <c r="H74" s="235"/>
      <c r="I74" s="195"/>
      <c r="J74" s="192" t="s">
        <v>28</v>
      </c>
      <c r="K74" s="193" t="s">
        <v>27</v>
      </c>
      <c r="L74" s="439">
        <f>'11-25 payroll'!E12</f>
        <v>0</v>
      </c>
      <c r="M74" s="439"/>
      <c r="N74" s="439"/>
      <c r="O74" s="9"/>
      <c r="P74" s="235"/>
    </row>
    <row r="75" spans="2:17">
      <c r="B75" s="192" t="s">
        <v>29</v>
      </c>
      <c r="C75" s="193" t="s">
        <v>27</v>
      </c>
      <c r="D75" s="440" t="str">
        <f>'11-25 payroll'!D3</f>
        <v>August 11-25</v>
      </c>
      <c r="E75" s="440"/>
      <c r="F75" s="440"/>
      <c r="G75" s="55"/>
      <c r="H75" s="194"/>
      <c r="I75" s="195"/>
      <c r="J75" s="192" t="s">
        <v>29</v>
      </c>
      <c r="K75" s="193" t="s">
        <v>27</v>
      </c>
      <c r="L75" s="440" t="str">
        <f>'11-25 payroll'!D3</f>
        <v>August 11-25</v>
      </c>
      <c r="M75" s="440"/>
      <c r="N75" s="44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29" t="str">
        <f>'11-25 payroll'!A1</f>
        <v>THE OLD SPAGHETTI HOUSE</v>
      </c>
      <c r="C101" s="430"/>
      <c r="D101" s="430"/>
      <c r="E101" s="430"/>
      <c r="F101" s="430"/>
      <c r="G101" s="430"/>
      <c r="H101" s="431"/>
      <c r="I101" s="178"/>
      <c r="J101" s="429" t="str">
        <f>'11-25 payroll'!A1</f>
        <v>THE OLD SPAGHETTI HOUSE</v>
      </c>
      <c r="K101" s="430"/>
      <c r="L101" s="430"/>
      <c r="M101" s="430"/>
      <c r="N101" s="430"/>
      <c r="O101" s="430"/>
      <c r="P101" s="431"/>
    </row>
    <row r="102" spans="2:17">
      <c r="B102" s="432" t="str">
        <f>'11-25 payroll'!D2</f>
        <v>VALERO</v>
      </c>
      <c r="C102" s="433"/>
      <c r="D102" s="433"/>
      <c r="E102" s="433"/>
      <c r="F102" s="433"/>
      <c r="G102" s="433"/>
      <c r="H102" s="434"/>
      <c r="I102" s="178"/>
      <c r="J102" s="432" t="str">
        <f>'11-25 payroll'!D2</f>
        <v>VALERO</v>
      </c>
      <c r="K102" s="433"/>
      <c r="L102" s="433"/>
      <c r="M102" s="433"/>
      <c r="N102" s="433"/>
      <c r="O102" s="433"/>
      <c r="P102" s="43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5" t="s">
        <v>25</v>
      </c>
      <c r="C104" s="436"/>
      <c r="D104" s="436"/>
      <c r="E104" s="436"/>
      <c r="F104" s="436"/>
      <c r="G104" s="436"/>
      <c r="H104" s="437"/>
      <c r="I104" s="178"/>
      <c r="J104" s="435" t="s">
        <v>25</v>
      </c>
      <c r="K104" s="436"/>
      <c r="L104" s="436"/>
      <c r="M104" s="436"/>
      <c r="N104" s="436"/>
      <c r="O104" s="436"/>
      <c r="P104" s="43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1">
        <f>'11-25 payroll'!B13</f>
        <v>0</v>
      </c>
      <c r="E106" s="438"/>
      <c r="F106" s="438"/>
      <c r="G106" s="55"/>
      <c r="H106" s="194"/>
      <c r="I106" s="195"/>
      <c r="J106" s="192" t="s">
        <v>26</v>
      </c>
      <c r="K106" s="193" t="s">
        <v>27</v>
      </c>
      <c r="L106" s="441">
        <f>'11-25 payroll'!B29</f>
        <v>0</v>
      </c>
      <c r="M106" s="438"/>
      <c r="N106" s="438"/>
      <c r="O106" s="9"/>
      <c r="P106" s="194"/>
    </row>
    <row r="107" spans="2:17">
      <c r="B107" s="192" t="s">
        <v>28</v>
      </c>
      <c r="C107" s="193" t="s">
        <v>27</v>
      </c>
      <c r="D107" s="439">
        <f>'11-25 payroll'!E13</f>
        <v>0</v>
      </c>
      <c r="E107" s="439"/>
      <c r="F107" s="439"/>
      <c r="G107" s="55"/>
      <c r="H107" s="235"/>
      <c r="I107" s="195"/>
      <c r="J107" s="192" t="s">
        <v>28</v>
      </c>
      <c r="K107" s="193" t="s">
        <v>27</v>
      </c>
      <c r="L107" s="439">
        <f>'11-25 payroll'!E14</f>
        <v>0</v>
      </c>
      <c r="M107" s="439"/>
      <c r="N107" s="439"/>
      <c r="O107" s="9"/>
      <c r="P107" s="235"/>
    </row>
    <row r="108" spans="2:17">
      <c r="B108" s="192" t="s">
        <v>29</v>
      </c>
      <c r="C108" s="193" t="s">
        <v>27</v>
      </c>
      <c r="D108" s="440" t="str">
        <f>'11-25 payroll'!D3</f>
        <v>August 11-25</v>
      </c>
      <c r="E108" s="440"/>
      <c r="F108" s="440"/>
      <c r="G108" s="55"/>
      <c r="H108" s="194"/>
      <c r="I108" s="195"/>
      <c r="J108" s="192" t="s">
        <v>29</v>
      </c>
      <c r="K108" s="193" t="s">
        <v>27</v>
      </c>
      <c r="L108" s="440" t="str">
        <f>'11-25 payroll'!D3</f>
        <v>August 11-25</v>
      </c>
      <c r="M108" s="440"/>
      <c r="N108" s="44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29" t="str">
        <f>'11-25 payroll'!A1</f>
        <v>THE OLD SPAGHETTI HOUSE</v>
      </c>
      <c r="C134" s="430"/>
      <c r="D134" s="430"/>
      <c r="E134" s="430"/>
      <c r="F134" s="430"/>
      <c r="G134" s="430"/>
      <c r="H134" s="431"/>
      <c r="I134" s="178"/>
      <c r="J134" s="429" t="str">
        <f>'11-25 payroll'!A1</f>
        <v>THE OLD SPAGHETTI HOUSE</v>
      </c>
      <c r="K134" s="430"/>
      <c r="L134" s="430"/>
      <c r="M134" s="430"/>
      <c r="N134" s="430"/>
      <c r="O134" s="430"/>
      <c r="P134" s="431"/>
    </row>
    <row r="135" spans="2:17">
      <c r="B135" s="432" t="str">
        <f>'11-25 payroll'!D2</f>
        <v>VALERO</v>
      </c>
      <c r="C135" s="433"/>
      <c r="D135" s="433"/>
      <c r="E135" s="433"/>
      <c r="F135" s="433"/>
      <c r="G135" s="433"/>
      <c r="H135" s="434"/>
      <c r="I135" s="178"/>
      <c r="J135" s="432" t="str">
        <f>'11-25 payroll'!D2</f>
        <v>VALERO</v>
      </c>
      <c r="K135" s="433"/>
      <c r="L135" s="433"/>
      <c r="M135" s="433"/>
      <c r="N135" s="433"/>
      <c r="O135" s="433"/>
      <c r="P135" s="43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5" t="s">
        <v>25</v>
      </c>
      <c r="C137" s="436"/>
      <c r="D137" s="436"/>
      <c r="E137" s="436"/>
      <c r="F137" s="436"/>
      <c r="G137" s="436"/>
      <c r="H137" s="437"/>
      <c r="I137" s="178"/>
      <c r="J137" s="435" t="s">
        <v>25</v>
      </c>
      <c r="K137" s="436"/>
      <c r="L137" s="436"/>
      <c r="M137" s="436"/>
      <c r="N137" s="436"/>
      <c r="O137" s="436"/>
      <c r="P137" s="43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1">
        <f>'11-25 payroll'!B15</f>
        <v>0</v>
      </c>
      <c r="E139" s="438"/>
      <c r="F139" s="438"/>
      <c r="G139" s="55"/>
      <c r="H139" s="194"/>
      <c r="I139" s="195"/>
      <c r="J139" s="192" t="s">
        <v>26</v>
      </c>
      <c r="K139" s="193" t="s">
        <v>27</v>
      </c>
      <c r="L139" s="438">
        <f>'11-25 payroll'!C112</f>
        <v>0</v>
      </c>
      <c r="M139" s="438"/>
      <c r="N139" s="438"/>
      <c r="O139" s="9"/>
      <c r="P139" s="194"/>
    </row>
    <row r="140" spans="2:17">
      <c r="B140" s="192" t="s">
        <v>28</v>
      </c>
      <c r="C140" s="193" t="s">
        <v>27</v>
      </c>
      <c r="D140" s="439">
        <f>'11-25 payroll'!E15</f>
        <v>0</v>
      </c>
      <c r="E140" s="439"/>
      <c r="F140" s="439"/>
      <c r="G140" s="55"/>
      <c r="H140" s="235"/>
      <c r="I140" s="195"/>
      <c r="J140" s="192" t="s">
        <v>28</v>
      </c>
      <c r="K140" s="193" t="s">
        <v>27</v>
      </c>
      <c r="L140" s="439">
        <f>'11-25 payroll'!E112</f>
        <v>0</v>
      </c>
      <c r="M140" s="439"/>
      <c r="N140" s="439"/>
      <c r="O140" s="9"/>
      <c r="P140" s="235"/>
    </row>
    <row r="141" spans="2:17">
      <c r="B141" s="192" t="s">
        <v>29</v>
      </c>
      <c r="C141" s="193" t="s">
        <v>27</v>
      </c>
      <c r="D141" s="440" t="str">
        <f>'11-25 payroll'!D3</f>
        <v>August 11-25</v>
      </c>
      <c r="E141" s="440"/>
      <c r="F141" s="440"/>
      <c r="G141" s="55"/>
      <c r="H141" s="194"/>
      <c r="I141" s="195"/>
      <c r="J141" s="192" t="s">
        <v>29</v>
      </c>
      <c r="K141" s="193" t="s">
        <v>27</v>
      </c>
      <c r="L141" s="440">
        <f>'11-25 payroll'!D105</f>
        <v>0</v>
      </c>
      <c r="M141" s="440"/>
      <c r="N141" s="44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August 26-Sept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7" t="s">
        <v>65</v>
      </c>
      <c r="H15" s="447"/>
      <c r="J15" s="448" t="s">
        <v>66</v>
      </c>
      <c r="K15" s="448"/>
      <c r="L15" s="448"/>
      <c r="M15" s="448" t="s">
        <v>67</v>
      </c>
      <c r="N15" s="448"/>
      <c r="O15" s="447" t="s">
        <v>68</v>
      </c>
      <c r="P15" s="447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5" t="s">
        <v>70</v>
      </c>
      <c r="H16" s="445"/>
      <c r="I16" s="70" t="s">
        <v>71</v>
      </c>
      <c r="J16" s="449" t="s">
        <v>72</v>
      </c>
      <c r="K16" s="449"/>
      <c r="L16" s="449"/>
      <c r="M16" s="449" t="s">
        <v>73</v>
      </c>
      <c r="N16" s="449"/>
      <c r="O16" s="445" t="s">
        <v>74</v>
      </c>
      <c r="P16" s="445"/>
      <c r="Q16" s="251" t="s">
        <v>75</v>
      </c>
      <c r="R16" s="444" t="s">
        <v>117</v>
      </c>
      <c r="S16" s="445"/>
      <c r="T16" s="445"/>
      <c r="U16" s="446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6644.7449999999999</v>
      </c>
      <c r="H18" s="80">
        <f>'11-25 payroll'!R22</f>
        <v>6526</v>
      </c>
      <c r="I18" s="81">
        <f>G18+H18</f>
        <v>13170.744999999999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6677.375</v>
      </c>
      <c r="H19" s="80">
        <f>'11-25 payroll'!R23</f>
        <v>6526</v>
      </c>
      <c r="I19" s="81">
        <f t="shared" ref="I19:I27" si="0">G19+H19</f>
        <v>13203.375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9073.192500000001</v>
      </c>
      <c r="H20" s="80">
        <f>'11-25 payroll'!R24</f>
        <v>10273</v>
      </c>
      <c r="I20" s="81">
        <f t="shared" si="0"/>
        <v>19346.192500000001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6146.55</v>
      </c>
      <c r="H21" s="80">
        <f>'11-25 payroll'!R25</f>
        <v>6526</v>
      </c>
      <c r="I21" s="81">
        <f t="shared" si="0"/>
        <v>12672.55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6105.7224999999999</v>
      </c>
      <c r="H22" s="80">
        <f>'11-25 payroll'!R26</f>
        <v>6526</v>
      </c>
      <c r="I22" s="81">
        <f t="shared" si="0"/>
        <v>12631.7225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6175.375</v>
      </c>
      <c r="H23" s="80">
        <f>'11-25 payroll'!R27</f>
        <v>0</v>
      </c>
      <c r="I23" s="93">
        <f t="shared" si="0"/>
        <v>6175.375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6527.3625000000002</v>
      </c>
      <c r="H24" s="80">
        <f>'11-25 payroll'!R28</f>
        <v>0</v>
      </c>
      <c r="I24" s="81">
        <f t="shared" si="0"/>
        <v>6527.3625000000002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47350.322500000002</v>
      </c>
      <c r="H29" s="103">
        <f t="shared" ref="H29:O29" si="3">SUM(H18:H27)</f>
        <v>36377</v>
      </c>
      <c r="I29" s="103">
        <f t="shared" si="3"/>
        <v>83727.322500000009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6506.5600000000013</v>
      </c>
      <c r="S29" s="103">
        <f t="shared" si="4"/>
        <v>9052.4500000000007</v>
      </c>
      <c r="T29" s="103">
        <f t="shared" si="4"/>
        <v>0</v>
      </c>
      <c r="U29" s="260">
        <f t="shared" si="4"/>
        <v>5472.82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9.877884615384616</v>
      </c>
      <c r="M34" s="109">
        <f>+'26-10 payroll'!W9+'11-25 payroll'!W9</f>
        <v>0</v>
      </c>
      <c r="N34" s="109">
        <f>+'26-10 payroll'!F24+'26-10 payroll'!H24+'11-25 payroll'!F24+'11-25 payroll'!H24</f>
        <v>1319.6853846153847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9.877884615384616</v>
      </c>
      <c r="M36" s="264">
        <f t="shared" si="5"/>
        <v>0</v>
      </c>
      <c r="N36" s="264">
        <f t="shared" si="5"/>
        <v>1319.6853846153847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18.825000000000003</v>
      </c>
      <c r="M37" s="109">
        <f>+'26-10 payroll'!W7+'11-25 payroll'!W7</f>
        <v>0</v>
      </c>
      <c r="N37" s="109">
        <f>+'26-10 payroll'!F22+'26-10 payroll'!H22+'11-25 payroll'!F22+'11-25 payroll'!H22</f>
        <v>20.080000000000002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31.375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12.55</v>
      </c>
      <c r="M39" s="109">
        <f>+'26-10 payroll'!W10+'11-25 payroll'!W10</f>
        <v>0</v>
      </c>
      <c r="N39" s="109">
        <f>+'26-10 payroll'!F25+'26-10 payroll'!H25+'11-25 payroll'!F25+'11-25 payroll'!H25</f>
        <v>502</v>
      </c>
      <c r="O39" s="109">
        <f>+'26-10 payroll'!I25+'11-25 payroll'!I25</f>
        <v>0</v>
      </c>
      <c r="P39" s="109">
        <f>SUM('26-10 payroll'!O38:Q38,'11-25 payroll'!O38:Q38)</f>
        <v>2000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62.75</v>
      </c>
      <c r="M41" s="268">
        <f t="shared" si="6"/>
        <v>0</v>
      </c>
      <c r="N41" s="268">
        <f t="shared" si="6"/>
        <v>522.08000000000004</v>
      </c>
      <c r="O41" s="268">
        <f t="shared" si="6"/>
        <v>0</v>
      </c>
      <c r="P41" s="268">
        <f t="shared" si="6"/>
        <v>5068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72.627884615384616</v>
      </c>
      <c r="M44" s="263">
        <f t="shared" si="7"/>
        <v>0</v>
      </c>
      <c r="N44" s="263">
        <f t="shared" si="7"/>
        <v>1841.7653846153848</v>
      </c>
      <c r="O44" s="263">
        <f t="shared" si="7"/>
        <v>0</v>
      </c>
      <c r="P44" s="263">
        <f t="shared" si="7"/>
        <v>7568</v>
      </c>
      <c r="Q44" s="263">
        <f>SUM(B44:P44)</f>
        <v>69644.393269230772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3" t="s">
        <v>133</v>
      </c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  <c r="Q46" s="110"/>
      <c r="U46" s="109"/>
    </row>
    <row r="47" spans="1:22" s="105" customFormat="1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66983.162500000006</v>
      </c>
      <c r="M48" s="263">
        <f>+I29+P36+P41-(O36+O41)+G36</f>
        <v>91395.322500000009</v>
      </c>
      <c r="N48" s="109">
        <f>+L48-M48</f>
        <v>-24412.160000000003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36448.82</v>
      </c>
      <c r="M49" s="263">
        <f>+L49</f>
        <v>36448.82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62.75</v>
      </c>
      <c r="M50" s="263">
        <f>+L50</f>
        <v>62.75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12016.7</v>
      </c>
      <c r="M51" s="263">
        <f>+L51</f>
        <v>12016.7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18454.892499999998</v>
      </c>
      <c r="M52" s="263">
        <f>+M48-M49-M50-M51</f>
        <v>42867.052500000005</v>
      </c>
      <c r="N52" s="109">
        <f>+L52-M52</f>
        <v>-24412.160000000007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topLeftCell="A4" workbookViewId="0">
      <selection activeCell="C20" sqref="C20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0" t="s">
        <v>284</v>
      </c>
      <c r="E18" s="451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0"/>
      <c r="E19" s="451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2018-08-13T09:09:26Z</cp:lastPrinted>
  <dcterms:created xsi:type="dcterms:W3CDTF">2010-01-04T12:18:59Z</dcterms:created>
  <dcterms:modified xsi:type="dcterms:W3CDTF">2019-02-20T13:26:01Z</dcterms:modified>
</cp:coreProperties>
</file>