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firstSheet="2" activeTab="6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R38" i="20"/>
  <c r="G24"/>
  <c r="V7" l="1"/>
  <c r="L13" l="1"/>
  <c r="K13"/>
  <c r="H13" s="1"/>
  <c r="L12"/>
  <c r="K12"/>
  <c r="O13"/>
  <c r="N13"/>
  <c r="O12"/>
  <c r="N12"/>
  <c r="H14"/>
  <c r="H12" l="1"/>
  <c r="H18" i="78"/>
  <c r="H20" s="1"/>
  <c r="C20"/>
  <c r="H10"/>
  <c r="C10"/>
  <c r="H8"/>
  <c r="D13" i="20" l="1"/>
  <c r="D12"/>
  <c r="G58"/>
  <c r="O11"/>
  <c r="D9" i="63" l="1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K27" i="5"/>
  <c r="J30" i="63"/>
  <c r="O24" i="5"/>
  <c r="P24" s="1"/>
  <c r="L31" i="63"/>
  <c r="M27" i="5" s="1"/>
  <c r="N27" s="1"/>
  <c r="K23"/>
  <c r="O27"/>
  <c r="P27" s="1"/>
  <c r="M9" i="20"/>
  <c r="N10"/>
  <c r="L10"/>
  <c r="O7"/>
  <c r="S11"/>
  <c r="N11"/>
  <c r="L11"/>
  <c r="K11"/>
  <c r="P38"/>
  <c r="O10"/>
  <c r="K10"/>
  <c r="H10" s="1"/>
  <c r="S8"/>
  <c r="E23"/>
  <c r="O8"/>
  <c r="L8"/>
  <c r="K8"/>
  <c r="S9"/>
  <c r="N9"/>
  <c r="L9"/>
  <c r="H9" s="1"/>
  <c r="S7"/>
  <c r="E22"/>
  <c r="M7"/>
  <c r="K7"/>
  <c r="D11"/>
  <c r="D10"/>
  <c r="G10" s="1"/>
  <c r="D9"/>
  <c r="D8"/>
  <c r="E8" s="1"/>
  <c r="D7"/>
  <c r="D11" i="63"/>
  <c r="D10"/>
  <c r="D8"/>
  <c r="D7"/>
  <c r="P39"/>
  <c r="L60"/>
  <c r="P38"/>
  <c r="H10"/>
  <c r="H8"/>
  <c r="E44" i="64"/>
  <c r="P35" i="63"/>
  <c r="M34" i="5"/>
  <c r="M36" s="1"/>
  <c r="M39"/>
  <c r="M38"/>
  <c r="M37"/>
  <c r="G59" i="20"/>
  <c r="G56"/>
  <c r="F23" i="21" s="1"/>
  <c r="K60" i="20"/>
  <c r="M44" i="21"/>
  <c r="H59" i="63"/>
  <c r="N56" i="64" s="1"/>
  <c r="H58" i="63"/>
  <c r="S20" i="5" s="1"/>
  <c r="H56" i="63"/>
  <c r="E77" i="64"/>
  <c r="H11" i="63"/>
  <c r="M11" i="64"/>
  <c r="N122"/>
  <c r="M60" i="63"/>
  <c r="K60"/>
  <c r="M59"/>
  <c r="M58"/>
  <c r="M57"/>
  <c r="K57"/>
  <c r="M56"/>
  <c r="L60" i="20"/>
  <c r="J60"/>
  <c r="L59"/>
  <c r="L58"/>
  <c r="L57"/>
  <c r="J57"/>
  <c r="L56"/>
  <c r="K22" i="63"/>
  <c r="F56" i="64"/>
  <c r="N23"/>
  <c r="I33" i="63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B36" i="64" s="1"/>
  <c r="B7" i="63"/>
  <c r="D7" i="64" s="1"/>
  <c r="C7" i="63"/>
  <c r="C22" s="1"/>
  <c r="C56" s="1"/>
  <c r="L7" i="64"/>
  <c r="C23" i="63"/>
  <c r="C57" s="1"/>
  <c r="B9"/>
  <c r="C9"/>
  <c r="C24" s="1"/>
  <c r="C58" s="1"/>
  <c r="I9"/>
  <c r="I18" s="1"/>
  <c r="B10"/>
  <c r="A21" i="5" s="1"/>
  <c r="C10" i="63"/>
  <c r="C25" s="1"/>
  <c r="C59" s="1"/>
  <c r="E11"/>
  <c r="G11"/>
  <c r="H76" i="64"/>
  <c r="E12" i="63"/>
  <c r="G12"/>
  <c r="H12"/>
  <c r="E13"/>
  <c r="G13"/>
  <c r="H13"/>
  <c r="F113" i="64"/>
  <c r="E14" i="63"/>
  <c r="G14"/>
  <c r="H14"/>
  <c r="E15"/>
  <c r="G15"/>
  <c r="H142" i="64"/>
  <c r="H15" i="63"/>
  <c r="E16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C29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I9"/>
  <c r="I18" s="1"/>
  <c r="E12"/>
  <c r="T12" s="1"/>
  <c r="G12"/>
  <c r="P76" i="21" s="1"/>
  <c r="N80"/>
  <c r="E13" i="20"/>
  <c r="P13" s="1"/>
  <c r="G13"/>
  <c r="H109" i="21" s="1"/>
  <c r="E14" i="20"/>
  <c r="V14" s="1"/>
  <c r="G14"/>
  <c r="N113" i="21"/>
  <c r="E15" i="20"/>
  <c r="T15" s="1"/>
  <c r="G15"/>
  <c r="H15"/>
  <c r="F146" i="21" s="1"/>
  <c r="E16" i="20"/>
  <c r="P16" s="1"/>
  <c r="G16"/>
  <c r="H16"/>
  <c r="X17"/>
  <c r="R21"/>
  <c r="B22"/>
  <c r="M35" s="1"/>
  <c r="C22"/>
  <c r="C56" s="1"/>
  <c r="B23"/>
  <c r="B57" s="1"/>
  <c r="C23"/>
  <c r="C57" s="1"/>
  <c r="B24"/>
  <c r="D37" s="1"/>
  <c r="C24"/>
  <c r="C58" s="1"/>
  <c r="F59" i="21"/>
  <c r="B25" i="20"/>
  <c r="M38" s="1"/>
  <c r="C25"/>
  <c r="C59" s="1"/>
  <c r="K33"/>
  <c r="B26"/>
  <c r="M39" s="1"/>
  <c r="C26"/>
  <c r="C60" s="1"/>
  <c r="B27"/>
  <c r="B61" s="1"/>
  <c r="C27"/>
  <c r="C61" s="1"/>
  <c r="B28"/>
  <c r="B62" s="1"/>
  <c r="C28"/>
  <c r="C62" s="1"/>
  <c r="B29"/>
  <c r="L106" i="21" s="1"/>
  <c r="C29" i="20"/>
  <c r="C63" s="1"/>
  <c r="B30"/>
  <c r="B64" s="1"/>
  <c r="C30"/>
  <c r="C64" s="1"/>
  <c r="B31"/>
  <c r="B65" s="1"/>
  <c r="C31"/>
  <c r="C65" s="1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F56" i="21"/>
  <c r="N33" i="63"/>
  <c r="O37" i="5"/>
  <c r="I33" i="20"/>
  <c r="F31" i="63"/>
  <c r="N23" i="21"/>
  <c r="H67" i="20"/>
  <c r="I67" i="63"/>
  <c r="D107" i="64"/>
  <c r="F28" i="63"/>
  <c r="D74" i="64"/>
  <c r="R21" i="5"/>
  <c r="B60" i="20"/>
  <c r="V16" i="63"/>
  <c r="A18" i="5"/>
  <c r="N53" i="64"/>
  <c r="M44" i="20"/>
  <c r="H30" i="63"/>
  <c r="P15"/>
  <c r="F145" i="64"/>
  <c r="V15" i="63"/>
  <c r="F149" i="64"/>
  <c r="L107" i="21"/>
  <c r="T14" i="20"/>
  <c r="N115" i="21" s="1"/>
  <c r="P13" i="63"/>
  <c r="T13"/>
  <c r="F146" i="64"/>
  <c r="R11" i="63"/>
  <c r="F81" i="64"/>
  <c r="M44"/>
  <c r="J56" i="20"/>
  <c r="G9"/>
  <c r="H43" i="21" s="1"/>
  <c r="E9" i="20"/>
  <c r="H24" s="1"/>
  <c r="G34" i="5"/>
  <c r="G36" s="1"/>
  <c r="B56" i="20"/>
  <c r="H142" i="21"/>
  <c r="D40"/>
  <c r="H29" i="63"/>
  <c r="T14"/>
  <c r="N115" i="64"/>
  <c r="P14" i="63"/>
  <c r="V13"/>
  <c r="R13"/>
  <c r="H28"/>
  <c r="L74" i="64"/>
  <c r="H27" i="63"/>
  <c r="H31"/>
  <c r="R16"/>
  <c r="M36" i="20"/>
  <c r="E8" i="63"/>
  <c r="T8"/>
  <c r="G8"/>
  <c r="N112" i="64"/>
  <c r="F30" i="20"/>
  <c r="R15"/>
  <c r="F147" i="21" s="1"/>
  <c r="H30" i="20"/>
  <c r="D140" i="21"/>
  <c r="V15" i="20"/>
  <c r="F149" i="21"/>
  <c r="F113"/>
  <c r="P15" i="20"/>
  <c r="F145" i="21" s="1"/>
  <c r="V16" i="20"/>
  <c r="T16"/>
  <c r="F31"/>
  <c r="L8" i="64"/>
  <c r="B58" i="20"/>
  <c r="M37"/>
  <c r="M40"/>
  <c r="M43" i="63"/>
  <c r="B64"/>
  <c r="R14" i="20"/>
  <c r="N114" i="21" s="1"/>
  <c r="H29" i="20"/>
  <c r="P14"/>
  <c r="N112" i="21" s="1"/>
  <c r="B65" i="63"/>
  <c r="P149" i="64"/>
  <c r="G9" i="63"/>
  <c r="E9"/>
  <c r="R9"/>
  <c r="T9"/>
  <c r="R7" i="20"/>
  <c r="F15" i="21" s="1"/>
  <c r="J3" i="64"/>
  <c r="T11" i="63"/>
  <c r="F82" i="64"/>
  <c r="H24" i="63"/>
  <c r="F157" i="21"/>
  <c r="G7" i="20"/>
  <c r="B37" i="5" s="1"/>
  <c r="F26" i="63"/>
  <c r="F91" i="64" s="1"/>
  <c r="V11" i="63"/>
  <c r="R13" i="20"/>
  <c r="F114" i="21" s="1"/>
  <c r="P37" i="63"/>
  <c r="F24"/>
  <c r="H26"/>
  <c r="D41" i="64"/>
  <c r="V9" i="63"/>
  <c r="F50" i="64"/>
  <c r="P8" i="63"/>
  <c r="P36"/>
  <c r="L57"/>
  <c r="E33"/>
  <c r="F23"/>
  <c r="M41" i="20"/>
  <c r="M40" i="63"/>
  <c r="B61"/>
  <c r="R14"/>
  <c r="L107" i="64"/>
  <c r="F29" i="63"/>
  <c r="N124" i="64"/>
  <c r="V14" i="63"/>
  <c r="N116" i="64"/>
  <c r="E7" i="63"/>
  <c r="G7"/>
  <c r="E11" i="64"/>
  <c r="H7" i="63"/>
  <c r="P16"/>
  <c r="R31" s="1"/>
  <c r="H27" i="5" s="1"/>
  <c r="T16" i="63"/>
  <c r="F30"/>
  <c r="F157" i="64"/>
  <c r="T15" i="63"/>
  <c r="F148" i="64"/>
  <c r="R15" i="63"/>
  <c r="D140" i="64"/>
  <c r="B34" i="5"/>
  <c r="B36" s="1"/>
  <c r="B63" i="20"/>
  <c r="B60" i="63"/>
  <c r="M39"/>
  <c r="H109" i="64"/>
  <c r="R28" i="63"/>
  <c r="H24" i="5" s="1"/>
  <c r="H23" i="63"/>
  <c r="B57"/>
  <c r="B22"/>
  <c r="B56" s="1"/>
  <c r="L58"/>
  <c r="N13" i="64"/>
  <c r="F147"/>
  <c r="X15" i="63"/>
  <c r="D30" s="1"/>
  <c r="R30"/>
  <c r="H26" i="5" s="1"/>
  <c r="H10" i="64"/>
  <c r="V7" i="63"/>
  <c r="R7"/>
  <c r="X14"/>
  <c r="D29"/>
  <c r="N114" i="64"/>
  <c r="R29" i="63"/>
  <c r="H25" i="5"/>
  <c r="N47" i="64"/>
  <c r="E10" i="20"/>
  <c r="F25" s="1"/>
  <c r="L59" i="63"/>
  <c r="L56"/>
  <c r="F17" i="64"/>
  <c r="H9" i="63"/>
  <c r="F47" i="64"/>
  <c r="L26" i="5"/>
  <c r="K26"/>
  <c r="L30" i="63"/>
  <c r="J31"/>
  <c r="J27" i="5" s="1"/>
  <c r="P36" i="20"/>
  <c r="P38" i="5" s="1"/>
  <c r="E33" i="20"/>
  <c r="M26" i="5"/>
  <c r="N26" s="1"/>
  <c r="F153" i="64"/>
  <c r="F159" i="21"/>
  <c r="O26" i="5"/>
  <c r="P26" s="1"/>
  <c r="L27"/>
  <c r="H7" i="20"/>
  <c r="F14" i="21" s="1"/>
  <c r="E11"/>
  <c r="P7" i="20"/>
  <c r="F13" i="21" s="1"/>
  <c r="F151" i="64"/>
  <c r="J26" i="5"/>
  <c r="O30" i="63"/>
  <c r="L28"/>
  <c r="F120" i="64" s="1"/>
  <c r="K24" i="5"/>
  <c r="L23"/>
  <c r="J27" i="63"/>
  <c r="F20" i="64"/>
  <c r="R18" i="5"/>
  <c r="O31" i="63"/>
  <c r="Q27" i="5" s="1"/>
  <c r="L27" i="63"/>
  <c r="L24" i="5"/>
  <c r="J28" i="63"/>
  <c r="H149" i="64"/>
  <c r="P34" i="5"/>
  <c r="P36" s="1"/>
  <c r="F126" i="21"/>
  <c r="L41"/>
  <c r="F15" i="64"/>
  <c r="F22" i="63"/>
  <c r="H22"/>
  <c r="D8" i="64"/>
  <c r="P7" i="63"/>
  <c r="E44" i="21"/>
  <c r="F47"/>
  <c r="E77"/>
  <c r="T7" i="63"/>
  <c r="N25" i="64"/>
  <c r="H10" i="21"/>
  <c r="N80" i="64"/>
  <c r="G11" i="20"/>
  <c r="E11"/>
  <c r="P9" i="63"/>
  <c r="V8"/>
  <c r="R8"/>
  <c r="M41"/>
  <c r="B62"/>
  <c r="X16"/>
  <c r="D31" s="1"/>
  <c r="D18" i="20"/>
  <c r="G8"/>
  <c r="P109" i="21"/>
  <c r="H27" i="20"/>
  <c r="F27"/>
  <c r="L74" i="21"/>
  <c r="P12" i="20"/>
  <c r="N79" i="21" s="1"/>
  <c r="R12" i="20"/>
  <c r="N81" i="21" s="1"/>
  <c r="V12" i="20"/>
  <c r="N83" i="21" s="1"/>
  <c r="L106" i="64"/>
  <c r="B63" i="63"/>
  <c r="M42"/>
  <c r="X13"/>
  <c r="D28" s="1"/>
  <c r="B24"/>
  <c r="D40" i="64" s="1"/>
  <c r="A20" i="5"/>
  <c r="B102" i="64"/>
  <c r="J69"/>
  <c r="J135"/>
  <c r="J36"/>
  <c r="B3"/>
  <c r="A11" i="5"/>
  <c r="G10" i="63"/>
  <c r="D18"/>
  <c r="E10"/>
  <c r="E18" s="1"/>
  <c r="H39" i="5"/>
  <c r="M11" i="21"/>
  <c r="F27" i="63"/>
  <c r="N91" i="64"/>
  <c r="R12" i="63"/>
  <c r="N81" i="64"/>
  <c r="V12" i="63"/>
  <c r="N83" i="64"/>
  <c r="T12" i="63"/>
  <c r="N82" i="64"/>
  <c r="P12" i="63"/>
  <c r="N79" i="64"/>
  <c r="N56" i="21"/>
  <c r="S21" i="5"/>
  <c r="G67" i="20"/>
  <c r="P35"/>
  <c r="P37" i="5" s="1"/>
  <c r="F22" i="20"/>
  <c r="K33" i="63"/>
  <c r="V9" i="20"/>
  <c r="F50" i="21" s="1"/>
  <c r="M43" i="20"/>
  <c r="N85" i="64"/>
  <c r="J23" i="5"/>
  <c r="Q26"/>
  <c r="F154" i="64"/>
  <c r="N87"/>
  <c r="M23" i="5"/>
  <c r="N23" s="1"/>
  <c r="O23"/>
  <c r="P23" s="1"/>
  <c r="N93" i="21"/>
  <c r="M24" i="5"/>
  <c r="N24" s="1"/>
  <c r="J24"/>
  <c r="F118" i="64"/>
  <c r="K25" i="5"/>
  <c r="L25"/>
  <c r="J29" i="63"/>
  <c r="N126" i="21"/>
  <c r="L29" i="63"/>
  <c r="P10" i="21"/>
  <c r="B38" i="5"/>
  <c r="X12" i="63"/>
  <c r="D27" s="1"/>
  <c r="H25"/>
  <c r="L41" i="64"/>
  <c r="R10" i="63"/>
  <c r="N48" i="64" s="1"/>
  <c r="V10" i="63"/>
  <c r="N50" i="64" s="1"/>
  <c r="H26" i="20"/>
  <c r="P11"/>
  <c r="F79" i="21" s="1"/>
  <c r="F26" i="20"/>
  <c r="T11"/>
  <c r="F82" i="21" s="1"/>
  <c r="D74"/>
  <c r="R11" i="20"/>
  <c r="F81" i="21" s="1"/>
  <c r="V11" i="20"/>
  <c r="F83" i="21" s="1"/>
  <c r="F13" i="64"/>
  <c r="F46"/>
  <c r="H76" i="21"/>
  <c r="F16" i="64"/>
  <c r="K56" i="20"/>
  <c r="G18" i="63"/>
  <c r="P43" i="64"/>
  <c r="D37" i="63"/>
  <c r="N15" i="64"/>
  <c r="R18" i="63"/>
  <c r="R27"/>
  <c r="H23" i="5"/>
  <c r="F25" i="64"/>
  <c r="O25" i="5"/>
  <c r="P25" s="1"/>
  <c r="O27" i="63"/>
  <c r="M25" i="5"/>
  <c r="N25" s="1"/>
  <c r="J25"/>
  <c r="O28" i="63"/>
  <c r="L21" i="5"/>
  <c r="J25" i="63"/>
  <c r="N52" i="64" s="1"/>
  <c r="K21" i="5"/>
  <c r="L18"/>
  <c r="J22" i="63"/>
  <c r="K18" i="5"/>
  <c r="K19"/>
  <c r="L19"/>
  <c r="J23" i="63"/>
  <c r="K20" i="5"/>
  <c r="L20"/>
  <c r="J24" i="63"/>
  <c r="J33" s="1"/>
  <c r="N27" i="21"/>
  <c r="F60"/>
  <c r="M19" i="5"/>
  <c r="N19" s="1"/>
  <c r="N21" i="64"/>
  <c r="Q24" i="5"/>
  <c r="N88" i="64"/>
  <c r="O29" i="63"/>
  <c r="O19" i="5"/>
  <c r="P19" s="1"/>
  <c r="J19"/>
  <c r="N19" i="64"/>
  <c r="L22" i="5"/>
  <c r="K22"/>
  <c r="J26" i="63"/>
  <c r="O25"/>
  <c r="N55" i="64" s="1"/>
  <c r="O22" i="63"/>
  <c r="O18" i="5"/>
  <c r="P18" s="1"/>
  <c r="F21" i="64"/>
  <c r="M18" i="5"/>
  <c r="N18" s="1"/>
  <c r="M21"/>
  <c r="N21" s="1"/>
  <c r="N54" i="64"/>
  <c r="O21" i="5"/>
  <c r="M20"/>
  <c r="N20" s="1"/>
  <c r="F54" i="64"/>
  <c r="J18" i="5"/>
  <c r="F19" i="64"/>
  <c r="J21" i="5"/>
  <c r="J20"/>
  <c r="Q25"/>
  <c r="J63" i="63"/>
  <c r="O26"/>
  <c r="F85" i="64"/>
  <c r="F87"/>
  <c r="M22" i="5"/>
  <c r="N22" s="1"/>
  <c r="Q18"/>
  <c r="F93" i="21"/>
  <c r="O22" i="5"/>
  <c r="P22" s="1"/>
  <c r="F27" i="21"/>
  <c r="Q21" i="5"/>
  <c r="Q22"/>
  <c r="Q20"/>
  <c r="F55" i="64"/>
  <c r="F83"/>
  <c r="R24" i="63"/>
  <c r="H20" i="5" s="1"/>
  <c r="R23" i="63"/>
  <c r="H19" i="5" s="1"/>
  <c r="F58" i="64"/>
  <c r="F80"/>
  <c r="X8" i="63"/>
  <c r="D23" s="1"/>
  <c r="N17" i="64"/>
  <c r="V18" i="63"/>
  <c r="R22"/>
  <c r="H18" i="5" s="1"/>
  <c r="X7" i="63"/>
  <c r="D22" s="1"/>
  <c r="J56" s="1"/>
  <c r="H33"/>
  <c r="F14" i="64"/>
  <c r="N14"/>
  <c r="P10" i="20" l="1"/>
  <c r="N46" i="21" s="1"/>
  <c r="R10" i="20"/>
  <c r="T9"/>
  <c r="F49" i="21" s="1"/>
  <c r="P159"/>
  <c r="H8" i="20"/>
  <c r="H38" i="5" s="1"/>
  <c r="H11" i="20"/>
  <c r="F80" i="21" s="1"/>
  <c r="H83" s="1"/>
  <c r="K29" i="5"/>
  <c r="H17" i="64"/>
  <c r="I37" i="5"/>
  <c r="M35" i="63"/>
  <c r="B25"/>
  <c r="M38" s="1"/>
  <c r="U29" i="5"/>
  <c r="O33" i="63"/>
  <c r="O20" i="5"/>
  <c r="P20" s="1"/>
  <c r="L33" i="63"/>
  <c r="N116" i="21"/>
  <c r="P116" s="1"/>
  <c r="X14" i="20"/>
  <c r="D29" s="1"/>
  <c r="V8"/>
  <c r="N17" i="21" s="1"/>
  <c r="L8"/>
  <c r="H23" i="20"/>
  <c r="N25" i="21" s="1"/>
  <c r="P27" s="1"/>
  <c r="F23" i="20"/>
  <c r="E18"/>
  <c r="N60" i="21"/>
  <c r="B58" i="63"/>
  <c r="J37" i="5"/>
  <c r="F24" i="20"/>
  <c r="F58" i="21" s="1"/>
  <c r="H60" s="1"/>
  <c r="D41"/>
  <c r="M42" i="20"/>
  <c r="R9"/>
  <c r="F48" i="21" s="1"/>
  <c r="A37" i="20"/>
  <c r="H31"/>
  <c r="R16"/>
  <c r="X16" s="1"/>
  <c r="D31" s="1"/>
  <c r="F29"/>
  <c r="R29" s="1"/>
  <c r="G25" i="5" s="1"/>
  <c r="I25" s="1"/>
  <c r="B59" i="20"/>
  <c r="D8" i="21"/>
  <c r="N124"/>
  <c r="I63" i="20"/>
  <c r="R8"/>
  <c r="T8"/>
  <c r="K38" i="5" s="1"/>
  <c r="V10" i="20"/>
  <c r="L39" i="5" s="1"/>
  <c r="H25" i="20"/>
  <c r="N58" i="21" s="1"/>
  <c r="P60" s="1"/>
  <c r="M41" i="5"/>
  <c r="P149" i="21"/>
  <c r="T29" i="5"/>
  <c r="N16" i="21"/>
  <c r="P93" i="64"/>
  <c r="M37" i="63"/>
  <c r="H159" i="64"/>
  <c r="H160" s="1"/>
  <c r="P83"/>
  <c r="R29" i="5"/>
  <c r="H159" i="21"/>
  <c r="L40" i="64"/>
  <c r="B135"/>
  <c r="J102"/>
  <c r="B69"/>
  <c r="O41" i="5"/>
  <c r="O44" s="1"/>
  <c r="K58" i="20"/>
  <c r="V13"/>
  <c r="F116" i="21" s="1"/>
  <c r="T13" i="20"/>
  <c r="F115" i="21" s="1"/>
  <c r="F28" i="20"/>
  <c r="H28"/>
  <c r="D107" i="21"/>
  <c r="N91"/>
  <c r="P93" s="1"/>
  <c r="K57" i="20"/>
  <c r="L34" i="5"/>
  <c r="L36" s="1"/>
  <c r="L29"/>
  <c r="B59" i="63"/>
  <c r="P9" i="20"/>
  <c r="N38" i="5"/>
  <c r="F91" i="21"/>
  <c r="H93" s="1"/>
  <c r="X9" i="63"/>
  <c r="D24" s="1"/>
  <c r="P22"/>
  <c r="D56" s="1"/>
  <c r="H37" i="5"/>
  <c r="H41" s="1"/>
  <c r="H18" i="63"/>
  <c r="N47" i="21"/>
  <c r="H34" i="5"/>
  <c r="H36" s="1"/>
  <c r="N14" i="21"/>
  <c r="O56" i="63"/>
  <c r="P23"/>
  <c r="J57"/>
  <c r="O57" s="1"/>
  <c r="J62"/>
  <c r="P28"/>
  <c r="F16" i="21"/>
  <c r="K37" i="5"/>
  <c r="O29"/>
  <c r="P21"/>
  <c r="J61" i="63"/>
  <c r="O61" s="1"/>
  <c r="P27"/>
  <c r="J65"/>
  <c r="P31"/>
  <c r="J64"/>
  <c r="P30"/>
  <c r="N34" i="5"/>
  <c r="N36" s="1"/>
  <c r="F148" i="21"/>
  <c r="H149" s="1"/>
  <c r="H160" s="1"/>
  <c r="R30" i="20"/>
  <c r="G26" i="5" s="1"/>
  <c r="I26" s="1"/>
  <c r="X15" i="20"/>
  <c r="D30" s="1"/>
  <c r="F112" i="21"/>
  <c r="N82"/>
  <c r="P83" s="1"/>
  <c r="X12" i="20"/>
  <c r="D27" s="1"/>
  <c r="R27"/>
  <c r="G23" i="5" s="1"/>
  <c r="I23" s="1"/>
  <c r="P43" i="21"/>
  <c r="G18" i="20"/>
  <c r="B39" i="5"/>
  <c r="X9" i="20"/>
  <c r="D24" s="1"/>
  <c r="B41" i="5"/>
  <c r="B44" s="1"/>
  <c r="P24" i="63"/>
  <c r="J58"/>
  <c r="O58" s="1"/>
  <c r="M29" i="5"/>
  <c r="F88" i="64"/>
  <c r="H93" s="1"/>
  <c r="M33" i="20"/>
  <c r="F22" i="64"/>
  <c r="H27" s="1"/>
  <c r="H28" s="1"/>
  <c r="J22" i="5"/>
  <c r="J29" s="1"/>
  <c r="P29" i="63"/>
  <c r="N121" i="64"/>
  <c r="F52"/>
  <c r="H60" s="1"/>
  <c r="P27"/>
  <c r="Q23" i="5"/>
  <c r="Q29" s="1"/>
  <c r="F121" i="64"/>
  <c r="N118"/>
  <c r="N120"/>
  <c r="P126" i="21"/>
  <c r="F25" i="63"/>
  <c r="T10"/>
  <c r="P10"/>
  <c r="K34" i="5"/>
  <c r="K36" s="1"/>
  <c r="H43" i="64"/>
  <c r="F49"/>
  <c r="F48"/>
  <c r="P10"/>
  <c r="N16"/>
  <c r="P17" s="1"/>
  <c r="F114"/>
  <c r="F116"/>
  <c r="F115"/>
  <c r="F112"/>
  <c r="F124"/>
  <c r="N113"/>
  <c r="P116" s="1"/>
  <c r="P109"/>
  <c r="P76"/>
  <c r="P94" s="1"/>
  <c r="P11" i="63"/>
  <c r="S18" i="5"/>
  <c r="S29" s="1"/>
  <c r="M44"/>
  <c r="H22" i="20"/>
  <c r="P8"/>
  <c r="P160" i="21"/>
  <c r="P159" i="64"/>
  <c r="P160" s="1"/>
  <c r="G41" i="5"/>
  <c r="T10" i="20"/>
  <c r="P39" i="5"/>
  <c r="P41" s="1"/>
  <c r="P44" s="1"/>
  <c r="K59" i="20"/>
  <c r="K39" i="5"/>
  <c r="N29"/>
  <c r="N50" i="21" l="1"/>
  <c r="X10" i="20"/>
  <c r="D25" s="1"/>
  <c r="I59" s="1"/>
  <c r="N59" s="1"/>
  <c r="L38" i="5"/>
  <c r="F33" i="20"/>
  <c r="M31" i="5"/>
  <c r="X13" i="20"/>
  <c r="D28" s="1"/>
  <c r="I62" s="1"/>
  <c r="N62" s="1"/>
  <c r="P29" i="5"/>
  <c r="P29" i="20"/>
  <c r="S42" s="1"/>
  <c r="N48" i="21"/>
  <c r="J39" i="5"/>
  <c r="A37" i="63"/>
  <c r="H18" i="20"/>
  <c r="X11"/>
  <c r="D26" s="1"/>
  <c r="R26"/>
  <c r="G22" i="5" s="1"/>
  <c r="P31" i="20"/>
  <c r="S44" s="1"/>
  <c r="I65"/>
  <c r="V160" i="21"/>
  <c r="R23" i="20"/>
  <c r="G19" i="5" s="1"/>
  <c r="I19" s="1"/>
  <c r="J34"/>
  <c r="J36" s="1"/>
  <c r="R24" i="20"/>
  <c r="G20" i="5" s="1"/>
  <c r="I20" s="1"/>
  <c r="R18" i="20"/>
  <c r="R31"/>
  <c r="G27" i="5" s="1"/>
  <c r="I27" s="1"/>
  <c r="N15" i="21"/>
  <c r="J38" i="5"/>
  <c r="J41" s="1"/>
  <c r="K41"/>
  <c r="K44" s="1"/>
  <c r="R25" i="20"/>
  <c r="G21" i="5" s="1"/>
  <c r="H116" i="21"/>
  <c r="R28" i="20"/>
  <c r="G24" i="5" s="1"/>
  <c r="I24" s="1"/>
  <c r="X8" i="20"/>
  <c r="D23" s="1"/>
  <c r="P127" i="21"/>
  <c r="V127" s="1"/>
  <c r="K31" i="5"/>
  <c r="I34"/>
  <c r="I36" s="1"/>
  <c r="O31"/>
  <c r="P94" i="21"/>
  <c r="F124"/>
  <c r="H126" s="1"/>
  <c r="H127" s="1"/>
  <c r="N49"/>
  <c r="P50" s="1"/>
  <c r="P61" s="1"/>
  <c r="F46"/>
  <c r="H50" s="1"/>
  <c r="N13"/>
  <c r="I38" i="5"/>
  <c r="T18" i="20"/>
  <c r="P18"/>
  <c r="H116" i="64"/>
  <c r="P28"/>
  <c r="H50"/>
  <c r="H94" i="21"/>
  <c r="P17"/>
  <c r="P28" s="1"/>
  <c r="H126" i="64"/>
  <c r="S35" i="63"/>
  <c r="H44" i="5"/>
  <c r="L51" s="1"/>
  <c r="M51" s="1"/>
  <c r="N51" s="1"/>
  <c r="T28" i="64"/>
  <c r="H61" i="21"/>
  <c r="F17"/>
  <c r="H17" s="1"/>
  <c r="L37" i="5"/>
  <c r="L41" s="1"/>
  <c r="L44" s="1"/>
  <c r="V18" i="20"/>
  <c r="F79" i="64"/>
  <c r="H83" s="1"/>
  <c r="H94" s="1"/>
  <c r="R26" i="63"/>
  <c r="H22" i="5" s="1"/>
  <c r="I22" s="1"/>
  <c r="X11" i="63"/>
  <c r="D26" s="1"/>
  <c r="N46" i="64"/>
  <c r="I39" i="5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P30"/>
  <c r="S43" s="1"/>
  <c r="T160" i="21" s="1"/>
  <c r="I64" i="20"/>
  <c r="S36" i="63"/>
  <c r="D57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D64" i="63"/>
  <c r="S43"/>
  <c r="T160" i="64" s="1"/>
  <c r="S44" i="63"/>
  <c r="D65"/>
  <c r="S40"/>
  <c r="V94" i="64" s="1"/>
  <c r="D61" i="63"/>
  <c r="S41"/>
  <c r="D62"/>
  <c r="H61" i="64"/>
  <c r="X10" i="63"/>
  <c r="P126" i="64"/>
  <c r="P127" s="1"/>
  <c r="V127" s="1"/>
  <c r="X7" i="20"/>
  <c r="D22" s="1"/>
  <c r="R22"/>
  <c r="G18" i="5" s="1"/>
  <c r="I18" s="1"/>
  <c r="P25" i="20"/>
  <c r="S38" s="1"/>
  <c r="H127" i="64" l="1"/>
  <c r="P26" i="20"/>
  <c r="S39" s="1"/>
  <c r="T94" i="21" s="1"/>
  <c r="I60" i="20"/>
  <c r="N60" s="1"/>
  <c r="J44" i="5"/>
  <c r="T127" i="64"/>
  <c r="H28" i="21"/>
  <c r="I21" i="5"/>
  <c r="L52"/>
  <c r="T61" i="21"/>
  <c r="V94"/>
  <c r="I41" i="5"/>
  <c r="L50" s="1"/>
  <c r="L49" s="1"/>
  <c r="T127" i="21"/>
  <c r="I44" i="5"/>
  <c r="V61" i="21"/>
  <c r="X18" i="20"/>
  <c r="N41" i="5"/>
  <c r="N44" s="1"/>
  <c r="D25" i="63"/>
  <c r="X18"/>
  <c r="P50" i="64"/>
  <c r="P61" s="1"/>
  <c r="V28"/>
  <c r="P22" i="20"/>
  <c r="S35" s="1"/>
  <c r="I56"/>
  <c r="N56" s="1"/>
  <c r="P26" i="63"/>
  <c r="J60"/>
  <c r="O60" s="1"/>
  <c r="I29" i="5"/>
  <c r="M48" s="1"/>
  <c r="G29"/>
  <c r="V160" i="64"/>
  <c r="T61"/>
  <c r="I57" i="20"/>
  <c r="P23"/>
  <c r="D33"/>
  <c r="T28" i="21" l="1"/>
  <c r="Q44" i="5"/>
  <c r="M50"/>
  <c r="N50" s="1"/>
  <c r="P25" i="63"/>
  <c r="J59"/>
  <c r="D33"/>
  <c r="D60"/>
  <c r="S39"/>
  <c r="S36" i="20"/>
  <c r="V28" i="21" s="1"/>
  <c r="P33" i="20"/>
  <c r="P46" s="1"/>
  <c r="L48" i="5"/>
  <c r="N48" s="1"/>
  <c r="M49"/>
  <c r="N57" i="20"/>
  <c r="N67" s="1"/>
  <c r="I67"/>
  <c r="M52" i="5" l="1"/>
  <c r="N52" s="1"/>
  <c r="T94" i="64"/>
  <c r="D59" i="63"/>
  <c r="D67" s="1"/>
  <c r="S38"/>
  <c r="P33"/>
  <c r="P46" s="1"/>
  <c r="O59"/>
  <c r="O67" s="1"/>
  <c r="J67"/>
  <c r="N49" i="5"/>
  <c r="V61" i="64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<sst xmlns="http://schemas.openxmlformats.org/spreadsheetml/2006/main" count="1795" uniqueCount="293">
  <si>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</si>
  <si>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</si>
  <si>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</si>
  <si>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</si>
  <si>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</si>
  <si>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</si>
  <si>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</si>
  <si>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</si>
  <si>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</si>
  <si>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</si>
  <si>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</si>
  <si>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</si>
  <si>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</si>
  <si>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</si>
  <si>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</si>
  <si>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</si>
  <si>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</si>
  <si>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</si>
  <si>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</si>
  <si>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</si>
  <si>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</si>
  <si>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</si>
  <si>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</si>
  <si>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</si>
  <si>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</si>
  <si>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</si>
  <si>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</si>
  <si>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</si>
  <si>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</si>
  <si>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</si>
  <si>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</si>
  <si>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</si>
  <si>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</si>
  <si>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</si>
  <si>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</si>
  <si>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</si>
  <si>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</si>
  <si>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</si>
  <si>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</si>
  <si>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</si>
  <si>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</si>
  <si>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</si>
  <si>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</si>
  <si>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</si>
  <si>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</si>
  <si>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</si>
  <si>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</si>
  <si>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</si>
  <si>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</si>
  <si>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</si>
  <si>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</si>
  <si>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</si>
  <si>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</si>
  <si>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</si>
  <si>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</si>
  <si>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</si>
  <si>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</si>
  <si>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</si>
  <si>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</si>
  <si>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</si>
  <si>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</si>
  <si>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</si>
  <si>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</si>
  <si>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</si>
  <si>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</si>
  <si>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</si>
  <si>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</si>
  <si>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</si>
  <si>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</si>
  <si>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</si>
  <si>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</si>
  <si>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</si>
  <si>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</si>
  <si>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</si>
  <si>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</si>
  <si>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</si>
  <si>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</si>
  <si>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</si>
  <si>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</si>
  <si>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</si>
  <si>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</si>
  <si>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</si>
  <si>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</si>
  <si>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</si>
  <si>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</si>
  <si>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</si>
  <si>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</si>
  <si>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</si>
  <si>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</si>
  <si>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</si>
  <si>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</si>
  <si>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</si>
  <si>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</si>
  <si>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</si>
  <si>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</si>
  <si>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</si>
  <si>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</si>
  <si>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</si>
  <si>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</si>
  <si>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</si>
  <si>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</si>
  <si>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</si>
  <si>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</si>
  <si>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</si>
  <si>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</si>
  <si>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</si>
  <si>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</si>
  <si>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</si>
  <si>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</si>
  <si>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</si>
  <si>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</si>
  <si>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</si>
  <si>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</si>
  <si>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</si>
  <si>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</si>
  <si>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</si>
  <si>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</si>
  <si>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</si>
  <si>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</si>
  <si>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</si>
  <si>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</si>
  <si>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</si>
  <si>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</si>
  <si>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</si>
  <si>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</si>
  <si>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</si>
  <si>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</si>
  <si>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</si>
  <si>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</si>
  <si>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</si>
  <si>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</si>
  <si>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</si>
  <si>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</si>
  <si>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</si>
  <si>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</si>
  <si>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</si>
  <si>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</si>
  <si>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</si>
  <si>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</si>
  <si>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</si>
  <si>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</si>
  <si>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</si>
  <si>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</si>
  <si>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</si>
  <si>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</si>
  <si>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</si>
  <si>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</si>
  <si>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</si>
  <si>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</si>
  <si>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</si>
  <si>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</si>
  <si>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</si>
  <si>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</si>
  <si>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</si>
  <si>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</si>
  <si>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</si>
  <si>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</si>
  <si>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</si>
  <si>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</si>
  <si>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</si>
  <si>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</si>
  <si>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</si>
  <si>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</si>
  <si>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</si>
  <si>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</si>
  <si>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</si>
  <si>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</si>
  <si>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</si>
  <si>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</si>
  <si>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</si>
  <si>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</si>
  <si>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</si>
  <si>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</si>
  <si>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</si>
  <si>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</si>
  <si>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</si>
  <si>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</si>
  <si>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</si>
  <si>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</si>
  <si>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</si>
  <si>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</si>
  <si>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</si>
  <si>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</si>
  <si>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</si>
  <si>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</si>
  <si>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</si>
  <si>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</si>
  <si>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</si>
  <si>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</si>
  <si>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</si>
  <si>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</si>
  <si>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</si>
  <si>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</si>
  <si>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</si>
  <si>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</si>
  <si>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</si>
  <si>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</si>
  <si>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</si>
  <si>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</si>
  <si>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</si>
  <si>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</si>
  <si>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</si>
  <si>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</si>
  <si>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</si>
  <si>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</si>
  <si>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</si>
  <si>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</si>
  <si>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</si>
  <si>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</si>
  <si>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</si>
  <si>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</si>
  <si>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</si>
  <si>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</si>
  <si>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</si>
  <si>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</si>
  <si>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</si>
  <si>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</si>
  <si>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</si>
  <si>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</si>
  <si>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</si>
  <si>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</si>
  <si>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</si>
  <si>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</si>
  <si>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</si>
  <si>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</si>
  <si>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</si>
  <si>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</si>
  <si>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</si>
  <si>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</si>
  <si>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</si>
  <si>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</si>
  <si>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</si>
  <si>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</si>
  <si>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</si>
  <si>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</si>
  <si>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</si>
  <si>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</si>
  <si>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</si>
  <si>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</si>
  <si>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</si>
  <si>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</si>
  <si>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</si>
  <si>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</si>
  <si>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</si>
  <si>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</si>
  <si>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</si>
  <si>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</si>
  <si>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</si>
  <si>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</si>
  <si>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</si>
  <si>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</si>
  <si>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</si>
  <si>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</si>
  <si>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</si>
  <si>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</si>
  <si>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</si>
  <si>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</si>
  <si>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</si>
  <si>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</si>
  <si>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</si>
  <si>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</si>
  <si>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</si>
  <si>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</si>
  <si>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</si>
  <si>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</si>
  <si>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</si>
  <si>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</si>
  <si>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</si>
  <si>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</si>
  <si>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</si>
  <si>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</si>
  <si>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</si>
  <si>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</si>
  <si>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</si>
  <si>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</si>
  <si>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</si>
  <si>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</si>
  <si>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</si>
  <si>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</si>
  <si>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</si>
  <si>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</si>
  <si>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</si>
  <si>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</si>
  <si>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</si>
  <si>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</si>
  <si>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</si>
  <si>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</si>
  <si>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</si>
  <si>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</si>
  <si>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</si>
  <si>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</si>
  <si>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</si>
  <si>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September 11-25,2018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</si>
</sst>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3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77" t="s">
        <v>152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7" customFormat="1" ht="24.6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7" customFormat="1" ht="24.6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4" t="s">
        <v>91</v>
      </c>
      <c r="I5" s="375"/>
      <c r="J5" s="375"/>
      <c r="K5" s="376"/>
      <c r="L5" s="367" t="s">
        <v>90</v>
      </c>
      <c r="M5" s="363" t="s">
        <v>157</v>
      </c>
      <c r="N5" s="363" t="s">
        <v>158</v>
      </c>
      <c r="O5" s="369" t="s">
        <v>159</v>
      </c>
      <c r="P5" s="370"/>
      <c r="Q5" s="371"/>
      <c r="R5" s="363" t="s">
        <v>160</v>
      </c>
      <c r="S5" s="369" t="s">
        <v>19</v>
      </c>
      <c r="T5" s="370"/>
      <c r="U5" s="371"/>
      <c r="V5" s="363" t="s">
        <v>124</v>
      </c>
      <c r="W5" s="363" t="s">
        <v>125</v>
      </c>
      <c r="X5" s="365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8"/>
      <c r="M6" s="364"/>
      <c r="N6" s="364"/>
      <c r="O6" s="285" t="s">
        <v>167</v>
      </c>
      <c r="P6" s="285" t="s">
        <v>168</v>
      </c>
      <c r="Q6" s="316" t="s">
        <v>125</v>
      </c>
      <c r="R6" s="364"/>
      <c r="S6" s="285" t="s">
        <v>167</v>
      </c>
      <c r="T6" s="285" t="s">
        <v>168</v>
      </c>
      <c r="U6" s="316" t="s">
        <v>125</v>
      </c>
      <c r="V6" s="364"/>
      <c r="W6" s="364"/>
      <c r="X6" s="366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58" t="s">
        <v>174</v>
      </c>
      <c r="G11" s="35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1" t="s">
        <v>221</v>
      </c>
      <c r="G12" s="361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1" t="s">
        <v>224</v>
      </c>
      <c r="G14" s="361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58" t="s">
        <v>224</v>
      </c>
      <c r="G15" s="35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58" t="s">
        <v>173</v>
      </c>
      <c r="G19" s="35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1" t="s">
        <v>235</v>
      </c>
      <c r="G22" s="361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58" t="s">
        <v>235</v>
      </c>
      <c r="G23" s="35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1" t="s">
        <v>235</v>
      </c>
      <c r="G24" s="361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4" t="s">
        <v>91</v>
      </c>
      <c r="I27" s="375"/>
      <c r="J27" s="375"/>
      <c r="K27" s="376"/>
      <c r="L27" s="367" t="s">
        <v>90</v>
      </c>
      <c r="M27" s="363" t="s">
        <v>157</v>
      </c>
      <c r="N27" s="363" t="s">
        <v>158</v>
      </c>
      <c r="O27" s="369" t="s">
        <v>159</v>
      </c>
      <c r="P27" s="370"/>
      <c r="Q27" s="371"/>
      <c r="R27" s="363" t="s">
        <v>160</v>
      </c>
      <c r="S27" s="369" t="s">
        <v>19</v>
      </c>
      <c r="T27" s="370"/>
      <c r="U27" s="371"/>
      <c r="V27" s="363" t="s">
        <v>124</v>
      </c>
      <c r="W27" s="363" t="s">
        <v>125</v>
      </c>
      <c r="X27" s="365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68"/>
      <c r="M28" s="364"/>
      <c r="N28" s="364"/>
      <c r="O28" s="285" t="s">
        <v>167</v>
      </c>
      <c r="P28" s="285" t="s">
        <v>168</v>
      </c>
      <c r="Q28" s="316" t="s">
        <v>125</v>
      </c>
      <c r="R28" s="364"/>
      <c r="S28" s="285" t="s">
        <v>167</v>
      </c>
      <c r="T28" s="285" t="s">
        <v>168</v>
      </c>
      <c r="U28" s="316" t="s">
        <v>125</v>
      </c>
      <c r="V28" s="364"/>
      <c r="W28" s="364"/>
      <c r="X28" s="366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58" t="s">
        <v>173</v>
      </c>
      <c r="G33" s="35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1" t="s">
        <v>173</v>
      </c>
      <c r="G34" s="361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58" t="s">
        <v>224</v>
      </c>
      <c r="G37" s="35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1" t="s">
        <v>224</v>
      </c>
      <c r="G38" s="361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58" t="s">
        <v>173</v>
      </c>
      <c r="G43" s="35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1" t="s">
        <v>173</v>
      </c>
      <c r="G44" s="361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2" t="s">
        <v>238</v>
      </c>
      <c r="G47" s="36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1" t="s">
        <v>239</v>
      </c>
      <c r="G48" s="361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58" t="s">
        <v>239</v>
      </c>
      <c r="G49" s="35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1" t="s">
        <v>239</v>
      </c>
      <c r="G50" s="361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4" t="s">
        <v>91</v>
      </c>
      <c r="I53" s="375"/>
      <c r="J53" s="375"/>
      <c r="K53" s="376"/>
      <c r="L53" s="367" t="s">
        <v>90</v>
      </c>
      <c r="M53" s="363" t="s">
        <v>157</v>
      </c>
      <c r="N53" s="363" t="s">
        <v>158</v>
      </c>
      <c r="O53" s="369" t="s">
        <v>159</v>
      </c>
      <c r="P53" s="370"/>
      <c r="Q53" s="371"/>
      <c r="R53" s="363" t="s">
        <v>160</v>
      </c>
      <c r="S53" s="369" t="s">
        <v>19</v>
      </c>
      <c r="T53" s="370"/>
      <c r="U53" s="371"/>
      <c r="V53" s="363" t="s">
        <v>124</v>
      </c>
      <c r="W53" s="363" t="s">
        <v>125</v>
      </c>
      <c r="X53" s="365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68"/>
      <c r="M54" s="364"/>
      <c r="N54" s="364"/>
      <c r="O54" s="285" t="s">
        <v>167</v>
      </c>
      <c r="P54" s="285" t="s">
        <v>168</v>
      </c>
      <c r="Q54" s="316" t="s">
        <v>125</v>
      </c>
      <c r="R54" s="364"/>
      <c r="S54" s="285" t="s">
        <v>167</v>
      </c>
      <c r="T54" s="285" t="s">
        <v>168</v>
      </c>
      <c r="U54" s="316" t="s">
        <v>125</v>
      </c>
      <c r="V54" s="364"/>
      <c r="W54" s="364"/>
      <c r="X54" s="366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3" t="s">
        <v>177</v>
      </c>
      <c r="G56" s="361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58" t="s">
        <v>173</v>
      </c>
      <c r="G57" s="35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1" t="s">
        <v>224</v>
      </c>
      <c r="G60" s="361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58" t="s">
        <v>224</v>
      </c>
      <c r="G61" s="35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1" t="s">
        <v>174</v>
      </c>
      <c r="G64" s="361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58" t="s">
        <v>173</v>
      </c>
      <c r="G65" s="35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58" t="s">
        <v>165</v>
      </c>
      <c r="G67" s="35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1" t="s">
        <v>244</v>
      </c>
      <c r="G68" s="361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58" t="s">
        <v>244</v>
      </c>
      <c r="G69" s="35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1" t="s">
        <v>244</v>
      </c>
      <c r="G70" s="361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4" t="s">
        <v>91</v>
      </c>
      <c r="I73" s="375"/>
      <c r="J73" s="375"/>
      <c r="K73" s="376"/>
      <c r="L73" s="367" t="s">
        <v>90</v>
      </c>
      <c r="M73" s="363" t="s">
        <v>157</v>
      </c>
      <c r="N73" s="363" t="s">
        <v>158</v>
      </c>
      <c r="O73" s="369" t="s">
        <v>159</v>
      </c>
      <c r="P73" s="370"/>
      <c r="Q73" s="371"/>
      <c r="R73" s="363" t="s">
        <v>160</v>
      </c>
      <c r="S73" s="369" t="s">
        <v>19</v>
      </c>
      <c r="T73" s="370"/>
      <c r="U73" s="371"/>
      <c r="V73" s="363" t="s">
        <v>124</v>
      </c>
      <c r="W73" s="363" t="s">
        <v>125</v>
      </c>
      <c r="X73" s="365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68"/>
      <c r="M74" s="364"/>
      <c r="N74" s="364"/>
      <c r="O74" s="285" t="s">
        <v>167</v>
      </c>
      <c r="P74" s="285" t="s">
        <v>168</v>
      </c>
      <c r="Q74" s="316" t="s">
        <v>125</v>
      </c>
      <c r="R74" s="364"/>
      <c r="S74" s="285" t="s">
        <v>167</v>
      </c>
      <c r="T74" s="285" t="s">
        <v>168</v>
      </c>
      <c r="U74" s="316" t="s">
        <v>125</v>
      </c>
      <c r="V74" s="364"/>
      <c r="W74" s="364"/>
      <c r="X74" s="366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58" t="s">
        <v>173</v>
      </c>
      <c r="G79" s="35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1" t="s">
        <v>173</v>
      </c>
      <c r="G80" s="361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58" t="s">
        <v>224</v>
      </c>
      <c r="G83" s="35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1" t="s">
        <v>224</v>
      </c>
      <c r="G84" s="361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58"/>
      <c r="G91" s="35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58" t="s">
        <v>239</v>
      </c>
      <c r="G95" s="35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58" t="s">
        <v>239</v>
      </c>
      <c r="G96" s="35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58" t="s">
        <v>239</v>
      </c>
      <c r="G97" s="35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4" t="s">
        <v>91</v>
      </c>
      <c r="I100" s="375"/>
      <c r="J100" s="375"/>
      <c r="K100" s="376"/>
      <c r="L100" s="367" t="s">
        <v>90</v>
      </c>
      <c r="M100" s="363" t="s">
        <v>157</v>
      </c>
      <c r="N100" s="363" t="s">
        <v>158</v>
      </c>
      <c r="O100" s="369" t="s">
        <v>159</v>
      </c>
      <c r="P100" s="370"/>
      <c r="Q100" s="371"/>
      <c r="R100" s="363" t="s">
        <v>160</v>
      </c>
      <c r="S100" s="369" t="s">
        <v>19</v>
      </c>
      <c r="T100" s="370"/>
      <c r="U100" s="371"/>
      <c r="V100" s="363" t="s">
        <v>124</v>
      </c>
      <c r="W100" s="363" t="s">
        <v>125</v>
      </c>
      <c r="X100" s="365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68"/>
      <c r="M101" s="364"/>
      <c r="N101" s="364"/>
      <c r="O101" s="285" t="s">
        <v>167</v>
      </c>
      <c r="P101" s="285" t="s">
        <v>168</v>
      </c>
      <c r="Q101" s="316" t="s">
        <v>125</v>
      </c>
      <c r="R101" s="364"/>
      <c r="S101" s="285" t="s">
        <v>167</v>
      </c>
      <c r="T101" s="285" t="s">
        <v>168</v>
      </c>
      <c r="U101" s="316" t="s">
        <v>125</v>
      </c>
      <c r="V101" s="364"/>
      <c r="W101" s="364"/>
      <c r="X101" s="366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1" t="s">
        <v>173</v>
      </c>
      <c r="G105" s="361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58" t="s">
        <v>173</v>
      </c>
      <c r="G106" s="35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58" t="s">
        <v>224</v>
      </c>
      <c r="G108" s="35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1" t="s">
        <v>224</v>
      </c>
      <c r="G109" s="361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58" t="s">
        <v>173</v>
      </c>
      <c r="G112" s="35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1" t="s">
        <v>173</v>
      </c>
      <c r="G113" s="361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0" t="s">
        <v>235</v>
      </c>
      <c r="G115" s="360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58" t="s">
        <v>248</v>
      </c>
      <c r="G116" s="35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60" t="s">
        <v>235</v>
      </c>
      <c r="G117" s="360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58" t="s">
        <v>248</v>
      </c>
      <c r="G118" s="35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4" t="s">
        <v>91</v>
      </c>
      <c r="I121" s="375"/>
      <c r="J121" s="375"/>
      <c r="K121" s="376"/>
      <c r="L121" s="367" t="s">
        <v>90</v>
      </c>
      <c r="M121" s="363" t="s">
        <v>157</v>
      </c>
      <c r="N121" s="363" t="s">
        <v>158</v>
      </c>
      <c r="O121" s="369" t="s">
        <v>159</v>
      </c>
      <c r="P121" s="370"/>
      <c r="Q121" s="371"/>
      <c r="R121" s="363" t="s">
        <v>160</v>
      </c>
      <c r="S121" s="369" t="s">
        <v>19</v>
      </c>
      <c r="T121" s="370"/>
      <c r="U121" s="371"/>
      <c r="V121" s="363" t="s">
        <v>124</v>
      </c>
      <c r="W121" s="363" t="s">
        <v>125</v>
      </c>
      <c r="X121" s="365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68"/>
      <c r="M122" s="364"/>
      <c r="N122" s="364"/>
      <c r="O122" s="285" t="s">
        <v>167</v>
      </c>
      <c r="P122" s="285" t="s">
        <v>168</v>
      </c>
      <c r="Q122" s="316" t="s">
        <v>125</v>
      </c>
      <c r="R122" s="364"/>
      <c r="S122" s="285" t="s">
        <v>167</v>
      </c>
      <c r="T122" s="285" t="s">
        <v>168</v>
      </c>
      <c r="U122" s="316" t="s">
        <v>125</v>
      </c>
      <c r="V122" s="364"/>
      <c r="W122" s="364"/>
      <c r="X122" s="366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58" t="s">
        <v>173</v>
      </c>
      <c r="G129" s="35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58" t="s">
        <v>224</v>
      </c>
      <c r="G132" s="35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1" t="s">
        <v>224</v>
      </c>
      <c r="G133" s="361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1" t="s">
        <v>173</v>
      </c>
      <c r="G138" s="361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58" t="s">
        <v>173</v>
      </c>
      <c r="G139" s="35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1" t="s">
        <v>239</v>
      </c>
      <c r="G142" s="361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58" t="s">
        <v>249</v>
      </c>
      <c r="G143" s="35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1" t="s">
        <v>239</v>
      </c>
      <c r="G144" s="361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58" t="s">
        <v>249</v>
      </c>
      <c r="G145" s="35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4" t="s">
        <v>91</v>
      </c>
      <c r="I148" s="375"/>
      <c r="J148" s="375"/>
      <c r="K148" s="376"/>
      <c r="L148" s="367" t="s">
        <v>90</v>
      </c>
      <c r="M148" s="363" t="s">
        <v>157</v>
      </c>
      <c r="N148" s="363" t="s">
        <v>158</v>
      </c>
      <c r="O148" s="369" t="s">
        <v>159</v>
      </c>
      <c r="P148" s="370"/>
      <c r="Q148" s="371"/>
      <c r="R148" s="363" t="s">
        <v>160</v>
      </c>
      <c r="S148" s="369" t="s">
        <v>19</v>
      </c>
      <c r="T148" s="370"/>
      <c r="U148" s="371"/>
      <c r="V148" s="363" t="s">
        <v>124</v>
      </c>
      <c r="W148" s="363" t="s">
        <v>125</v>
      </c>
      <c r="X148" s="365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68"/>
      <c r="M149" s="364"/>
      <c r="N149" s="364"/>
      <c r="O149" s="285" t="s">
        <v>167</v>
      </c>
      <c r="P149" s="285" t="s">
        <v>168</v>
      </c>
      <c r="Q149" s="316" t="s">
        <v>125</v>
      </c>
      <c r="R149" s="364"/>
      <c r="S149" s="285" t="s">
        <v>167</v>
      </c>
      <c r="T149" s="285" t="s">
        <v>168</v>
      </c>
      <c r="U149" s="316" t="s">
        <v>125</v>
      </c>
      <c r="V149" s="364"/>
      <c r="W149" s="364"/>
      <c r="X149" s="366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1" t="s">
        <v>173</v>
      </c>
      <c r="G157" s="361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58" t="s">
        <v>224</v>
      </c>
      <c r="G160" s="35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1" t="s">
        <v>224</v>
      </c>
      <c r="G161" s="361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58" t="s">
        <v>22</v>
      </c>
      <c r="G164" s="35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1" t="s">
        <v>173</v>
      </c>
      <c r="G165" s="361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58" t="s">
        <v>173</v>
      </c>
      <c r="G166" s="35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0" t="s">
        <v>239</v>
      </c>
      <c r="G169" s="360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58" t="s">
        <v>239</v>
      </c>
      <c r="G170" s="35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60" t="s">
        <v>239</v>
      </c>
      <c r="G171" s="360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58" t="s">
        <v>239</v>
      </c>
      <c r="G172" s="35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4" t="s">
        <v>91</v>
      </c>
      <c r="I175" s="375"/>
      <c r="J175" s="375"/>
      <c r="K175" s="376"/>
      <c r="L175" s="367" t="s">
        <v>90</v>
      </c>
      <c r="M175" s="363" t="s">
        <v>157</v>
      </c>
      <c r="N175" s="363" t="s">
        <v>158</v>
      </c>
      <c r="O175" s="369" t="s">
        <v>159</v>
      </c>
      <c r="P175" s="370"/>
      <c r="Q175" s="371"/>
      <c r="R175" s="363" t="s">
        <v>160</v>
      </c>
      <c r="S175" s="369" t="s">
        <v>19</v>
      </c>
      <c r="T175" s="370"/>
      <c r="U175" s="371"/>
      <c r="V175" s="363" t="s">
        <v>124</v>
      </c>
      <c r="W175" s="363" t="s">
        <v>125</v>
      </c>
      <c r="X175" s="365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68"/>
      <c r="M176" s="364"/>
      <c r="N176" s="364"/>
      <c r="O176" s="285" t="s">
        <v>167</v>
      </c>
      <c r="P176" s="285" t="s">
        <v>168</v>
      </c>
      <c r="Q176" s="316" t="s">
        <v>125</v>
      </c>
      <c r="R176" s="364"/>
      <c r="S176" s="285" t="s">
        <v>167</v>
      </c>
      <c r="T176" s="285" t="s">
        <v>168</v>
      </c>
      <c r="U176" s="316" t="s">
        <v>125</v>
      </c>
      <c r="V176" s="364"/>
      <c r="W176" s="364"/>
      <c r="X176" s="366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1" t="s">
        <v>173</v>
      </c>
      <c r="G182" s="361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58" t="s">
        <v>224</v>
      </c>
      <c r="G185" s="35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1" t="s">
        <v>224</v>
      </c>
      <c r="G186" s="361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58" t="s">
        <v>173</v>
      </c>
      <c r="G193" s="35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2"/>
      <c r="G196" s="36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59" t="s">
        <v>251</v>
      </c>
      <c r="G197" s="360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3" t="s">
        <v>251</v>
      </c>
      <c r="G198" s="361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57" t="s">
        <v>251</v>
      </c>
      <c r="G199" s="35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3" t="s">
        <v>251</v>
      </c>
      <c r="G200" s="361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4" t="s">
        <v>91</v>
      </c>
      <c r="I203" s="375"/>
      <c r="J203" s="375"/>
      <c r="K203" s="376"/>
      <c r="L203" s="367" t="s">
        <v>90</v>
      </c>
      <c r="M203" s="363" t="s">
        <v>157</v>
      </c>
      <c r="N203" s="363" t="s">
        <v>158</v>
      </c>
      <c r="O203" s="369" t="s">
        <v>159</v>
      </c>
      <c r="P203" s="370"/>
      <c r="Q203" s="371"/>
      <c r="R203" s="363" t="s">
        <v>160</v>
      </c>
      <c r="S203" s="369" t="s">
        <v>19</v>
      </c>
      <c r="T203" s="370"/>
      <c r="U203" s="371"/>
      <c r="V203" s="363" t="s">
        <v>124</v>
      </c>
      <c r="W203" s="363" t="s">
        <v>125</v>
      </c>
      <c r="X203" s="365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68"/>
      <c r="M204" s="364"/>
      <c r="N204" s="364"/>
      <c r="O204" s="285" t="s">
        <v>167</v>
      </c>
      <c r="P204" s="285" t="s">
        <v>168</v>
      </c>
      <c r="Q204" s="316" t="s">
        <v>125</v>
      </c>
      <c r="R204" s="364"/>
      <c r="S204" s="285" t="s">
        <v>167</v>
      </c>
      <c r="T204" s="285" t="s">
        <v>168</v>
      </c>
      <c r="U204" s="316" t="s">
        <v>125</v>
      </c>
      <c r="V204" s="364"/>
      <c r="W204" s="364"/>
      <c r="X204" s="366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1" t="s">
        <v>173</v>
      </c>
      <c r="G210" s="361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58" t="s">
        <v>224</v>
      </c>
      <c r="G213" s="35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1" t="s">
        <v>224</v>
      </c>
      <c r="G214" s="361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58" t="s">
        <v>173</v>
      </c>
      <c r="G221" s="35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2"/>
      <c r="G224" s="36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59" t="s">
        <v>177</v>
      </c>
      <c r="G225" s="360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3" t="s">
        <v>177</v>
      </c>
      <c r="G226" s="361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57" t="s">
        <v>177</v>
      </c>
      <c r="G227" s="35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3" t="s">
        <v>177</v>
      </c>
      <c r="G228" s="361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4" t="s">
        <v>91</v>
      </c>
      <c r="I231" s="375"/>
      <c r="J231" s="375"/>
      <c r="K231" s="376"/>
      <c r="L231" s="367" t="s">
        <v>90</v>
      </c>
      <c r="M231" s="363" t="s">
        <v>157</v>
      </c>
      <c r="N231" s="363" t="s">
        <v>158</v>
      </c>
      <c r="O231" s="369" t="s">
        <v>159</v>
      </c>
      <c r="P231" s="370"/>
      <c r="Q231" s="371"/>
      <c r="R231" s="363" t="s">
        <v>160</v>
      </c>
      <c r="S231" s="369" t="s">
        <v>19</v>
      </c>
      <c r="T231" s="370"/>
      <c r="U231" s="371"/>
      <c r="V231" s="363" t="s">
        <v>124</v>
      </c>
      <c r="W231" s="363" t="s">
        <v>125</v>
      </c>
      <c r="X231" s="365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68"/>
      <c r="M232" s="364"/>
      <c r="N232" s="364"/>
      <c r="O232" s="285" t="s">
        <v>167</v>
      </c>
      <c r="P232" s="285" t="s">
        <v>168</v>
      </c>
      <c r="Q232" s="316" t="s">
        <v>125</v>
      </c>
      <c r="R232" s="364"/>
      <c r="S232" s="285" t="s">
        <v>167</v>
      </c>
      <c r="T232" s="285" t="s">
        <v>168</v>
      </c>
      <c r="U232" s="316" t="s">
        <v>125</v>
      </c>
      <c r="V232" s="364"/>
      <c r="W232" s="364"/>
      <c r="X232" s="366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58" t="s">
        <v>173</v>
      </c>
      <c r="G237" s="35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58" t="s">
        <v>224</v>
      </c>
      <c r="G239" s="35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1" t="s">
        <v>224</v>
      </c>
      <c r="G240" s="361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58" t="s">
        <v>165</v>
      </c>
      <c r="G241" s="35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58" t="s">
        <v>174</v>
      </c>
      <c r="G243" s="35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1" t="s">
        <v>173</v>
      </c>
      <c r="G244" s="361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2" t="s">
        <v>255</v>
      </c>
      <c r="G245" s="36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0" t="s">
        <v>255</v>
      </c>
      <c r="G246" s="360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2" t="s">
        <v>255</v>
      </c>
      <c r="G247" s="36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60" t="s">
        <v>255</v>
      </c>
      <c r="G248" s="360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2" t="s">
        <v>255</v>
      </c>
      <c r="G249" s="36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4" t="s">
        <v>91</v>
      </c>
      <c r="I252" s="375"/>
      <c r="J252" s="375"/>
      <c r="K252" s="376"/>
      <c r="L252" s="367" t="s">
        <v>90</v>
      </c>
      <c r="M252" s="363" t="s">
        <v>157</v>
      </c>
      <c r="N252" s="363" t="s">
        <v>158</v>
      </c>
      <c r="O252" s="369" t="s">
        <v>159</v>
      </c>
      <c r="P252" s="370"/>
      <c r="Q252" s="371"/>
      <c r="R252" s="363" t="s">
        <v>160</v>
      </c>
      <c r="S252" s="369" t="s">
        <v>19</v>
      </c>
      <c r="T252" s="370"/>
      <c r="U252" s="371"/>
      <c r="V252" s="363" t="s">
        <v>124</v>
      </c>
      <c r="W252" s="363" t="s">
        <v>125</v>
      </c>
      <c r="X252" s="365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68"/>
      <c r="M253" s="364"/>
      <c r="N253" s="364"/>
      <c r="O253" s="285" t="s">
        <v>167</v>
      </c>
      <c r="P253" s="285" t="s">
        <v>168</v>
      </c>
      <c r="Q253" s="316" t="s">
        <v>125</v>
      </c>
      <c r="R253" s="364"/>
      <c r="S253" s="285" t="s">
        <v>167</v>
      </c>
      <c r="T253" s="285" t="s">
        <v>168</v>
      </c>
      <c r="U253" s="316" t="s">
        <v>125</v>
      </c>
      <c r="V253" s="364"/>
      <c r="W253" s="364"/>
      <c r="X253" s="366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58" t="s">
        <v>173</v>
      </c>
      <c r="G258" s="35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1" t="s">
        <v>173</v>
      </c>
      <c r="G259" s="361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58" t="s">
        <v>224</v>
      </c>
      <c r="G262" s="35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1" t="s">
        <v>224</v>
      </c>
      <c r="G263" s="361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58" t="s">
        <v>173</v>
      </c>
      <c r="G268" s="35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1" t="s">
        <v>173</v>
      </c>
      <c r="G269" s="361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0"/>
      <c r="G272" s="360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2" t="s">
        <v>177</v>
      </c>
      <c r="G273" s="36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57" t="s">
        <v>177</v>
      </c>
      <c r="G274" s="35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3" t="s">
        <v>177</v>
      </c>
      <c r="G275" s="361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57" t="s">
        <v>177</v>
      </c>
      <c r="G276" s="35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4" t="s">
        <v>91</v>
      </c>
      <c r="I279" s="375"/>
      <c r="J279" s="375"/>
      <c r="K279" s="376"/>
      <c r="L279" s="367" t="s">
        <v>90</v>
      </c>
      <c r="M279" s="363" t="s">
        <v>157</v>
      </c>
      <c r="N279" s="363" t="s">
        <v>158</v>
      </c>
      <c r="O279" s="369" t="s">
        <v>159</v>
      </c>
      <c r="P279" s="370"/>
      <c r="Q279" s="371"/>
      <c r="R279" s="363" t="s">
        <v>160</v>
      </c>
      <c r="S279" s="369" t="s">
        <v>19</v>
      </c>
      <c r="T279" s="370"/>
      <c r="U279" s="371"/>
      <c r="V279" s="363" t="s">
        <v>124</v>
      </c>
      <c r="W279" s="363" t="s">
        <v>125</v>
      </c>
      <c r="X279" s="365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68"/>
      <c r="M280" s="364"/>
      <c r="N280" s="364"/>
      <c r="O280" s="285" t="s">
        <v>167</v>
      </c>
      <c r="P280" s="285" t="s">
        <v>168</v>
      </c>
      <c r="Q280" s="316" t="s">
        <v>125</v>
      </c>
      <c r="R280" s="364"/>
      <c r="S280" s="285" t="s">
        <v>167</v>
      </c>
      <c r="T280" s="285" t="s">
        <v>168</v>
      </c>
      <c r="U280" s="316" t="s">
        <v>125</v>
      </c>
      <c r="V280" s="364"/>
      <c r="W280" s="364"/>
      <c r="X280" s="366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1" t="s">
        <v>173</v>
      </c>
      <c r="G284" s="361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58" t="s">
        <v>173</v>
      </c>
      <c r="G285" s="35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2"/>
      <c r="G288" s="36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58" t="s">
        <v>224</v>
      </c>
      <c r="G289" s="35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1" t="s">
        <v>224</v>
      </c>
      <c r="G290" s="361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58" t="s">
        <v>173</v>
      </c>
      <c r="G297" s="35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2"/>
      <c r="G298" s="36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59" t="s">
        <v>257</v>
      </c>
      <c r="G299" s="360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59" t="s">
        <v>257</v>
      </c>
      <c r="G300" s="360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57" t="s">
        <v>257</v>
      </c>
      <c r="G301" s="35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59" t="s">
        <v>257</v>
      </c>
      <c r="G302" s="360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57" t="s">
        <v>257</v>
      </c>
      <c r="G303" s="35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77" t="s">
        <v>258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7" customFormat="1" ht="24.6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7" customFormat="1" ht="24.6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4" t="s">
        <v>91</v>
      </c>
      <c r="I5" s="375"/>
      <c r="J5" s="375"/>
      <c r="K5" s="376"/>
      <c r="L5" s="367" t="s">
        <v>90</v>
      </c>
      <c r="M5" s="363" t="s">
        <v>157</v>
      </c>
      <c r="N5" s="363" t="s">
        <v>158</v>
      </c>
      <c r="O5" s="369" t="s">
        <v>159</v>
      </c>
      <c r="P5" s="370"/>
      <c r="Q5" s="371"/>
      <c r="R5" s="363" t="s">
        <v>160</v>
      </c>
      <c r="S5" s="369" t="s">
        <v>19</v>
      </c>
      <c r="T5" s="370"/>
      <c r="U5" s="371"/>
      <c r="V5" s="363" t="s">
        <v>124</v>
      </c>
      <c r="W5" s="363" t="s">
        <v>125</v>
      </c>
      <c r="X5" s="365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8"/>
      <c r="M6" s="364"/>
      <c r="N6" s="364"/>
      <c r="O6" s="285" t="s">
        <v>167</v>
      </c>
      <c r="P6" s="285" t="s">
        <v>168</v>
      </c>
      <c r="Q6" s="316" t="s">
        <v>125</v>
      </c>
      <c r="R6" s="364"/>
      <c r="S6" s="285" t="s">
        <v>167</v>
      </c>
      <c r="T6" s="285" t="s">
        <v>168</v>
      </c>
      <c r="U6" s="316" t="s">
        <v>125</v>
      </c>
      <c r="V6" s="364"/>
      <c r="W6" s="364"/>
      <c r="X6" s="366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1"/>
      <c r="G14" s="361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1" t="s">
        <v>224</v>
      </c>
      <c r="G16" s="361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58" t="s">
        <v>224</v>
      </c>
      <c r="G17" s="35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1" t="s">
        <v>173</v>
      </c>
      <c r="G22" s="361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58" t="s">
        <v>235</v>
      </c>
      <c r="G25" s="35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1" t="s">
        <v>235</v>
      </c>
      <c r="G26" s="361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58" t="s">
        <v>235</v>
      </c>
      <c r="G27" s="35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4" t="s">
        <v>91</v>
      </c>
      <c r="I30" s="375"/>
      <c r="J30" s="375"/>
      <c r="K30" s="376"/>
      <c r="L30" s="367" t="s">
        <v>90</v>
      </c>
      <c r="M30" s="363" t="s">
        <v>157</v>
      </c>
      <c r="N30" s="363" t="s">
        <v>158</v>
      </c>
      <c r="O30" s="369" t="s">
        <v>159</v>
      </c>
      <c r="P30" s="370"/>
      <c r="Q30" s="371"/>
      <c r="R30" s="363" t="s">
        <v>160</v>
      </c>
      <c r="S30" s="369" t="s">
        <v>19</v>
      </c>
      <c r="T30" s="370"/>
      <c r="U30" s="371"/>
      <c r="V30" s="363" t="s">
        <v>124</v>
      </c>
      <c r="W30" s="363" t="s">
        <v>125</v>
      </c>
      <c r="X30" s="365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68"/>
      <c r="M31" s="364"/>
      <c r="N31" s="364"/>
      <c r="O31" s="285" t="s">
        <v>167</v>
      </c>
      <c r="P31" s="285" t="s">
        <v>168</v>
      </c>
      <c r="Q31" s="316" t="s">
        <v>125</v>
      </c>
      <c r="R31" s="364"/>
      <c r="S31" s="285" t="s">
        <v>167</v>
      </c>
      <c r="T31" s="285" t="s">
        <v>168</v>
      </c>
      <c r="U31" s="316" t="s">
        <v>125</v>
      </c>
      <c r="V31" s="364"/>
      <c r="W31" s="364"/>
      <c r="X31" s="366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58" t="s">
        <v>263</v>
      </c>
      <c r="G32" s="35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3" t="s">
        <v>207</v>
      </c>
      <c r="G33" s="37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58" t="s">
        <v>173</v>
      </c>
      <c r="G34" s="35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1" t="s">
        <v>173</v>
      </c>
      <c r="G35" s="361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57" t="s">
        <v>201</v>
      </c>
      <c r="G36" s="35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1" t="s">
        <v>224</v>
      </c>
      <c r="G37" s="361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1" t="s">
        <v>224</v>
      </c>
      <c r="G38" s="361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3" t="s">
        <v>201</v>
      </c>
      <c r="G39" s="361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57" t="s">
        <v>201</v>
      </c>
      <c r="G40" s="35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1" t="s">
        <v>173</v>
      </c>
      <c r="G41" s="361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58" t="s">
        <v>173</v>
      </c>
      <c r="G42" s="35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3" t="s">
        <v>201</v>
      </c>
      <c r="G43" s="361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57" t="s">
        <v>201</v>
      </c>
      <c r="G44" s="35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3" t="s">
        <v>201</v>
      </c>
      <c r="G45" s="361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57" t="s">
        <v>201</v>
      </c>
      <c r="G46" s="35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3" t="s">
        <v>201</v>
      </c>
      <c r="G47" s="361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4" t="s">
        <v>91</v>
      </c>
      <c r="I50" s="375"/>
      <c r="J50" s="375"/>
      <c r="K50" s="376"/>
      <c r="L50" s="367" t="s">
        <v>90</v>
      </c>
      <c r="M50" s="363" t="s">
        <v>157</v>
      </c>
      <c r="N50" s="363" t="s">
        <v>158</v>
      </c>
      <c r="O50" s="369" t="s">
        <v>159</v>
      </c>
      <c r="P50" s="370"/>
      <c r="Q50" s="371"/>
      <c r="R50" s="363" t="s">
        <v>160</v>
      </c>
      <c r="S50" s="369" t="s">
        <v>19</v>
      </c>
      <c r="T50" s="370"/>
      <c r="U50" s="371"/>
      <c r="V50" s="363" t="s">
        <v>124</v>
      </c>
      <c r="W50" s="363" t="s">
        <v>125</v>
      </c>
      <c r="X50" s="365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68"/>
      <c r="M51" s="364"/>
      <c r="N51" s="364"/>
      <c r="O51" s="285" t="s">
        <v>167</v>
      </c>
      <c r="P51" s="285" t="s">
        <v>168</v>
      </c>
      <c r="Q51" s="316" t="s">
        <v>125</v>
      </c>
      <c r="R51" s="364"/>
      <c r="S51" s="285" t="s">
        <v>167</v>
      </c>
      <c r="T51" s="285" t="s">
        <v>168</v>
      </c>
      <c r="U51" s="316" t="s">
        <v>125</v>
      </c>
      <c r="V51" s="364"/>
      <c r="W51" s="364"/>
      <c r="X51" s="366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57" t="s">
        <v>201</v>
      </c>
      <c r="G52" s="35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3" t="s">
        <v>201</v>
      </c>
      <c r="G53" s="37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58" t="s">
        <v>173</v>
      </c>
      <c r="G54" s="35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1" t="s">
        <v>173</v>
      </c>
      <c r="G55" s="361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57" t="s">
        <v>201</v>
      </c>
      <c r="G56" s="35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1" t="s">
        <v>224</v>
      </c>
      <c r="G57" s="361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58" t="s">
        <v>224</v>
      </c>
      <c r="G58" s="35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3" t="s">
        <v>201</v>
      </c>
      <c r="G59" s="361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57" t="s">
        <v>201</v>
      </c>
      <c r="G60" s="35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1" t="s">
        <v>173</v>
      </c>
      <c r="G61" s="361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58" t="s">
        <v>173</v>
      </c>
      <c r="G62" s="35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3" t="s">
        <v>201</v>
      </c>
      <c r="G63" s="361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57" t="s">
        <v>201</v>
      </c>
      <c r="G64" s="35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3" t="s">
        <v>201</v>
      </c>
      <c r="G65" s="361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57" t="s">
        <v>201</v>
      </c>
      <c r="G66" s="35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3" t="s">
        <v>201</v>
      </c>
      <c r="G67" s="361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opLeftCell="A50" workbookViewId="0">
      <selection activeCell="N67" sqref="N67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3" width="9.6640625" style="126" customWidth="1"/>
    <col min="14" max="14" width="12" style="126" customWidth="1"/>
    <col min="15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292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383"/>
      <c r="B5" s="385" t="s">
        <v>0</v>
      </c>
      <c r="C5" s="387" t="s">
        <v>1</v>
      </c>
      <c r="D5" s="388" t="s">
        <v>13</v>
      </c>
      <c r="E5" s="387" t="s">
        <v>14</v>
      </c>
      <c r="F5" s="388"/>
      <c r="G5" s="387" t="s">
        <v>16</v>
      </c>
      <c r="H5" s="388" t="s">
        <v>44</v>
      </c>
      <c r="I5" s="421" t="s">
        <v>118</v>
      </c>
      <c r="J5" s="427" t="s">
        <v>91</v>
      </c>
      <c r="K5" s="428"/>
      <c r="L5" s="429"/>
      <c r="M5" s="410" t="s">
        <v>108</v>
      </c>
      <c r="N5" s="411"/>
      <c r="O5" s="411"/>
      <c r="P5" s="387" t="s">
        <v>2</v>
      </c>
      <c r="Q5" s="388" t="s">
        <v>17</v>
      </c>
      <c r="R5" s="387" t="s">
        <v>2</v>
      </c>
      <c r="S5" s="388" t="s">
        <v>18</v>
      </c>
      <c r="T5" s="387" t="s">
        <v>2</v>
      </c>
      <c r="U5" s="388" t="s">
        <v>19</v>
      </c>
      <c r="V5" s="387" t="s">
        <v>2</v>
      </c>
      <c r="W5" s="388" t="s">
        <v>20</v>
      </c>
      <c r="X5" s="415" t="s">
        <v>3</v>
      </c>
    </row>
    <row r="6" spans="1:26" s="138" customFormat="1" ht="27" customHeight="1" thickBot="1">
      <c r="A6" s="384"/>
      <c r="B6" s="386"/>
      <c r="C6" s="386"/>
      <c r="D6" s="389"/>
      <c r="E6" s="390"/>
      <c r="F6" s="389"/>
      <c r="G6" s="390"/>
      <c r="H6" s="414"/>
      <c r="I6" s="42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6"/>
      <c r="Q6" s="389"/>
      <c r="R6" s="386"/>
      <c r="S6" s="389"/>
      <c r="T6" s="386"/>
      <c r="U6" s="389"/>
      <c r="V6" s="386"/>
      <c r="W6" s="414"/>
      <c r="X6" s="416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f>5538+130+195+195+(15*13)+(21*13)</f>
        <v>6526</v>
      </c>
      <c r="E7" s="130">
        <f>+D7/13</f>
        <v>502</v>
      </c>
      <c r="F7" s="352">
        <v>12</v>
      </c>
      <c r="G7" s="132">
        <f>+D7</f>
        <v>6526</v>
      </c>
      <c r="H7" s="20">
        <f>(F7+J7+K7+L7+Q7)*10</f>
        <v>130</v>
      </c>
      <c r="I7" s="20"/>
      <c r="J7" s="133">
        <v>0</v>
      </c>
      <c r="K7" s="133">
        <f>+'10.26-11.10'!I25</f>
        <v>0</v>
      </c>
      <c r="L7" s="133">
        <v>1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2</v>
      </c>
      <c r="V7" s="21">
        <f>(E7/8/10)*U7</f>
        <v>12.55</v>
      </c>
      <c r="W7" s="136"/>
      <c r="X7" s="137">
        <f>+G7+H7+P7+R7+T7+V7+W7+I7</f>
        <v>6668.55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353">
        <v>13</v>
      </c>
      <c r="G8" s="141">
        <f>+D8</f>
        <v>6526</v>
      </c>
      <c r="H8" s="20">
        <f t="shared" ref="H8:H14" si="0">(F8+J8+K8+L8+Q8)*10</f>
        <v>130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3">
        <v>5</v>
      </c>
      <c r="V8" s="21">
        <f t="shared" ref="V8:V16" si="4">(E8/8/10)*U8</f>
        <v>31.375</v>
      </c>
      <c r="W8" s="15"/>
      <c r="X8" s="137">
        <f t="shared" ref="X8:X16" si="5">+G8+H8+P8+R8+T8+V8+W8+I8</f>
        <v>6687.375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13</v>
      </c>
      <c r="G9" s="141">
        <f>D9</f>
        <v>10273</v>
      </c>
      <c r="H9" s="20">
        <f t="shared" si="0"/>
        <v>130</v>
      </c>
      <c r="I9" s="21">
        <f>50</f>
        <v>50</v>
      </c>
      <c r="J9" s="73">
        <v>0</v>
      </c>
      <c r="K9" s="73">
        <v>0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3">
        <v>8</v>
      </c>
      <c r="V9" s="21">
        <f t="shared" si="4"/>
        <v>79.023076923076928</v>
      </c>
      <c r="W9" s="15"/>
      <c r="X9" s="137">
        <f t="shared" si="5"/>
        <v>10532.023076923077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f>5538+130+195+195+(15*13)+(21*13)</f>
        <v>6526</v>
      </c>
      <c r="E10" s="130">
        <f>+D10/13</f>
        <v>502</v>
      </c>
      <c r="F10" s="353">
        <v>13</v>
      </c>
      <c r="G10" s="141">
        <f t="shared" ref="G10:G16" si="6">+D10</f>
        <v>6526</v>
      </c>
      <c r="H10" s="20">
        <f t="shared" si="0"/>
        <v>130</v>
      </c>
      <c r="I10" s="21"/>
      <c r="J10" s="73">
        <v>0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3">
        <v>3</v>
      </c>
      <c r="V10" s="21">
        <f t="shared" si="4"/>
        <v>18.825000000000003</v>
      </c>
      <c r="W10" s="15"/>
      <c r="X10" s="137">
        <f t="shared" si="5"/>
        <v>6674.8249999999998</v>
      </c>
      <c r="Y10" s="142"/>
      <c r="Z10" s="142"/>
    </row>
    <row r="11" spans="1:26" s="138" customFormat="1" ht="12" customHeight="1" thickBot="1">
      <c r="A11" s="139">
        <v>5</v>
      </c>
      <c r="B11" s="22" t="s">
        <v>273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353">
        <v>13</v>
      </c>
      <c r="G11" s="141">
        <f t="shared" si="6"/>
        <v>6526</v>
      </c>
      <c r="H11" s="20">
        <f t="shared" si="0"/>
        <v>130</v>
      </c>
      <c r="I11" s="21"/>
      <c r="J11" s="73">
        <v>0</v>
      </c>
      <c r="K11" s="73">
        <f>+'10.26-11.10(SI)'!I28</f>
        <v>0</v>
      </c>
      <c r="L11" s="73">
        <f>+'10.26-11.10(SI)'!J28</f>
        <v>0</v>
      </c>
      <c r="M11" s="353">
        <v>2</v>
      </c>
      <c r="N11" s="73">
        <f>+'10.26-11.10(SI)'!P28</f>
        <v>0</v>
      </c>
      <c r="O11" s="73">
        <f>+'10.26-11.10(SI)'!Q28</f>
        <v>0</v>
      </c>
      <c r="P11" s="233">
        <f t="shared" si="1"/>
        <v>156.875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353">
        <v>7</v>
      </c>
      <c r="V11" s="21">
        <f t="shared" si="4"/>
        <v>43.925000000000004</v>
      </c>
      <c r="W11" s="15"/>
      <c r="X11" s="137">
        <f t="shared" si="5"/>
        <v>6856.8</v>
      </c>
    </row>
    <row r="12" spans="1:26" s="138" customFormat="1" ht="12" customHeight="1" thickBot="1">
      <c r="A12" s="139">
        <v>6</v>
      </c>
      <c r="B12" s="22" t="s">
        <v>268</v>
      </c>
      <c r="C12" s="72" t="s">
        <v>269</v>
      </c>
      <c r="D12" s="73">
        <f>6253+(21*13)</f>
        <v>6526</v>
      </c>
      <c r="E12" s="130">
        <f t="shared" si="7"/>
        <v>502</v>
      </c>
      <c r="F12" s="353">
        <v>13</v>
      </c>
      <c r="G12" s="141">
        <f>+D12</f>
        <v>6526</v>
      </c>
      <c r="H12" s="20">
        <f t="shared" si="0"/>
        <v>130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3">
        <v>1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78.4375</v>
      </c>
      <c r="Q12" s="73"/>
      <c r="R12" s="21">
        <f>+Q12*E12</f>
        <v>0</v>
      </c>
      <c r="S12" s="73"/>
      <c r="T12" s="21">
        <f>(+S12*E12)*0.3</f>
        <v>0</v>
      </c>
      <c r="U12" s="353">
        <v>4</v>
      </c>
      <c r="V12" s="21">
        <f>(E12/8/10)*U12</f>
        <v>25.1</v>
      </c>
      <c r="W12" s="15"/>
      <c r="X12" s="137">
        <f t="shared" si="5"/>
        <v>6759.5375000000004</v>
      </c>
    </row>
    <row r="13" spans="1:26" s="138" customFormat="1" ht="12" customHeight="1" thickBot="1">
      <c r="A13" s="139">
        <v>7</v>
      </c>
      <c r="B13" s="22" t="s">
        <v>270</v>
      </c>
      <c r="C13" s="72" t="s">
        <v>271</v>
      </c>
      <c r="D13" s="73">
        <f>6253+(21*13)</f>
        <v>6526</v>
      </c>
      <c r="E13" s="130">
        <f t="shared" si="7"/>
        <v>502</v>
      </c>
      <c r="F13" s="353">
        <v>12</v>
      </c>
      <c r="G13" s="141">
        <f t="shared" si="6"/>
        <v>6526</v>
      </c>
      <c r="H13" s="20">
        <f t="shared" si="0"/>
        <v>120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353">
        <v>11</v>
      </c>
      <c r="V13" s="21">
        <f t="shared" si="4"/>
        <v>69.025000000000006</v>
      </c>
      <c r="W13" s="15"/>
      <c r="X13" s="137">
        <f t="shared" si="5"/>
        <v>6715.0249999999996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8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8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49429</v>
      </c>
      <c r="H18" s="3">
        <f>SUM(H7:H16)</f>
        <v>900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235.3125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279.82307692307694</v>
      </c>
      <c r="W18" s="4"/>
      <c r="X18" s="3">
        <f>SUM(X7:X16)</f>
        <v>50894.135576923079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1"/>
      <c r="B20" s="393" t="s">
        <v>0</v>
      </c>
      <c r="C20" s="395" t="s">
        <v>1</v>
      </c>
      <c r="D20" s="381" t="s">
        <v>3</v>
      </c>
      <c r="E20" s="417" t="s">
        <v>22</v>
      </c>
      <c r="F20" s="423" t="s">
        <v>2</v>
      </c>
      <c r="G20" s="425" t="s">
        <v>21</v>
      </c>
      <c r="H20" s="381" t="s">
        <v>2</v>
      </c>
      <c r="I20" s="419" t="s">
        <v>126</v>
      </c>
      <c r="J20" s="406" t="s">
        <v>4</v>
      </c>
      <c r="K20" s="408" t="s">
        <v>23</v>
      </c>
      <c r="L20" s="381" t="s">
        <v>5</v>
      </c>
      <c r="M20" s="381" t="s">
        <v>6</v>
      </c>
      <c r="N20" s="381" t="s">
        <v>24</v>
      </c>
      <c r="O20" s="381" t="s">
        <v>7</v>
      </c>
      <c r="P20" s="401" t="s">
        <v>3</v>
      </c>
      <c r="Q20" s="244"/>
      <c r="R20" s="152" t="s">
        <v>103</v>
      </c>
      <c r="S20" s="244"/>
    </row>
    <row r="21" spans="1:24" s="138" customFormat="1" ht="15" customHeight="1" thickBot="1">
      <c r="A21" s="392"/>
      <c r="B21" s="394"/>
      <c r="C21" s="396"/>
      <c r="D21" s="413"/>
      <c r="E21" s="418"/>
      <c r="F21" s="424"/>
      <c r="G21" s="426"/>
      <c r="H21" s="397"/>
      <c r="I21" s="420"/>
      <c r="J21" s="407"/>
      <c r="K21" s="409"/>
      <c r="L21" s="397"/>
      <c r="M21" s="397"/>
      <c r="N21" s="413"/>
      <c r="O21" s="397"/>
      <c r="P21" s="402"/>
      <c r="R21" s="250" t="str">
        <f>D3</f>
        <v>September 11-25,2018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9">+X7</f>
        <v>6668.55</v>
      </c>
      <c r="E22" s="354">
        <f>+'10.26-11.10'!R25</f>
        <v>0</v>
      </c>
      <c r="F22" s="355">
        <f>+E22*E7</f>
        <v>0</v>
      </c>
      <c r="G22" s="354">
        <v>2</v>
      </c>
      <c r="H22" s="355">
        <f>(+E7/8)*G22</f>
        <v>125.5</v>
      </c>
      <c r="I22" s="354"/>
      <c r="J22" s="155">
        <v>490.5</v>
      </c>
      <c r="K22" s="17">
        <v>699.77</v>
      </c>
      <c r="L22" s="15">
        <v>187.5</v>
      </c>
      <c r="M22" s="156"/>
      <c r="N22" s="17">
        <v>579.05999999999995</v>
      </c>
      <c r="O22" s="156"/>
      <c r="P22" s="158">
        <f>+D22-F22-H22-J22-K22-L22-M22-N22-O22-I22</f>
        <v>4586.2200000000012</v>
      </c>
      <c r="R22" s="71">
        <f t="shared" ref="R22:R31" si="10">G7+H7+P7+R7+T7+V7+W7-F22-H22</f>
        <v>6543.05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9"/>
        <v>6687.375</v>
      </c>
      <c r="E23" s="353">
        <f>+'10.26-11.10'!R229</f>
        <v>0</v>
      </c>
      <c r="F23" s="356">
        <f t="shared" ref="F23:F31" si="11">+E23*E8</f>
        <v>0</v>
      </c>
      <c r="G23" s="353"/>
      <c r="H23" s="356">
        <f t="shared" ref="H23:H31" si="12">(+E8/8)*G23</f>
        <v>0</v>
      </c>
      <c r="I23" s="353"/>
      <c r="J23" s="15">
        <v>490.5</v>
      </c>
      <c r="K23" s="15"/>
      <c r="L23" s="15">
        <v>187.5</v>
      </c>
      <c r="M23" s="18"/>
      <c r="N23" s="15"/>
      <c r="O23" s="18"/>
      <c r="P23" s="158">
        <f t="shared" ref="P23:P31" si="13">+D23-F23-H23-J23-K23-L23-M23-N23-O23-I23</f>
        <v>6009.375</v>
      </c>
      <c r="R23" s="71">
        <f t="shared" si="10"/>
        <v>6687.375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9"/>
        <v>10532.023076923077</v>
      </c>
      <c r="E24" s="353">
        <v>0</v>
      </c>
      <c r="F24" s="356">
        <f t="shared" si="11"/>
        <v>0</v>
      </c>
      <c r="G24" s="353">
        <f>4+3.5</f>
        <v>7.5</v>
      </c>
      <c r="H24" s="356">
        <f>(+E9/8)*G24</f>
        <v>740.84134615384619</v>
      </c>
      <c r="I24" s="353"/>
      <c r="J24" s="15">
        <v>581.29999999999995</v>
      </c>
      <c r="K24" s="15"/>
      <c r="L24" s="15">
        <v>262.5</v>
      </c>
      <c r="M24" s="18"/>
      <c r="N24" s="15"/>
      <c r="O24" s="18"/>
      <c r="P24" s="158">
        <f t="shared" si="13"/>
        <v>8947.3817307692316</v>
      </c>
      <c r="R24" s="71">
        <f t="shared" si="10"/>
        <v>9741.1817307692309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9"/>
        <v>6674.8249999999998</v>
      </c>
      <c r="E25" s="353">
        <v>0</v>
      </c>
      <c r="F25" s="356">
        <f t="shared" si="11"/>
        <v>0</v>
      </c>
      <c r="G25" s="353">
        <v>2</v>
      </c>
      <c r="H25" s="356">
        <f t="shared" ref="H25" si="14">(+E10/8)*G25</f>
        <v>125.5</v>
      </c>
      <c r="I25" s="353"/>
      <c r="J25" s="15">
        <v>472.3</v>
      </c>
      <c r="K25" s="15">
        <v>600</v>
      </c>
      <c r="L25" s="15">
        <v>175</v>
      </c>
      <c r="M25" s="18"/>
      <c r="N25" s="15">
        <v>567</v>
      </c>
      <c r="O25" s="18"/>
      <c r="P25" s="158">
        <f t="shared" si="13"/>
        <v>4735.0249999999996</v>
      </c>
      <c r="R25" s="71">
        <f t="shared" si="10"/>
        <v>6549.3249999999998</v>
      </c>
    </row>
    <row r="26" spans="1:24" s="138" customFormat="1" ht="12" customHeight="1">
      <c r="A26" s="139">
        <v>5</v>
      </c>
      <c r="B26" s="22" t="str">
        <f t="shared" ref="B26:B31" si="15">+B11</f>
        <v>Briones, Christian Joy</v>
      </c>
      <c r="C26" s="248" t="str">
        <f t="shared" ref="C26:C31" si="16">C11</f>
        <v>Asst. Cook</v>
      </c>
      <c r="D26" s="141">
        <f t="shared" si="9"/>
        <v>6856.8</v>
      </c>
      <c r="E26" s="353">
        <v>0</v>
      </c>
      <c r="F26" s="356">
        <f t="shared" si="11"/>
        <v>0</v>
      </c>
      <c r="G26" s="353">
        <v>2</v>
      </c>
      <c r="H26" s="356">
        <f t="shared" si="12"/>
        <v>125.5</v>
      </c>
      <c r="I26" s="353"/>
      <c r="J26" s="15">
        <v>454.2</v>
      </c>
      <c r="K26" s="15">
        <v>969.04</v>
      </c>
      <c r="L26" s="15">
        <v>157.5</v>
      </c>
      <c r="M26" s="18"/>
      <c r="N26" s="15"/>
      <c r="O26" s="18"/>
      <c r="P26" s="158">
        <f t="shared" si="13"/>
        <v>5150.5600000000004</v>
      </c>
      <c r="R26" s="71">
        <f t="shared" si="10"/>
        <v>6731.3</v>
      </c>
    </row>
    <row r="27" spans="1:24" s="138" customFormat="1" ht="12" customHeight="1">
      <c r="A27" s="139">
        <v>6</v>
      </c>
      <c r="B27" s="22" t="str">
        <f t="shared" si="15"/>
        <v>Cahilig,Benzen</v>
      </c>
      <c r="C27" s="248" t="str">
        <f t="shared" si="16"/>
        <v>Cook</v>
      </c>
      <c r="D27" s="141">
        <f>+X12</f>
        <v>6759.5375000000004</v>
      </c>
      <c r="E27" s="353">
        <v>0</v>
      </c>
      <c r="F27" s="356">
        <f t="shared" si="11"/>
        <v>0</v>
      </c>
      <c r="G27" s="353">
        <v>0.22</v>
      </c>
      <c r="H27" s="356">
        <f t="shared" si="12"/>
        <v>13.805</v>
      </c>
      <c r="I27" s="353"/>
      <c r="J27" s="15">
        <v>436</v>
      </c>
      <c r="K27" s="15">
        <v>507.6</v>
      </c>
      <c r="L27" s="15">
        <v>182.5</v>
      </c>
      <c r="M27" s="18"/>
      <c r="N27" s="15">
        <v>432.98</v>
      </c>
      <c r="O27" s="18"/>
      <c r="P27" s="158">
        <f t="shared" si="13"/>
        <v>5186.6525000000001</v>
      </c>
      <c r="R27" s="71">
        <f>G12+H12+P12+R12+T12+V12+W12-F27-H27</f>
        <v>6745.7325000000001</v>
      </c>
    </row>
    <row r="28" spans="1:24" s="138" customFormat="1" ht="12" customHeight="1">
      <c r="A28" s="139">
        <v>7</v>
      </c>
      <c r="B28" s="22" t="str">
        <f t="shared" si="15"/>
        <v>Pantoja,Nancy</v>
      </c>
      <c r="C28" s="248" t="str">
        <f t="shared" si="16"/>
        <v>Cashier</v>
      </c>
      <c r="D28" s="141">
        <f t="shared" si="9"/>
        <v>6715.0249999999996</v>
      </c>
      <c r="E28" s="353">
        <v>1</v>
      </c>
      <c r="F28" s="356">
        <f t="shared" si="11"/>
        <v>502</v>
      </c>
      <c r="G28" s="353">
        <v>2.2999999999999998</v>
      </c>
      <c r="H28" s="356">
        <f>(+E13/8)*G28</f>
        <v>144.32499999999999</v>
      </c>
      <c r="I28" s="353"/>
      <c r="J28" s="15">
        <v>454.2</v>
      </c>
      <c r="K28" s="15">
        <v>507.6</v>
      </c>
      <c r="L28" s="15">
        <v>169.19</v>
      </c>
      <c r="M28" s="18"/>
      <c r="N28" s="15"/>
      <c r="O28" s="18"/>
      <c r="P28" s="158">
        <f t="shared" si="13"/>
        <v>4937.71</v>
      </c>
      <c r="R28" s="71">
        <f t="shared" si="10"/>
        <v>6068.7</v>
      </c>
    </row>
    <row r="29" spans="1:24" s="138" customFormat="1" ht="12" customHeight="1">
      <c r="A29" s="139">
        <v>8</v>
      </c>
      <c r="B29" s="22">
        <f t="shared" si="15"/>
        <v>0</v>
      </c>
      <c r="C29" s="248">
        <f t="shared" si="16"/>
        <v>0</v>
      </c>
      <c r="D29" s="141">
        <f t="shared" si="9"/>
        <v>0</v>
      </c>
      <c r="E29" s="353"/>
      <c r="F29" s="356">
        <f t="shared" si="11"/>
        <v>0</v>
      </c>
      <c r="G29" s="353"/>
      <c r="H29" s="356">
        <f t="shared" si="12"/>
        <v>0</v>
      </c>
      <c r="I29" s="353"/>
      <c r="J29" s="15"/>
      <c r="K29" s="15"/>
      <c r="L29" s="15"/>
      <c r="M29" s="18"/>
      <c r="N29" s="15"/>
      <c r="O29" s="18"/>
      <c r="P29" s="158">
        <f t="shared" si="13"/>
        <v>0</v>
      </c>
      <c r="R29" s="71">
        <f t="shared" si="10"/>
        <v>0</v>
      </c>
    </row>
    <row r="30" spans="1:24" s="138" customFormat="1" ht="12" customHeight="1">
      <c r="A30" s="139">
        <v>9</v>
      </c>
      <c r="B30" s="22">
        <f t="shared" si="15"/>
        <v>0</v>
      </c>
      <c r="C30" s="248">
        <f t="shared" si="16"/>
        <v>0</v>
      </c>
      <c r="D30" s="141">
        <f t="shared" si="9"/>
        <v>0</v>
      </c>
      <c r="E30" s="353"/>
      <c r="F30" s="356">
        <f t="shared" si="11"/>
        <v>0</v>
      </c>
      <c r="G30" s="353"/>
      <c r="H30" s="356">
        <f t="shared" si="12"/>
        <v>0</v>
      </c>
      <c r="I30" s="353"/>
      <c r="J30" s="15"/>
      <c r="K30" s="15"/>
      <c r="L30" s="15"/>
      <c r="M30" s="18"/>
      <c r="N30" s="15"/>
      <c r="O30" s="18"/>
      <c r="P30" s="158">
        <f t="shared" si="13"/>
        <v>0</v>
      </c>
      <c r="R30" s="71">
        <f t="shared" si="10"/>
        <v>0</v>
      </c>
    </row>
    <row r="31" spans="1:24" s="138" customFormat="1" ht="12" customHeight="1">
      <c r="A31" s="139">
        <v>10</v>
      </c>
      <c r="B31" s="22">
        <f t="shared" si="15"/>
        <v>0</v>
      </c>
      <c r="C31" s="248">
        <f t="shared" si="16"/>
        <v>0</v>
      </c>
      <c r="D31" s="141">
        <f t="shared" si="9"/>
        <v>0</v>
      </c>
      <c r="E31" s="15"/>
      <c r="F31" s="21">
        <f t="shared" si="11"/>
        <v>0</v>
      </c>
      <c r="G31" s="159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8">
        <f t="shared" si="13"/>
        <v>0</v>
      </c>
      <c r="R31" s="71">
        <f t="shared" si="10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50894.135576923079</v>
      </c>
      <c r="E33" s="4">
        <f>+SUM(E22:E32)</f>
        <v>1</v>
      </c>
      <c r="F33" s="3">
        <f>SUM(F22:F32)</f>
        <v>502</v>
      </c>
      <c r="G33" s="4"/>
      <c r="H33" s="3">
        <f>SUM(H22:H32)</f>
        <v>1275.4713461538463</v>
      </c>
      <c r="I33" s="3">
        <f>+SUM(I22:I32)</f>
        <v>0</v>
      </c>
      <c r="J33" s="3">
        <f t="shared" ref="J33:O33" si="17">+SUM(J22:J32)</f>
        <v>3378.9999999999995</v>
      </c>
      <c r="K33" s="3">
        <f t="shared" si="17"/>
        <v>3284.0099999999998</v>
      </c>
      <c r="L33" s="3">
        <f t="shared" si="17"/>
        <v>1321.69</v>
      </c>
      <c r="M33" s="3">
        <f t="shared" si="17"/>
        <v>0</v>
      </c>
      <c r="N33" s="3">
        <f t="shared" si="17"/>
        <v>1579.04</v>
      </c>
      <c r="O33" s="3">
        <f t="shared" si="17"/>
        <v>0</v>
      </c>
      <c r="P33" s="5">
        <f>+SUM(P22:P32)</f>
        <v>39552.924230769233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8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9">+P22+(SUM(O35:Q35))</f>
        <v>5620.2200000000012</v>
      </c>
    </row>
    <row r="36" spans="1:25">
      <c r="M36" s="16" t="str">
        <f t="shared" si="18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9"/>
        <v>6509.375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8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19"/>
        <v>10197.381730769232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8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R38" s="165">
        <f>SUM(O35:P38)</f>
        <v>3818</v>
      </c>
      <c r="S38" s="166">
        <f t="shared" si="19"/>
        <v>5769.0249999999996</v>
      </c>
      <c r="T38" s="334"/>
      <c r="U38" s="334"/>
      <c r="V38" s="334"/>
      <c r="W38" s="334"/>
      <c r="X38" s="334"/>
      <c r="Y38" s="334"/>
    </row>
    <row r="39" spans="1:25">
      <c r="M39" s="16" t="str">
        <f t="shared" si="18"/>
        <v>Briones, Christian Joy</v>
      </c>
      <c r="O39" s="16">
        <v>0</v>
      </c>
      <c r="P39" s="16">
        <v>0</v>
      </c>
      <c r="Q39" s="16">
        <v>0</v>
      </c>
      <c r="S39" s="166">
        <f t="shared" si="19"/>
        <v>5150.5600000000004</v>
      </c>
      <c r="T39" s="334"/>
      <c r="U39" s="334"/>
      <c r="V39" s="334"/>
      <c r="W39" s="334"/>
      <c r="X39" s="334"/>
      <c r="Y39" s="334"/>
    </row>
    <row r="40" spans="1:25">
      <c r="M40" s="16" t="str">
        <f t="shared" si="18"/>
        <v>Cahilig,Benzen</v>
      </c>
      <c r="O40" s="16">
        <v>0</v>
      </c>
      <c r="P40" s="16">
        <v>0</v>
      </c>
      <c r="Q40" s="16">
        <v>0</v>
      </c>
      <c r="S40" s="166">
        <f t="shared" si="19"/>
        <v>5186.6525000000001</v>
      </c>
    </row>
    <row r="41" spans="1:25">
      <c r="M41" s="16" t="str">
        <f t="shared" si="18"/>
        <v>Pantoja,Nancy</v>
      </c>
      <c r="O41" s="16">
        <v>0</v>
      </c>
      <c r="P41" s="16">
        <v>0</v>
      </c>
      <c r="Q41" s="16">
        <v>0</v>
      </c>
      <c r="S41" s="166">
        <f t="shared" si="19"/>
        <v>4937.71</v>
      </c>
    </row>
    <row r="42" spans="1:25">
      <c r="M42" s="16">
        <f t="shared" si="18"/>
        <v>0</v>
      </c>
      <c r="O42" s="16">
        <v>0</v>
      </c>
      <c r="P42" s="16">
        <v>0</v>
      </c>
      <c r="Q42" s="16">
        <v>0</v>
      </c>
      <c r="S42" s="166">
        <f t="shared" si="19"/>
        <v>0</v>
      </c>
    </row>
    <row r="43" spans="1:25">
      <c r="M43" s="16">
        <f t="shared" si="18"/>
        <v>0</v>
      </c>
      <c r="O43" s="16">
        <v>0</v>
      </c>
      <c r="P43" s="16">
        <v>0</v>
      </c>
      <c r="Q43" s="16">
        <v>0</v>
      </c>
      <c r="S43" s="166">
        <f t="shared" si="19"/>
        <v>0</v>
      </c>
    </row>
    <row r="44" spans="1:25">
      <c r="M44" s="16">
        <f t="shared" si="18"/>
        <v>0</v>
      </c>
      <c r="O44" s="16">
        <v>0</v>
      </c>
      <c r="P44" s="16">
        <v>0</v>
      </c>
      <c r="Q44" s="16">
        <v>0</v>
      </c>
      <c r="S44" s="166">
        <f t="shared" si="19"/>
        <v>0</v>
      </c>
    </row>
    <row r="46" spans="1:25">
      <c r="P46" s="169">
        <f>+P33+(SUM(O35:Q44))</f>
        <v>43370.924230769233</v>
      </c>
    </row>
    <row r="53" spans="1:14" ht="13.8" thickBot="1"/>
    <row r="54" spans="1:14" ht="13.8" thickBot="1">
      <c r="A54" s="391"/>
      <c r="B54" s="393" t="s">
        <v>0</v>
      </c>
      <c r="C54" s="395" t="s">
        <v>1</v>
      </c>
      <c r="D54" s="381" t="s">
        <v>45</v>
      </c>
      <c r="E54" s="379" t="s">
        <v>151</v>
      </c>
      <c r="F54" s="399" t="s">
        <v>112</v>
      </c>
      <c r="G54" s="400"/>
      <c r="H54" s="404" t="s">
        <v>267</v>
      </c>
      <c r="I54" s="401" t="s">
        <v>3</v>
      </c>
      <c r="J54" s="403" t="s">
        <v>114</v>
      </c>
      <c r="K54" s="398" t="s">
        <v>115</v>
      </c>
      <c r="L54" s="398" t="s">
        <v>116</v>
      </c>
      <c r="N54" s="412" t="s">
        <v>102</v>
      </c>
    </row>
    <row r="55" spans="1:14" ht="13.8" thickBot="1">
      <c r="A55" s="392"/>
      <c r="B55" s="394"/>
      <c r="C55" s="396"/>
      <c r="D55" s="382"/>
      <c r="E55" s="380"/>
      <c r="F55" s="245" t="s">
        <v>113</v>
      </c>
      <c r="G55" s="246" t="s">
        <v>148</v>
      </c>
      <c r="H55" s="405"/>
      <c r="I55" s="402"/>
      <c r="J55" s="403"/>
      <c r="K55" s="398"/>
      <c r="L55" s="398"/>
      <c r="N55" s="412"/>
    </row>
    <row r="56" spans="1:14" ht="13.8" thickBot="1">
      <c r="A56" s="153">
        <v>1</v>
      </c>
      <c r="B56" s="49" t="str">
        <f t="shared" ref="B56:C65" si="20">+B22</f>
        <v>Biarcal, Ronald Glenn</v>
      </c>
      <c r="C56" s="49" t="str">
        <f t="shared" si="20"/>
        <v>M.T.Purchaser</v>
      </c>
      <c r="D56" s="133"/>
      <c r="E56" s="157"/>
      <c r="F56" s="236"/>
      <c r="G56" s="236">
        <f>2775/2</f>
        <v>1387.5</v>
      </c>
      <c r="H56" s="157"/>
      <c r="I56" s="158">
        <f>+D22-F22-H22-D56-J22-K22-L22-M22-N22-O22-E56-H56-F56-G56-I22</f>
        <v>3198.7200000000012</v>
      </c>
      <c r="J56" s="274">
        <f>+O35</f>
        <v>150</v>
      </c>
      <c r="K56" s="274">
        <f t="shared" ref="K56:L60" si="21">+P35</f>
        <v>884</v>
      </c>
      <c r="L56" s="274">
        <f t="shared" si="21"/>
        <v>0</v>
      </c>
      <c r="N56" s="165">
        <f t="shared" ref="N56:N62" si="22">+I56+J56+K56</f>
        <v>4232.7200000000012</v>
      </c>
    </row>
    <row r="57" spans="1:14" ht="13.8" thickBot="1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73"/>
      <c r="E57" s="122"/>
      <c r="F57" s="122"/>
      <c r="G57" s="122"/>
      <c r="H57" s="157"/>
      <c r="I57" s="158">
        <f t="shared" ref="I57:I65" si="23">+D23-F23-H23-D57-J23-K23-L23-M23-N23-O23-E57-H57-F57-G57-I23</f>
        <v>6009.375</v>
      </c>
      <c r="J57" s="274">
        <f>+O36</f>
        <v>0</v>
      </c>
      <c r="K57" s="274">
        <f t="shared" si="21"/>
        <v>500</v>
      </c>
      <c r="L57" s="274">
        <f t="shared" si="21"/>
        <v>0</v>
      </c>
      <c r="N57" s="165">
        <f t="shared" si="22"/>
        <v>6509.375</v>
      </c>
    </row>
    <row r="58" spans="1:14" ht="13.8" thickBot="1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73"/>
      <c r="E58" s="122"/>
      <c r="F58" s="18"/>
      <c r="G58" s="18">
        <f>3202.78/2</f>
        <v>1601.39</v>
      </c>
      <c r="H58" s="157"/>
      <c r="I58" s="158">
        <f t="shared" si="23"/>
        <v>7345.9917307692313</v>
      </c>
      <c r="J58" s="274">
        <f>+O37</f>
        <v>250</v>
      </c>
      <c r="K58" s="274">
        <f t="shared" si="21"/>
        <v>1000</v>
      </c>
      <c r="L58" s="274">
        <f t="shared" si="21"/>
        <v>0</v>
      </c>
      <c r="N58" s="165">
        <f t="shared" si="22"/>
        <v>8595.9917307692303</v>
      </c>
    </row>
    <row r="59" spans="1:14" ht="13.8" thickBot="1">
      <c r="A59" s="139">
        <v>4</v>
      </c>
      <c r="B59" s="22" t="str">
        <f t="shared" si="20"/>
        <v xml:space="preserve">Sosa, Anna Marie </v>
      </c>
      <c r="C59" s="248" t="str">
        <f t="shared" si="20"/>
        <v>M.T.Bookkeeper</v>
      </c>
      <c r="D59" s="73"/>
      <c r="E59" s="122"/>
      <c r="F59" s="122"/>
      <c r="G59" s="122">
        <f>3074.67/2</f>
        <v>1537.335</v>
      </c>
      <c r="H59" s="157"/>
      <c r="I59" s="158">
        <f t="shared" si="23"/>
        <v>3197.6899999999996</v>
      </c>
      <c r="J59" s="274">
        <f>+O38</f>
        <v>150</v>
      </c>
      <c r="K59" s="274">
        <f t="shared" si="21"/>
        <v>884</v>
      </c>
      <c r="L59" s="274">
        <f t="shared" si="21"/>
        <v>0</v>
      </c>
      <c r="N59" s="165">
        <f t="shared" si="22"/>
        <v>4231.6899999999996</v>
      </c>
    </row>
    <row r="60" spans="1:14">
      <c r="A60" s="139">
        <v>5</v>
      </c>
      <c r="B60" s="22" t="str">
        <f t="shared" si="20"/>
        <v>Briones, Christian Joy</v>
      </c>
      <c r="C60" s="248" t="str">
        <f t="shared" si="20"/>
        <v>Asst. Cook</v>
      </c>
      <c r="D60" s="73"/>
      <c r="E60" s="122"/>
      <c r="F60" s="122"/>
      <c r="G60" s="122"/>
      <c r="H60" s="157"/>
      <c r="I60" s="158">
        <f t="shared" si="23"/>
        <v>5150.5600000000004</v>
      </c>
      <c r="J60" s="274">
        <f>+O39</f>
        <v>0</v>
      </c>
      <c r="K60" s="274">
        <f t="shared" si="21"/>
        <v>0</v>
      </c>
      <c r="L60" s="274">
        <f t="shared" si="21"/>
        <v>0</v>
      </c>
      <c r="N60" s="165">
        <f t="shared" si="22"/>
        <v>5150.5600000000004</v>
      </c>
    </row>
    <row r="61" spans="1:14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73"/>
      <c r="E61" s="122"/>
      <c r="F61" s="122"/>
      <c r="G61" s="122"/>
      <c r="H61" s="122"/>
      <c r="I61" s="158">
        <f t="shared" si="23"/>
        <v>5186.6525000000001</v>
      </c>
      <c r="N61" s="165">
        <f t="shared" si="22"/>
        <v>5186.6525000000001</v>
      </c>
    </row>
    <row r="62" spans="1:14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73"/>
      <c r="E62" s="122"/>
      <c r="F62" s="122"/>
      <c r="G62" s="122"/>
      <c r="H62" s="122"/>
      <c r="I62" s="158">
        <f t="shared" si="23"/>
        <v>4937.71</v>
      </c>
      <c r="N62" s="165">
        <f t="shared" si="22"/>
        <v>4937.71</v>
      </c>
    </row>
    <row r="63" spans="1:14">
      <c r="A63" s="139">
        <v>8</v>
      </c>
      <c r="B63" s="22">
        <f t="shared" si="20"/>
        <v>0</v>
      </c>
      <c r="C63" s="248">
        <f t="shared" si="20"/>
        <v>0</v>
      </c>
      <c r="D63" s="73"/>
      <c r="E63" s="122"/>
      <c r="F63" s="122"/>
      <c r="G63" s="122"/>
      <c r="H63" s="15">
        <v>0</v>
      </c>
      <c r="I63" s="158">
        <f t="shared" si="23"/>
        <v>0</v>
      </c>
    </row>
    <row r="64" spans="1:14">
      <c r="A64" s="139">
        <v>9</v>
      </c>
      <c r="B64" s="22">
        <f t="shared" si="20"/>
        <v>0</v>
      </c>
      <c r="C64" s="248">
        <f t="shared" si="20"/>
        <v>0</v>
      </c>
      <c r="D64" s="73"/>
      <c r="E64" s="122"/>
      <c r="F64" s="122"/>
      <c r="G64" s="122"/>
      <c r="H64" s="15">
        <v>0</v>
      </c>
      <c r="I64" s="158">
        <f t="shared" si="23"/>
        <v>0</v>
      </c>
    </row>
    <row r="65" spans="1:14">
      <c r="A65" s="139">
        <v>10</v>
      </c>
      <c r="B65" s="22">
        <f t="shared" si="20"/>
        <v>0</v>
      </c>
      <c r="C65" s="248">
        <f t="shared" si="20"/>
        <v>0</v>
      </c>
      <c r="D65" s="22"/>
      <c r="E65" s="122"/>
      <c r="F65" s="122"/>
      <c r="G65" s="122"/>
      <c r="H65" s="15">
        <v>0</v>
      </c>
      <c r="I65" s="158">
        <f t="shared" si="23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0</v>
      </c>
      <c r="I67" s="5">
        <f>+SUM(I56:I66)</f>
        <v>35026.699230769234</v>
      </c>
      <c r="N67" s="275">
        <f>SUM(N56:N66)</f>
        <v>38844.699230769234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0" t="str">
        <f>'26-10 payroll'!A1</f>
        <v>THE OLD SPAGHETTI HOUSE</v>
      </c>
      <c r="C2" s="431"/>
      <c r="D2" s="431"/>
      <c r="E2" s="431"/>
      <c r="F2" s="431"/>
      <c r="G2" s="431"/>
      <c r="H2" s="432"/>
      <c r="I2" s="178"/>
      <c r="J2" s="430" t="str">
        <f>'26-10 payroll'!A1</f>
        <v>THE OLD SPAGHETTI HOUSE</v>
      </c>
      <c r="K2" s="431"/>
      <c r="L2" s="431"/>
      <c r="M2" s="431"/>
      <c r="N2" s="431"/>
      <c r="O2" s="431"/>
      <c r="P2" s="432"/>
    </row>
    <row r="3" spans="1:22" s="179" customFormat="1">
      <c r="A3" s="170"/>
      <c r="B3" s="433" t="str">
        <f>'26-10 payroll'!D2</f>
        <v>VALERO</v>
      </c>
      <c r="C3" s="434"/>
      <c r="D3" s="434"/>
      <c r="E3" s="434"/>
      <c r="F3" s="434"/>
      <c r="G3" s="434"/>
      <c r="H3" s="435"/>
      <c r="I3" s="178"/>
      <c r="J3" s="433" t="str">
        <f>'26-10 payroll'!D2</f>
        <v>VALERO</v>
      </c>
      <c r="K3" s="434"/>
      <c r="L3" s="434"/>
      <c r="M3" s="434"/>
      <c r="N3" s="434"/>
      <c r="O3" s="434"/>
      <c r="P3" s="43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6" t="s">
        <v>25</v>
      </c>
      <c r="C5" s="437"/>
      <c r="D5" s="437"/>
      <c r="E5" s="437"/>
      <c r="F5" s="437"/>
      <c r="G5" s="437"/>
      <c r="H5" s="438"/>
      <c r="I5" s="178"/>
      <c r="J5" s="436" t="s">
        <v>25</v>
      </c>
      <c r="K5" s="437"/>
      <c r="L5" s="437"/>
      <c r="M5" s="437"/>
      <c r="N5" s="437"/>
      <c r="O5" s="437"/>
      <c r="P5" s="43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9" t="str">
        <f>'26-10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'26-10 payroll'!B8</f>
        <v>Sanchez, Angelo</v>
      </c>
      <c r="M7" s="439"/>
      <c r="N7" s="439"/>
      <c r="O7" s="9"/>
      <c r="P7" s="194"/>
    </row>
    <row r="8" spans="1:22">
      <c r="B8" s="192" t="s">
        <v>28</v>
      </c>
      <c r="C8" s="193" t="s">
        <v>27</v>
      </c>
      <c r="D8" s="440">
        <f>'26-10 payroll'!E7</f>
        <v>502</v>
      </c>
      <c r="E8" s="440"/>
      <c r="F8" s="440"/>
      <c r="G8" s="55"/>
      <c r="H8" s="196"/>
      <c r="I8" s="195"/>
      <c r="J8" s="192" t="s">
        <v>28</v>
      </c>
      <c r="K8" s="193" t="s">
        <v>27</v>
      </c>
      <c r="L8" s="440">
        <f>'26-10 payroll'!E8</f>
        <v>502</v>
      </c>
      <c r="M8" s="440"/>
      <c r="N8" s="440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1" t="str">
        <f>'26-10 payroll'!D3</f>
        <v>September 11-25,2018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tr">
        <f>'26-10 payroll'!D3</f>
        <v>September 11-25,2018</v>
      </c>
      <c r="M9" s="441"/>
      <c r="N9" s="44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1046.55</v>
      </c>
      <c r="G17" s="55"/>
      <c r="H17" s="56">
        <f>SUM(F13:F17)</f>
        <v>1176.55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531.375</v>
      </c>
      <c r="O17" s="9"/>
      <c r="P17" s="10">
        <f>SUM(N13:N17)</f>
        <v>661.375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187.5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125.5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-3469.83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-678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4232.72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6509.375</v>
      </c>
      <c r="R28" s="215"/>
      <c r="T28" s="216">
        <f>+H28-'26-10 payroll'!S35</f>
        <v>-1387.5000000000009</v>
      </c>
      <c r="U28" s="217"/>
      <c r="V28" s="218">
        <f>+P28-'26-10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0" t="str">
        <f>'26-10 payroll'!A1</f>
        <v>THE OLD SPAGHETTI HOUSE</v>
      </c>
      <c r="C35" s="431"/>
      <c r="D35" s="431"/>
      <c r="E35" s="431"/>
      <c r="F35" s="431"/>
      <c r="G35" s="431"/>
      <c r="H35" s="432"/>
      <c r="I35" s="178"/>
      <c r="J35" s="430" t="str">
        <f>'26-10 payroll'!A1</f>
        <v>THE OLD SPAGHETTI HOUSE</v>
      </c>
      <c r="K35" s="431"/>
      <c r="L35" s="431"/>
      <c r="M35" s="431"/>
      <c r="N35" s="431"/>
      <c r="O35" s="431"/>
      <c r="P35" s="432"/>
    </row>
    <row r="36" spans="2:17">
      <c r="B36" s="433" t="str">
        <f>'26-10 payroll'!D2</f>
        <v>VALERO</v>
      </c>
      <c r="C36" s="434"/>
      <c r="D36" s="434"/>
      <c r="E36" s="434"/>
      <c r="F36" s="434"/>
      <c r="G36" s="434"/>
      <c r="H36" s="435"/>
      <c r="I36" s="178"/>
      <c r="J36" s="433" t="str">
        <f>'26-10 payroll'!D2</f>
        <v>VALERO</v>
      </c>
      <c r="K36" s="434"/>
      <c r="L36" s="434"/>
      <c r="M36" s="434"/>
      <c r="N36" s="434"/>
      <c r="O36" s="434"/>
      <c r="P36" s="43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6" t="s">
        <v>25</v>
      </c>
      <c r="C38" s="437"/>
      <c r="D38" s="437"/>
      <c r="E38" s="437"/>
      <c r="F38" s="437"/>
      <c r="G38" s="437"/>
      <c r="H38" s="438"/>
      <c r="I38" s="178"/>
      <c r="J38" s="436" t="s">
        <v>25</v>
      </c>
      <c r="K38" s="437"/>
      <c r="L38" s="437"/>
      <c r="M38" s="437"/>
      <c r="N38" s="437"/>
      <c r="O38" s="437"/>
      <c r="P38" s="43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9" t="str">
        <f>'26-10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42" t="str">
        <f>'26-10 payroll'!B10</f>
        <v xml:space="preserve">Sosa, Anna Marie </v>
      </c>
      <c r="M40" s="439"/>
      <c r="N40" s="439"/>
      <c r="O40" s="9"/>
      <c r="P40" s="194"/>
    </row>
    <row r="41" spans="2:17">
      <c r="B41" s="192" t="s">
        <v>28</v>
      </c>
      <c r="C41" s="193" t="s">
        <v>27</v>
      </c>
      <c r="D41" s="440">
        <f>'26-10 payroll'!E9</f>
        <v>790.23076923076928</v>
      </c>
      <c r="E41" s="440"/>
      <c r="F41" s="440"/>
      <c r="G41" s="55"/>
      <c r="H41" s="196"/>
      <c r="I41" s="195"/>
      <c r="J41" s="192" t="s">
        <v>28</v>
      </c>
      <c r="K41" s="193" t="s">
        <v>27</v>
      </c>
      <c r="L41" s="440">
        <f>'26-10 payroll'!E10</f>
        <v>502</v>
      </c>
      <c r="M41" s="440"/>
      <c r="N41" s="440"/>
      <c r="O41" s="9"/>
      <c r="P41" s="196"/>
    </row>
    <row r="42" spans="2:17">
      <c r="B42" s="192" t="s">
        <v>29</v>
      </c>
      <c r="C42" s="193" t="s">
        <v>27</v>
      </c>
      <c r="D42" s="441" t="str">
        <f>'26-10 payroll'!D3</f>
        <v>September 11-25,2018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tr">
        <f>'26-10 payroll'!D3</f>
        <v>September 11-25,2018</v>
      </c>
      <c r="M42" s="441"/>
      <c r="N42" s="44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13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1329.023076923077</v>
      </c>
      <c r="G50" s="55"/>
      <c r="H50" s="56">
        <f>SUM(F46:F50)</f>
        <v>1459.023076923077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1052.825</v>
      </c>
      <c r="O50" s="9"/>
      <c r="P50" s="10">
        <f>SUM(N46:N50)</f>
        <v>1182.825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472.3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262.5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175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740.84134615384619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125.5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-3186.0313461538462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-3477.1350000000002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8545.9917307692303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4231.6899999999996</v>
      </c>
      <c r="Q61" s="174"/>
      <c r="T61" s="216">
        <f>+H61-'26-10 payroll'!S37</f>
        <v>-1651.3900000000012</v>
      </c>
      <c r="V61" s="237">
        <f>+P61-'26-10 payroll'!S38</f>
        <v>-1537.335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0" t="str">
        <f>'26-10 payroll'!A1</f>
        <v>THE OLD SPAGHETTI HOUSE</v>
      </c>
      <c r="C68" s="431"/>
      <c r="D68" s="431"/>
      <c r="E68" s="431"/>
      <c r="F68" s="431"/>
      <c r="G68" s="431"/>
      <c r="H68" s="432"/>
      <c r="I68" s="178"/>
      <c r="J68" s="430" t="str">
        <f>'26-10 payroll'!A1</f>
        <v>THE OLD SPAGHETTI HOUSE</v>
      </c>
      <c r="K68" s="431"/>
      <c r="L68" s="431"/>
      <c r="M68" s="431"/>
      <c r="N68" s="431"/>
      <c r="O68" s="431"/>
      <c r="P68" s="432"/>
    </row>
    <row r="69" spans="2:17">
      <c r="B69" s="433" t="str">
        <f>'26-10 payroll'!D2</f>
        <v>VALERO</v>
      </c>
      <c r="C69" s="434"/>
      <c r="D69" s="434"/>
      <c r="E69" s="434"/>
      <c r="F69" s="434"/>
      <c r="G69" s="434"/>
      <c r="H69" s="435"/>
      <c r="I69" s="178"/>
      <c r="J69" s="433" t="str">
        <f>'26-10 payroll'!D2</f>
        <v>VALERO</v>
      </c>
      <c r="K69" s="434"/>
      <c r="L69" s="434"/>
      <c r="M69" s="434"/>
      <c r="N69" s="434"/>
      <c r="O69" s="434"/>
      <c r="P69" s="43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6" t="s">
        <v>25</v>
      </c>
      <c r="C71" s="437"/>
      <c r="D71" s="437"/>
      <c r="E71" s="437"/>
      <c r="F71" s="437"/>
      <c r="G71" s="437"/>
      <c r="H71" s="438"/>
      <c r="I71" s="178"/>
      <c r="J71" s="436" t="s">
        <v>25</v>
      </c>
      <c r="K71" s="437"/>
      <c r="L71" s="437"/>
      <c r="M71" s="437"/>
      <c r="N71" s="437"/>
      <c r="O71" s="437"/>
      <c r="P71" s="43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2" t="str">
        <f>'26-10 payroll'!B11</f>
        <v>Briones, Christian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42" t="str">
        <f>'26-10 payroll'!B12</f>
        <v>Cahilig,Benzen</v>
      </c>
      <c r="M73" s="439"/>
      <c r="N73" s="439"/>
      <c r="O73" s="9"/>
      <c r="P73" s="194"/>
    </row>
    <row r="74" spans="2:17">
      <c r="B74" s="192" t="s">
        <v>28</v>
      </c>
      <c r="C74" s="193" t="s">
        <v>27</v>
      </c>
      <c r="D74" s="440">
        <f>'26-10 payroll'!E11</f>
        <v>502</v>
      </c>
      <c r="E74" s="440"/>
      <c r="F74" s="440"/>
      <c r="G74" s="55"/>
      <c r="H74" s="196"/>
      <c r="I74" s="195"/>
      <c r="J74" s="192" t="s">
        <v>28</v>
      </c>
      <c r="K74" s="193" t="s">
        <v>27</v>
      </c>
      <c r="L74" s="440">
        <f>'26-10 payroll'!E12</f>
        <v>502</v>
      </c>
      <c r="M74" s="440"/>
      <c r="N74" s="440"/>
      <c r="O74" s="9"/>
      <c r="P74" s="196"/>
    </row>
    <row r="75" spans="2:17">
      <c r="B75" s="192" t="s">
        <v>29</v>
      </c>
      <c r="C75" s="193" t="s">
        <v>27</v>
      </c>
      <c r="D75" s="441" t="str">
        <f>'26-10 payroll'!D3</f>
        <v>September 11-25,2018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tr">
        <f>'26-10 payroll'!D3</f>
        <v>September 11-25,2018</v>
      </c>
      <c r="M75" s="441"/>
      <c r="N75" s="44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6526</v>
      </c>
      <c r="Q76" s="174"/>
    </row>
    <row r="77" spans="2:17">
      <c r="B77" s="192"/>
      <c r="C77" s="198"/>
      <c r="D77" s="200" t="s">
        <v>31</v>
      </c>
      <c r="E77" s="202">
        <f>'26-10 payroll'!F11</f>
        <v>13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13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156.875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78.4375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43.925000000000004</v>
      </c>
      <c r="G83" s="55"/>
      <c r="H83" s="56">
        <f>SUM(F79:F83)</f>
        <v>330.8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25.1</v>
      </c>
      <c r="O83" s="9"/>
      <c r="P83" s="10">
        <f>SUM(N79:N83)</f>
        <v>233.53749999999999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436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157.5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182.5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125.5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13.805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-1706.24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-1572.885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5150.5600000000004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5186.6525000000001</v>
      </c>
      <c r="Q94" s="174"/>
      <c r="T94" s="216">
        <f>+H94-'26-10 payroll'!S39</f>
        <v>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0" t="str">
        <f>'26-10 payroll'!A1</f>
        <v>THE OLD SPAGHETTI HOUSE</v>
      </c>
      <c r="C101" s="431"/>
      <c r="D101" s="431"/>
      <c r="E101" s="431"/>
      <c r="F101" s="431"/>
      <c r="G101" s="431"/>
      <c r="H101" s="432"/>
      <c r="I101" s="178"/>
      <c r="J101" s="430" t="str">
        <f>'26-10 payroll'!A1</f>
        <v>THE OLD SPAGHETTI HOUSE</v>
      </c>
      <c r="K101" s="431"/>
      <c r="L101" s="431"/>
      <c r="M101" s="431"/>
      <c r="N101" s="431"/>
      <c r="O101" s="431"/>
      <c r="P101" s="432"/>
    </row>
    <row r="102" spans="2:17">
      <c r="B102" s="433" t="str">
        <f>'26-10 payroll'!D2</f>
        <v>VALERO</v>
      </c>
      <c r="C102" s="434"/>
      <c r="D102" s="434"/>
      <c r="E102" s="434"/>
      <c r="F102" s="434"/>
      <c r="G102" s="434"/>
      <c r="H102" s="435"/>
      <c r="I102" s="178"/>
      <c r="J102" s="433" t="str">
        <f>'26-10 payroll'!D2</f>
        <v>VALERO</v>
      </c>
      <c r="K102" s="434"/>
      <c r="L102" s="434"/>
      <c r="M102" s="434"/>
      <c r="N102" s="434"/>
      <c r="O102" s="434"/>
      <c r="P102" s="43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6" t="s">
        <v>25</v>
      </c>
      <c r="C104" s="437"/>
      <c r="D104" s="437"/>
      <c r="E104" s="437"/>
      <c r="F104" s="437"/>
      <c r="G104" s="437"/>
      <c r="H104" s="438"/>
      <c r="I104" s="178"/>
      <c r="J104" s="436" t="s">
        <v>25</v>
      </c>
      <c r="K104" s="437"/>
      <c r="L104" s="437"/>
      <c r="M104" s="437"/>
      <c r="N104" s="437"/>
      <c r="O104" s="437"/>
      <c r="P104" s="43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2" t="str">
        <f>'26-10 payroll'!B13</f>
        <v>Pantoja,Nancy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42">
        <f>'26-10 payroll'!B29</f>
        <v>0</v>
      </c>
      <c r="M106" s="439"/>
      <c r="N106" s="439"/>
      <c r="O106" s="9"/>
      <c r="P106" s="194"/>
    </row>
    <row r="107" spans="2:17">
      <c r="B107" s="192" t="s">
        <v>28</v>
      </c>
      <c r="C107" s="193" t="s">
        <v>27</v>
      </c>
      <c r="D107" s="440">
        <f>'26-10 payroll'!E13</f>
        <v>502</v>
      </c>
      <c r="E107" s="440"/>
      <c r="F107" s="440"/>
      <c r="G107" s="55"/>
      <c r="H107" s="196"/>
      <c r="I107" s="195"/>
      <c r="J107" s="192" t="s">
        <v>28</v>
      </c>
      <c r="K107" s="193" t="s">
        <v>27</v>
      </c>
      <c r="L107" s="440">
        <f>'26-10 payroll'!E14</f>
        <v>0</v>
      </c>
      <c r="M107" s="440"/>
      <c r="N107" s="440"/>
      <c r="O107" s="9"/>
      <c r="P107" s="196"/>
    </row>
    <row r="108" spans="2:17">
      <c r="B108" s="192" t="s">
        <v>29</v>
      </c>
      <c r="C108" s="193" t="s">
        <v>27</v>
      </c>
      <c r="D108" s="441" t="str">
        <f>'26-10 payroll'!D3</f>
        <v>September 11-25,2018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'26-10 payroll'!D3</f>
        <v>September 11-25,2018</v>
      </c>
      <c r="M108" s="441"/>
      <c r="N108" s="44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6526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69.025000000000006</v>
      </c>
      <c r="G116" s="55"/>
      <c r="H116" s="56">
        <f>SUM(F112:F116)</f>
        <v>189.02500000000001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454.2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169.19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646.32500000000005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-1777.3150000000001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4937.7099999999991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0" t="str">
        <f>'26-10 payroll'!A1</f>
        <v>THE OLD SPAGHETTI HOUSE</v>
      </c>
      <c r="C134" s="431"/>
      <c r="D134" s="431"/>
      <c r="E134" s="431"/>
      <c r="F134" s="431"/>
      <c r="G134" s="431"/>
      <c r="H134" s="432"/>
      <c r="I134" s="178"/>
      <c r="J134" s="430" t="str">
        <f>'26-10 payroll'!A1</f>
        <v>THE OLD SPAGHETTI HOUSE</v>
      </c>
      <c r="K134" s="431"/>
      <c r="L134" s="431"/>
      <c r="M134" s="431"/>
      <c r="N134" s="431"/>
      <c r="O134" s="431"/>
      <c r="P134" s="432"/>
    </row>
    <row r="135" spans="2:17">
      <c r="B135" s="433" t="str">
        <f>'26-10 payroll'!D2</f>
        <v>VALERO</v>
      </c>
      <c r="C135" s="434"/>
      <c r="D135" s="434"/>
      <c r="E135" s="434"/>
      <c r="F135" s="434"/>
      <c r="G135" s="434"/>
      <c r="H135" s="435"/>
      <c r="I135" s="178"/>
      <c r="J135" s="433" t="str">
        <f>'26-10 payroll'!D2</f>
        <v>VALERO</v>
      </c>
      <c r="K135" s="434"/>
      <c r="L135" s="434"/>
      <c r="M135" s="434"/>
      <c r="N135" s="434"/>
      <c r="O135" s="434"/>
      <c r="P135" s="43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6" t="s">
        <v>25</v>
      </c>
      <c r="C137" s="437"/>
      <c r="D137" s="437"/>
      <c r="E137" s="437"/>
      <c r="F137" s="437"/>
      <c r="G137" s="437"/>
      <c r="H137" s="438"/>
      <c r="I137" s="178"/>
      <c r="J137" s="436" t="s">
        <v>25</v>
      </c>
      <c r="K137" s="437"/>
      <c r="L137" s="437"/>
      <c r="M137" s="437"/>
      <c r="N137" s="437"/>
      <c r="O137" s="437"/>
      <c r="P137" s="43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2">
        <f>'26-10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'26-10 payroll'!C112</f>
        <v>0</v>
      </c>
      <c r="M139" s="439"/>
      <c r="N139" s="439"/>
      <c r="O139" s="9"/>
      <c r="P139" s="194"/>
    </row>
    <row r="140" spans="2:17">
      <c r="B140" s="192" t="s">
        <v>28</v>
      </c>
      <c r="C140" s="193" t="s">
        <v>27</v>
      </c>
      <c r="D140" s="440">
        <f>'26-10 payroll'!E15</f>
        <v>0</v>
      </c>
      <c r="E140" s="440"/>
      <c r="F140" s="440"/>
      <c r="G140" s="55"/>
      <c r="H140" s="196"/>
      <c r="I140" s="195"/>
      <c r="J140" s="192" t="s">
        <v>28</v>
      </c>
      <c r="K140" s="193" t="s">
        <v>27</v>
      </c>
      <c r="L140" s="440">
        <f>'26-10 payroll'!E112</f>
        <v>0</v>
      </c>
      <c r="M140" s="440"/>
      <c r="N140" s="440"/>
      <c r="O140" s="9"/>
      <c r="P140" s="196"/>
    </row>
    <row r="141" spans="2:17">
      <c r="B141" s="192" t="s">
        <v>29</v>
      </c>
      <c r="C141" s="193" t="s">
        <v>27</v>
      </c>
      <c r="D141" s="441" t="str">
        <f>'26-10 payroll'!D3</f>
        <v>September 11-25,2018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'26-10 payroll'!D105</f>
        <v>0</v>
      </c>
      <c r="M141" s="441"/>
      <c r="N141" s="44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272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383"/>
      <c r="B5" s="385" t="s">
        <v>0</v>
      </c>
      <c r="C5" s="387" t="s">
        <v>1</v>
      </c>
      <c r="D5" s="388" t="s">
        <v>13</v>
      </c>
      <c r="E5" s="387" t="s">
        <v>14</v>
      </c>
      <c r="F5" s="388" t="s">
        <v>15</v>
      </c>
      <c r="G5" s="387" t="s">
        <v>16</v>
      </c>
      <c r="H5" s="388" t="s">
        <v>44</v>
      </c>
      <c r="I5" s="421" t="s">
        <v>118</v>
      </c>
      <c r="J5" s="427" t="s">
        <v>91</v>
      </c>
      <c r="K5" s="428"/>
      <c r="L5" s="429"/>
      <c r="M5" s="410" t="s">
        <v>108</v>
      </c>
      <c r="N5" s="411"/>
      <c r="O5" s="411"/>
      <c r="P5" s="387" t="s">
        <v>2</v>
      </c>
      <c r="Q5" s="388" t="s">
        <v>17</v>
      </c>
      <c r="R5" s="387" t="s">
        <v>2</v>
      </c>
      <c r="S5" s="388" t="s">
        <v>18</v>
      </c>
      <c r="T5" s="387" t="s">
        <v>2</v>
      </c>
      <c r="U5" s="388" t="s">
        <v>19</v>
      </c>
      <c r="V5" s="387" t="s">
        <v>2</v>
      </c>
      <c r="W5" s="388" t="s">
        <v>20</v>
      </c>
      <c r="X5" s="415" t="s">
        <v>3</v>
      </c>
    </row>
    <row r="6" spans="1:26" s="138" customFormat="1" ht="27" customHeight="1" thickBot="1">
      <c r="A6" s="384"/>
      <c r="B6" s="386"/>
      <c r="C6" s="386"/>
      <c r="D6" s="389"/>
      <c r="E6" s="390"/>
      <c r="F6" s="389"/>
      <c r="G6" s="390"/>
      <c r="H6" s="414"/>
      <c r="I6" s="42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6"/>
      <c r="Q6" s="389"/>
      <c r="R6" s="386"/>
      <c r="S6" s="389"/>
      <c r="T6" s="386"/>
      <c r="U6" s="389"/>
      <c r="V6" s="386"/>
      <c r="W6" s="414"/>
      <c r="X6" s="416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1"/>
      <c r="B20" s="393" t="s">
        <v>0</v>
      </c>
      <c r="C20" s="395" t="s">
        <v>1</v>
      </c>
      <c r="D20" s="381" t="s">
        <v>3</v>
      </c>
      <c r="E20" s="417" t="s">
        <v>22</v>
      </c>
      <c r="F20" s="423" t="s">
        <v>2</v>
      </c>
      <c r="G20" s="395" t="s">
        <v>21</v>
      </c>
      <c r="H20" s="381" t="s">
        <v>2</v>
      </c>
      <c r="I20" s="419" t="s">
        <v>126</v>
      </c>
      <c r="J20" s="406" t="s">
        <v>4</v>
      </c>
      <c r="K20" s="408" t="s">
        <v>23</v>
      </c>
      <c r="L20" s="381" t="s">
        <v>5</v>
      </c>
      <c r="M20" s="381" t="s">
        <v>6</v>
      </c>
      <c r="N20" s="381" t="s">
        <v>24</v>
      </c>
      <c r="O20" s="381" t="s">
        <v>7</v>
      </c>
      <c r="P20" s="401" t="s">
        <v>3</v>
      </c>
      <c r="Q20" s="244"/>
      <c r="R20" s="152" t="s">
        <v>103</v>
      </c>
      <c r="S20" s="244"/>
    </row>
    <row r="21" spans="1:24" s="138" customFormat="1" ht="15" customHeight="1" thickBot="1">
      <c r="A21" s="392"/>
      <c r="B21" s="394"/>
      <c r="C21" s="396"/>
      <c r="D21" s="413"/>
      <c r="E21" s="418"/>
      <c r="F21" s="424"/>
      <c r="G21" s="443"/>
      <c r="H21" s="397"/>
      <c r="I21" s="420"/>
      <c r="J21" s="407"/>
      <c r="K21" s="409"/>
      <c r="L21" s="397"/>
      <c r="M21" s="397"/>
      <c r="N21" s="413"/>
      <c r="O21" s="397"/>
      <c r="P21" s="402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91"/>
      <c r="B54" s="393" t="s">
        <v>0</v>
      </c>
      <c r="C54" s="395" t="s">
        <v>1</v>
      </c>
      <c r="D54" s="381" t="s">
        <v>3</v>
      </c>
      <c r="E54" s="381" t="s">
        <v>45</v>
      </c>
      <c r="F54" s="379" t="s">
        <v>151</v>
      </c>
      <c r="G54" s="399" t="s">
        <v>112</v>
      </c>
      <c r="H54" s="400"/>
      <c r="I54" s="404"/>
      <c r="J54" s="401" t="s">
        <v>3</v>
      </c>
      <c r="K54" s="403" t="s">
        <v>114</v>
      </c>
      <c r="L54" s="398" t="s">
        <v>115</v>
      </c>
      <c r="M54" s="398" t="s">
        <v>116</v>
      </c>
      <c r="O54" s="412" t="s">
        <v>102</v>
      </c>
    </row>
    <row r="55" spans="1:15" ht="13.8" thickBot="1">
      <c r="A55" s="392"/>
      <c r="B55" s="394"/>
      <c r="C55" s="396"/>
      <c r="D55" s="413"/>
      <c r="E55" s="382"/>
      <c r="F55" s="380"/>
      <c r="G55" s="245" t="s">
        <v>113</v>
      </c>
      <c r="H55" s="246" t="s">
        <v>148</v>
      </c>
      <c r="I55" s="405"/>
      <c r="J55" s="402"/>
      <c r="K55" s="403"/>
      <c r="L55" s="398"/>
      <c r="M55" s="398"/>
      <c r="O55" s="412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0" t="str">
        <f>'11-25 payroll'!A1</f>
        <v>THE OLD SPAGHETTI HOUSE</v>
      </c>
      <c r="C2" s="431"/>
      <c r="D2" s="431"/>
      <c r="E2" s="431"/>
      <c r="F2" s="431"/>
      <c r="G2" s="431"/>
      <c r="H2" s="432"/>
      <c r="I2" s="178"/>
      <c r="J2" s="430" t="str">
        <f>'11-25 payroll'!A1</f>
        <v>THE OLD SPAGHETTI HOUSE</v>
      </c>
      <c r="K2" s="431"/>
      <c r="L2" s="431"/>
      <c r="M2" s="431"/>
      <c r="N2" s="431"/>
      <c r="O2" s="431"/>
      <c r="P2" s="432"/>
    </row>
    <row r="3" spans="1:22" s="179" customFormat="1">
      <c r="A3" s="170"/>
      <c r="B3" s="433" t="str">
        <f>'11-25 payroll'!D2</f>
        <v>VALERO</v>
      </c>
      <c r="C3" s="434"/>
      <c r="D3" s="434"/>
      <c r="E3" s="434"/>
      <c r="F3" s="434"/>
      <c r="G3" s="434"/>
      <c r="H3" s="435"/>
      <c r="I3" s="178"/>
      <c r="J3" s="433" t="str">
        <f>'11-25 payroll'!D2</f>
        <v>VALERO</v>
      </c>
      <c r="K3" s="434"/>
      <c r="L3" s="434"/>
      <c r="M3" s="434"/>
      <c r="N3" s="434"/>
      <c r="O3" s="434"/>
      <c r="P3" s="43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6" t="s">
        <v>25</v>
      </c>
      <c r="C5" s="437"/>
      <c r="D5" s="437"/>
      <c r="E5" s="437"/>
      <c r="F5" s="437"/>
      <c r="G5" s="437"/>
      <c r="H5" s="438"/>
      <c r="I5" s="178"/>
      <c r="J5" s="436" t="s">
        <v>25</v>
      </c>
      <c r="K5" s="437"/>
      <c r="L5" s="437"/>
      <c r="M5" s="437"/>
      <c r="N5" s="437"/>
      <c r="O5" s="437"/>
      <c r="P5" s="43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9" t="str">
        <f>'11-25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'11-25 payroll'!B8</f>
        <v>Sanchez, Angelo</v>
      </c>
      <c r="M7" s="439"/>
      <c r="N7" s="439"/>
      <c r="O7" s="9"/>
      <c r="P7" s="194"/>
    </row>
    <row r="8" spans="1:22">
      <c r="B8" s="192" t="s">
        <v>28</v>
      </c>
      <c r="C8" s="193" t="s">
        <v>27</v>
      </c>
      <c r="D8" s="440">
        <f>'11-25 payroll'!E7</f>
        <v>502</v>
      </c>
      <c r="E8" s="440"/>
      <c r="F8" s="440"/>
      <c r="G8" s="55"/>
      <c r="H8" s="235"/>
      <c r="I8" s="195"/>
      <c r="J8" s="192" t="s">
        <v>28</v>
      </c>
      <c r="K8" s="193" t="s">
        <v>27</v>
      </c>
      <c r="L8" s="440">
        <f>'11-25 payroll'!E8</f>
        <v>502</v>
      </c>
      <c r="M8" s="440"/>
      <c r="N8" s="440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1" t="str">
        <f>'11-25 payroll'!D3</f>
        <v>August 11-25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tr">
        <f>'11-25 payroll'!D3</f>
        <v>August 11-25</v>
      </c>
      <c r="M9" s="441"/>
      <c r="N9" s="44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0" t="str">
        <f>'11-25 payroll'!A1</f>
        <v>THE OLD SPAGHETTI HOUSE</v>
      </c>
      <c r="C35" s="431"/>
      <c r="D35" s="431"/>
      <c r="E35" s="431"/>
      <c r="F35" s="431"/>
      <c r="G35" s="431"/>
      <c r="H35" s="432"/>
      <c r="I35" s="178"/>
      <c r="J35" s="430" t="str">
        <f>'11-25 payroll'!A1</f>
        <v>THE OLD SPAGHETTI HOUSE</v>
      </c>
      <c r="K35" s="431"/>
      <c r="L35" s="431"/>
      <c r="M35" s="431"/>
      <c r="N35" s="431"/>
      <c r="O35" s="431"/>
      <c r="P35" s="432"/>
    </row>
    <row r="36" spans="2:17">
      <c r="B36" s="433" t="str">
        <f>'11-25 payroll'!D2</f>
        <v>VALERO</v>
      </c>
      <c r="C36" s="434"/>
      <c r="D36" s="434"/>
      <c r="E36" s="434"/>
      <c r="F36" s="434"/>
      <c r="G36" s="434"/>
      <c r="H36" s="435"/>
      <c r="I36" s="178"/>
      <c r="J36" s="433" t="str">
        <f>'11-25 payroll'!D2</f>
        <v>VALERO</v>
      </c>
      <c r="K36" s="434"/>
      <c r="L36" s="434"/>
      <c r="M36" s="434"/>
      <c r="N36" s="434"/>
      <c r="O36" s="434"/>
      <c r="P36" s="43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6" t="s">
        <v>25</v>
      </c>
      <c r="C38" s="437"/>
      <c r="D38" s="437"/>
      <c r="E38" s="437"/>
      <c r="F38" s="437"/>
      <c r="G38" s="437"/>
      <c r="H38" s="438"/>
      <c r="I38" s="178"/>
      <c r="J38" s="436" t="s">
        <v>25</v>
      </c>
      <c r="K38" s="437"/>
      <c r="L38" s="437"/>
      <c r="M38" s="437"/>
      <c r="N38" s="437"/>
      <c r="O38" s="437"/>
      <c r="P38" s="43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9" t="str">
        <f>'11-25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42" t="str">
        <f>'11-25 payroll'!B10</f>
        <v xml:space="preserve">Sosa, Anna Marie </v>
      </c>
      <c r="M40" s="439"/>
      <c r="N40" s="439"/>
      <c r="O40" s="9"/>
      <c r="P40" s="194"/>
    </row>
    <row r="41" spans="2:17">
      <c r="B41" s="192" t="s">
        <v>28</v>
      </c>
      <c r="C41" s="193" t="s">
        <v>27</v>
      </c>
      <c r="D41" s="440">
        <f>'11-25 payroll'!E9</f>
        <v>790.23076923076928</v>
      </c>
      <c r="E41" s="440"/>
      <c r="F41" s="440"/>
      <c r="G41" s="55"/>
      <c r="H41" s="235"/>
      <c r="I41" s="195"/>
      <c r="J41" s="192" t="s">
        <v>28</v>
      </c>
      <c r="K41" s="193" t="s">
        <v>27</v>
      </c>
      <c r="L41" s="440">
        <f>'11-25 payroll'!E10</f>
        <v>502</v>
      </c>
      <c r="M41" s="440"/>
      <c r="N41" s="440"/>
      <c r="O41" s="9"/>
      <c r="P41" s="235"/>
    </row>
    <row r="42" spans="2:17">
      <c r="B42" s="192" t="s">
        <v>29</v>
      </c>
      <c r="C42" s="193" t="s">
        <v>27</v>
      </c>
      <c r="D42" s="441" t="str">
        <f>'11-25 payroll'!D3</f>
        <v>August 11-25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tr">
        <f>'11-25 payroll'!D3</f>
        <v>August 11-25</v>
      </c>
      <c r="M42" s="441"/>
      <c r="N42" s="44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0" t="str">
        <f>'11-25 payroll'!A1</f>
        <v>THE OLD SPAGHETTI HOUSE</v>
      </c>
      <c r="C68" s="431"/>
      <c r="D68" s="431"/>
      <c r="E68" s="431"/>
      <c r="F68" s="431"/>
      <c r="G68" s="431"/>
      <c r="H68" s="432"/>
      <c r="I68" s="178"/>
      <c r="J68" s="430" t="str">
        <f>'11-25 payroll'!A1</f>
        <v>THE OLD SPAGHETTI HOUSE</v>
      </c>
      <c r="K68" s="431"/>
      <c r="L68" s="431"/>
      <c r="M68" s="431"/>
      <c r="N68" s="431"/>
      <c r="O68" s="431"/>
      <c r="P68" s="432"/>
    </row>
    <row r="69" spans="2:17">
      <c r="B69" s="433" t="str">
        <f>'11-25 payroll'!D2</f>
        <v>VALERO</v>
      </c>
      <c r="C69" s="434"/>
      <c r="D69" s="434"/>
      <c r="E69" s="434"/>
      <c r="F69" s="434"/>
      <c r="G69" s="434"/>
      <c r="H69" s="435"/>
      <c r="I69" s="178"/>
      <c r="J69" s="433" t="str">
        <f>'11-25 payroll'!D2</f>
        <v>VALERO</v>
      </c>
      <c r="K69" s="434"/>
      <c r="L69" s="434"/>
      <c r="M69" s="434"/>
      <c r="N69" s="434"/>
      <c r="O69" s="434"/>
      <c r="P69" s="43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6" t="s">
        <v>25</v>
      </c>
      <c r="C71" s="437"/>
      <c r="D71" s="437"/>
      <c r="E71" s="437"/>
      <c r="F71" s="437"/>
      <c r="G71" s="437"/>
      <c r="H71" s="438"/>
      <c r="I71" s="178"/>
      <c r="J71" s="436" t="s">
        <v>25</v>
      </c>
      <c r="K71" s="437"/>
      <c r="L71" s="437"/>
      <c r="M71" s="437"/>
      <c r="N71" s="437"/>
      <c r="O71" s="437"/>
      <c r="P71" s="43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2" t="str">
        <f>'11-25 payroll'!B11</f>
        <v>Briones, Christain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42">
        <f>'11-25 payroll'!B12</f>
        <v>0</v>
      </c>
      <c r="M73" s="439"/>
      <c r="N73" s="439"/>
      <c r="O73" s="9"/>
      <c r="P73" s="194"/>
    </row>
    <row r="74" spans="2:17">
      <c r="B74" s="192" t="s">
        <v>28</v>
      </c>
      <c r="C74" s="193" t="s">
        <v>27</v>
      </c>
      <c r="D74" s="440">
        <f>'11-25 payroll'!E11</f>
        <v>502</v>
      </c>
      <c r="E74" s="440"/>
      <c r="F74" s="440"/>
      <c r="G74" s="55"/>
      <c r="H74" s="235"/>
      <c r="I74" s="195"/>
      <c r="J74" s="192" t="s">
        <v>28</v>
      </c>
      <c r="K74" s="193" t="s">
        <v>27</v>
      </c>
      <c r="L74" s="440">
        <f>'11-25 payroll'!E12</f>
        <v>0</v>
      </c>
      <c r="M74" s="440"/>
      <c r="N74" s="440"/>
      <c r="O74" s="9"/>
      <c r="P74" s="235"/>
    </row>
    <row r="75" spans="2:17">
      <c r="B75" s="192" t="s">
        <v>29</v>
      </c>
      <c r="C75" s="193" t="s">
        <v>27</v>
      </c>
      <c r="D75" s="441" t="str">
        <f>'11-25 payroll'!D3</f>
        <v>August 11-25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tr">
        <f>'11-25 payroll'!D3</f>
        <v>August 11-25</v>
      </c>
      <c r="M75" s="441"/>
      <c r="N75" s="44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0" t="str">
        <f>'11-25 payroll'!A1</f>
        <v>THE OLD SPAGHETTI HOUSE</v>
      </c>
      <c r="C101" s="431"/>
      <c r="D101" s="431"/>
      <c r="E101" s="431"/>
      <c r="F101" s="431"/>
      <c r="G101" s="431"/>
      <c r="H101" s="432"/>
      <c r="I101" s="178"/>
      <c r="J101" s="430" t="str">
        <f>'11-25 payroll'!A1</f>
        <v>THE OLD SPAGHETTI HOUSE</v>
      </c>
      <c r="K101" s="431"/>
      <c r="L101" s="431"/>
      <c r="M101" s="431"/>
      <c r="N101" s="431"/>
      <c r="O101" s="431"/>
      <c r="P101" s="432"/>
    </row>
    <row r="102" spans="2:17">
      <c r="B102" s="433" t="str">
        <f>'11-25 payroll'!D2</f>
        <v>VALERO</v>
      </c>
      <c r="C102" s="434"/>
      <c r="D102" s="434"/>
      <c r="E102" s="434"/>
      <c r="F102" s="434"/>
      <c r="G102" s="434"/>
      <c r="H102" s="435"/>
      <c r="I102" s="178"/>
      <c r="J102" s="433" t="str">
        <f>'11-25 payroll'!D2</f>
        <v>VALERO</v>
      </c>
      <c r="K102" s="434"/>
      <c r="L102" s="434"/>
      <c r="M102" s="434"/>
      <c r="N102" s="434"/>
      <c r="O102" s="434"/>
      <c r="P102" s="43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6" t="s">
        <v>25</v>
      </c>
      <c r="C104" s="437"/>
      <c r="D104" s="437"/>
      <c r="E104" s="437"/>
      <c r="F104" s="437"/>
      <c r="G104" s="437"/>
      <c r="H104" s="438"/>
      <c r="I104" s="178"/>
      <c r="J104" s="436" t="s">
        <v>25</v>
      </c>
      <c r="K104" s="437"/>
      <c r="L104" s="437"/>
      <c r="M104" s="437"/>
      <c r="N104" s="437"/>
      <c r="O104" s="437"/>
      <c r="P104" s="43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2">
        <f>'11-25 payroll'!B13</f>
        <v>0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42">
        <f>'11-25 payroll'!B29</f>
        <v>0</v>
      </c>
      <c r="M106" s="439"/>
      <c r="N106" s="439"/>
      <c r="O106" s="9"/>
      <c r="P106" s="194"/>
    </row>
    <row r="107" spans="2:17">
      <c r="B107" s="192" t="s">
        <v>28</v>
      </c>
      <c r="C107" s="193" t="s">
        <v>27</v>
      </c>
      <c r="D107" s="440">
        <f>'11-25 payroll'!E13</f>
        <v>0</v>
      </c>
      <c r="E107" s="440"/>
      <c r="F107" s="440"/>
      <c r="G107" s="55"/>
      <c r="H107" s="235"/>
      <c r="I107" s="195"/>
      <c r="J107" s="192" t="s">
        <v>28</v>
      </c>
      <c r="K107" s="193" t="s">
        <v>27</v>
      </c>
      <c r="L107" s="440">
        <f>'11-25 payroll'!E14</f>
        <v>0</v>
      </c>
      <c r="M107" s="440"/>
      <c r="N107" s="440"/>
      <c r="O107" s="9"/>
      <c r="P107" s="235"/>
    </row>
    <row r="108" spans="2:17">
      <c r="B108" s="192" t="s">
        <v>29</v>
      </c>
      <c r="C108" s="193" t="s">
        <v>27</v>
      </c>
      <c r="D108" s="441" t="str">
        <f>'11-25 payroll'!D3</f>
        <v>August 11-25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'11-25 payroll'!D3</f>
        <v>August 11-25</v>
      </c>
      <c r="M108" s="441"/>
      <c r="N108" s="44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0" t="str">
        <f>'11-25 payroll'!A1</f>
        <v>THE OLD SPAGHETTI HOUSE</v>
      </c>
      <c r="C134" s="431"/>
      <c r="D134" s="431"/>
      <c r="E134" s="431"/>
      <c r="F134" s="431"/>
      <c r="G134" s="431"/>
      <c r="H134" s="432"/>
      <c r="I134" s="178"/>
      <c r="J134" s="430" t="str">
        <f>'11-25 payroll'!A1</f>
        <v>THE OLD SPAGHETTI HOUSE</v>
      </c>
      <c r="K134" s="431"/>
      <c r="L134" s="431"/>
      <c r="M134" s="431"/>
      <c r="N134" s="431"/>
      <c r="O134" s="431"/>
      <c r="P134" s="432"/>
    </row>
    <row r="135" spans="2:17">
      <c r="B135" s="433" t="str">
        <f>'11-25 payroll'!D2</f>
        <v>VALERO</v>
      </c>
      <c r="C135" s="434"/>
      <c r="D135" s="434"/>
      <c r="E135" s="434"/>
      <c r="F135" s="434"/>
      <c r="G135" s="434"/>
      <c r="H135" s="435"/>
      <c r="I135" s="178"/>
      <c r="J135" s="433" t="str">
        <f>'11-25 payroll'!D2</f>
        <v>VALERO</v>
      </c>
      <c r="K135" s="434"/>
      <c r="L135" s="434"/>
      <c r="M135" s="434"/>
      <c r="N135" s="434"/>
      <c r="O135" s="434"/>
      <c r="P135" s="43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6" t="s">
        <v>25</v>
      </c>
      <c r="C137" s="437"/>
      <c r="D137" s="437"/>
      <c r="E137" s="437"/>
      <c r="F137" s="437"/>
      <c r="G137" s="437"/>
      <c r="H137" s="438"/>
      <c r="I137" s="178"/>
      <c r="J137" s="436" t="s">
        <v>25</v>
      </c>
      <c r="K137" s="437"/>
      <c r="L137" s="437"/>
      <c r="M137" s="437"/>
      <c r="N137" s="437"/>
      <c r="O137" s="437"/>
      <c r="P137" s="43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2">
        <f>'11-25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'11-25 payroll'!C112</f>
        <v>0</v>
      </c>
      <c r="M139" s="439"/>
      <c r="N139" s="439"/>
      <c r="O139" s="9"/>
      <c r="P139" s="194"/>
    </row>
    <row r="140" spans="2:17">
      <c r="B140" s="192" t="s">
        <v>28</v>
      </c>
      <c r="C140" s="193" t="s">
        <v>27</v>
      </c>
      <c r="D140" s="440">
        <f>'11-25 payroll'!E15</f>
        <v>0</v>
      </c>
      <c r="E140" s="440"/>
      <c r="F140" s="440"/>
      <c r="G140" s="55"/>
      <c r="H140" s="235"/>
      <c r="I140" s="195"/>
      <c r="J140" s="192" t="s">
        <v>28</v>
      </c>
      <c r="K140" s="193" t="s">
        <v>27</v>
      </c>
      <c r="L140" s="440">
        <f>'11-25 payroll'!E112</f>
        <v>0</v>
      </c>
      <c r="M140" s="440"/>
      <c r="N140" s="440"/>
      <c r="O140" s="9"/>
      <c r="P140" s="235"/>
    </row>
    <row r="141" spans="2:17">
      <c r="B141" s="192" t="s">
        <v>29</v>
      </c>
      <c r="C141" s="193" t="s">
        <v>27</v>
      </c>
      <c r="D141" s="441" t="str">
        <f>'11-25 payroll'!D3</f>
        <v>August 11-25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'11-25 payroll'!D105</f>
        <v>0</v>
      </c>
      <c r="M141" s="441"/>
      <c r="N141" s="44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abSelected="1" topLeftCell="A11" zoomScale="85" workbookViewId="0">
      <selection activeCell="U29" sqref="U29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September 11-25,2018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48" t="s">
        <v>65</v>
      </c>
      <c r="H15" s="448"/>
      <c r="J15" s="449" t="s">
        <v>66</v>
      </c>
      <c r="K15" s="449"/>
      <c r="L15" s="449"/>
      <c r="M15" s="449" t="s">
        <v>67</v>
      </c>
      <c r="N15" s="449"/>
      <c r="O15" s="448" t="s">
        <v>68</v>
      </c>
      <c r="P15" s="448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6" t="s">
        <v>70</v>
      </c>
      <c r="H16" s="446"/>
      <c r="I16" s="70" t="s">
        <v>71</v>
      </c>
      <c r="J16" s="450" t="s">
        <v>72</v>
      </c>
      <c r="K16" s="450"/>
      <c r="L16" s="450"/>
      <c r="M16" s="450" t="s">
        <v>73</v>
      </c>
      <c r="N16" s="450"/>
      <c r="O16" s="446" t="s">
        <v>74</v>
      </c>
      <c r="P16" s="446"/>
      <c r="Q16" s="251" t="s">
        <v>75</v>
      </c>
      <c r="R16" s="445" t="s">
        <v>117</v>
      </c>
      <c r="S16" s="446"/>
      <c r="T16" s="446"/>
      <c r="U16" s="447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6543.05</v>
      </c>
      <c r="H18" s="80">
        <f>'11-25 payroll'!R22</f>
        <v>6526</v>
      </c>
      <c r="I18" s="81">
        <f>G18+H18</f>
        <v>13069.05</v>
      </c>
      <c r="J18" s="82">
        <f>+'26-10 payroll'!J22+'11-25 payroll'!J22</f>
        <v>962.8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337.5</v>
      </c>
      <c r="N18" s="83">
        <f>M18</f>
        <v>337.5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1399.54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1158.32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6687.375</v>
      </c>
      <c r="H19" s="80">
        <f>'11-25 payroll'!R23</f>
        <v>6526</v>
      </c>
      <c r="I19" s="81">
        <f t="shared" ref="I19:I27" si="0">G19+H19</f>
        <v>13213.375</v>
      </c>
      <c r="J19" s="82">
        <f>+'26-10 payroll'!J23+'11-25 payroll'!J23</f>
        <v>962.8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337.5</v>
      </c>
      <c r="N19" s="83">
        <f t="shared" ref="N19:N27" si="1">M19</f>
        <v>337.5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9741.1817307692309</v>
      </c>
      <c r="H20" s="80">
        <f>'11-25 payroll'!R24</f>
        <v>10273</v>
      </c>
      <c r="I20" s="81">
        <f t="shared" si="0"/>
        <v>20014.181730769233</v>
      </c>
      <c r="J20" s="82">
        <f>+'26-10 payroll'!J24+'11-25 payroll'!J24</f>
        <v>1162.5999999999999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462.5</v>
      </c>
      <c r="N20" s="83">
        <f t="shared" si="1"/>
        <v>462.5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6549.3249999999998</v>
      </c>
      <c r="H21" s="80">
        <f>'11-25 payroll'!R25</f>
        <v>6526</v>
      </c>
      <c r="I21" s="81">
        <f t="shared" si="0"/>
        <v>13075.325000000001</v>
      </c>
      <c r="J21" s="82">
        <f>+'26-10 payroll'!J25+'11-25 payroll'!J25</f>
        <v>962.8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325</v>
      </c>
      <c r="N21" s="83">
        <f>M21</f>
        <v>325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6731.3</v>
      </c>
      <c r="H22" s="80">
        <f>'11-25 payroll'!R26</f>
        <v>6526</v>
      </c>
      <c r="I22" s="81">
        <f t="shared" si="0"/>
        <v>13257.3</v>
      </c>
      <c r="J22" s="82">
        <f>+'26-10 payroll'!J26+'11-25 payroll'!J26</f>
        <v>926.5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307.5</v>
      </c>
      <c r="N22" s="83">
        <f>M22</f>
        <v>307.5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1938.08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6745.7325000000001</v>
      </c>
      <c r="H23" s="80">
        <f>'11-25 payroll'!R27</f>
        <v>0</v>
      </c>
      <c r="I23" s="93">
        <f t="shared" si="0"/>
        <v>6745.7325000000001</v>
      </c>
      <c r="J23" s="82">
        <f>+'26-10 payroll'!J27+'11-25 payroll'!J27</f>
        <v>436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182.5</v>
      </c>
      <c r="N23" s="83">
        <f>M23</f>
        <v>182.5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6068.7</v>
      </c>
      <c r="H24" s="80">
        <f>'11-25 payroll'!R28</f>
        <v>0</v>
      </c>
      <c r="I24" s="81">
        <f t="shared" si="0"/>
        <v>6068.7</v>
      </c>
      <c r="J24" s="82">
        <f>+'26-10 payroll'!J28+'11-25 payroll'!J28</f>
        <v>454.2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169.19</v>
      </c>
      <c r="N24" s="83">
        <f t="shared" si="1"/>
        <v>169.19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49066.664230769224</v>
      </c>
      <c r="H29" s="103">
        <f t="shared" ref="H29:O29" si="3">SUM(H18:H27)</f>
        <v>36377</v>
      </c>
      <c r="I29" s="103">
        <f t="shared" si="3"/>
        <v>85443.664230769224</v>
      </c>
      <c r="J29" s="103">
        <f t="shared" si="3"/>
        <v>5867.7</v>
      </c>
      <c r="K29" s="103">
        <f t="shared" si="3"/>
        <v>5046.3</v>
      </c>
      <c r="L29" s="103">
        <f t="shared" si="3"/>
        <v>70</v>
      </c>
      <c r="M29" s="103">
        <f t="shared" si="3"/>
        <v>2121.69</v>
      </c>
      <c r="N29" s="103">
        <f t="shared" si="3"/>
        <v>2121.69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6429.4600000000009</v>
      </c>
      <c r="S29" s="103">
        <f t="shared" si="4"/>
        <v>9052.4500000000007</v>
      </c>
      <c r="T29" s="103">
        <f t="shared" si="4"/>
        <v>0</v>
      </c>
      <c r="U29" s="260">
        <f t="shared" si="4"/>
        <v>2607.0300000000002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10984</v>
      </c>
      <c r="L31" s="115"/>
      <c r="M31" s="115">
        <f>M29+N29</f>
        <v>4243.38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79.023076923076928</v>
      </c>
      <c r="M34" s="109">
        <f>+'26-10 payroll'!W9+'11-25 payroll'!W9</f>
        <v>0</v>
      </c>
      <c r="N34" s="109">
        <f>+'26-10 payroll'!F24+'26-10 payroll'!H24+'11-25 payroll'!F24+'11-25 payroll'!H24</f>
        <v>740.84134615384619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79.023076923076928</v>
      </c>
      <c r="M36" s="264">
        <f t="shared" si="5"/>
        <v>0</v>
      </c>
      <c r="N36" s="264">
        <f t="shared" si="5"/>
        <v>740.84134615384619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12.55</v>
      </c>
      <c r="M37" s="109">
        <f>+'26-10 payroll'!W7+'11-25 payroll'!W7</f>
        <v>0</v>
      </c>
      <c r="N37" s="109">
        <f>+'26-10 payroll'!F22+'26-10 payroll'!H22+'11-25 payroll'!F22+'11-25 payroll'!H22</f>
        <v>125.5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31.375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130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18.825000000000003</v>
      </c>
      <c r="M39" s="109">
        <f>+'26-10 payroll'!W10+'11-25 payroll'!W10</f>
        <v>0</v>
      </c>
      <c r="N39" s="109">
        <f>+'26-10 payroll'!F25+'26-10 payroll'!H25+'11-25 payroll'!F25+'11-25 payroll'!H25</f>
        <v>125.5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390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62.75</v>
      </c>
      <c r="M41" s="268">
        <f t="shared" si="6"/>
        <v>0</v>
      </c>
      <c r="N41" s="268">
        <f t="shared" si="6"/>
        <v>251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141.77307692307693</v>
      </c>
      <c r="M44" s="263">
        <f t="shared" si="7"/>
        <v>0</v>
      </c>
      <c r="N44" s="263">
        <f t="shared" si="7"/>
        <v>991.84134615384619</v>
      </c>
      <c r="O44" s="263">
        <f t="shared" si="7"/>
        <v>0</v>
      </c>
      <c r="P44" s="263">
        <f t="shared" si="7"/>
        <v>7636</v>
      </c>
      <c r="Q44" s="263">
        <f>SUM(B44:P44)</f>
        <v>68991.614423076913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4" t="s">
        <v>133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Q46" s="110"/>
      <c r="U46" s="109"/>
    </row>
    <row r="47" spans="1:22" s="105" customFormat="1">
      <c r="A47" s="444"/>
      <c r="B47" s="444"/>
      <c r="C47" s="444"/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4"/>
      <c r="O47" s="444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69583.821730769225</v>
      </c>
      <c r="M48" s="263">
        <f>+I29+P36+P41-(O36+O41)+G36</f>
        <v>93179.664230769224</v>
      </c>
      <c r="N48" s="109">
        <f>+L48-M48</f>
        <v>-23595.842499999999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35016.6</v>
      </c>
      <c r="M49" s="263">
        <f>+L49</f>
        <v>35016.6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62.75</v>
      </c>
      <c r="M50" s="263">
        <f>+L50</f>
        <v>62.75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16145.390000000001</v>
      </c>
      <c r="M51" s="263">
        <f>+L51</f>
        <v>16145.390000000001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18359.08173076923</v>
      </c>
      <c r="M52" s="263">
        <f>+M48-M49-M50-M51</f>
        <v>41954.924230769226</v>
      </c>
      <c r="N52" s="109">
        <f>+L52-M52</f>
        <v>-23595.842499999995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26" sqref="A26"/>
    </sheetView>
  </sheetViews>
  <sheetFormatPr defaultRowHeight="13.2"/>
  <cols>
    <col min="1" max="1" width="4.6640625" customWidth="1"/>
    <col min="5" max="5" width="10.88671875" customWidth="1"/>
  </cols>
  <sheetData>
    <row r="1" spans="1:13">
      <c r="A1" s="335" t="s">
        <v>290</v>
      </c>
    </row>
    <row r="3" spans="1:13">
      <c r="B3" t="s">
        <v>274</v>
      </c>
    </row>
    <row r="5" spans="1:13">
      <c r="A5" s="335" t="s">
        <v>281</v>
      </c>
      <c r="B5" s="338" t="s">
        <v>275</v>
      </c>
      <c r="C5" s="339"/>
      <c r="D5" s="339"/>
      <c r="E5" s="340"/>
      <c r="G5" s="338" t="s">
        <v>276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277</v>
      </c>
      <c r="C7" s="342">
        <v>502</v>
      </c>
      <c r="D7" s="342"/>
      <c r="E7" s="343"/>
      <c r="G7" s="344" t="s">
        <v>277</v>
      </c>
      <c r="H7" s="342">
        <v>502</v>
      </c>
      <c r="I7" s="343"/>
      <c r="J7" s="344" t="s">
        <v>287</v>
      </c>
      <c r="K7" s="342"/>
      <c r="L7" s="342"/>
      <c r="M7" s="343"/>
    </row>
    <row r="8" spans="1:13">
      <c r="B8" s="344" t="s">
        <v>278</v>
      </c>
      <c r="C8" s="342">
        <v>2.15</v>
      </c>
      <c r="D8" s="342"/>
      <c r="E8" s="343"/>
      <c r="G8" s="344" t="s">
        <v>278</v>
      </c>
      <c r="H8" s="342">
        <f>2+15/60</f>
        <v>2.25</v>
      </c>
      <c r="I8" s="343"/>
      <c r="J8" s="344" t="s">
        <v>288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289</v>
      </c>
      <c r="K9" s="342"/>
      <c r="L9" s="342"/>
      <c r="M9" s="343"/>
    </row>
    <row r="10" spans="1:13">
      <c r="B10" s="345" t="s">
        <v>279</v>
      </c>
      <c r="C10" s="346">
        <f>C7/8*C8</f>
        <v>134.91249999999999</v>
      </c>
      <c r="D10" s="347"/>
      <c r="E10" s="348"/>
      <c r="G10" s="345" t="s">
        <v>279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280</v>
      </c>
    </row>
    <row r="15" spans="1:13">
      <c r="A15" s="335" t="s">
        <v>286</v>
      </c>
      <c r="B15" s="338" t="s">
        <v>282</v>
      </c>
      <c r="C15" s="339"/>
      <c r="D15" s="339"/>
      <c r="E15" s="340"/>
      <c r="G15" s="338" t="s">
        <v>283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277</v>
      </c>
      <c r="C17" s="342">
        <v>502</v>
      </c>
      <c r="D17" s="342"/>
      <c r="E17" s="343"/>
      <c r="G17" s="344" t="s">
        <v>277</v>
      </c>
      <c r="H17" s="342">
        <v>502</v>
      </c>
      <c r="I17" s="343"/>
    </row>
    <row r="18" spans="1:9">
      <c r="B18" s="344" t="s">
        <v>278</v>
      </c>
      <c r="C18" s="342">
        <v>2.59</v>
      </c>
      <c r="D18" s="451" t="s">
        <v>284</v>
      </c>
      <c r="E18" s="452"/>
      <c r="G18" s="344" t="s">
        <v>278</v>
      </c>
      <c r="H18" s="351">
        <f>2+59/60</f>
        <v>2.9833333333333334</v>
      </c>
      <c r="I18" s="343"/>
    </row>
    <row r="19" spans="1:9">
      <c r="B19" s="341"/>
      <c r="C19" s="342"/>
      <c r="D19" s="451"/>
      <c r="E19" s="452"/>
      <c r="G19" s="341"/>
      <c r="H19" s="342"/>
      <c r="I19" s="343"/>
    </row>
    <row r="20" spans="1:9">
      <c r="B20" s="345" t="s">
        <v>279</v>
      </c>
      <c r="C20" s="346">
        <f>C17/8*C18</f>
        <v>162.52249999999998</v>
      </c>
      <c r="D20" s="347"/>
      <c r="E20" s="348"/>
      <c r="G20" s="345" t="s">
        <v>279</v>
      </c>
      <c r="H20" s="346">
        <f>H17/8*H18</f>
        <v>187.20416666666668</v>
      </c>
      <c r="I20" s="348"/>
    </row>
    <row r="22" spans="1:9">
      <c r="B22" s="337" t="s">
        <v>285</v>
      </c>
    </row>
    <row r="25" spans="1:9">
      <c r="A25" s="336" t="s">
        <v>291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'11-25 payroll'!Print_Area</vt:lpstr>
      <vt:lpstr>'11-25 payslip'!Print_Area</vt:lpstr>
      <vt:lpstr>'26-10 payroll'!Print_Area</vt:lpstr>
      <vt:lpstr>'26-10 payslip'!Print_Area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2018-08-13T09:09:26Z</cp:lastPrinted>
  <dcterms:created xsi:type="dcterms:W3CDTF">2010-01-04T12:18:59Z</dcterms:created>
  <dcterms:modified xsi:type="dcterms:W3CDTF">2019-02-20T13:28:33Z</dcterms:modified>
</cp:coreProperties>
</file>