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8" yWindow="948" windowWidth="7620" windowHeight="7152" tabRatio="542" activeTab="2"/>
  </bookViews>
  <sheets>
    <sheet name="SALES SUMMARY" sheetId="1" r:id="rId1"/>
    <sheet name="ENTRY" sheetId="2" r:id="rId2"/>
    <sheet name="SC" sheetId="3" r:id="rId3"/>
    <sheet name="M &amp; C VALERO" sheetId="4" r:id="rId4"/>
    <sheet name="SALES SUMMARY (2)" sheetId="5" r:id="rId5"/>
  </sheets>
  <definedNames>
    <definedName name="_xlnm.Print_Area" localSheetId="3">'M &amp; C VALERO'!$A$1:$G$129</definedName>
    <definedName name="_xlnm.Print_Area" localSheetId="2">SC!$A$1:$O$73</definedName>
  </definedNames>
  <calcPr calcId="124519"/>
</workbook>
</file>

<file path=xl/calcChain.xml><?xml version="1.0" encoding="utf-8"?>
<calcChain xmlns="http://schemas.openxmlformats.org/spreadsheetml/2006/main">
  <c r="M75" i="3"/>
  <c r="L77"/>
  <c r="AH76" i="5"/>
  <c r="AS113" i="1"/>
  <c r="AR113"/>
  <c r="AQ113"/>
  <c r="AP113"/>
  <c r="AO113"/>
  <c r="AR112"/>
  <c r="AR110"/>
  <c r="AP110"/>
  <c r="AO110"/>
  <c r="AM113"/>
  <c r="AM23"/>
  <c r="AM112" s="1"/>
  <c r="AL23"/>
  <c r="AL112" s="1"/>
  <c r="AK23"/>
  <c r="Z94"/>
  <c r="AP91"/>
  <c r="Z91"/>
  <c r="Z90"/>
  <c r="BA88"/>
  <c r="Z88"/>
  <c r="AK88"/>
  <c r="AL88" s="1"/>
  <c r="AM88" s="1"/>
  <c r="AN88" s="1"/>
  <c r="AK87"/>
  <c r="AL87" s="1"/>
  <c r="AM87" s="1"/>
  <c r="AN87" s="1"/>
  <c r="AK85"/>
  <c r="AL85" s="1"/>
  <c r="AM85" s="1"/>
  <c r="AN85" s="1"/>
  <c r="AL84"/>
  <c r="AM84" s="1"/>
  <c r="AN84" s="1"/>
  <c r="AK84"/>
  <c r="AK82"/>
  <c r="AL82" s="1"/>
  <c r="AM82" s="1"/>
  <c r="AN82" s="1"/>
  <c r="AK81"/>
  <c r="AL81" s="1"/>
  <c r="AM81" s="1"/>
  <c r="AN81" s="1"/>
  <c r="Z81"/>
  <c r="Z78"/>
  <c r="Z73"/>
  <c r="Z70"/>
  <c r="AK70"/>
  <c r="AL70" s="1"/>
  <c r="AM70" s="1"/>
  <c r="AN70" s="1"/>
  <c r="AK69"/>
  <c r="AL69" s="1"/>
  <c r="AM69" s="1"/>
  <c r="AN69" s="1"/>
  <c r="BA67" l="1"/>
  <c r="Z66"/>
  <c r="AR64"/>
  <c r="AK64"/>
  <c r="AL64" s="1"/>
  <c r="AM64" s="1"/>
  <c r="AN64" s="1"/>
  <c r="AK63"/>
  <c r="AL63" s="1"/>
  <c r="AM63" s="1"/>
  <c r="AN63" s="1"/>
  <c r="Z63"/>
  <c r="Z61"/>
  <c r="AK61"/>
  <c r="AL61" s="1"/>
  <c r="AM61" s="1"/>
  <c r="AN61" s="1"/>
  <c r="AK60"/>
  <c r="AL60" s="1"/>
  <c r="AM60" s="1"/>
  <c r="AN60" s="1"/>
  <c r="Z57"/>
  <c r="Z48"/>
  <c r="A48"/>
  <c r="Z46"/>
  <c r="Z43"/>
  <c r="AK43"/>
  <c r="AL43" s="1"/>
  <c r="AM43" s="1"/>
  <c r="AN43" s="1"/>
  <c r="AK42"/>
  <c r="AL42" s="1"/>
  <c r="AM42" s="1"/>
  <c r="AN42" s="1"/>
  <c r="Z42"/>
  <c r="AK40"/>
  <c r="AL40" s="1"/>
  <c r="AM40" s="1"/>
  <c r="AN40" s="1"/>
  <c r="AK39"/>
  <c r="AL39" s="1"/>
  <c r="AM39" s="1"/>
  <c r="AN39" s="1"/>
  <c r="Z39"/>
  <c r="Z36"/>
  <c r="Z28"/>
  <c r="Z27"/>
  <c r="Z25"/>
  <c r="Z24"/>
  <c r="Z22"/>
  <c r="AK22"/>
  <c r="AK21"/>
  <c r="AL21" s="1"/>
  <c r="AM21" s="1"/>
  <c r="AN21" s="1"/>
  <c r="Z21"/>
  <c r="AK19"/>
  <c r="AL19" s="1"/>
  <c r="AM19" s="1"/>
  <c r="AN19" s="1"/>
  <c r="AK18"/>
  <c r="AL18" s="1"/>
  <c r="AM18" s="1"/>
  <c r="AN18" s="1"/>
  <c r="Z18"/>
  <c r="AE16"/>
  <c r="Z16"/>
  <c r="AK94"/>
  <c r="AL94" s="1"/>
  <c r="AM94" s="1"/>
  <c r="AN94" s="1"/>
  <c r="AL93"/>
  <c r="AM93" s="1"/>
  <c r="AN93" s="1"/>
  <c r="AK91"/>
  <c r="AL91" s="1"/>
  <c r="AM91" s="1"/>
  <c r="AN91" s="1"/>
  <c r="AK90"/>
  <c r="AL90" s="1"/>
  <c r="AM90" s="1"/>
  <c r="AN90" s="1"/>
  <c r="AR74"/>
  <c r="AK73"/>
  <c r="AL73" s="1"/>
  <c r="AM73" s="1"/>
  <c r="AN73" s="1"/>
  <c r="AL72"/>
  <c r="AM72" s="1"/>
  <c r="AN72" s="1"/>
  <c r="AK52"/>
  <c r="AL52" s="1"/>
  <c r="AM52" s="1"/>
  <c r="AN52" s="1"/>
  <c r="AL51"/>
  <c r="AM51" s="1"/>
  <c r="AN51" s="1"/>
  <c r="AK31"/>
  <c r="AL31" s="1"/>
  <c r="AM31" s="1"/>
  <c r="AN31" s="1"/>
  <c r="W13"/>
  <c r="U13"/>
  <c r="T13"/>
  <c r="W12"/>
  <c r="U12"/>
  <c r="T12"/>
  <c r="AK10"/>
  <c r="AL10" s="1"/>
  <c r="AM10" s="1"/>
  <c r="AN10" s="1"/>
  <c r="AL96"/>
  <c r="AM96" s="1"/>
  <c r="AN96" s="1"/>
  <c r="V13" l="1"/>
  <c r="V12"/>
  <c r="AL22"/>
  <c r="AM22" s="1"/>
  <c r="AN22" s="1"/>
  <c r="AK78"/>
  <c r="AL78" s="1"/>
  <c r="AM78" s="1"/>
  <c r="AN78" s="1"/>
  <c r="AL75"/>
  <c r="AM75" s="1"/>
  <c r="AN75" s="1"/>
  <c r="AK58"/>
  <c r="AL58" s="1"/>
  <c r="AM58" s="1"/>
  <c r="AN58" s="1"/>
  <c r="AK57"/>
  <c r="AL57" s="1"/>
  <c r="AM57" s="1"/>
  <c r="AN57" s="1"/>
  <c r="AL54"/>
  <c r="AM54" s="1"/>
  <c r="AN54" s="1"/>
  <c r="AI55"/>
  <c r="AH55"/>
  <c r="AG55"/>
  <c r="AK36"/>
  <c r="AL36" s="1"/>
  <c r="AM36" s="1"/>
  <c r="AN36" s="1"/>
  <c r="AK34"/>
  <c r="AL34" s="1"/>
  <c r="AM34" s="1"/>
  <c r="AN34" s="1"/>
  <c r="AL33"/>
  <c r="AM33" s="1"/>
  <c r="AN33" s="1"/>
  <c r="AK15"/>
  <c r="AL15" s="1"/>
  <c r="AM15" s="1"/>
  <c r="AN15" s="1"/>
  <c r="AL12"/>
  <c r="AM12" s="1"/>
  <c r="AN12" s="1"/>
  <c r="AK66" l="1"/>
  <c r="AL66" s="1"/>
  <c r="AM66" s="1"/>
  <c r="AN66" s="1"/>
  <c r="AK48"/>
  <c r="AL48" s="1"/>
  <c r="AM48" s="1"/>
  <c r="AN48" s="1"/>
  <c r="AK46"/>
  <c r="AL46" s="1"/>
  <c r="AM46" s="1"/>
  <c r="AN46" s="1"/>
  <c r="AK45"/>
  <c r="AL45" s="1"/>
  <c r="AM45" s="1"/>
  <c r="AN45" s="1"/>
  <c r="AK24"/>
  <c r="AL24" s="1"/>
  <c r="AM24" s="1"/>
  <c r="AN24" s="1"/>
  <c r="AL9" l="1"/>
  <c r="AM9" s="1"/>
  <c r="AN9" s="1"/>
  <c r="AL30"/>
  <c r="AM30" s="1"/>
  <c r="AN30" s="1"/>
  <c r="AK27"/>
  <c r="AL27" s="1"/>
  <c r="AM27" s="1"/>
  <c r="AN27" s="1"/>
  <c r="AK67" l="1"/>
  <c r="AL67" s="1"/>
  <c r="AM67" s="1"/>
  <c r="AN67" s="1"/>
  <c r="AK49"/>
  <c r="AL49" s="1"/>
  <c r="AM49" s="1"/>
  <c r="AN49" s="1"/>
  <c r="AK28"/>
  <c r="AL28" s="1"/>
  <c r="AM28" s="1"/>
  <c r="AN28" s="1"/>
  <c r="AK25"/>
  <c r="AL25" s="1"/>
  <c r="AM25" s="1"/>
  <c r="AN25" s="1"/>
  <c r="N22"/>
  <c r="M22"/>
  <c r="N21"/>
  <c r="M21"/>
  <c r="AI96"/>
  <c r="AH96"/>
  <c r="AG96"/>
  <c r="AK97"/>
  <c r="AL97" s="1"/>
  <c r="AM97" s="1"/>
  <c r="AN97" s="1"/>
  <c r="AR83"/>
  <c r="AI31"/>
  <c r="AH31"/>
  <c r="AG31"/>
  <c r="AI30"/>
  <c r="AH30"/>
  <c r="AG30"/>
  <c r="C103"/>
  <c r="AK62"/>
  <c r="S27" i="2" s="1"/>
  <c r="G87" i="1"/>
  <c r="G88"/>
  <c r="AZ64"/>
  <c r="AK76"/>
  <c r="AL76" s="1"/>
  <c r="AM76" s="1"/>
  <c r="AN76" s="1"/>
  <c r="AK37"/>
  <c r="AL37" s="1"/>
  <c r="AM37" s="1"/>
  <c r="AN37" s="1"/>
  <c r="P13"/>
  <c r="N13"/>
  <c r="M13"/>
  <c r="AZ13"/>
  <c r="BR13" s="1"/>
  <c r="AK79"/>
  <c r="AL79" s="1"/>
  <c r="AM79" s="1"/>
  <c r="G101"/>
  <c r="H101"/>
  <c r="M101"/>
  <c r="M103" s="1"/>
  <c r="N101"/>
  <c r="P101"/>
  <c r="T101"/>
  <c r="U101"/>
  <c r="V101"/>
  <c r="W101"/>
  <c r="AG101"/>
  <c r="AH101"/>
  <c r="AI101"/>
  <c r="AL101"/>
  <c r="AZ101"/>
  <c r="BC101"/>
  <c r="BD101"/>
  <c r="BR101"/>
  <c r="G102"/>
  <c r="H102"/>
  <c r="AF6" i="2"/>
  <c r="M102" i="1"/>
  <c r="N102"/>
  <c r="P102"/>
  <c r="T102"/>
  <c r="U102"/>
  <c r="W102"/>
  <c r="AG102"/>
  <c r="AH102"/>
  <c r="AH103"/>
  <c r="AI102"/>
  <c r="AK102"/>
  <c r="AL102"/>
  <c r="AZ102"/>
  <c r="BR102"/>
  <c r="AF34" i="2"/>
  <c r="BD25" i="1"/>
  <c r="C62"/>
  <c r="AZ67"/>
  <c r="BR67" s="1"/>
  <c r="BR68" s="1"/>
  <c r="U34" i="2" s="1"/>
  <c r="AI67" i="1"/>
  <c r="AH67"/>
  <c r="AG67"/>
  <c r="N67"/>
  <c r="M67"/>
  <c r="H67"/>
  <c r="G67"/>
  <c r="BD66"/>
  <c r="BC66"/>
  <c r="BR66"/>
  <c r="AZ66"/>
  <c r="AI66"/>
  <c r="AH66"/>
  <c r="AG66"/>
  <c r="N66"/>
  <c r="M66"/>
  <c r="H66"/>
  <c r="G66"/>
  <c r="BA56"/>
  <c r="H30"/>
  <c r="G30"/>
  <c r="BA86"/>
  <c r="H82"/>
  <c r="H81"/>
  <c r="G83"/>
  <c r="Z5" i="2" s="1"/>
  <c r="BA77" i="1"/>
  <c r="X31" i="2" s="1"/>
  <c r="BA65" i="1"/>
  <c r="AZ61"/>
  <c r="BR61" s="1"/>
  <c r="BR62" s="1"/>
  <c r="S34" i="2" s="1"/>
  <c r="AI61" i="1"/>
  <c r="AH61"/>
  <c r="AG61"/>
  <c r="W61"/>
  <c r="W62"/>
  <c r="S16" i="2" s="1"/>
  <c r="U61" i="1"/>
  <c r="T61"/>
  <c r="P61"/>
  <c r="N61"/>
  <c r="M61"/>
  <c r="H61"/>
  <c r="BA59"/>
  <c r="H90"/>
  <c r="H87"/>
  <c r="P82"/>
  <c r="N82"/>
  <c r="M82"/>
  <c r="P81"/>
  <c r="N81"/>
  <c r="M81"/>
  <c r="BA74"/>
  <c r="BA71"/>
  <c r="H70"/>
  <c r="G70"/>
  <c r="H69"/>
  <c r="G69"/>
  <c r="G71" s="1"/>
  <c r="V5" i="2" s="1"/>
  <c r="BA68" i="1"/>
  <c r="U31" i="2" s="1"/>
  <c r="BA50" i="1"/>
  <c r="O31" i="2" s="1"/>
  <c r="E98" i="1"/>
  <c r="AE3" i="2" s="1"/>
  <c r="N97" i="1"/>
  <c r="M97"/>
  <c r="N96"/>
  <c r="N98" s="1"/>
  <c r="AE10" i="2" s="1"/>
  <c r="M96" i="1"/>
  <c r="H97"/>
  <c r="G97"/>
  <c r="H96"/>
  <c r="G96"/>
  <c r="N91"/>
  <c r="M91"/>
  <c r="N90"/>
  <c r="M90"/>
  <c r="H91"/>
  <c r="G91"/>
  <c r="N70"/>
  <c r="M70"/>
  <c r="N69"/>
  <c r="N71" s="1"/>
  <c r="V10" i="2" s="1"/>
  <c r="M69" i="1"/>
  <c r="O69" s="1"/>
  <c r="H55"/>
  <c r="G55"/>
  <c r="H54"/>
  <c r="H56" s="1"/>
  <c r="Q6" i="2" s="1"/>
  <c r="G54" i="1"/>
  <c r="AG51"/>
  <c r="H52"/>
  <c r="G52"/>
  <c r="H51"/>
  <c r="G51"/>
  <c r="H49"/>
  <c r="H48"/>
  <c r="BQ74"/>
  <c r="BP74"/>
  <c r="BO74"/>
  <c r="BN74"/>
  <c r="BM74"/>
  <c r="BL74"/>
  <c r="BK74"/>
  <c r="BJ74"/>
  <c r="BI74"/>
  <c r="BH74"/>
  <c r="BG74"/>
  <c r="BF74"/>
  <c r="BE74"/>
  <c r="BB74"/>
  <c r="AY74"/>
  <c r="AX74"/>
  <c r="AW74"/>
  <c r="AV74"/>
  <c r="AU74"/>
  <c r="AT74"/>
  <c r="AS74"/>
  <c r="AQ74"/>
  <c r="AP74"/>
  <c r="AO74"/>
  <c r="AJ74"/>
  <c r="Y74"/>
  <c r="W74"/>
  <c r="V74"/>
  <c r="U74"/>
  <c r="T74"/>
  <c r="S74"/>
  <c r="R74"/>
  <c r="P74"/>
  <c r="L74"/>
  <c r="K74"/>
  <c r="J74"/>
  <c r="I74"/>
  <c r="E74"/>
  <c r="D74"/>
  <c r="C74"/>
  <c r="BQ71"/>
  <c r="BP71"/>
  <c r="BO71"/>
  <c r="BN71"/>
  <c r="BM71"/>
  <c r="BL71"/>
  <c r="BK71"/>
  <c r="BJ71"/>
  <c r="BI71"/>
  <c r="BH71"/>
  <c r="BG71"/>
  <c r="BF71"/>
  <c r="BE71"/>
  <c r="BB71"/>
  <c r="AY71"/>
  <c r="AX71"/>
  <c r="AW71"/>
  <c r="AV71"/>
  <c r="AU71"/>
  <c r="AT71"/>
  <c r="AS71"/>
  <c r="AR71"/>
  <c r="AQ71"/>
  <c r="AP71"/>
  <c r="AO71"/>
  <c r="AJ71"/>
  <c r="Y71"/>
  <c r="W71"/>
  <c r="V71"/>
  <c r="U71"/>
  <c r="T71"/>
  <c r="S71"/>
  <c r="R71"/>
  <c r="P71"/>
  <c r="L71"/>
  <c r="K71"/>
  <c r="J71"/>
  <c r="I71"/>
  <c r="E71"/>
  <c r="V3" i="2" s="1"/>
  <c r="D71" i="1"/>
  <c r="C71"/>
  <c r="BQ68"/>
  <c r="BP68"/>
  <c r="BO68"/>
  <c r="BN68"/>
  <c r="BM68"/>
  <c r="BL68"/>
  <c r="BK68"/>
  <c r="BJ68"/>
  <c r="BI68"/>
  <c r="BH68"/>
  <c r="BG68"/>
  <c r="BF68"/>
  <c r="BE68"/>
  <c r="BB68"/>
  <c r="AY68"/>
  <c r="AX68"/>
  <c r="AW68"/>
  <c r="AV68"/>
  <c r="AU68"/>
  <c r="AT68"/>
  <c r="AS68"/>
  <c r="AR68"/>
  <c r="AQ68"/>
  <c r="AP68"/>
  <c r="AO68"/>
  <c r="AJ68"/>
  <c r="Y68"/>
  <c r="U17" i="2"/>
  <c r="W68" i="1"/>
  <c r="V68"/>
  <c r="U68"/>
  <c r="T68"/>
  <c r="U13" i="2"/>
  <c r="S68" i="1"/>
  <c r="R68"/>
  <c r="P68"/>
  <c r="L68"/>
  <c r="K68"/>
  <c r="J68"/>
  <c r="U8" i="2"/>
  <c r="I68" i="1"/>
  <c r="E68"/>
  <c r="U3" i="2" s="1"/>
  <c r="D68" i="1"/>
  <c r="C68"/>
  <c r="BQ65"/>
  <c r="BP65"/>
  <c r="BO65"/>
  <c r="BN65"/>
  <c r="BM65"/>
  <c r="BL65"/>
  <c r="BK65"/>
  <c r="BJ65"/>
  <c r="BI65"/>
  <c r="BG65"/>
  <c r="BF65"/>
  <c r="BE65"/>
  <c r="BB65"/>
  <c r="AY65"/>
  <c r="AX65"/>
  <c r="AW65"/>
  <c r="AV65"/>
  <c r="AU65"/>
  <c r="AT65"/>
  <c r="AS65"/>
  <c r="AR65"/>
  <c r="AQ65"/>
  <c r="AP65"/>
  <c r="AO65"/>
  <c r="AJ65"/>
  <c r="Y65"/>
  <c r="W65"/>
  <c r="T16" i="2"/>
  <c r="V65" i="1"/>
  <c r="U65"/>
  <c r="T65"/>
  <c r="S65"/>
  <c r="R65"/>
  <c r="P65"/>
  <c r="L65"/>
  <c r="K65"/>
  <c r="J65"/>
  <c r="T8" i="2"/>
  <c r="I65" i="1"/>
  <c r="E65"/>
  <c r="T3" i="2" s="1"/>
  <c r="D65" i="1"/>
  <c r="C65"/>
  <c r="BQ62"/>
  <c r="BP62"/>
  <c r="BO62"/>
  <c r="BN62"/>
  <c r="BM62"/>
  <c r="BL62"/>
  <c r="BK62"/>
  <c r="BJ62"/>
  <c r="BI62"/>
  <c r="BH62"/>
  <c r="BG62"/>
  <c r="BF62"/>
  <c r="BE62"/>
  <c r="BB62"/>
  <c r="BA62"/>
  <c r="S31" i="2" s="1"/>
  <c r="AY62" i="1"/>
  <c r="AX62"/>
  <c r="AW62"/>
  <c r="AV62"/>
  <c r="AU62"/>
  <c r="AT62"/>
  <c r="AS62"/>
  <c r="AR62"/>
  <c r="AQ62"/>
  <c r="AP62"/>
  <c r="AO62"/>
  <c r="AJ62"/>
  <c r="Y62"/>
  <c r="U62"/>
  <c r="S62"/>
  <c r="R62"/>
  <c r="P62"/>
  <c r="S12" i="2" s="1"/>
  <c r="L62" i="1"/>
  <c r="K62"/>
  <c r="J62"/>
  <c r="I62"/>
  <c r="E62"/>
  <c r="S3" i="2" s="1"/>
  <c r="D62" i="1"/>
  <c r="BQ59"/>
  <c r="BP59"/>
  <c r="BO59"/>
  <c r="BN59"/>
  <c r="BM59"/>
  <c r="BL59"/>
  <c r="BK59"/>
  <c r="BJ59"/>
  <c r="BI59"/>
  <c r="BH59"/>
  <c r="BG59"/>
  <c r="BF59"/>
  <c r="BE59"/>
  <c r="BB59"/>
  <c r="AY59"/>
  <c r="AX59"/>
  <c r="AW59"/>
  <c r="AV59"/>
  <c r="AU59"/>
  <c r="AT59"/>
  <c r="AS59"/>
  <c r="AR59"/>
  <c r="AQ59"/>
  <c r="AP59"/>
  <c r="AO59"/>
  <c r="AJ59"/>
  <c r="Y59"/>
  <c r="S59"/>
  <c r="R59"/>
  <c r="L59"/>
  <c r="K59"/>
  <c r="J59"/>
  <c r="I59"/>
  <c r="G59"/>
  <c r="E59"/>
  <c r="R3" i="2" s="1"/>
  <c r="D59" i="1"/>
  <c r="C59"/>
  <c r="BQ56"/>
  <c r="BP56"/>
  <c r="BO56"/>
  <c r="BN56"/>
  <c r="BM56"/>
  <c r="BL56"/>
  <c r="BK56"/>
  <c r="BJ56"/>
  <c r="BI56"/>
  <c r="BH56"/>
  <c r="BG56"/>
  <c r="BF56"/>
  <c r="BE56"/>
  <c r="BB56"/>
  <c r="AY56"/>
  <c r="AX56"/>
  <c r="AW56"/>
  <c r="AV56"/>
  <c r="AU56"/>
  <c r="AT56"/>
  <c r="AS56"/>
  <c r="AR56"/>
  <c r="AQ56"/>
  <c r="AP56"/>
  <c r="AO56"/>
  <c r="AJ56"/>
  <c r="Y56"/>
  <c r="W56"/>
  <c r="V56"/>
  <c r="U56"/>
  <c r="T56"/>
  <c r="S56"/>
  <c r="R56"/>
  <c r="P56"/>
  <c r="L56"/>
  <c r="K56"/>
  <c r="J56"/>
  <c r="I56"/>
  <c r="E56"/>
  <c r="Q3" i="2" s="1"/>
  <c r="D56" i="1"/>
  <c r="C56"/>
  <c r="BQ53"/>
  <c r="BP53"/>
  <c r="BO53"/>
  <c r="BN53"/>
  <c r="BM53"/>
  <c r="BL53"/>
  <c r="BK53"/>
  <c r="BJ53"/>
  <c r="BI53"/>
  <c r="BH53"/>
  <c r="BG53"/>
  <c r="BF53"/>
  <c r="BE53"/>
  <c r="BB53"/>
  <c r="BA53"/>
  <c r="AY53"/>
  <c r="AX53"/>
  <c r="AW53"/>
  <c r="AV53"/>
  <c r="AU53"/>
  <c r="AT53"/>
  <c r="AS53"/>
  <c r="AR53"/>
  <c r="AQ53"/>
  <c r="AP53"/>
  <c r="AO53"/>
  <c r="AJ53"/>
  <c r="Y53"/>
  <c r="W53"/>
  <c r="V53"/>
  <c r="U53"/>
  <c r="T53"/>
  <c r="S53"/>
  <c r="R53"/>
  <c r="P53"/>
  <c r="L53"/>
  <c r="K53"/>
  <c r="J53"/>
  <c r="I53"/>
  <c r="P7" i="2" s="1"/>
  <c r="E53" i="1"/>
  <c r="P3" i="2" s="1"/>
  <c r="D53" i="1"/>
  <c r="C53"/>
  <c r="BQ50"/>
  <c r="BP50"/>
  <c r="BO50"/>
  <c r="BN50"/>
  <c r="BM50"/>
  <c r="BL50"/>
  <c r="BK50"/>
  <c r="BJ50"/>
  <c r="BI50"/>
  <c r="BH50"/>
  <c r="BG50"/>
  <c r="BF50"/>
  <c r="BE50"/>
  <c r="BB50"/>
  <c r="AY50"/>
  <c r="AX50"/>
  <c r="AW50"/>
  <c r="AV50"/>
  <c r="AU50"/>
  <c r="AT50"/>
  <c r="AS50"/>
  <c r="AR50"/>
  <c r="AQ50"/>
  <c r="AP50"/>
  <c r="AO50"/>
  <c r="AJ50"/>
  <c r="Y50"/>
  <c r="W50"/>
  <c r="V50"/>
  <c r="U50"/>
  <c r="T50"/>
  <c r="S50"/>
  <c r="R50"/>
  <c r="P50"/>
  <c r="L50"/>
  <c r="K50"/>
  <c r="J50"/>
  <c r="I50"/>
  <c r="E50"/>
  <c r="O3" i="2" s="1"/>
  <c r="D50" i="1"/>
  <c r="C50"/>
  <c r="BQ47"/>
  <c r="BP47"/>
  <c r="BO47"/>
  <c r="BN47"/>
  <c r="BM47"/>
  <c r="BL47"/>
  <c r="BK47"/>
  <c r="BJ47"/>
  <c r="BI47"/>
  <c r="BH47"/>
  <c r="BG47"/>
  <c r="BF47"/>
  <c r="BE47"/>
  <c r="BB47"/>
  <c r="BA47"/>
  <c r="AY47"/>
  <c r="AX47"/>
  <c r="AW47"/>
  <c r="AV47"/>
  <c r="AU47"/>
  <c r="AT47"/>
  <c r="AS47"/>
  <c r="AR47"/>
  <c r="AQ47"/>
  <c r="AP47"/>
  <c r="AO47"/>
  <c r="AJ47"/>
  <c r="N26" i="2"/>
  <c r="Y47" i="1"/>
  <c r="W47"/>
  <c r="V47"/>
  <c r="U47"/>
  <c r="T47"/>
  <c r="N13" i="2"/>
  <c r="S47" i="1"/>
  <c r="R47"/>
  <c r="P47"/>
  <c r="L47"/>
  <c r="K47"/>
  <c r="J47"/>
  <c r="I47"/>
  <c r="N7" i="2" s="1"/>
  <c r="E47" i="1"/>
  <c r="N3" i="2" s="1"/>
  <c r="D47" i="1"/>
  <c r="C47"/>
  <c r="BQ44"/>
  <c r="BP44"/>
  <c r="BO44"/>
  <c r="BN44"/>
  <c r="BM44"/>
  <c r="BL44"/>
  <c r="BK44"/>
  <c r="BJ44"/>
  <c r="BI44"/>
  <c r="BH44"/>
  <c r="BG44"/>
  <c r="BF44"/>
  <c r="BE44"/>
  <c r="BB44"/>
  <c r="BA44"/>
  <c r="AY44"/>
  <c r="AX44"/>
  <c r="AW44"/>
  <c r="AV44"/>
  <c r="AU44"/>
  <c r="AT44"/>
  <c r="AS44"/>
  <c r="AR44"/>
  <c r="AQ44"/>
  <c r="AP44"/>
  <c r="AO44"/>
  <c r="AJ44"/>
  <c r="Y44"/>
  <c r="W44"/>
  <c r="V44"/>
  <c r="U44"/>
  <c r="T44"/>
  <c r="S44"/>
  <c r="R44"/>
  <c r="P44"/>
  <c r="L44"/>
  <c r="K44"/>
  <c r="J44"/>
  <c r="I44"/>
  <c r="E44"/>
  <c r="M3" i="2" s="1"/>
  <c r="D44" i="1"/>
  <c r="C44"/>
  <c r="L41"/>
  <c r="K41"/>
  <c r="J41"/>
  <c r="I41"/>
  <c r="L38"/>
  <c r="K38"/>
  <c r="J38"/>
  <c r="I38"/>
  <c r="K11"/>
  <c r="K14"/>
  <c r="N14" s="1"/>
  <c r="K17"/>
  <c r="M17" s="1"/>
  <c r="K20"/>
  <c r="K23"/>
  <c r="K29"/>
  <c r="K32"/>
  <c r="H40"/>
  <c r="G40"/>
  <c r="H39"/>
  <c r="H41" s="1"/>
  <c r="L6" i="2" s="1"/>
  <c r="G39" i="1"/>
  <c r="H34"/>
  <c r="G34"/>
  <c r="H33"/>
  <c r="H35" s="1"/>
  <c r="J6" i="2" s="1"/>
  <c r="G33" i="1"/>
  <c r="H31"/>
  <c r="G31"/>
  <c r="G32" s="1"/>
  <c r="I5" i="2" s="1"/>
  <c r="N31" i="1"/>
  <c r="M31"/>
  <c r="N30"/>
  <c r="N32" s="1"/>
  <c r="I10" i="2" s="1"/>
  <c r="M30" i="1"/>
  <c r="N28"/>
  <c r="M28"/>
  <c r="N27"/>
  <c r="M27"/>
  <c r="H28"/>
  <c r="H27"/>
  <c r="N12"/>
  <c r="M12"/>
  <c r="N94"/>
  <c r="M94"/>
  <c r="N93"/>
  <c r="N95" s="1"/>
  <c r="AD10" i="2" s="1"/>
  <c r="M93" i="1"/>
  <c r="M95" s="1"/>
  <c r="AD9" i="2" s="1"/>
  <c r="H94" i="1"/>
  <c r="G94"/>
  <c r="H93"/>
  <c r="G93"/>
  <c r="G95" s="1"/>
  <c r="AD5" i="2" s="1"/>
  <c r="N88" i="1"/>
  <c r="M88"/>
  <c r="N87"/>
  <c r="M87"/>
  <c r="H88"/>
  <c r="N85"/>
  <c r="M85"/>
  <c r="N84"/>
  <c r="M84"/>
  <c r="H85"/>
  <c r="G85"/>
  <c r="H84"/>
  <c r="H86" s="1"/>
  <c r="AA6" i="2" s="1"/>
  <c r="G84" i="1"/>
  <c r="N76"/>
  <c r="M76"/>
  <c r="N75"/>
  <c r="M75"/>
  <c r="H76"/>
  <c r="H75"/>
  <c r="N73"/>
  <c r="M73"/>
  <c r="H73"/>
  <c r="G73"/>
  <c r="N72"/>
  <c r="N74" s="1"/>
  <c r="W10" i="2" s="1"/>
  <c r="M72" i="1"/>
  <c r="M74" s="1"/>
  <c r="W9" i="2" s="1"/>
  <c r="H72" i="1"/>
  <c r="G72"/>
  <c r="G74" s="1"/>
  <c r="W5" i="2" s="1"/>
  <c r="N64" i="1"/>
  <c r="M64"/>
  <c r="N63"/>
  <c r="M63"/>
  <c r="H64"/>
  <c r="G64"/>
  <c r="H63"/>
  <c r="H65" s="1"/>
  <c r="T6" i="2" s="1"/>
  <c r="G63" i="1"/>
  <c r="G65" s="1"/>
  <c r="T5" i="2" s="1"/>
  <c r="N60" i="1"/>
  <c r="N62" s="1"/>
  <c r="S10" i="2" s="1"/>
  <c r="M60" i="1"/>
  <c r="H60"/>
  <c r="G62"/>
  <c r="AK55"/>
  <c r="AL55" s="1"/>
  <c r="N55"/>
  <c r="M55"/>
  <c r="N54"/>
  <c r="N56" s="1"/>
  <c r="Q10" i="2" s="1"/>
  <c r="M54" i="1"/>
  <c r="M56" s="1"/>
  <c r="Q9" i="2" s="1"/>
  <c r="N49" i="1"/>
  <c r="M49"/>
  <c r="N48"/>
  <c r="M48"/>
  <c r="M50" s="1"/>
  <c r="O9" i="2" s="1"/>
  <c r="AG45" i="1"/>
  <c r="AH45"/>
  <c r="AI45"/>
  <c r="N52"/>
  <c r="M52"/>
  <c r="N51"/>
  <c r="M51"/>
  <c r="N46"/>
  <c r="M46"/>
  <c r="N45"/>
  <c r="M45"/>
  <c r="H46"/>
  <c r="G46"/>
  <c r="G47" s="1"/>
  <c r="N5" i="2" s="1"/>
  <c r="H45" i="1"/>
  <c r="H47" s="1"/>
  <c r="N6" i="2" s="1"/>
  <c r="N42" i="1"/>
  <c r="M42"/>
  <c r="N43"/>
  <c r="M43"/>
  <c r="H43"/>
  <c r="G43"/>
  <c r="H42"/>
  <c r="H44" s="1"/>
  <c r="M6" i="2" s="1"/>
  <c r="G42" i="1"/>
  <c r="G44" s="1"/>
  <c r="M5" i="2" s="1"/>
  <c r="N40" i="1"/>
  <c r="M40"/>
  <c r="N39"/>
  <c r="N41" s="1"/>
  <c r="L10" i="2" s="1"/>
  <c r="M39" i="1"/>
  <c r="N34"/>
  <c r="M34"/>
  <c r="N33"/>
  <c r="M33"/>
  <c r="M35" s="1"/>
  <c r="J9" i="2" s="1"/>
  <c r="N25" i="1"/>
  <c r="M25"/>
  <c r="N24"/>
  <c r="M24"/>
  <c r="M26" s="1"/>
  <c r="G9" i="2" s="1"/>
  <c r="H25" i="1"/>
  <c r="G25"/>
  <c r="H24"/>
  <c r="H26" s="1"/>
  <c r="G24"/>
  <c r="N23"/>
  <c r="F10" i="2" s="1"/>
  <c r="H22" i="1"/>
  <c r="G22"/>
  <c r="H21"/>
  <c r="H23" s="1"/>
  <c r="F6" i="2" s="1"/>
  <c r="G21" i="1"/>
  <c r="G23" s="1"/>
  <c r="F5" i="2" s="1"/>
  <c r="N19" i="1"/>
  <c r="M19"/>
  <c r="N18"/>
  <c r="M18"/>
  <c r="H19"/>
  <c r="G19"/>
  <c r="H18"/>
  <c r="H20" s="1"/>
  <c r="E6" i="2" s="1"/>
  <c r="G18" i="1"/>
  <c r="G20" s="1"/>
  <c r="E5" i="2" s="1"/>
  <c r="H13" i="1"/>
  <c r="G13"/>
  <c r="H12"/>
  <c r="H14" s="1"/>
  <c r="C6" i="2" s="1"/>
  <c r="G12" i="1"/>
  <c r="G14" s="1"/>
  <c r="C11"/>
  <c r="D11"/>
  <c r="E11"/>
  <c r="B3" i="2" s="1"/>
  <c r="A12" i="1"/>
  <c r="A15" s="1"/>
  <c r="C14"/>
  <c r="D14"/>
  <c r="E14"/>
  <c r="C3" i="2" s="1"/>
  <c r="C17" i="1"/>
  <c r="D17"/>
  <c r="E17"/>
  <c r="D3" i="2" s="1"/>
  <c r="C20" i="1"/>
  <c r="D20"/>
  <c r="E20"/>
  <c r="E3" i="2" s="1"/>
  <c r="C23" i="1"/>
  <c r="D23"/>
  <c r="E23"/>
  <c r="C26"/>
  <c r="D26"/>
  <c r="E26"/>
  <c r="G3" i="2" s="1"/>
  <c r="C29" i="1"/>
  <c r="D29"/>
  <c r="E29"/>
  <c r="C32"/>
  <c r="D32"/>
  <c r="E32"/>
  <c r="I3" i="2" s="1"/>
  <c r="C35" i="1"/>
  <c r="D35"/>
  <c r="E35"/>
  <c r="J3" i="2" s="1"/>
  <c r="C38" i="1"/>
  <c r="D38"/>
  <c r="E38"/>
  <c r="C41"/>
  <c r="D41"/>
  <c r="E41"/>
  <c r="L3" i="2" s="1"/>
  <c r="C77" i="1"/>
  <c r="D77"/>
  <c r="E77"/>
  <c r="X3" i="2" s="1"/>
  <c r="C80" i="1"/>
  <c r="D80"/>
  <c r="E80"/>
  <c r="Y3" i="2" s="1"/>
  <c r="C83" i="1"/>
  <c r="D83"/>
  <c r="E83"/>
  <c r="Z3" i="2" s="1"/>
  <c r="C86" i="1"/>
  <c r="D86"/>
  <c r="E86"/>
  <c r="AA3" i="2" s="1"/>
  <c r="C89" i="1"/>
  <c r="D89"/>
  <c r="E89"/>
  <c r="AB3" i="2" s="1"/>
  <c r="C92" i="1"/>
  <c r="D92"/>
  <c r="E92"/>
  <c r="AC3" i="2" s="1"/>
  <c r="C95" i="1"/>
  <c r="D95"/>
  <c r="E95"/>
  <c r="AD3" i="2" s="1"/>
  <c r="C98" i="1"/>
  <c r="D98"/>
  <c r="AP41"/>
  <c r="AZ43"/>
  <c r="AI43"/>
  <c r="AH43"/>
  <c r="AG43"/>
  <c r="BD42"/>
  <c r="BD44"/>
  <c r="BC42"/>
  <c r="BC44"/>
  <c r="AZ42"/>
  <c r="BR42"/>
  <c r="AI42"/>
  <c r="AH42"/>
  <c r="AG42"/>
  <c r="M15" i="2"/>
  <c r="W16" i="1"/>
  <c r="U16"/>
  <c r="T16"/>
  <c r="P16"/>
  <c r="N16"/>
  <c r="M16"/>
  <c r="H16"/>
  <c r="G16"/>
  <c r="Y35"/>
  <c r="X35"/>
  <c r="S35"/>
  <c r="R35"/>
  <c r="Q35"/>
  <c r="L35"/>
  <c r="K35"/>
  <c r="J35"/>
  <c r="I35"/>
  <c r="AZ97"/>
  <c r="BR97" s="1"/>
  <c r="BR98" s="1"/>
  <c r="AE34" i="2" s="1"/>
  <c r="AI97" i="1"/>
  <c r="AH97"/>
  <c r="AH98" s="1"/>
  <c r="AE24" i="2" s="1"/>
  <c r="AG97" i="1"/>
  <c r="BD96"/>
  <c r="BC96"/>
  <c r="BC98"/>
  <c r="AZ96"/>
  <c r="BR96"/>
  <c r="V98"/>
  <c r="H98"/>
  <c r="AE6" i="2" s="1"/>
  <c r="BQ103" i="1"/>
  <c r="BP103"/>
  <c r="BO103"/>
  <c r="BN103"/>
  <c r="BM103"/>
  <c r="BL103"/>
  <c r="BK103"/>
  <c r="BJ103"/>
  <c r="BI103"/>
  <c r="BH103"/>
  <c r="BG103"/>
  <c r="BF103"/>
  <c r="BE103"/>
  <c r="BB103"/>
  <c r="AY103"/>
  <c r="AX103"/>
  <c r="AW103"/>
  <c r="AV103"/>
  <c r="AU103"/>
  <c r="AT103"/>
  <c r="AS103"/>
  <c r="AR103"/>
  <c r="AQ103"/>
  <c r="AP103"/>
  <c r="AO103"/>
  <c r="AJ103"/>
  <c r="Y103"/>
  <c r="S103"/>
  <c r="R103"/>
  <c r="L103"/>
  <c r="J103"/>
  <c r="I103"/>
  <c r="E103"/>
  <c r="D103"/>
  <c r="AF25" i="2"/>
  <c r="AF5"/>
  <c r="BD103" i="1"/>
  <c r="BC103"/>
  <c r="W103"/>
  <c r="T103"/>
  <c r="N103"/>
  <c r="H103"/>
  <c r="I98"/>
  <c r="J98"/>
  <c r="L98"/>
  <c r="P98"/>
  <c r="R98"/>
  <c r="S98"/>
  <c r="T98"/>
  <c r="U98"/>
  <c r="AE14" i="2"/>
  <c r="W98" i="1"/>
  <c r="AE16" i="2"/>
  <c r="Y98" i="1"/>
  <c r="AJ98"/>
  <c r="AO98"/>
  <c r="AP98"/>
  <c r="AQ98"/>
  <c r="AR98"/>
  <c r="AS98"/>
  <c r="AT98"/>
  <c r="AU98"/>
  <c r="AV98"/>
  <c r="AW98"/>
  <c r="AX98"/>
  <c r="AY98"/>
  <c r="BA98"/>
  <c r="AE31" i="2" s="1"/>
  <c r="BB98" i="1"/>
  <c r="BD98"/>
  <c r="AE33" i="2"/>
  <c r="BE98" i="1"/>
  <c r="BF98"/>
  <c r="BG98"/>
  <c r="BH98"/>
  <c r="BI98"/>
  <c r="BJ98"/>
  <c r="BK98"/>
  <c r="BL98"/>
  <c r="BM98"/>
  <c r="BN98"/>
  <c r="BO98"/>
  <c r="BP98"/>
  <c r="BQ98"/>
  <c r="G99"/>
  <c r="H99"/>
  <c r="M99"/>
  <c r="N99"/>
  <c r="P99"/>
  <c r="T99"/>
  <c r="U99"/>
  <c r="W99"/>
  <c r="AG99"/>
  <c r="AH99"/>
  <c r="AI99"/>
  <c r="AK99"/>
  <c r="AL99" s="1"/>
  <c r="AM99" s="1"/>
  <c r="AN99" s="1"/>
  <c r="AZ99"/>
  <c r="BC99"/>
  <c r="BD99"/>
  <c r="AE26" i="2"/>
  <c r="G100" i="1"/>
  <c r="H100"/>
  <c r="M100"/>
  <c r="N100"/>
  <c r="P100"/>
  <c r="AF12" i="2"/>
  <c r="T100" i="1"/>
  <c r="U100"/>
  <c r="W100"/>
  <c r="AG100"/>
  <c r="AH100"/>
  <c r="AI100"/>
  <c r="AK100"/>
  <c r="AL100" s="1"/>
  <c r="AM100" s="1"/>
  <c r="AN100" s="1"/>
  <c r="AZ100"/>
  <c r="BR100" s="1"/>
  <c r="AF9" i="2"/>
  <c r="AF17"/>
  <c r="AF26"/>
  <c r="AF32"/>
  <c r="M92" i="1"/>
  <c r="AZ82"/>
  <c r="BR82" s="1"/>
  <c r="AI82"/>
  <c r="AH82"/>
  <c r="AG82"/>
  <c r="N79"/>
  <c r="M79"/>
  <c r="N78"/>
  <c r="N80" s="1"/>
  <c r="Y10" i="2" s="1"/>
  <c r="M78" i="1"/>
  <c r="N58"/>
  <c r="M58"/>
  <c r="N57"/>
  <c r="M57"/>
  <c r="N37"/>
  <c r="M37"/>
  <c r="N36"/>
  <c r="M36"/>
  <c r="M38" s="1"/>
  <c r="K9" i="2" s="1"/>
  <c r="AN23" i="1"/>
  <c r="P15"/>
  <c r="N15"/>
  <c r="M15"/>
  <c r="M10"/>
  <c r="N10"/>
  <c r="P10"/>
  <c r="BA80"/>
  <c r="Y31" i="2" s="1"/>
  <c r="AZ76" i="1"/>
  <c r="BR76" s="1"/>
  <c r="BR77" s="1"/>
  <c r="X34" i="2" s="1"/>
  <c r="AI76" i="1"/>
  <c r="AH76"/>
  <c r="AG76"/>
  <c r="BD75"/>
  <c r="BC75"/>
  <c r="BC77"/>
  <c r="AZ75"/>
  <c r="AI75"/>
  <c r="AH75"/>
  <c r="AG75"/>
  <c r="BF95"/>
  <c r="BF92"/>
  <c r="BF89"/>
  <c r="BF86"/>
  <c r="BF83"/>
  <c r="BF80"/>
  <c r="BF77"/>
  <c r="BF41"/>
  <c r="BF38"/>
  <c r="BF35"/>
  <c r="BF32"/>
  <c r="BF29"/>
  <c r="BF26"/>
  <c r="BF23"/>
  <c r="BF20"/>
  <c r="BF17"/>
  <c r="BF14"/>
  <c r="BF11"/>
  <c r="BF105"/>
  <c r="BD9"/>
  <c r="AZ9"/>
  <c r="AU95"/>
  <c r="AU92"/>
  <c r="AU89"/>
  <c r="AU86"/>
  <c r="AU83"/>
  <c r="AU80"/>
  <c r="AU77"/>
  <c r="AU41"/>
  <c r="AU38"/>
  <c r="AU35"/>
  <c r="AU32"/>
  <c r="AU29"/>
  <c r="AU26"/>
  <c r="AU23"/>
  <c r="AU20"/>
  <c r="AU17"/>
  <c r="AU14"/>
  <c r="AU11"/>
  <c r="C26" i="3"/>
  <c r="E26" s="1"/>
  <c r="C23"/>
  <c r="E23" s="1"/>
  <c r="BD93" i="1"/>
  <c r="BC93"/>
  <c r="BC95"/>
  <c r="BD90"/>
  <c r="BC90"/>
  <c r="BC92"/>
  <c r="BD87"/>
  <c r="BD89"/>
  <c r="BC87"/>
  <c r="BC89"/>
  <c r="BD84"/>
  <c r="BD86"/>
  <c r="BC84"/>
  <c r="BC86"/>
  <c r="BD81"/>
  <c r="BC81"/>
  <c r="BC83"/>
  <c r="BD78"/>
  <c r="BC78"/>
  <c r="BC80"/>
  <c r="BD73"/>
  <c r="BD74" s="1"/>
  <c r="BC73"/>
  <c r="BC74" s="1"/>
  <c r="BC105" s="1"/>
  <c r="C108" s="1"/>
  <c r="BD72"/>
  <c r="BC72"/>
  <c r="BD69"/>
  <c r="BD71"/>
  <c r="BC69"/>
  <c r="BC71"/>
  <c r="BD68"/>
  <c r="BC68"/>
  <c r="BD63"/>
  <c r="BD65"/>
  <c r="BC63"/>
  <c r="BC65"/>
  <c r="BD60"/>
  <c r="BD62"/>
  <c r="BC60"/>
  <c r="BC62"/>
  <c r="BD57"/>
  <c r="BD59"/>
  <c r="BC57"/>
  <c r="BC59"/>
  <c r="BD54"/>
  <c r="BD56"/>
  <c r="BC54"/>
  <c r="BC56"/>
  <c r="BD51"/>
  <c r="BD53"/>
  <c r="BC51"/>
  <c r="BC53"/>
  <c r="BD48"/>
  <c r="BD50"/>
  <c r="BC48"/>
  <c r="BC50"/>
  <c r="BD45"/>
  <c r="BD47"/>
  <c r="BC45"/>
  <c r="BC47"/>
  <c r="BD39"/>
  <c r="BC39"/>
  <c r="BC41"/>
  <c r="BD36"/>
  <c r="BC36"/>
  <c r="BC38"/>
  <c r="BD33"/>
  <c r="BC33"/>
  <c r="BC35"/>
  <c r="BD30"/>
  <c r="BC30"/>
  <c r="BC32"/>
  <c r="BD28"/>
  <c r="BD27"/>
  <c r="BC27"/>
  <c r="BC29"/>
  <c r="BC25"/>
  <c r="BD24"/>
  <c r="BC24"/>
  <c r="BC26"/>
  <c r="BD21"/>
  <c r="BC21"/>
  <c r="BC23"/>
  <c r="BD18"/>
  <c r="BC18"/>
  <c r="BC20"/>
  <c r="BD15"/>
  <c r="BC15"/>
  <c r="BC17"/>
  <c r="BD12"/>
  <c r="BC12"/>
  <c r="BC14"/>
  <c r="C33" i="2"/>
  <c r="BD10" i="1"/>
  <c r="BC9"/>
  <c r="C48" i="3"/>
  <c r="F48" s="1"/>
  <c r="A11"/>
  <c r="A14"/>
  <c r="A17"/>
  <c r="A20"/>
  <c r="A23"/>
  <c r="A26"/>
  <c r="A29"/>
  <c r="A32"/>
  <c r="A35"/>
  <c r="A38"/>
  <c r="A41"/>
  <c r="A44"/>
  <c r="A47"/>
  <c r="A50"/>
  <c r="AK35" i="1"/>
  <c r="J27" i="2" s="1"/>
  <c r="A5" i="4"/>
  <c r="A103" s="1"/>
  <c r="A3"/>
  <c r="A37" s="1"/>
  <c r="A69" s="1"/>
  <c r="A101" s="1"/>
  <c r="Z18" i="2"/>
  <c r="BQ107" i="1"/>
  <c r="BP107"/>
  <c r="BO107"/>
  <c r="BN107"/>
  <c r="BM107"/>
  <c r="BL107"/>
  <c r="K54" i="3"/>
  <c r="M54" s="1"/>
  <c r="K53"/>
  <c r="N53" s="1"/>
  <c r="K51"/>
  <c r="M51" s="1"/>
  <c r="K50"/>
  <c r="M50" s="1"/>
  <c r="K48"/>
  <c r="M48" s="1"/>
  <c r="K47"/>
  <c r="N47" s="1"/>
  <c r="K45"/>
  <c r="M45" s="1"/>
  <c r="K42"/>
  <c r="M42" s="1"/>
  <c r="K41"/>
  <c r="M41" s="1"/>
  <c r="K39"/>
  <c r="M39" s="1"/>
  <c r="K38"/>
  <c r="M38" s="1"/>
  <c r="K35"/>
  <c r="L35" s="1"/>
  <c r="K33"/>
  <c r="M33" s="1"/>
  <c r="K32"/>
  <c r="L32" s="1"/>
  <c r="K29"/>
  <c r="N29" s="1"/>
  <c r="K26"/>
  <c r="N26" s="1"/>
  <c r="K23"/>
  <c r="L23" s="1"/>
  <c r="K21"/>
  <c r="M21" s="1"/>
  <c r="K20"/>
  <c r="L20" s="1"/>
  <c r="K18"/>
  <c r="M18" s="1"/>
  <c r="K17"/>
  <c r="M17" s="1"/>
  <c r="K15"/>
  <c r="M15" s="1"/>
  <c r="K14"/>
  <c r="L14" s="1"/>
  <c r="K12"/>
  <c r="M12" s="1"/>
  <c r="K11"/>
  <c r="M11" s="1"/>
  <c r="K9"/>
  <c r="N9" s="1"/>
  <c r="K8"/>
  <c r="M8" s="1"/>
  <c r="C51"/>
  <c r="D51" s="1"/>
  <c r="C50"/>
  <c r="E50" s="1"/>
  <c r="C47"/>
  <c r="E47" s="1"/>
  <c r="C44"/>
  <c r="E44" s="1"/>
  <c r="C42"/>
  <c r="F42" s="1"/>
  <c r="C39"/>
  <c r="F39" s="1"/>
  <c r="C38"/>
  <c r="F38" s="1"/>
  <c r="C36"/>
  <c r="F36" s="1"/>
  <c r="C35"/>
  <c r="E35" s="1"/>
  <c r="C33"/>
  <c r="F33" s="1"/>
  <c r="C32"/>
  <c r="F32" s="1"/>
  <c r="C30"/>
  <c r="F30" s="1"/>
  <c r="C27"/>
  <c r="D27" s="1"/>
  <c r="C24"/>
  <c r="F24" s="1"/>
  <c r="C20"/>
  <c r="E20" s="1"/>
  <c r="C18"/>
  <c r="F18" s="1"/>
  <c r="C14"/>
  <c r="E14" s="1"/>
  <c r="C12"/>
  <c r="F12" s="1"/>
  <c r="C11"/>
  <c r="E11" s="1"/>
  <c r="C9"/>
  <c r="F9" s="1"/>
  <c r="C8"/>
  <c r="F8" s="1"/>
  <c r="A1"/>
  <c r="BA38" i="1"/>
  <c r="K31" i="2" s="1"/>
  <c r="G21"/>
  <c r="AI10" i="1"/>
  <c r="AI13"/>
  <c r="AI18"/>
  <c r="AI19"/>
  <c r="AI20" s="1"/>
  <c r="E25" i="2" s="1"/>
  <c r="AI21" i="1"/>
  <c r="AI22"/>
  <c r="AI24"/>
  <c r="AI25"/>
  <c r="AI27"/>
  <c r="AI28"/>
  <c r="AI34"/>
  <c r="AI33"/>
  <c r="AI36"/>
  <c r="AI37"/>
  <c r="AI39"/>
  <c r="AI40"/>
  <c r="AI46"/>
  <c r="AI48"/>
  <c r="AI49"/>
  <c r="AI51"/>
  <c r="AI52"/>
  <c r="AI53"/>
  <c r="AI60"/>
  <c r="AI63"/>
  <c r="AI64"/>
  <c r="AJ14"/>
  <c r="AJ29"/>
  <c r="AJ32"/>
  <c r="AJ41"/>
  <c r="Z105"/>
  <c r="B18" i="2"/>
  <c r="BH83" i="1"/>
  <c r="AR17"/>
  <c r="AR20"/>
  <c r="AR32"/>
  <c r="AR41"/>
  <c r="AR23"/>
  <c r="AQ14"/>
  <c r="AQ17"/>
  <c r="AQ32"/>
  <c r="AQ35"/>
  <c r="AQ38"/>
  <c r="AQ41"/>
  <c r="AQ11"/>
  <c r="AQ23"/>
  <c r="AP92"/>
  <c r="AP17"/>
  <c r="AP23"/>
  <c r="AP32"/>
  <c r="AP35"/>
  <c r="AP26"/>
  <c r="AO17"/>
  <c r="AO29"/>
  <c r="AO32"/>
  <c r="AO35"/>
  <c r="AO41"/>
  <c r="AO11"/>
  <c r="AO20"/>
  <c r="AZ91"/>
  <c r="BR91" s="1"/>
  <c r="AZ63"/>
  <c r="AZ58"/>
  <c r="AZ59" s="1"/>
  <c r="R30" i="2" s="1"/>
  <c r="AZ16" i="1"/>
  <c r="AZ19"/>
  <c r="BR19" s="1"/>
  <c r="AZ22"/>
  <c r="BR22" s="1"/>
  <c r="AZ28"/>
  <c r="BR28" s="1"/>
  <c r="BR29" s="1"/>
  <c r="H34" i="2" s="1"/>
  <c r="AZ31" i="1"/>
  <c r="BR31" s="1"/>
  <c r="BR32" s="1"/>
  <c r="I34" i="2" s="1"/>
  <c r="AZ34" i="1"/>
  <c r="AZ35" s="1"/>
  <c r="J30" i="2" s="1"/>
  <c r="AZ37" i="1"/>
  <c r="BR37" s="1"/>
  <c r="BR38" s="1"/>
  <c r="K34" i="2" s="1"/>
  <c r="AZ39" i="1"/>
  <c r="AZ40"/>
  <c r="BR40" s="1"/>
  <c r="AZ49"/>
  <c r="BR49" s="1"/>
  <c r="AZ51"/>
  <c r="AZ10"/>
  <c r="AZ46"/>
  <c r="BR46" s="1"/>
  <c r="BR47" s="1"/>
  <c r="N34" i="2" s="1"/>
  <c r="AZ55" i="1"/>
  <c r="BR55" s="1"/>
  <c r="BR56" s="1"/>
  <c r="Q34" i="2" s="1"/>
  <c r="BA32" i="1"/>
  <c r="I31" i="2" s="1"/>
  <c r="BA95" i="1"/>
  <c r="AD31" i="2" s="1"/>
  <c r="BA20" i="1"/>
  <c r="BA29"/>
  <c r="H31" i="2" s="1"/>
  <c r="BH14" i="1"/>
  <c r="BH26"/>
  <c r="BG17"/>
  <c r="BG20"/>
  <c r="BE17"/>
  <c r="BE41"/>
  <c r="BE11"/>
  <c r="BE26"/>
  <c r="AJ17"/>
  <c r="AJ38"/>
  <c r="Q26" i="2"/>
  <c r="AJ77" i="1"/>
  <c r="X26" i="2"/>
  <c r="AJ80" i="1"/>
  <c r="AJ83"/>
  <c r="AJ92"/>
  <c r="AC26" i="2"/>
  <c r="AJ95" i="1"/>
  <c r="I1" i="3"/>
  <c r="C15"/>
  <c r="E15" s="1"/>
  <c r="C17"/>
  <c r="D17" s="1"/>
  <c r="C21"/>
  <c r="D21" s="1"/>
  <c r="C29"/>
  <c r="F29" s="1"/>
  <c r="C41"/>
  <c r="F41" s="1"/>
  <c r="C45"/>
  <c r="D45" s="1"/>
  <c r="K44"/>
  <c r="M44" s="1"/>
  <c r="K36"/>
  <c r="L36" s="1"/>
  <c r="K30"/>
  <c r="L30" s="1"/>
  <c r="K27"/>
  <c r="N27" s="1"/>
  <c r="K24"/>
  <c r="L24" s="1"/>
  <c r="L25" s="1"/>
  <c r="F115" i="4"/>
  <c r="I11" i="3"/>
  <c r="I14"/>
  <c r="I17"/>
  <c r="I20"/>
  <c r="I23"/>
  <c r="I26"/>
  <c r="I29"/>
  <c r="I32"/>
  <c r="I35"/>
  <c r="I38"/>
  <c r="I41"/>
  <c r="I44"/>
  <c r="I47"/>
  <c r="I50"/>
  <c r="I53"/>
  <c r="AF31" i="2"/>
  <c r="BQ95" i="1"/>
  <c r="BP95"/>
  <c r="BO95"/>
  <c r="BN95"/>
  <c r="BM95"/>
  <c r="BL95"/>
  <c r="BK95"/>
  <c r="BJ95"/>
  <c r="BI95"/>
  <c r="BH95"/>
  <c r="BH105"/>
  <c r="BG95"/>
  <c r="BE95"/>
  <c r="BB95"/>
  <c r="AY95"/>
  <c r="AX95"/>
  <c r="AW95"/>
  <c r="AV95"/>
  <c r="AT95"/>
  <c r="AS95"/>
  <c r="AR95"/>
  <c r="AQ95"/>
  <c r="AP95"/>
  <c r="AO95"/>
  <c r="BD95"/>
  <c r="AZ94"/>
  <c r="BR94" s="1"/>
  <c r="BR95" s="1"/>
  <c r="AD34" i="2" s="1"/>
  <c r="AZ93" i="1"/>
  <c r="BQ92"/>
  <c r="BP92"/>
  <c r="BO92"/>
  <c r="BN92"/>
  <c r="BM92"/>
  <c r="BL92"/>
  <c r="BK92"/>
  <c r="BJ92"/>
  <c r="BI92"/>
  <c r="BH92"/>
  <c r="BG92"/>
  <c r="BE92"/>
  <c r="BB92"/>
  <c r="BA92"/>
  <c r="AY92"/>
  <c r="AX92"/>
  <c r="AW92"/>
  <c r="AV92"/>
  <c r="AT92"/>
  <c r="AS92"/>
  <c r="AR92"/>
  <c r="AQ92"/>
  <c r="AO92"/>
  <c r="AZ90"/>
  <c r="BQ89"/>
  <c r="BP89"/>
  <c r="BO89"/>
  <c r="BN89"/>
  <c r="BM89"/>
  <c r="BL89"/>
  <c r="BK89"/>
  <c r="BJ89"/>
  <c r="BI89"/>
  <c r="BH89"/>
  <c r="BG89"/>
  <c r="BE89"/>
  <c r="BB89"/>
  <c r="BA89"/>
  <c r="AB31" i="2" s="1"/>
  <c r="AY89" i="1"/>
  <c r="AX89"/>
  <c r="AW89"/>
  <c r="AV89"/>
  <c r="AT89"/>
  <c r="AS89"/>
  <c r="AR89"/>
  <c r="AQ89"/>
  <c r="AP89"/>
  <c r="AO89"/>
  <c r="AZ88"/>
  <c r="BR88" s="1"/>
  <c r="AZ87"/>
  <c r="BQ86"/>
  <c r="BP86"/>
  <c r="BO86"/>
  <c r="BN86"/>
  <c r="BM86"/>
  <c r="BL86"/>
  <c r="BK86"/>
  <c r="BJ86"/>
  <c r="BI86"/>
  <c r="BH86"/>
  <c r="BG86"/>
  <c r="BE86"/>
  <c r="BB86"/>
  <c r="AY86"/>
  <c r="AX86"/>
  <c r="AW86"/>
  <c r="AV86"/>
  <c r="AT86"/>
  <c r="AS86"/>
  <c r="AR86"/>
  <c r="AQ86"/>
  <c r="AP86"/>
  <c r="AO86"/>
  <c r="AZ85"/>
  <c r="BR85" s="1"/>
  <c r="BR86" s="1"/>
  <c r="AA34" i="2" s="1"/>
  <c r="AZ84" i="1"/>
  <c r="BQ83"/>
  <c r="BP83"/>
  <c r="BO83"/>
  <c r="BN83"/>
  <c r="BM83"/>
  <c r="BL83"/>
  <c r="BK83"/>
  <c r="BJ83"/>
  <c r="BI83"/>
  <c r="BE83"/>
  <c r="BB83"/>
  <c r="AY83"/>
  <c r="AX83"/>
  <c r="AW83"/>
  <c r="AV83"/>
  <c r="AT83"/>
  <c r="AS83"/>
  <c r="AQ83"/>
  <c r="AP83"/>
  <c r="AO83"/>
  <c r="AZ81"/>
  <c r="AZ83"/>
  <c r="Z30" i="2" s="1"/>
  <c r="BQ80" i="1"/>
  <c r="BP80"/>
  <c r="BO80"/>
  <c r="BN80"/>
  <c r="BM80"/>
  <c r="BL80"/>
  <c r="BK80"/>
  <c r="BJ80"/>
  <c r="BI80"/>
  <c r="BH80"/>
  <c r="BG80"/>
  <c r="BE80"/>
  <c r="BB80"/>
  <c r="AY80"/>
  <c r="AX80"/>
  <c r="AW80"/>
  <c r="AV80"/>
  <c r="AT80"/>
  <c r="AS80"/>
  <c r="AR80"/>
  <c r="AQ80"/>
  <c r="AP80"/>
  <c r="AO80"/>
  <c r="AZ79"/>
  <c r="AZ80" s="1"/>
  <c r="Y30" i="2" s="1"/>
  <c r="AZ78" i="1"/>
  <c r="BQ77"/>
  <c r="BP77"/>
  <c r="BO77"/>
  <c r="BN77"/>
  <c r="BM77"/>
  <c r="BL77"/>
  <c r="BK77"/>
  <c r="BJ77"/>
  <c r="BI77"/>
  <c r="BH77"/>
  <c r="BG77"/>
  <c r="BE77"/>
  <c r="BB77"/>
  <c r="AY77"/>
  <c r="AX77"/>
  <c r="AW77"/>
  <c r="AV77"/>
  <c r="AT77"/>
  <c r="AS77"/>
  <c r="AR77"/>
  <c r="AQ77"/>
  <c r="AP77"/>
  <c r="AO77"/>
  <c r="BD77"/>
  <c r="AZ73"/>
  <c r="AZ74" s="1"/>
  <c r="W30" i="2" s="1"/>
  <c r="AZ72" i="1"/>
  <c r="AZ70"/>
  <c r="BR70" s="1"/>
  <c r="BR71" s="1"/>
  <c r="V34" i="2" s="1"/>
  <c r="AZ69" i="1"/>
  <c r="U32" i="2"/>
  <c r="AZ68" i="1"/>
  <c r="AZ60"/>
  <c r="AZ62"/>
  <c r="S30" i="2" s="1"/>
  <c r="R32"/>
  <c r="AZ57" i="1"/>
  <c r="AZ54"/>
  <c r="AZ52"/>
  <c r="AZ53" s="1"/>
  <c r="AZ48"/>
  <c r="AZ45"/>
  <c r="M31" i="2"/>
  <c r="BQ41" i="1"/>
  <c r="BP41"/>
  <c r="BO41"/>
  <c r="BN41"/>
  <c r="BM41"/>
  <c r="BL41"/>
  <c r="BK41"/>
  <c r="BJ41"/>
  <c r="BI41"/>
  <c r="BI106" s="1"/>
  <c r="BI107" s="1"/>
  <c r="BH41"/>
  <c r="BG41"/>
  <c r="BB41"/>
  <c r="BA41"/>
  <c r="L31" i="2" s="1"/>
  <c r="AY41" i="1"/>
  <c r="AX41"/>
  <c r="AW41"/>
  <c r="AV41"/>
  <c r="AT41"/>
  <c r="AS41"/>
  <c r="BD41"/>
  <c r="BQ38"/>
  <c r="BP38"/>
  <c r="BO38"/>
  <c r="BN38"/>
  <c r="BM38"/>
  <c r="BL38"/>
  <c r="BK38"/>
  <c r="BJ38"/>
  <c r="BI38"/>
  <c r="BH38"/>
  <c r="BG38"/>
  <c r="BE38"/>
  <c r="BB38"/>
  <c r="AY38"/>
  <c r="AX38"/>
  <c r="AW38"/>
  <c r="AV38"/>
  <c r="AT38"/>
  <c r="AS38"/>
  <c r="AR38"/>
  <c r="AP38"/>
  <c r="AO38"/>
  <c r="BD38"/>
  <c r="AZ36"/>
  <c r="BQ35"/>
  <c r="BP35"/>
  <c r="BO35"/>
  <c r="BN35"/>
  <c r="BM35"/>
  <c r="BL35"/>
  <c r="BL105" s="1"/>
  <c r="BK35"/>
  <c r="BJ35"/>
  <c r="BI35"/>
  <c r="BH35"/>
  <c r="BG35"/>
  <c r="BE35"/>
  <c r="BB35"/>
  <c r="AY35"/>
  <c r="AX35"/>
  <c r="AW35"/>
  <c r="AV35"/>
  <c r="AT35"/>
  <c r="AS35"/>
  <c r="AR35"/>
  <c r="AZ33"/>
  <c r="BR33"/>
  <c r="BQ32"/>
  <c r="BP32"/>
  <c r="BO32"/>
  <c r="BN32"/>
  <c r="BM32"/>
  <c r="BL32"/>
  <c r="BK32"/>
  <c r="BJ32"/>
  <c r="BI32"/>
  <c r="BH32"/>
  <c r="BG32"/>
  <c r="BE32"/>
  <c r="BB32"/>
  <c r="AY32"/>
  <c r="AX32"/>
  <c r="AW32"/>
  <c r="AV32"/>
  <c r="AT32"/>
  <c r="AS32"/>
  <c r="BD32"/>
  <c r="I33" i="2"/>
  <c r="AZ30" i="1"/>
  <c r="BQ29"/>
  <c r="BP29"/>
  <c r="BO29"/>
  <c r="BN29"/>
  <c r="BM29"/>
  <c r="BL29"/>
  <c r="BK29"/>
  <c r="BJ29"/>
  <c r="BJ106" s="1"/>
  <c r="BJ107" s="1"/>
  <c r="BI29"/>
  <c r="BH29"/>
  <c r="BG29"/>
  <c r="BE29"/>
  <c r="BB29"/>
  <c r="H32" i="2"/>
  <c r="AY29" i="1"/>
  <c r="AX29"/>
  <c r="AW29"/>
  <c r="AV29"/>
  <c r="AT29"/>
  <c r="AS29"/>
  <c r="AR29"/>
  <c r="AQ29"/>
  <c r="AP29"/>
  <c r="AZ27"/>
  <c r="BQ26"/>
  <c r="BP26"/>
  <c r="BO26"/>
  <c r="BN26"/>
  <c r="BM26"/>
  <c r="BL26"/>
  <c r="BK26"/>
  <c r="BJ26"/>
  <c r="BI26"/>
  <c r="BG26"/>
  <c r="BB26"/>
  <c r="BA26"/>
  <c r="AY26"/>
  <c r="AX26"/>
  <c r="AW26"/>
  <c r="AV26"/>
  <c r="AT26"/>
  <c r="AS26"/>
  <c r="AR26"/>
  <c r="AQ26"/>
  <c r="AO26"/>
  <c r="AZ24"/>
  <c r="BQ23"/>
  <c r="BP23"/>
  <c r="BO23"/>
  <c r="BN23"/>
  <c r="BM23"/>
  <c r="BL23"/>
  <c r="BK23"/>
  <c r="BJ23"/>
  <c r="BI23"/>
  <c r="BH23"/>
  <c r="BG23"/>
  <c r="BE23"/>
  <c r="BB23"/>
  <c r="AY23"/>
  <c r="AX23"/>
  <c r="AW23"/>
  <c r="AV23"/>
  <c r="AT23"/>
  <c r="AS23"/>
  <c r="AO23"/>
  <c r="AZ21"/>
  <c r="BR21" s="1"/>
  <c r="BQ20"/>
  <c r="BP20"/>
  <c r="BO20"/>
  <c r="BN20"/>
  <c r="BM20"/>
  <c r="BL20"/>
  <c r="BK20"/>
  <c r="BJ20"/>
  <c r="BI20"/>
  <c r="BH20"/>
  <c r="BE20"/>
  <c r="BB20"/>
  <c r="E32" i="2"/>
  <c r="AY20" i="1"/>
  <c r="AX20"/>
  <c r="AW20"/>
  <c r="AV20"/>
  <c r="AT20"/>
  <c r="AS20"/>
  <c r="AQ20"/>
  <c r="AP20"/>
  <c r="BD20"/>
  <c r="AZ18"/>
  <c r="BQ17"/>
  <c r="BP17"/>
  <c r="BO17"/>
  <c r="BN17"/>
  <c r="BM17"/>
  <c r="BL17"/>
  <c r="BK17"/>
  <c r="BJ17"/>
  <c r="BI17"/>
  <c r="BH17"/>
  <c r="BB17"/>
  <c r="BA17"/>
  <c r="AY17"/>
  <c r="AX17"/>
  <c r="AW17"/>
  <c r="AV17"/>
  <c r="AT17"/>
  <c r="AS17"/>
  <c r="AZ15"/>
  <c r="AZ17"/>
  <c r="D30" i="2" s="1"/>
  <c r="BQ14" i="1"/>
  <c r="BP14"/>
  <c r="BO14"/>
  <c r="BN14"/>
  <c r="BM14"/>
  <c r="BL14"/>
  <c r="BK14"/>
  <c r="BJ14"/>
  <c r="BI14"/>
  <c r="BG14"/>
  <c r="BE14"/>
  <c r="BE105"/>
  <c r="BB14"/>
  <c r="BA14"/>
  <c r="C31" i="2" s="1"/>
  <c r="AY14" i="1"/>
  <c r="AX14"/>
  <c r="AW14"/>
  <c r="AV14"/>
  <c r="AT14"/>
  <c r="AS14"/>
  <c r="AR14"/>
  <c r="AP14"/>
  <c r="BQ11"/>
  <c r="BP11"/>
  <c r="BO11"/>
  <c r="BN11"/>
  <c r="BM11"/>
  <c r="BL11"/>
  <c r="BK11"/>
  <c r="BJ11"/>
  <c r="BI11"/>
  <c r="BH11"/>
  <c r="BG11"/>
  <c r="BB11"/>
  <c r="BA11"/>
  <c r="B31" i="2" s="1"/>
  <c r="AY11" i="1"/>
  <c r="AY105"/>
  <c r="AX11"/>
  <c r="AW11"/>
  <c r="AV11"/>
  <c r="AT11"/>
  <c r="AS11"/>
  <c r="AR11"/>
  <c r="AP11"/>
  <c r="AJ89"/>
  <c r="AJ86"/>
  <c r="AJ35"/>
  <c r="AJ11"/>
  <c r="B26" i="2"/>
  <c r="AF21"/>
  <c r="AE19"/>
  <c r="Y95" i="1"/>
  <c r="AD17" i="2"/>
  <c r="AC20"/>
  <c r="AC19"/>
  <c r="Y92" i="1"/>
  <c r="AC17" i="2"/>
  <c r="AB22"/>
  <c r="AB21"/>
  <c r="AB18"/>
  <c r="Y89" i="1"/>
  <c r="AB17" i="2"/>
  <c r="AA21"/>
  <c r="AA19"/>
  <c r="Y86" i="1"/>
  <c r="AA17" i="2"/>
  <c r="Z22"/>
  <c r="Y83" i="1"/>
  <c r="Z17" i="2"/>
  <c r="Y19"/>
  <c r="Y80" i="1"/>
  <c r="Y17" i="2"/>
  <c r="X21"/>
  <c r="AA105" i="1"/>
  <c r="X18" i="2"/>
  <c r="Y77" i="1"/>
  <c r="X17" i="2"/>
  <c r="W20"/>
  <c r="W18"/>
  <c r="W17"/>
  <c r="V22"/>
  <c r="V21"/>
  <c r="V18"/>
  <c r="V17"/>
  <c r="T21"/>
  <c r="T19"/>
  <c r="T17"/>
  <c r="S17"/>
  <c r="R21"/>
  <c r="R17"/>
  <c r="Q19"/>
  <c r="P22"/>
  <c r="P17"/>
  <c r="O22"/>
  <c r="O18"/>
  <c r="O21"/>
  <c r="O19"/>
  <c r="N21"/>
  <c r="N19"/>
  <c r="M20"/>
  <c r="M18"/>
  <c r="Y41" i="1"/>
  <c r="L17" i="2"/>
  <c r="L21"/>
  <c r="L18"/>
  <c r="K22"/>
  <c r="Y38" i="1"/>
  <c r="K21" i="2"/>
  <c r="K18"/>
  <c r="J22"/>
  <c r="J20"/>
  <c r="J18"/>
  <c r="Y32" i="1"/>
  <c r="H20" i="2"/>
  <c r="Y29" i="1"/>
  <c r="H21" i="2"/>
  <c r="H19"/>
  <c r="Y26" i="1"/>
  <c r="Y23"/>
  <c r="F22" i="2"/>
  <c r="F21"/>
  <c r="F19"/>
  <c r="Y20" i="1"/>
  <c r="E17" i="2"/>
  <c r="E19"/>
  <c r="E18"/>
  <c r="D22"/>
  <c r="D19"/>
  <c r="Y17" i="1"/>
  <c r="D21" i="2"/>
  <c r="D18"/>
  <c r="Y14" i="1"/>
  <c r="C17" i="2"/>
  <c r="C22"/>
  <c r="C21"/>
  <c r="C18"/>
  <c r="Y11" i="1"/>
  <c r="I11"/>
  <c r="B7" i="2"/>
  <c r="J11" i="1"/>
  <c r="B8" i="2"/>
  <c r="L11" i="1"/>
  <c r="L92"/>
  <c r="I14"/>
  <c r="C7" i="2"/>
  <c r="J14" i="1"/>
  <c r="C8" i="2" s="1"/>
  <c r="L14" i="1"/>
  <c r="P14"/>
  <c r="I17"/>
  <c r="J17"/>
  <c r="D8" i="2"/>
  <c r="L17" i="1"/>
  <c r="P17"/>
  <c r="D12" i="2" s="1"/>
  <c r="I20" i="1"/>
  <c r="E7" i="2" s="1"/>
  <c r="J20" i="1"/>
  <c r="E8" i="2"/>
  <c r="L20" i="1"/>
  <c r="P20"/>
  <c r="I23"/>
  <c r="F7" i="2"/>
  <c r="J23" i="1"/>
  <c r="F8" i="2"/>
  <c r="L23" i="1"/>
  <c r="I26"/>
  <c r="G7" i="2"/>
  <c r="J26" i="1"/>
  <c r="G8" i="2"/>
  <c r="L26" i="1"/>
  <c r="I29"/>
  <c r="H7" i="2"/>
  <c r="J29" i="1"/>
  <c r="H8" i="2"/>
  <c r="L29" i="1"/>
  <c r="I32"/>
  <c r="I7" i="2"/>
  <c r="J32" i="1"/>
  <c r="I8" i="2"/>
  <c r="L32" i="1"/>
  <c r="J8" i="2"/>
  <c r="K8"/>
  <c r="L7"/>
  <c r="L8"/>
  <c r="M7"/>
  <c r="M8"/>
  <c r="N8"/>
  <c r="O7"/>
  <c r="O8"/>
  <c r="Q7"/>
  <c r="Q8"/>
  <c r="R7"/>
  <c r="R8"/>
  <c r="S7"/>
  <c r="S8"/>
  <c r="T7"/>
  <c r="U7"/>
  <c r="V7"/>
  <c r="V8"/>
  <c r="W7"/>
  <c r="W8"/>
  <c r="I77" i="1"/>
  <c r="X7" i="2"/>
  <c r="J77" i="1"/>
  <c r="X8" i="2"/>
  <c r="L77" i="1"/>
  <c r="Y7" i="2"/>
  <c r="J80" i="1"/>
  <c r="Y8" i="2"/>
  <c r="L80" i="1"/>
  <c r="I83"/>
  <c r="Z7" i="2"/>
  <c r="J83" i="1"/>
  <c r="Z8" i="2"/>
  <c r="L83" i="1"/>
  <c r="I86"/>
  <c r="AA7" i="2" s="1"/>
  <c r="J86" i="1"/>
  <c r="AA8" i="2"/>
  <c r="L86" i="1"/>
  <c r="I89"/>
  <c r="AB7" i="2"/>
  <c r="J89" i="1"/>
  <c r="L89"/>
  <c r="I92"/>
  <c r="AC7" i="2"/>
  <c r="J92" i="1"/>
  <c r="AC8" i="2"/>
  <c r="I95" i="1"/>
  <c r="AD7" i="2"/>
  <c r="J95" i="1"/>
  <c r="AD8" i="2"/>
  <c r="L95" i="1"/>
  <c r="AE8" i="2"/>
  <c r="AF7"/>
  <c r="AF8"/>
  <c r="W3"/>
  <c r="K3"/>
  <c r="H3"/>
  <c r="F3"/>
  <c r="AB8"/>
  <c r="P8"/>
  <c r="K7"/>
  <c r="J7"/>
  <c r="B2"/>
  <c r="AF22"/>
  <c r="AF20"/>
  <c r="AF19"/>
  <c r="AF18"/>
  <c r="AF3"/>
  <c r="AF24"/>
  <c r="AE32"/>
  <c r="AE22"/>
  <c r="AE21"/>
  <c r="AE20"/>
  <c r="AE18"/>
  <c r="AE17"/>
  <c r="AE7"/>
  <c r="AD32"/>
  <c r="AD26"/>
  <c r="AD22"/>
  <c r="AD21"/>
  <c r="AD20"/>
  <c r="AD19"/>
  <c r="S95" i="1"/>
  <c r="R95"/>
  <c r="AI94"/>
  <c r="AH94"/>
  <c r="AH93"/>
  <c r="AG94"/>
  <c r="AG93"/>
  <c r="AI93"/>
  <c r="W95"/>
  <c r="AD16" i="2"/>
  <c r="P95" i="1"/>
  <c r="AD12" i="2"/>
  <c r="AC32"/>
  <c r="AC31"/>
  <c r="AC22"/>
  <c r="AC21"/>
  <c r="S92" i="1"/>
  <c r="R92"/>
  <c r="AI91"/>
  <c r="AH91"/>
  <c r="AG91"/>
  <c r="AG90"/>
  <c r="P92"/>
  <c r="AC12" i="2"/>
  <c r="AI90" i="1"/>
  <c r="AH90"/>
  <c r="AH92" s="1"/>
  <c r="AC24" i="2" s="1"/>
  <c r="AB32"/>
  <c r="AB26"/>
  <c r="AB20"/>
  <c r="AB19"/>
  <c r="S89" i="1"/>
  <c r="R89"/>
  <c r="AI88"/>
  <c r="AI87"/>
  <c r="AI89" s="1"/>
  <c r="AB25" i="2" s="1"/>
  <c r="AH88" i="1"/>
  <c r="AG88"/>
  <c r="AH87"/>
  <c r="AH89" s="1"/>
  <c r="AB24" i="2" s="1"/>
  <c r="AG87" i="1"/>
  <c r="W89"/>
  <c r="AB16" i="2"/>
  <c r="U89" i="1"/>
  <c r="AB14" i="2"/>
  <c r="H89" i="1"/>
  <c r="AB6" i="2" s="1"/>
  <c r="AA32"/>
  <c r="AA26"/>
  <c r="AA22"/>
  <c r="AA20"/>
  <c r="AA18"/>
  <c r="S86" i="1"/>
  <c r="R86"/>
  <c r="AI85"/>
  <c r="AH85"/>
  <c r="AG85"/>
  <c r="AG84"/>
  <c r="AI84"/>
  <c r="AI86" s="1"/>
  <c r="AA25" i="2" s="1"/>
  <c r="AH84" i="1"/>
  <c r="Z32" i="2"/>
  <c r="Z31"/>
  <c r="Z26"/>
  <c r="Z20"/>
  <c r="Z19"/>
  <c r="S83" i="1"/>
  <c r="R83"/>
  <c r="AI81"/>
  <c r="AH81"/>
  <c r="AH83" s="1"/>
  <c r="Z24" i="2" s="1"/>
  <c r="AG81" i="1"/>
  <c r="W83"/>
  <c r="Z16" i="2"/>
  <c r="T83" i="1"/>
  <c r="Z13" i="2"/>
  <c r="H83" i="1"/>
  <c r="Z6" i="2" s="1"/>
  <c r="Y32"/>
  <c r="Y26"/>
  <c r="Y22"/>
  <c r="Y21"/>
  <c r="Y20"/>
  <c r="S80" i="1"/>
  <c r="R80"/>
  <c r="AI79"/>
  <c r="AI78"/>
  <c r="AH79"/>
  <c r="AG79"/>
  <c r="W79"/>
  <c r="U79"/>
  <c r="T79"/>
  <c r="V79" s="1"/>
  <c r="P79"/>
  <c r="H79"/>
  <c r="AH78"/>
  <c r="AG78"/>
  <c r="W78"/>
  <c r="W80" s="1"/>
  <c r="Y16" i="2" s="1"/>
  <c r="U78" i="1"/>
  <c r="T78"/>
  <c r="V78" s="1"/>
  <c r="V80" s="1"/>
  <c r="Y15" i="2" s="1"/>
  <c r="P78" i="1"/>
  <c r="P80"/>
  <c r="Y12" i="2" s="1"/>
  <c r="H78" i="1"/>
  <c r="G80"/>
  <c r="Y5" i="2" s="1"/>
  <c r="X32"/>
  <c r="X22"/>
  <c r="X20"/>
  <c r="X19"/>
  <c r="S77" i="1"/>
  <c r="R77"/>
  <c r="W77"/>
  <c r="X16" i="2"/>
  <c r="U77" i="1"/>
  <c r="X14" i="2"/>
  <c r="T77" i="1"/>
  <c r="X13" i="2"/>
  <c r="N77" i="1"/>
  <c r="X10" i="2" s="1"/>
  <c r="W32"/>
  <c r="W26"/>
  <c r="W22"/>
  <c r="W19"/>
  <c r="AI73" i="1"/>
  <c r="AH73"/>
  <c r="AG73"/>
  <c r="AI72"/>
  <c r="AH72"/>
  <c r="AG72"/>
  <c r="W16" i="2"/>
  <c r="W14"/>
  <c r="W13"/>
  <c r="V32"/>
  <c r="V26"/>
  <c r="V20"/>
  <c r="V19"/>
  <c r="AI70" i="1"/>
  <c r="AH70"/>
  <c r="AG70"/>
  <c r="V13" i="2"/>
  <c r="AI69" i="1"/>
  <c r="AI71"/>
  <c r="V25" i="2" s="1"/>
  <c r="AH69" i="1"/>
  <c r="AG69"/>
  <c r="AG71" s="1"/>
  <c r="V23" i="2" s="1"/>
  <c r="V16"/>
  <c r="V12"/>
  <c r="U26"/>
  <c r="U22"/>
  <c r="U21"/>
  <c r="U20"/>
  <c r="U19"/>
  <c r="U16"/>
  <c r="U14"/>
  <c r="T32"/>
  <c r="T26"/>
  <c r="T22"/>
  <c r="T20"/>
  <c r="AH64" i="1"/>
  <c r="AH63"/>
  <c r="AG64"/>
  <c r="AG63"/>
  <c r="T14" i="2"/>
  <c r="T13"/>
  <c r="S32"/>
  <c r="S26"/>
  <c r="S22"/>
  <c r="S21"/>
  <c r="S20"/>
  <c r="S19"/>
  <c r="AH60" i="1"/>
  <c r="AG60"/>
  <c r="AG62" s="1"/>
  <c r="S23" i="2" s="1"/>
  <c r="R26"/>
  <c r="R22"/>
  <c r="R20"/>
  <c r="R19"/>
  <c r="R18"/>
  <c r="AI58" i="1"/>
  <c r="AH58"/>
  <c r="AG58"/>
  <c r="AG57"/>
  <c r="W58"/>
  <c r="U58"/>
  <c r="T58"/>
  <c r="P58"/>
  <c r="H58"/>
  <c r="AI57"/>
  <c r="AI59" s="1"/>
  <c r="R25" i="2" s="1"/>
  <c r="AH57" i="1"/>
  <c r="W57"/>
  <c r="W59"/>
  <c r="R16" i="2" s="1"/>
  <c r="U57" i="1"/>
  <c r="U59" s="1"/>
  <c r="R14" i="2" s="1"/>
  <c r="T57" i="1"/>
  <c r="V57" s="1"/>
  <c r="V59" s="1"/>
  <c r="R15" i="2" s="1"/>
  <c r="P57" i="1"/>
  <c r="P59"/>
  <c r="R12" i="2" s="1"/>
  <c r="H57" i="1"/>
  <c r="Q32" i="2"/>
  <c r="Q22"/>
  <c r="Q21"/>
  <c r="Q20"/>
  <c r="Q18"/>
  <c r="Q17"/>
  <c r="AG54" i="1"/>
  <c r="AG56" s="1"/>
  <c r="Q23" i="2" s="1"/>
  <c r="AI54" i="1"/>
  <c r="AI56" s="1"/>
  <c r="Q25" i="2" s="1"/>
  <c r="AH54" i="1"/>
  <c r="Q14" i="2"/>
  <c r="Q13"/>
  <c r="P32"/>
  <c r="P31"/>
  <c r="P26"/>
  <c r="P21"/>
  <c r="P20"/>
  <c r="P19"/>
  <c r="AH52" i="1"/>
  <c r="AG52"/>
  <c r="AH51"/>
  <c r="P14" i="2"/>
  <c r="P12"/>
  <c r="O32"/>
  <c r="O26"/>
  <c r="O20"/>
  <c r="O17"/>
  <c r="AH49" i="1"/>
  <c r="AG49"/>
  <c r="AH48"/>
  <c r="AH50" s="1"/>
  <c r="O24" i="2" s="1"/>
  <c r="AG48" i="1"/>
  <c r="O14" i="2"/>
  <c r="O12"/>
  <c r="N32"/>
  <c r="N31"/>
  <c r="N22"/>
  <c r="N20"/>
  <c r="N17"/>
  <c r="AH46" i="1"/>
  <c r="AH47"/>
  <c r="N24" i="2" s="1"/>
  <c r="AG46" i="1"/>
  <c r="AG47" s="1"/>
  <c r="N23" i="2" s="1"/>
  <c r="N16"/>
  <c r="N14"/>
  <c r="M32"/>
  <c r="M26"/>
  <c r="M22"/>
  <c r="M19"/>
  <c r="M17"/>
  <c r="M16"/>
  <c r="M14"/>
  <c r="M12"/>
  <c r="L32"/>
  <c r="L26"/>
  <c r="L22"/>
  <c r="L20"/>
  <c r="L19"/>
  <c r="S41" i="1"/>
  <c r="R41"/>
  <c r="AH40"/>
  <c r="AG40"/>
  <c r="AH39"/>
  <c r="AH41" s="1"/>
  <c r="L24" i="2" s="1"/>
  <c r="AG39" i="1"/>
  <c r="W41"/>
  <c r="L16" i="2"/>
  <c r="U41" i="1"/>
  <c r="L14" i="2"/>
  <c r="P41" i="1"/>
  <c r="L12" i="2"/>
  <c r="K32"/>
  <c r="K26"/>
  <c r="K20"/>
  <c r="K19"/>
  <c r="K17"/>
  <c r="S38" i="1"/>
  <c r="R38"/>
  <c r="AH37"/>
  <c r="AG37"/>
  <c r="W37"/>
  <c r="U37"/>
  <c r="T37"/>
  <c r="P37"/>
  <c r="H37"/>
  <c r="G37"/>
  <c r="AH36"/>
  <c r="AG36"/>
  <c r="AG38" s="1"/>
  <c r="K23" i="2" s="1"/>
  <c r="W36" i="1"/>
  <c r="U36"/>
  <c r="T36"/>
  <c r="P36"/>
  <c r="O36" s="1"/>
  <c r="H36"/>
  <c r="H38" s="1"/>
  <c r="K6" i="2" s="1"/>
  <c r="G36" i="1"/>
  <c r="G38" s="1"/>
  <c r="K5" i="2" s="1"/>
  <c r="J32"/>
  <c r="J21"/>
  <c r="J19"/>
  <c r="J17"/>
  <c r="AH34" i="1"/>
  <c r="AG34"/>
  <c r="AH33"/>
  <c r="AH35" s="1"/>
  <c r="J24" i="2" s="1"/>
  <c r="AG33" i="1"/>
  <c r="AG35" s="1"/>
  <c r="J23" i="2" s="1"/>
  <c r="W35" i="1"/>
  <c r="J16" i="2"/>
  <c r="U35" i="1"/>
  <c r="J14" i="2"/>
  <c r="T35" i="1"/>
  <c r="P35"/>
  <c r="J12" i="2"/>
  <c r="N35" i="1"/>
  <c r="I32" i="2"/>
  <c r="I26"/>
  <c r="I22"/>
  <c r="I20"/>
  <c r="I19"/>
  <c r="I17"/>
  <c r="S32" i="1"/>
  <c r="R32"/>
  <c r="P32"/>
  <c r="I12" i="2"/>
  <c r="H26"/>
  <c r="H22"/>
  <c r="H17"/>
  <c r="S29" i="1"/>
  <c r="R29"/>
  <c r="AH28"/>
  <c r="AG28"/>
  <c r="AH27"/>
  <c r="AH29" s="1"/>
  <c r="H24" i="2" s="1"/>
  <c r="AG27" i="1"/>
  <c r="W29"/>
  <c r="H16" i="2"/>
  <c r="G29" i="1"/>
  <c r="H5" i="2" s="1"/>
  <c r="G32"/>
  <c r="G31"/>
  <c r="G26"/>
  <c r="G22"/>
  <c r="G20"/>
  <c r="G19"/>
  <c r="G17"/>
  <c r="S26" i="1"/>
  <c r="R26"/>
  <c r="AH25"/>
  <c r="AG25"/>
  <c r="AH24"/>
  <c r="AH26" s="1"/>
  <c r="G24" i="2" s="1"/>
  <c r="AG24" i="1"/>
  <c r="AG26" s="1"/>
  <c r="G23" i="2" s="1"/>
  <c r="T26" i="1"/>
  <c r="G13" i="2"/>
  <c r="F32"/>
  <c r="F26"/>
  <c r="F17"/>
  <c r="S23" i="1"/>
  <c r="R23"/>
  <c r="AH22"/>
  <c r="AG22"/>
  <c r="P23"/>
  <c r="F12" i="2"/>
  <c r="AH21" i="1"/>
  <c r="AH23" s="1"/>
  <c r="AG21"/>
  <c r="AG23" s="1"/>
  <c r="F23" i="2" s="1"/>
  <c r="W23" i="1"/>
  <c r="F16" i="2"/>
  <c r="U23" i="1"/>
  <c r="F14" i="2"/>
  <c r="E31"/>
  <c r="E26"/>
  <c r="E22"/>
  <c r="E20"/>
  <c r="S20" i="1"/>
  <c r="R20"/>
  <c r="AH19"/>
  <c r="AH18"/>
  <c r="AG19"/>
  <c r="W20"/>
  <c r="E16" i="2"/>
  <c r="AG18" i="1"/>
  <c r="U20"/>
  <c r="E14" i="2"/>
  <c r="D32"/>
  <c r="D26"/>
  <c r="D20"/>
  <c r="D17"/>
  <c r="S17" i="1"/>
  <c r="R17"/>
  <c r="AI16"/>
  <c r="AH16"/>
  <c r="AH15"/>
  <c r="AG16"/>
  <c r="H15"/>
  <c r="H17" s="1"/>
  <c r="D6" i="2" s="1"/>
  <c r="AI15" i="1"/>
  <c r="AG15"/>
  <c r="W15"/>
  <c r="W17" s="1"/>
  <c r="D16" i="2" s="1"/>
  <c r="U15" i="1"/>
  <c r="T15"/>
  <c r="T17" s="1"/>
  <c r="G15"/>
  <c r="G17" s="1"/>
  <c r="D5" i="2" s="1"/>
  <c r="C32"/>
  <c r="C26"/>
  <c r="C20"/>
  <c r="C19"/>
  <c r="S14" i="1"/>
  <c r="R14"/>
  <c r="AH13"/>
  <c r="AG13"/>
  <c r="AI12"/>
  <c r="AI14" s="1"/>
  <c r="AH12"/>
  <c r="AH14"/>
  <c r="C24" i="2" s="1"/>
  <c r="AG12" i="1"/>
  <c r="AG14" s="1"/>
  <c r="U14"/>
  <c r="C14" i="2" s="1"/>
  <c r="T14" i="1"/>
  <c r="C13" i="2"/>
  <c r="B32"/>
  <c r="B22"/>
  <c r="B20"/>
  <c r="S11" i="1"/>
  <c r="R11"/>
  <c r="AH10"/>
  <c r="AG10"/>
  <c r="W10"/>
  <c r="U10"/>
  <c r="T10"/>
  <c r="H10"/>
  <c r="G10"/>
  <c r="AI9"/>
  <c r="AI11" s="1"/>
  <c r="B25" i="2" s="1"/>
  <c r="AH9" i="1"/>
  <c r="AG9"/>
  <c r="AG11" s="1"/>
  <c r="B23" i="2" s="1"/>
  <c r="W9" i="1"/>
  <c r="W11" s="1"/>
  <c r="U9"/>
  <c r="V9" s="1"/>
  <c r="T9"/>
  <c r="T11"/>
  <c r="B13" i="2" s="1"/>
  <c r="P9" i="1"/>
  <c r="P11" s="1"/>
  <c r="B12" i="2" s="1"/>
  <c r="N9" i="1"/>
  <c r="N11" s="1"/>
  <c r="B10" i="2" s="1"/>
  <c r="M9" i="1"/>
  <c r="M11" s="1"/>
  <c r="B9" i="2" s="1"/>
  <c r="H9" i="1"/>
  <c r="G9"/>
  <c r="B17" i="2"/>
  <c r="T89" i="1"/>
  <c r="AB13" i="2"/>
  <c r="T95" i="1"/>
  <c r="AD13" i="2"/>
  <c r="AE13"/>
  <c r="T41" i="1"/>
  <c r="L13" i="2"/>
  <c r="P13"/>
  <c r="Q16"/>
  <c r="S14"/>
  <c r="U12"/>
  <c r="W12"/>
  <c r="P77" i="1"/>
  <c r="X12" i="2"/>
  <c r="U86" i="1"/>
  <c r="AA14" i="2"/>
  <c r="U92" i="1"/>
  <c r="AC14" i="2"/>
  <c r="P26" i="1"/>
  <c r="G12" i="2"/>
  <c r="U26" i="1"/>
  <c r="G14" i="2"/>
  <c r="P29" i="1"/>
  <c r="H12" i="2"/>
  <c r="U29" i="1"/>
  <c r="H14" i="2"/>
  <c r="N12"/>
  <c r="BR15" i="1"/>
  <c r="V20"/>
  <c r="E15" i="2"/>
  <c r="BR27" i="1"/>
  <c r="BR39"/>
  <c r="BR51"/>
  <c r="U15" i="2"/>
  <c r="V86" i="1"/>
  <c r="AA15" i="2"/>
  <c r="V89" i="1"/>
  <c r="AB15" i="2"/>
  <c r="BR90" i="1"/>
  <c r="BR81"/>
  <c r="BR93"/>
  <c r="BR45"/>
  <c r="BR78"/>
  <c r="BR54"/>
  <c r="BR9"/>
  <c r="Z21" i="2"/>
  <c r="W21"/>
  <c r="B19"/>
  <c r="D29" i="3"/>
  <c r="E29"/>
  <c r="M21" i="2"/>
  <c r="N18"/>
  <c r="T18"/>
  <c r="T23" i="1"/>
  <c r="F13" i="2"/>
  <c r="J13"/>
  <c r="V35" i="1"/>
  <c r="J15" i="2"/>
  <c r="V14"/>
  <c r="V15"/>
  <c r="E21"/>
  <c r="F18"/>
  <c r="G18"/>
  <c r="I21"/>
  <c r="AE12"/>
  <c r="O16"/>
  <c r="F20"/>
  <c r="H18"/>
  <c r="I18"/>
  <c r="P18"/>
  <c r="S18"/>
  <c r="U18"/>
  <c r="BD26" i="1"/>
  <c r="M13" i="2"/>
  <c r="J26"/>
  <c r="F31"/>
  <c r="F45" i="3"/>
  <c r="V92" i="1"/>
  <c r="AC15" i="2"/>
  <c r="BR30" i="1"/>
  <c r="B21" i="2"/>
  <c r="P89" i="1"/>
  <c r="AB12" i="2"/>
  <c r="M32" i="3"/>
  <c r="E41"/>
  <c r="BH106" i="1"/>
  <c r="BH107"/>
  <c r="T38"/>
  <c r="K13" i="2" s="1"/>
  <c r="O13"/>
  <c r="T92" i="1"/>
  <c r="AC13" i="2"/>
  <c r="AZ20" i="1"/>
  <c r="E30" i="2" s="1"/>
  <c r="BD83" i="1"/>
  <c r="Z33" i="2"/>
  <c r="F35" i="3"/>
  <c r="BD17" i="1"/>
  <c r="D33" i="2"/>
  <c r="U33"/>
  <c r="V33"/>
  <c r="L41" i="3"/>
  <c r="D14"/>
  <c r="L27"/>
  <c r="P86" i="1"/>
  <c r="AA12" i="2"/>
  <c r="Q12"/>
  <c r="P83" i="1"/>
  <c r="Z12" i="2"/>
  <c r="Y18"/>
  <c r="AC18"/>
  <c r="AD18"/>
  <c r="T29" i="1"/>
  <c r="H13" i="2"/>
  <c r="V58" i="1"/>
  <c r="T12" i="2"/>
  <c r="U80" i="1"/>
  <c r="Y14" i="2" s="1"/>
  <c r="W92" i="1"/>
  <c r="AC16" i="2"/>
  <c r="U95" i="1"/>
  <c r="AD14" i="2"/>
  <c r="BK106" i="1"/>
  <c r="BK107"/>
  <c r="BD23"/>
  <c r="F33" i="2"/>
  <c r="BD35" i="1"/>
  <c r="J33" i="2"/>
  <c r="BD92" i="1"/>
  <c r="AC33" i="2"/>
  <c r="L45" i="3"/>
  <c r="M33" i="2"/>
  <c r="BD29" i="1"/>
  <c r="H33" i="2" s="1"/>
  <c r="BR16" i="1"/>
  <c r="BR63"/>
  <c r="BR69"/>
  <c r="BR72"/>
  <c r="BR87"/>
  <c r="BR18"/>
  <c r="F27" i="2"/>
  <c r="M29" i="3"/>
  <c r="AB105" i="1"/>
  <c r="AE105"/>
  <c r="AA33" i="2"/>
  <c r="BR84" i="1"/>
  <c r="AF105"/>
  <c r="G10" i="4" s="1"/>
  <c r="T15" i="2"/>
  <c r="Q15"/>
  <c r="V26" i="1"/>
  <c r="G15" i="2"/>
  <c r="V41" i="1"/>
  <c r="L15" i="2"/>
  <c r="U11" i="1"/>
  <c r="B14" i="2" s="1"/>
  <c r="U17" i="1"/>
  <c r="D14" i="2" s="1"/>
  <c r="N29" i="1"/>
  <c r="H10" i="2" s="1"/>
  <c r="T32" i="1"/>
  <c r="I13" i="2"/>
  <c r="W32" i="1"/>
  <c r="I16" i="2"/>
  <c r="N15"/>
  <c r="P15"/>
  <c r="P16"/>
  <c r="T86" i="1"/>
  <c r="AA13" i="2"/>
  <c r="W86" i="1"/>
  <c r="AA16" i="2"/>
  <c r="V95" i="1"/>
  <c r="AD15" i="2"/>
  <c r="BR75" i="1"/>
  <c r="V77"/>
  <c r="X15" i="2"/>
  <c r="O15"/>
  <c r="AH86" i="1"/>
  <c r="AA24" i="2" s="1"/>
  <c r="BE106" i="1"/>
  <c r="BE107" s="1"/>
  <c r="AX105"/>
  <c r="AX107"/>
  <c r="AX108" s="1"/>
  <c r="M53" i="3"/>
  <c r="X33" i="2"/>
  <c r="M41" i="1"/>
  <c r="L9" i="2" s="1"/>
  <c r="D24" i="3"/>
  <c r="N33" i="2"/>
  <c r="BR58" i="1"/>
  <c r="BD80"/>
  <c r="BR79"/>
  <c r="BR80" s="1"/>
  <c r="Y34" i="2" s="1"/>
  <c r="N14" i="3"/>
  <c r="D39"/>
  <c r="AZ89" i="1"/>
  <c r="AB30" i="2" s="1"/>
  <c r="F26" i="3"/>
  <c r="F28" i="2"/>
  <c r="E32" i="3"/>
  <c r="Y33" i="2"/>
  <c r="N30" i="3"/>
  <c r="N31" s="1"/>
  <c r="N24"/>
  <c r="C52"/>
  <c r="M27"/>
  <c r="E36"/>
  <c r="D31" i="2"/>
  <c r="T33"/>
  <c r="AZ77" i="1"/>
  <c r="X30" i="2" s="1"/>
  <c r="AZ41" i="1"/>
  <c r="L30" i="2" s="1"/>
  <c r="N18" i="3"/>
  <c r="L17"/>
  <c r="D32"/>
  <c r="M32" i="1"/>
  <c r="I9" i="2" s="1"/>
  <c r="N33" i="3"/>
  <c r="AZ98" i="1"/>
  <c r="AE30" i="2" s="1"/>
  <c r="AG103" i="1"/>
  <c r="AI103"/>
  <c r="AK103"/>
  <c r="AV105"/>
  <c r="AV107" s="1"/>
  <c r="AV108" s="1"/>
  <c r="BB105"/>
  <c r="AF23" i="2"/>
  <c r="AF13"/>
  <c r="AF33"/>
  <c r="AF16"/>
  <c r="BP105" i="1"/>
  <c r="BN109"/>
  <c r="BN110"/>
  <c r="L53" i="3"/>
  <c r="AF27" i="2"/>
  <c r="AF14"/>
  <c r="AF10"/>
  <c r="AE15"/>
  <c r="L47" i="3"/>
  <c r="D7" i="2"/>
  <c r="Q33"/>
  <c r="D11" i="3"/>
  <c r="H29" i="1"/>
  <c r="H6" i="2" s="1"/>
  <c r="R33"/>
  <c r="BP109" i="1"/>
  <c r="BP110"/>
  <c r="AU105"/>
  <c r="AU107" s="1"/>
  <c r="AU108" s="1"/>
  <c r="AT105"/>
  <c r="AT107"/>
  <c r="AT108" s="1"/>
  <c r="AW105"/>
  <c r="AW107" s="1"/>
  <c r="AW108" s="1"/>
  <c r="BN105"/>
  <c r="O78"/>
  <c r="AF30" i="2"/>
  <c r="AK83" i="1"/>
  <c r="Z27" i="2" s="1"/>
  <c r="AZ92" i="1"/>
  <c r="AC30" i="2" s="1"/>
  <c r="K19" i="3"/>
  <c r="L18"/>
  <c r="BR43" i="1"/>
  <c r="BR44" s="1"/>
  <c r="M34" i="2" s="1"/>
  <c r="U30"/>
  <c r="W14" i="1"/>
  <c r="C16" i="2" s="1"/>
  <c r="T20" i="1"/>
  <c r="E13" i="2"/>
  <c r="V23" i="1"/>
  <c r="F15" i="2"/>
  <c r="W26" i="1"/>
  <c r="G16" i="2"/>
  <c r="U32" i="1"/>
  <c r="I14" i="2"/>
  <c r="V32" i="1"/>
  <c r="I15" i="2"/>
  <c r="P38" i="1"/>
  <c r="K12" i="2" s="1"/>
  <c r="V36" i="1"/>
  <c r="V38" s="1"/>
  <c r="K15" i="2" s="1"/>
  <c r="U83" i="1"/>
  <c r="Z14" i="2"/>
  <c r="V83" i="1"/>
  <c r="Z15" i="2"/>
  <c r="W15"/>
  <c r="BC11" i="1"/>
  <c r="V14"/>
  <c r="C15" i="2"/>
  <c r="K46" i="3"/>
  <c r="G77" i="1"/>
  <c r="X5" i="2" s="1"/>
  <c r="G86" i="1"/>
  <c r="AA5" i="2" s="1"/>
  <c r="G98" i="1"/>
  <c r="AE5" i="2" s="1"/>
  <c r="V29" i="1"/>
  <c r="H15" i="2"/>
  <c r="AC105" i="1"/>
  <c r="J10" i="2"/>
  <c r="AC9"/>
  <c r="E17" i="3"/>
  <c r="C12" i="2"/>
  <c r="O19" i="1"/>
  <c r="L15" i="3"/>
  <c r="O60" i="1"/>
  <c r="R5" i="2"/>
  <c r="O94" i="1"/>
  <c r="AI50"/>
  <c r="O25" i="2" s="1"/>
  <c r="J105" i="1"/>
  <c r="S105"/>
  <c r="BQ105"/>
  <c r="I105"/>
  <c r="AJ105"/>
  <c r="AL108" s="1"/>
  <c r="E12" i="2"/>
  <c r="M71" i="1"/>
  <c r="V9" i="2" s="1"/>
  <c r="AI62" i="1"/>
  <c r="S25" i="2" s="1"/>
  <c r="O72" i="1"/>
  <c r="G103"/>
  <c r="O96"/>
  <c r="AK11"/>
  <c r="B27" i="2" s="1"/>
  <c r="AI47" i="1"/>
  <c r="N25" i="2" s="1"/>
  <c r="M47" i="1"/>
  <c r="N9" i="2" s="1"/>
  <c r="V31"/>
  <c r="W31"/>
  <c r="G90" i="1"/>
  <c r="V10"/>
  <c r="U38"/>
  <c r="K14" i="2" s="1"/>
  <c r="V37" i="1"/>
  <c r="AH56"/>
  <c r="Q24" i="2" s="1"/>
  <c r="AG59" i="1"/>
  <c r="R23" i="2" s="1"/>
  <c r="AG65" i="1"/>
  <c r="T23" i="2" s="1"/>
  <c r="AH65" i="1"/>
  <c r="T24" i="2" s="1"/>
  <c r="BR24" i="1"/>
  <c r="AZ26"/>
  <c r="G30" i="2"/>
  <c r="AB33"/>
  <c r="BR99" i="1"/>
  <c r="M62"/>
  <c r="S9" i="2" s="1"/>
  <c r="O63" i="1"/>
  <c r="O82"/>
  <c r="AG92"/>
  <c r="AC23" i="2" s="1"/>
  <c r="AS105" i="1"/>
  <c r="AS107" s="1"/>
  <c r="AS108" s="1"/>
  <c r="K33" i="2"/>
  <c r="BR60" i="1"/>
  <c r="BJ109"/>
  <c r="BJ110" s="1"/>
  <c r="BF106"/>
  <c r="V100"/>
  <c r="O99"/>
  <c r="BR48"/>
  <c r="BR57"/>
  <c r="BR59"/>
  <c r="R34" i="2" s="1"/>
  <c r="T59" i="1"/>
  <c r="R13" i="2" s="1"/>
  <c r="S33"/>
  <c r="BM109" i="1"/>
  <c r="BM110" s="1"/>
  <c r="BQ109"/>
  <c r="BQ110"/>
  <c r="BR10"/>
  <c r="BR11" s="1"/>
  <c r="B34" i="2" s="1"/>
  <c r="K40" i="3"/>
  <c r="E42"/>
  <c r="E43" s="1"/>
  <c r="M14" i="1"/>
  <c r="C9" i="2" s="1"/>
  <c r="M44" i="1"/>
  <c r="M9" i="2" s="1"/>
  <c r="AZ47" i="1"/>
  <c r="N30" i="2" s="1"/>
  <c r="R31"/>
  <c r="AZ103" i="1"/>
  <c r="M80"/>
  <c r="Y9" i="2" s="1"/>
  <c r="T31"/>
  <c r="M29" i="1"/>
  <c r="H9" i="2" s="1"/>
  <c r="H11" i="1"/>
  <c r="B6" i="2" s="1"/>
  <c r="AA31"/>
  <c r="M36" i="3"/>
  <c r="O40" i="1"/>
  <c r="D48" i="3"/>
  <c r="E48"/>
  <c r="Q31" i="2"/>
  <c r="M26" i="3"/>
  <c r="L26"/>
  <c r="K28"/>
  <c r="O66" i="1"/>
  <c r="Y105"/>
  <c r="BI105"/>
  <c r="R105"/>
  <c r="W38"/>
  <c r="BJ105"/>
  <c r="BM105"/>
  <c r="BO105"/>
  <c r="AZ11"/>
  <c r="B30" i="2" s="1"/>
  <c r="O100" i="1"/>
  <c r="V99"/>
  <c r="O46"/>
  <c r="O73"/>
  <c r="O91"/>
  <c r="O67"/>
  <c r="BR36"/>
  <c r="BO109"/>
  <c r="BO110"/>
  <c r="AD33" i="2"/>
  <c r="BR25" i="1"/>
  <c r="BR26" s="1"/>
  <c r="G34" i="2" s="1"/>
  <c r="BD11" i="1"/>
  <c r="B33" i="2" s="1"/>
  <c r="BF109" i="1"/>
  <c r="BF110"/>
  <c r="BF107"/>
  <c r="AI92"/>
  <c r="AC25" i="2" s="1"/>
  <c r="L105" i="1"/>
  <c r="BK105"/>
  <c r="BI109"/>
  <c r="BI110" s="1"/>
  <c r="BE109"/>
  <c r="BE110"/>
  <c r="K16" i="2"/>
  <c r="N68" i="1"/>
  <c r="U10" i="2" s="1"/>
  <c r="C10" i="3"/>
  <c r="AK65" i="1"/>
  <c r="T27" i="2" s="1"/>
  <c r="AK98" i="1"/>
  <c r="AE27" i="2" s="1"/>
  <c r="AH11" i="1"/>
  <c r="B24" i="2" s="1"/>
  <c r="O9" i="1"/>
  <c r="AK20"/>
  <c r="E27" i="2" s="1"/>
  <c r="N20" i="1"/>
  <c r="E10" i="2" s="1"/>
  <c r="M20" i="1"/>
  <c r="E9" i="2" s="1"/>
  <c r="AZ38" i="1"/>
  <c r="K30" i="2" s="1"/>
  <c r="AI35" i="1"/>
  <c r="J25" i="2" s="1"/>
  <c r="N44" i="1"/>
  <c r="M10" i="2" s="1"/>
  <c r="M77" i="1"/>
  <c r="X9" i="2" s="1"/>
  <c r="N50" i="3"/>
  <c r="G33" i="2"/>
  <c r="AZ23" i="1"/>
  <c r="F30" i="2" s="1"/>
  <c r="M23" i="1"/>
  <c r="F9" i="2" s="1"/>
  <c r="M65" i="1"/>
  <c r="T9" i="2" s="1"/>
  <c r="AK59" i="1"/>
  <c r="R27" i="2" s="1"/>
  <c r="N53" i="1"/>
  <c r="P10" i="2" s="1"/>
  <c r="AG41" i="1"/>
  <c r="L23" i="2" s="1"/>
  <c r="AH71" i="1"/>
  <c r="V24" i="2" s="1"/>
  <c r="T80" i="1"/>
  <c r="Y13" i="2" s="1"/>
  <c r="AG86" i="1"/>
  <c r="AA23" i="2" s="1"/>
  <c r="L33"/>
  <c r="E33"/>
  <c r="P33"/>
  <c r="O45" i="1"/>
  <c r="V61"/>
  <c r="V62" s="1"/>
  <c r="S15" i="2" s="1"/>
  <c r="T62" i="1"/>
  <c r="S13" i="2"/>
  <c r="O102" i="1"/>
  <c r="AF11" i="2"/>
  <c r="V102" i="1"/>
  <c r="U103"/>
  <c r="AG98"/>
  <c r="AE23" i="2" s="1"/>
  <c r="V16" i="1"/>
  <c r="AG44"/>
  <c r="M23" i="2" s="1"/>
  <c r="O33" i="1"/>
  <c r="O84"/>
  <c r="M98"/>
  <c r="AE9" i="2" s="1"/>
  <c r="N83" i="1"/>
  <c r="Z10" i="2" s="1"/>
  <c r="O33"/>
  <c r="O20" i="1"/>
  <c r="E11" i="2" s="1"/>
  <c r="M89" i="1"/>
  <c r="AB9" i="2" s="1"/>
  <c r="AZ86" i="1"/>
  <c r="AA30" i="2" s="1"/>
  <c r="F27" i="3"/>
  <c r="D26"/>
  <c r="AI23" i="1"/>
  <c r="F25" i="2" s="1"/>
  <c r="AK95" i="1"/>
  <c r="AD27" i="2" s="1"/>
  <c r="D41" i="3"/>
  <c r="AK56" i="1"/>
  <c r="Q27" i="2" s="1"/>
  <c r="AM101" i="1"/>
  <c r="O90"/>
  <c r="O92" s="1"/>
  <c r="AC11" i="2" s="1"/>
  <c r="O87" i="1"/>
  <c r="BL109"/>
  <c r="BL110"/>
  <c r="O68"/>
  <c r="U11" i="2" s="1"/>
  <c r="E45" i="3"/>
  <c r="F17"/>
  <c r="N17" i="1"/>
  <c r="D10" i="2" s="1"/>
  <c r="C13" i="3"/>
  <c r="AZ12" i="1"/>
  <c r="AZ14" s="1"/>
  <c r="C30" i="2" s="1"/>
  <c r="AO14" i="1"/>
  <c r="BR12"/>
  <c r="AG50"/>
  <c r="O23" i="2" s="1"/>
  <c r="D47" i="3"/>
  <c r="C49"/>
  <c r="AK44" i="1"/>
  <c r="M27" i="2" s="1"/>
  <c r="AZ71" i="1"/>
  <c r="V30" i="2" s="1"/>
  <c r="AN101" i="1"/>
  <c r="AF15" i="2"/>
  <c r="AK89" i="1"/>
  <c r="AB27" i="2" s="1"/>
  <c r="AZ44" i="1"/>
  <c r="M30" i="2" s="1"/>
  <c r="AK74" i="1"/>
  <c r="W27" i="2" s="1"/>
  <c r="F15" i="3"/>
  <c r="D12"/>
  <c r="D13" s="1"/>
  <c r="L21"/>
  <c r="AZ65" i="1"/>
  <c r="T30" i="2" s="1"/>
  <c r="BR64" i="1"/>
  <c r="BR65" s="1"/>
  <c r="T34" i="2" s="1"/>
  <c r="N65" i="1"/>
  <c r="T10" i="2" s="1"/>
  <c r="P25"/>
  <c r="AH53" i="1"/>
  <c r="P24" i="2" s="1"/>
  <c r="G50" i="1"/>
  <c r="O5" i="2" s="1"/>
  <c r="BA35" i="1"/>
  <c r="J31" i="2" s="1"/>
  <c r="AK80" i="1"/>
  <c r="Y27" i="2" s="1"/>
  <c r="AH77" i="1"/>
  <c r="X24" i="2" s="1"/>
  <c r="O74" i="1"/>
  <c r="W11" i="2" s="1"/>
  <c r="H74" i="1"/>
  <c r="W6" i="2" s="1"/>
  <c r="H95" i="1"/>
  <c r="AD6" i="2" s="1"/>
  <c r="AI17" i="1"/>
  <c r="D25" i="2" s="1"/>
  <c r="BH109" i="1"/>
  <c r="M68"/>
  <c r="U9" i="2" s="1"/>
  <c r="BH110" i="1"/>
  <c r="AK41"/>
  <c r="L27" i="2" s="1"/>
  <c r="AK53" i="1"/>
  <c r="P27" i="2" s="1"/>
  <c r="AK50" i="1"/>
  <c r="O27" i="2" s="1"/>
  <c r="AK47" i="1"/>
  <c r="N27" i="2" s="1"/>
  <c r="AK71" i="1"/>
  <c r="V27" i="2" s="1"/>
  <c r="AL71" i="1"/>
  <c r="P103"/>
  <c r="AL103"/>
  <c r="AM102"/>
  <c r="BR103"/>
  <c r="V103"/>
  <c r="O101"/>
  <c r="O103" s="1"/>
  <c r="AL92"/>
  <c r="AK92"/>
  <c r="AC27" i="2" s="1"/>
  <c r="AN102" i="1"/>
  <c r="AM103"/>
  <c r="AN103"/>
  <c r="AF28" i="2"/>
  <c r="AM92" i="1"/>
  <c r="AC28" i="2" s="1"/>
  <c r="O97" i="1"/>
  <c r="O98" s="1"/>
  <c r="AE11" i="2" s="1"/>
  <c r="BR17" i="1"/>
  <c r="D34" i="2" s="1"/>
  <c r="AM71" i="1"/>
  <c r="V28" i="2" s="1"/>
  <c r="AG53" i="1"/>
  <c r="P23" i="2" s="1"/>
  <c r="E30" i="3"/>
  <c r="C31"/>
  <c r="AR105" i="1"/>
  <c r="AR107" s="1"/>
  <c r="AR108" s="1"/>
  <c r="M30" i="3"/>
  <c r="S5" i="2"/>
  <c r="O93" i="1"/>
  <c r="O95" s="1"/>
  <c r="AD11" i="2" s="1"/>
  <c r="E16" i="3" l="1"/>
  <c r="M31"/>
  <c r="H50" i="1"/>
  <c r="O6" i="2" s="1"/>
  <c r="G92" i="1"/>
  <c r="AC5" i="2" s="1"/>
  <c r="L44" i="3"/>
  <c r="L46" s="1"/>
  <c r="AH80" i="1"/>
  <c r="Y24" i="2" s="1"/>
  <c r="AI65" i="1"/>
  <c r="T25" i="2" s="1"/>
  <c r="B16"/>
  <c r="W105" i="1"/>
  <c r="D13" i="2"/>
  <c r="T105" i="1"/>
  <c r="V11"/>
  <c r="B15" i="2" s="1"/>
  <c r="A71" i="4"/>
  <c r="U105" i="1"/>
  <c r="V15"/>
  <c r="V17" s="1"/>
  <c r="D15" i="2" s="1"/>
  <c r="G11" i="1"/>
  <c r="B5" i="2" s="1"/>
  <c r="N48" i="3"/>
  <c r="N49" s="1"/>
  <c r="AG95" i="1"/>
  <c r="AD23" i="2" s="1"/>
  <c r="AH95" i="1"/>
  <c r="AD24" i="2" s="1"/>
  <c r="AI74" i="1"/>
  <c r="W25" i="2" s="1"/>
  <c r="AH59" i="1"/>
  <c r="R24" i="2" s="1"/>
  <c r="AG20" i="1"/>
  <c r="E23" i="2" s="1"/>
  <c r="AH17" i="1"/>
  <c r="D24" i="2" s="1"/>
  <c r="O10" i="1"/>
  <c r="O27"/>
  <c r="H32"/>
  <c r="I6" i="2" s="1"/>
  <c r="H92" i="1"/>
  <c r="AC6" i="2" s="1"/>
  <c r="AH74" i="1"/>
  <c r="W24" i="2" s="1"/>
  <c r="AI68" i="1"/>
  <c r="U25" i="2" s="1"/>
  <c r="O48" i="1"/>
  <c r="BR41"/>
  <c r="L34" i="2" s="1"/>
  <c r="AZ32" i="1"/>
  <c r="I30" i="2" s="1"/>
  <c r="AH20" i="1"/>
  <c r="E24" i="2" s="1"/>
  <c r="BR89" i="1"/>
  <c r="AB34" i="2" s="1"/>
  <c r="BR23" i="1"/>
  <c r="F34" i="2" s="1"/>
  <c r="BR14" i="1"/>
  <c r="C34" i="2" s="1"/>
  <c r="E27" i="3"/>
  <c r="AG83" i="1"/>
  <c r="Z23" i="2" s="1"/>
  <c r="AI83" i="1"/>
  <c r="Z25" i="2" s="1"/>
  <c r="AG80" i="1"/>
  <c r="Y23" i="2" s="1"/>
  <c r="AI80" i="1"/>
  <c r="Y25" i="2" s="1"/>
  <c r="N20" i="3"/>
  <c r="AH44" i="1"/>
  <c r="M24" i="2" s="1"/>
  <c r="D23" i="3"/>
  <c r="D25" s="1"/>
  <c r="F23"/>
  <c r="F25" s="1"/>
  <c r="AI26" i="1"/>
  <c r="G25" i="2" s="1"/>
  <c r="AK13" i="1"/>
  <c r="AL13" s="1"/>
  <c r="AM13" s="1"/>
  <c r="AN13" s="1"/>
  <c r="O57"/>
  <c r="N59"/>
  <c r="R10" i="2" s="1"/>
  <c r="C2"/>
  <c r="N28" i="3"/>
  <c r="N32"/>
  <c r="N34" s="1"/>
  <c r="L39"/>
  <c r="N39"/>
  <c r="M83" i="1"/>
  <c r="Z9" i="2" s="1"/>
  <c r="L37" i="3"/>
  <c r="N15"/>
  <c r="N16" s="1"/>
  <c r="K16"/>
  <c r="AH62" i="1"/>
  <c r="S24" i="2" s="1"/>
  <c r="G56" i="1"/>
  <c r="Q5" i="2" s="1"/>
  <c r="N50" i="1"/>
  <c r="O10" i="2" s="1"/>
  <c r="AZ29" i="1"/>
  <c r="H30" i="2" s="1"/>
  <c r="AK16" i="1"/>
  <c r="K37" i="3"/>
  <c r="N36"/>
  <c r="AG77" i="1"/>
  <c r="X23" i="2" s="1"/>
  <c r="AI77" i="1"/>
  <c r="X25" i="2" s="1"/>
  <c r="M24" i="3"/>
  <c r="C19"/>
  <c r="O70" i="1"/>
  <c r="O71" s="1"/>
  <c r="V11" i="2" s="1"/>
  <c r="H62" i="1"/>
  <c r="S6" i="2" s="1"/>
  <c r="G35" i="1"/>
  <c r="J5" i="2" s="1"/>
  <c r="O11" i="1"/>
  <c r="B11" i="2" s="1"/>
  <c r="N51" i="3"/>
  <c r="N52" s="1"/>
  <c r="M86" i="1"/>
  <c r="AA9" i="2" s="1"/>
  <c r="BR73" i="1"/>
  <c r="BR74" s="1"/>
  <c r="W34" i="2" s="1"/>
  <c r="K22" i="3"/>
  <c r="AZ50" i="1"/>
  <c r="O30" i="2" s="1"/>
  <c r="BG106" i="1"/>
  <c r="BG107" s="1"/>
  <c r="BR107" s="1"/>
  <c r="BR83"/>
  <c r="Z34" i="2" s="1"/>
  <c r="AZ56" i="1"/>
  <c r="Q30" i="2" s="1"/>
  <c r="BR34" i="1"/>
  <c r="BR35" s="1"/>
  <c r="J34" i="2" s="1"/>
  <c r="AO105" i="1"/>
  <c r="AO107" s="1"/>
  <c r="AO108" s="1"/>
  <c r="AI95"/>
  <c r="AD25" i="2" s="1"/>
  <c r="AG74" i="1"/>
  <c r="W23" i="2" s="1"/>
  <c r="AI29" i="1"/>
  <c r="H25" i="2" s="1"/>
  <c r="O81" i="1"/>
  <c r="O83" s="1"/>
  <c r="Z11" i="2" s="1"/>
  <c r="O58" i="1"/>
  <c r="O59" s="1"/>
  <c r="R11" i="2" s="1"/>
  <c r="O37" i="1"/>
  <c r="O38" s="1"/>
  <c r="K11" i="2" s="1"/>
  <c r="O28" i="1"/>
  <c r="O29" s="1"/>
  <c r="H11" i="2" s="1"/>
  <c r="D30" i="3"/>
  <c r="D31" s="1"/>
  <c r="F21"/>
  <c r="L48"/>
  <c r="L49" s="1"/>
  <c r="C46"/>
  <c r="K13"/>
  <c r="C34"/>
  <c r="N8"/>
  <c r="N10" s="1"/>
  <c r="L28"/>
  <c r="L54"/>
  <c r="N17"/>
  <c r="N19" s="1"/>
  <c r="M23"/>
  <c r="L11"/>
  <c r="K55"/>
  <c r="K34"/>
  <c r="M20"/>
  <c r="M22" s="1"/>
  <c r="L51"/>
  <c r="L8"/>
  <c r="E21"/>
  <c r="D15"/>
  <c r="D16" s="1"/>
  <c r="N41"/>
  <c r="E12"/>
  <c r="E13" s="1"/>
  <c r="N54"/>
  <c r="N55" s="1"/>
  <c r="N44"/>
  <c r="AZ95" i="1"/>
  <c r="AD30" i="2" s="1"/>
  <c r="L55" i="3"/>
  <c r="AI98" i="1"/>
  <c r="AE25" i="2" s="1"/>
  <c r="AI44" i="1"/>
  <c r="M25" i="2" s="1"/>
  <c r="N92" i="1"/>
  <c r="AC10" i="2" s="1"/>
  <c r="AK86" i="1"/>
  <c r="AA27" i="2" s="1"/>
  <c r="H77" i="1"/>
  <c r="X6" i="2" s="1"/>
  <c r="O64" i="1"/>
  <c r="O65" s="1"/>
  <c r="T11" i="2" s="1"/>
  <c r="O51" i="1"/>
  <c r="O52"/>
  <c r="K105"/>
  <c r="AI41"/>
  <c r="L25" i="2" s="1"/>
  <c r="O39" i="1"/>
  <c r="O41" s="1"/>
  <c r="L11" i="2" s="1"/>
  <c r="N38" i="1"/>
  <c r="K10" i="2" s="1"/>
  <c r="AG32" i="1"/>
  <c r="I23" i="2" s="1"/>
  <c r="AI32" i="1"/>
  <c r="I25" i="2" s="1"/>
  <c r="O31" i="1"/>
  <c r="AH32"/>
  <c r="I24" i="2" s="1"/>
  <c r="AQ105" i="1"/>
  <c r="AQ107" s="1"/>
  <c r="AQ108" s="1"/>
  <c r="BR50"/>
  <c r="O34" i="2" s="1"/>
  <c r="K52" i="3"/>
  <c r="L50"/>
  <c r="L33"/>
  <c r="L34" s="1"/>
  <c r="D42"/>
  <c r="D43" s="1"/>
  <c r="E24"/>
  <c r="E25" s="1"/>
  <c r="O79" i="1"/>
  <c r="O80" s="1"/>
  <c r="Y11" i="2" s="1"/>
  <c r="H71" i="1"/>
  <c r="V6" i="2" s="1"/>
  <c r="AK68" i="1"/>
  <c r="G26"/>
  <c r="G5" i="2" s="1"/>
  <c r="M55" i="3"/>
  <c r="G89" i="1"/>
  <c r="AB5" i="2" s="1"/>
  <c r="O76" i="1"/>
  <c r="BG109"/>
  <c r="BR109" s="1"/>
  <c r="G68"/>
  <c r="U5" i="2" s="1"/>
  <c r="H68" i="1"/>
  <c r="U6" i="2" s="1"/>
  <c r="L22" i="3"/>
  <c r="O61" i="1"/>
  <c r="O62" s="1"/>
  <c r="S11" i="2" s="1"/>
  <c r="H59" i="1"/>
  <c r="R6" i="2" s="1"/>
  <c r="O49" i="1"/>
  <c r="O50" s="1"/>
  <c r="O11" i="2" s="1"/>
  <c r="O43" i="1"/>
  <c r="AL44"/>
  <c r="G41"/>
  <c r="L5" i="2" s="1"/>
  <c r="AH38" i="1"/>
  <c r="K24" i="2" s="1"/>
  <c r="AI38" i="1"/>
  <c r="K25" i="2" s="1"/>
  <c r="AG29" i="1"/>
  <c r="H23" i="2" s="1"/>
  <c r="O25" i="1"/>
  <c r="O18"/>
  <c r="AG17"/>
  <c r="D23" i="2" s="1"/>
  <c r="O15" i="1"/>
  <c r="BR92"/>
  <c r="AC34" i="2" s="1"/>
  <c r="BR52" i="1"/>
  <c r="BR53" s="1"/>
  <c r="P34" i="2" s="1"/>
  <c r="AG89" i="1"/>
  <c r="AB23" i="2" s="1"/>
  <c r="L38" i="3"/>
  <c r="N38"/>
  <c r="N40" s="1"/>
  <c r="AG68" i="1"/>
  <c r="U23" i="2" s="1"/>
  <c r="E31" i="3"/>
  <c r="AK32" i="1"/>
  <c r="I27" i="2" s="1"/>
  <c r="N89" i="1"/>
  <c r="AB10" i="2" s="1"/>
  <c r="N86" i="1"/>
  <c r="AA10" i="2" s="1"/>
  <c r="H80" i="1"/>
  <c r="Y6" i="2" s="1"/>
  <c r="O75" i="1"/>
  <c r="AM65"/>
  <c r="AL65"/>
  <c r="O55"/>
  <c r="H53"/>
  <c r="P6" i="2" s="1"/>
  <c r="N47" i="1"/>
  <c r="N10" i="2" s="1"/>
  <c r="O47" i="1"/>
  <c r="N11" i="2" s="1"/>
  <c r="AK38" i="1"/>
  <c r="K27" i="2" s="1"/>
  <c r="O24" i="1"/>
  <c r="N26"/>
  <c r="G10" i="2" s="1"/>
  <c r="O21" i="1"/>
  <c r="O22"/>
  <c r="O12"/>
  <c r="AF36" i="2"/>
  <c r="M13" i="3"/>
  <c r="M34"/>
  <c r="D9"/>
  <c r="AK29" i="1"/>
  <c r="H27" i="2" s="1"/>
  <c r="F28" i="3"/>
  <c r="AN92" i="1"/>
  <c r="O88"/>
  <c r="M40" i="3"/>
  <c r="O85" i="1"/>
  <c r="O86" s="1"/>
  <c r="AA11" i="2" s="1"/>
  <c r="M43" i="3"/>
  <c r="O89" i="1"/>
  <c r="AB11" i="2" s="1"/>
  <c r="BK109" i="1"/>
  <c r="BK110" s="1"/>
  <c r="AK77"/>
  <c r="X27" i="2" s="1"/>
  <c r="AN71" i="1"/>
  <c r="AH68"/>
  <c r="U24" i="2" s="1"/>
  <c r="AL68" i="1"/>
  <c r="M19" i="3"/>
  <c r="P30" i="2"/>
  <c r="G53" i="1"/>
  <c r="P5" i="2" s="1"/>
  <c r="E49" i="3"/>
  <c r="AL50" i="1"/>
  <c r="D49" i="3"/>
  <c r="O42" i="1"/>
  <c r="O34"/>
  <c r="O35" s="1"/>
  <c r="J11" i="2" s="1"/>
  <c r="AL35" i="1"/>
  <c r="O30"/>
  <c r="AL29"/>
  <c r="E28" i="3"/>
  <c r="D28"/>
  <c r="C25"/>
  <c r="O16" i="1"/>
  <c r="D105"/>
  <c r="O13"/>
  <c r="AP105"/>
  <c r="AP107" s="1"/>
  <c r="AP108" s="1"/>
  <c r="AL11"/>
  <c r="F10" i="3"/>
  <c r="BD105" i="1"/>
  <c r="C107" s="1"/>
  <c r="W33" i="2"/>
  <c r="BG105" i="1"/>
  <c r="BA105"/>
  <c r="C109" s="1"/>
  <c r="BR20"/>
  <c r="E34" i="2" s="1"/>
  <c r="M52" i="3"/>
  <c r="AL86" i="1"/>
  <c r="AL83"/>
  <c r="AL80"/>
  <c r="K31" i="3"/>
  <c r="AL74" i="1"/>
  <c r="M28" i="3"/>
  <c r="L19"/>
  <c r="L16"/>
  <c r="M14"/>
  <c r="M16" s="1"/>
  <c r="M9"/>
  <c r="M10" s="1"/>
  <c r="E46"/>
  <c r="F43"/>
  <c r="E37"/>
  <c r="F37"/>
  <c r="F31"/>
  <c r="F24" i="2"/>
  <c r="E22" i="3"/>
  <c r="F19"/>
  <c r="G108" i="4"/>
  <c r="G44"/>
  <c r="G76"/>
  <c r="C23" i="2"/>
  <c r="C25"/>
  <c r="AL98" i="1"/>
  <c r="AL95"/>
  <c r="AL89"/>
  <c r="AN79"/>
  <c r="AL77"/>
  <c r="C105"/>
  <c r="G8" i="4" s="1"/>
  <c r="G74" s="1"/>
  <c r="AL62" i="1"/>
  <c r="M59"/>
  <c r="R9" i="2" s="1"/>
  <c r="AL59" i="1"/>
  <c r="O54"/>
  <c r="AM55"/>
  <c r="AL56"/>
  <c r="M53"/>
  <c r="P9" i="2" s="1"/>
  <c r="AL53" i="1"/>
  <c r="AL47"/>
  <c r="AL41"/>
  <c r="AL38"/>
  <c r="AM35"/>
  <c r="AL32"/>
  <c r="AL26"/>
  <c r="G6" i="2"/>
  <c r="E105" i="1"/>
  <c r="AK26"/>
  <c r="AL20"/>
  <c r="D9" i="2"/>
  <c r="O17" i="1"/>
  <c r="D11" i="2" s="1"/>
  <c r="O14" i="1"/>
  <c r="C11" i="2" s="1"/>
  <c r="C10"/>
  <c r="C5"/>
  <c r="D2"/>
  <c r="A18" i="1"/>
  <c r="F34" i="3"/>
  <c r="F40"/>
  <c r="M46"/>
  <c r="F20"/>
  <c r="C16"/>
  <c r="M47"/>
  <c r="M49" s="1"/>
  <c r="F51"/>
  <c r="N11"/>
  <c r="C43"/>
  <c r="C28"/>
  <c r="D20"/>
  <c r="D22" s="1"/>
  <c r="E33"/>
  <c r="E34" s="1"/>
  <c r="A39" i="4"/>
  <c r="D33" i="3"/>
  <c r="D34" s="1"/>
  <c r="K10"/>
  <c r="N21"/>
  <c r="C40"/>
  <c r="E38"/>
  <c r="C22"/>
  <c r="D18"/>
  <c r="D19" s="1"/>
  <c r="E18"/>
  <c r="E19" s="1"/>
  <c r="L42"/>
  <c r="L43" s="1"/>
  <c r="D44"/>
  <c r="D46" s="1"/>
  <c r="D8"/>
  <c r="E8"/>
  <c r="F50"/>
  <c r="E39"/>
  <c r="K43"/>
  <c r="D50"/>
  <c r="D52" s="1"/>
  <c r="K49"/>
  <c r="L12"/>
  <c r="C37"/>
  <c r="N12"/>
  <c r="N42"/>
  <c r="F44"/>
  <c r="F46" s="1"/>
  <c r="D38"/>
  <c r="D40" s="1"/>
  <c r="K25"/>
  <c r="M35"/>
  <c r="M37" s="1"/>
  <c r="N35"/>
  <c r="N45"/>
  <c r="L29"/>
  <c r="L31" s="1"/>
  <c r="F11"/>
  <c r="F13" s="1"/>
  <c r="F14"/>
  <c r="F16" s="1"/>
  <c r="D36"/>
  <c r="L9"/>
  <c r="L10" s="1"/>
  <c r="E9"/>
  <c r="D35"/>
  <c r="F47"/>
  <c r="F49" s="1"/>
  <c r="E51"/>
  <c r="E52" s="1"/>
  <c r="N23"/>
  <c r="N25" s="1"/>
  <c r="M25" l="1"/>
  <c r="L13"/>
  <c r="O53" i="1"/>
  <c r="P11" i="2" s="1"/>
  <c r="V105" i="1"/>
  <c r="F22" i="3"/>
  <c r="AL14" i="1"/>
  <c r="AK14"/>
  <c r="C27" i="2" s="1"/>
  <c r="L52" i="3"/>
  <c r="AC36" i="2"/>
  <c r="N37" i="3"/>
  <c r="N22"/>
  <c r="D10"/>
  <c r="L40"/>
  <c r="L57" s="1"/>
  <c r="N59" s="1"/>
  <c r="BG110" i="1"/>
  <c r="BR110" s="1"/>
  <c r="O26"/>
  <c r="G11" i="2" s="1"/>
  <c r="AL16" i="1"/>
  <c r="AK17"/>
  <c r="D27" i="2" s="1"/>
  <c r="BR106" i="1"/>
  <c r="N43" i="3"/>
  <c r="AZ105" i="1"/>
  <c r="C106" s="1"/>
  <c r="C110" s="1"/>
  <c r="O77"/>
  <c r="X11" i="2" s="1"/>
  <c r="V36"/>
  <c r="U27"/>
  <c r="O56" i="1"/>
  <c r="Q11" i="2" s="1"/>
  <c r="N46" i="3"/>
  <c r="O44" i="1"/>
  <c r="M11" i="2" s="1"/>
  <c r="AM80" i="1"/>
  <c r="AN80" s="1"/>
  <c r="AI105"/>
  <c r="O32"/>
  <c r="I11" i="2" s="1"/>
  <c r="BR105" i="1"/>
  <c r="N13" i="3"/>
  <c r="AG105" i="1"/>
  <c r="AN65"/>
  <c r="M105"/>
  <c r="AM44"/>
  <c r="AN44" s="1"/>
  <c r="N105"/>
  <c r="O23"/>
  <c r="F11" i="2" s="1"/>
  <c r="F36" s="1"/>
  <c r="AH105" i="1"/>
  <c r="T28" i="2"/>
  <c r="T36" s="1"/>
  <c r="H105" i="1"/>
  <c r="AM68"/>
  <c r="AN68" s="1"/>
  <c r="F52" i="3"/>
  <c r="F54" s="1"/>
  <c r="F66" s="1"/>
  <c r="G105" i="1"/>
  <c r="AM50"/>
  <c r="AM29"/>
  <c r="AM11"/>
  <c r="B28" i="2" s="1"/>
  <c r="B36" s="1"/>
  <c r="AN11" i="1"/>
  <c r="G42" i="4"/>
  <c r="AM86" i="1"/>
  <c r="AM83"/>
  <c r="AM74"/>
  <c r="M57" i="3"/>
  <c r="N66" s="1"/>
  <c r="E40"/>
  <c r="C54"/>
  <c r="AM98" i="1"/>
  <c r="AM95"/>
  <c r="AM89"/>
  <c r="G106" i="4"/>
  <c r="AM77" i="1"/>
  <c r="AM62"/>
  <c r="AM59"/>
  <c r="AM56"/>
  <c r="AN55"/>
  <c r="AM53"/>
  <c r="AM47"/>
  <c r="AM41"/>
  <c r="AM38"/>
  <c r="J28" i="2"/>
  <c r="J36" s="1"/>
  <c r="AN35" i="1"/>
  <c r="AM32"/>
  <c r="G27" i="2"/>
  <c r="AM26" i="1"/>
  <c r="AM20"/>
  <c r="AM14"/>
  <c r="A21"/>
  <c r="E2" i="2"/>
  <c r="E10" i="3"/>
  <c r="D37"/>
  <c r="D54" s="1"/>
  <c r="F56" s="1"/>
  <c r="K57"/>
  <c r="AK105" i="1" l="1"/>
  <c r="N57" i="3"/>
  <c r="N63" s="1"/>
  <c r="Y28" i="2"/>
  <c r="Y36" s="1"/>
  <c r="AM16" i="1"/>
  <c r="AL17"/>
  <c r="AL105" s="1"/>
  <c r="AL107" s="1"/>
  <c r="AL109" s="1"/>
  <c r="O105"/>
  <c r="M28" i="2"/>
  <c r="M36" s="1"/>
  <c r="U28"/>
  <c r="U36" s="1"/>
  <c r="E54" i="3"/>
  <c r="F63" s="1"/>
  <c r="O28" i="2"/>
  <c r="O36" s="1"/>
  <c r="AN50" i="1"/>
  <c r="F60" i="3"/>
  <c r="F61" s="1"/>
  <c r="AN29" i="1"/>
  <c r="H28" i="2"/>
  <c r="H36" s="1"/>
  <c r="AA28"/>
  <c r="AA36" s="1"/>
  <c r="AN86" i="1"/>
  <c r="AN83"/>
  <c r="Z28" i="2"/>
  <c r="Z36" s="1"/>
  <c r="W28"/>
  <c r="W36" s="1"/>
  <c r="AN74" i="1"/>
  <c r="AN98"/>
  <c r="AE28" i="2"/>
  <c r="AE36" s="1"/>
  <c r="AN95" i="1"/>
  <c r="AD28" i="2"/>
  <c r="AD36" s="1"/>
  <c r="AB28"/>
  <c r="AB36" s="1"/>
  <c r="AN89" i="1"/>
  <c r="X28" i="2"/>
  <c r="X36" s="1"/>
  <c r="AN77" i="1"/>
  <c r="S28" i="2"/>
  <c r="S36" s="1"/>
  <c r="AN62" i="1"/>
  <c r="R28" i="2"/>
  <c r="R36" s="1"/>
  <c r="AN59" i="1"/>
  <c r="Q28" i="2"/>
  <c r="Q36" s="1"/>
  <c r="AN56" i="1"/>
  <c r="AN53"/>
  <c r="P28" i="2"/>
  <c r="P36" s="1"/>
  <c r="N28"/>
  <c r="N36" s="1"/>
  <c r="AN47" i="1"/>
  <c r="L28" i="2"/>
  <c r="L36" s="1"/>
  <c r="AN41" i="1"/>
  <c r="AN38"/>
  <c r="K28" i="2"/>
  <c r="K36" s="1"/>
  <c r="AN32" i="1"/>
  <c r="I28" i="2"/>
  <c r="I36" s="1"/>
  <c r="G28"/>
  <c r="G36" s="1"/>
  <c r="AN26" i="1"/>
  <c r="E28" i="2"/>
  <c r="E36" s="1"/>
  <c r="AN20" i="1"/>
  <c r="C28" i="2"/>
  <c r="C36" s="1"/>
  <c r="AN14" i="1"/>
  <c r="F2" i="2"/>
  <c r="A24" i="1"/>
  <c r="N69" i="3" l="1"/>
  <c r="N71" s="1"/>
  <c r="AN16" i="1"/>
  <c r="AM17"/>
  <c r="F68" i="3"/>
  <c r="G68" s="1"/>
  <c r="G2" i="2"/>
  <c r="A27" i="1"/>
  <c r="N64" i="3"/>
  <c r="AN17" i="1" l="1"/>
  <c r="AN105" s="1"/>
  <c r="AM105"/>
  <c r="G12" i="4" s="1"/>
  <c r="D28" i="2"/>
  <c r="D36" s="1"/>
  <c r="H2"/>
  <c r="A30" i="1"/>
  <c r="G78" i="4" l="1"/>
  <c r="G80" s="1"/>
  <c r="G14"/>
  <c r="G17" s="1"/>
  <c r="G110"/>
  <c r="G46"/>
  <c r="G48" s="1"/>
  <c r="G51" s="1"/>
  <c r="I2" i="2"/>
  <c r="A33" i="1"/>
  <c r="G83" i="4" l="1"/>
  <c r="G112"/>
  <c r="G115" s="1"/>
  <c r="G55"/>
  <c r="G53"/>
  <c r="G19"/>
  <c r="G21"/>
  <c r="J2" i="2"/>
  <c r="A36" i="1"/>
  <c r="G23" i="4" l="1"/>
  <c r="G87"/>
  <c r="G85"/>
  <c r="G119"/>
  <c r="G117"/>
  <c r="G57"/>
  <c r="K2" i="2"/>
  <c r="A39" i="1"/>
  <c r="G121" i="4" l="1"/>
  <c r="G89"/>
  <c r="A42" i="1"/>
  <c r="L2" i="2"/>
  <c r="A45" i="1" l="1"/>
  <c r="M2" i="2"/>
  <c r="N2" l="1"/>
  <c r="AF2" l="1"/>
  <c r="O2"/>
  <c r="A51" i="1"/>
  <c r="P2" i="2" s="1"/>
  <c r="A54" i="1" l="1"/>
  <c r="Q2" i="2" s="1"/>
  <c r="A57" i="1" l="1"/>
  <c r="R2" i="2" s="1"/>
  <c r="A60" i="1" l="1"/>
  <c r="A63" s="1"/>
  <c r="S2" i="2" l="1"/>
  <c r="T2"/>
  <c r="A66" i="1"/>
  <c r="A69" l="1"/>
  <c r="A72" s="1"/>
  <c r="U2" i="2"/>
  <c r="V2" l="1"/>
  <c r="W2" l="1"/>
  <c r="A75" i="1"/>
  <c r="X2" i="2" l="1"/>
  <c r="A78" i="1"/>
  <c r="Y2" i="2" l="1"/>
  <c r="A81" i="1"/>
  <c r="Z2" i="2" l="1"/>
  <c r="A84" i="1"/>
  <c r="AA2" i="2" l="1"/>
  <c r="A87" i="1"/>
  <c r="AB2" i="2" l="1"/>
  <c r="A90" i="1"/>
  <c r="A93" s="1"/>
  <c r="AC2" i="2" l="1"/>
  <c r="AD2" l="1"/>
  <c r="A96" i="1"/>
  <c r="AE2" i="2" l="1"/>
  <c r="A101" i="1"/>
</calcChain>
</file>

<file path=xl/sharedStrings.xml><?xml version="1.0" encoding="utf-8"?>
<sst xmlns="http://schemas.openxmlformats.org/spreadsheetml/2006/main" count="485" uniqueCount="142">
  <si>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</si>
  <si>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</si>
  <si>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</si>
  <si>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</si>
  <si>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</si>
  <si>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</si>
  <si>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</si>
  <si>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</si>
  <si>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</si>
  <si>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</si>
  <si>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</si>
  <si>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</si>
  <si>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</si>
  <si>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</si>
  <si>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</si>
  <si>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</si>
  <si>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</si>
  <si>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</si>
  <si>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</si>
  <si>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</si>
  <si>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</si>
  <si>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</si>
  <si>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</si>
  <si>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</si>
  <si>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</si>
  <si>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</si>
  <si>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</si>
  <si>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</si>
  <si>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</si>
  <si>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</si>
  <si>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</si>
  <si>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</si>
  <si>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</si>
  <si>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</si>
  <si>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</si>
  <si>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</si>
  <si>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</si>
  <si>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</si>
  <si>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</si>
  <si>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</si>
  <si>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</si>
  <si>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</si>
  <si>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</si>
  <si>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</si>
  <si>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</si>
  <si>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</si>
  <si>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</si>
  <si>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</si>
  <si>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</si>
  <si>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</si>
  <si>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</si>
  <si>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</si>
  <si>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</si>
  <si>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</si>
  <si>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</si>
  <si>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</si>
  <si>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</si>
  <si>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</si>
  <si>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</si>
  <si>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</si>
  <si>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</si>
  <si>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</si>
  <si>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</si>
  <si>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</si>
  <si>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</si>
  <si>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</si>
  <si>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</si>
  <si>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</si>
  <si>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</si>
  <si>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</si>
  <si>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</si>
  <si>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</si>
  <si>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</si>
  <si>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</si>
  <si>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</si>
  <si>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</si>
  <si>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</si>
  <si>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</si>
  <si>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</si>
  <si>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</si>
  <si>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</si>
  <si>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</si>
  <si>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</si>
  <si>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</si>
  <si>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</si>
  <si>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</si>
  <si>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</si>
  <si>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</si>
  <si>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</si>
  <si>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</si>
  <si>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</si>
  <si>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</si>
  <si>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</si>
  <si>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</si>
  <si>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</si>
  <si>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</si>
  <si>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</si>
  <si>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</si>
  <si>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</si>
  <si>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</si>
  <si>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</si>
  <si>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</si>
  <si>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</si>
  <si>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</si>
  <si>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</si>
  <si>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</si>
  <si>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</si>
  <si>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</si>
  <si>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</si>
  <si>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</si>
  <si>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</si>
  <si>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</si>
  <si>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</si>
  <si>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</si>
  <si>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</si>
  <si>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</si>
  <si>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</si>
  <si>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</si>
  <si>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</si>
  <si>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</si>
  <si>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</si>
  <si>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</si>
  <si>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</si>
  <si>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</si>
  <si>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</si>
  <si>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</si>
  <si>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</si>
  <si>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</si>
  <si>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</si>
  <si>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DECEMBER 1-15, 2015</t>
  </si>
  <si>
    <t>DECEMBER 16-31, 2015</t>
  </si>
  <si>
    <t>RUEL HAYAGAn</t>
  </si>
  <si>
    <t>CAMILLE ESPINOSA</t>
  </si>
  <si>
    <t>JEFFREY VILLNUEVA</t>
  </si>
  <si>
    <t>ISSACAR AREL</t>
  </si>
  <si>
    <t>SATURDAY</t>
  </si>
  <si>
    <t>FOR THE MONTH ENDED  SPETEMBER  2018</t>
  </si>
  <si>
    <t>FP&amp;HB</t>
  </si>
  <si>
    <t>SUNDAY</t>
  </si>
  <si>
    <t>FP</t>
  </si>
  <si>
    <t>HB</t>
  </si>
  <si>
    <t>FP/HB/Picacco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</si>
</sst>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43" fontId="2" fillId="3" borderId="27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43" fontId="12" fillId="0" borderId="0" xfId="0" applyNumberFormat="1" applyFont="1"/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90"/>
  <sheetViews>
    <sheetView zoomScale="120" zoomScaleNormal="120" workbookViewId="0">
      <pane xSplit="3" ySplit="7" topLeftCell="AP98" activePane="bottomRight" state="frozen"/>
      <selection pane="topRight" activeCell="D1" sqref="D1"/>
      <selection pane="bottomLeft" activeCell="A8" sqref="A8"/>
      <selection pane="bottomRight" activeCell="BA105" sqref="BA105"/>
    </sheetView>
  </sheetViews>
  <sheetFormatPr defaultColWidth="9.109375" defaultRowHeight="14.4"/>
  <cols>
    <col min="1" max="1" width="13" style="136" customWidth="1"/>
    <col min="2" max="2" width="5.33203125" style="136" hidden="1" customWidth="1"/>
    <col min="3" max="3" width="21" style="136" customWidth="1"/>
    <col min="4" max="29" width="10.6640625" style="136" customWidth="1"/>
    <col min="30" max="30" width="12.109375" style="136" customWidth="1"/>
    <col min="31" max="31" width="19.33203125" style="136" customWidth="1"/>
    <col min="32" max="38" width="10.6640625" style="136" customWidth="1"/>
    <col min="39" max="39" width="11.44140625" style="136" customWidth="1"/>
    <col min="40" max="40" width="15.33203125" style="136" customWidth="1"/>
    <col min="41" max="41" width="10.6640625" style="136" customWidth="1"/>
    <col min="42" max="42" width="12" style="136" customWidth="1"/>
    <col min="43" max="57" width="10.6640625" style="136" customWidth="1"/>
    <col min="58" max="58" width="10.6640625" style="136" hidden="1" customWidth="1"/>
    <col min="59" max="59" width="10.6640625" style="136" customWidth="1"/>
    <col min="60" max="60" width="13" style="136" customWidth="1"/>
    <col min="61" max="70" width="10.6640625" style="136" customWidth="1"/>
    <col min="71" max="72" width="9.109375" style="136"/>
    <col min="73" max="125" width="12.6640625" style="4" customWidth="1"/>
    <col min="126" max="16384" width="9.109375" style="136"/>
  </cols>
  <sheetData>
    <row r="1" spans="1:125" hidden="1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idden="1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idden="1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1.6" hidden="1">
      <c r="A4" s="9" t="s">
        <v>136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2.2" hidden="1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>
      <c r="A6" s="212" t="s">
        <v>2</v>
      </c>
      <c r="B6" s="185" t="s">
        <v>3</v>
      </c>
      <c r="C6" s="193" t="s">
        <v>4</v>
      </c>
      <c r="D6" s="189" t="s">
        <v>5</v>
      </c>
      <c r="E6" s="189" t="s">
        <v>6</v>
      </c>
      <c r="F6" s="189" t="s">
        <v>7</v>
      </c>
      <c r="G6" s="193" t="s">
        <v>8</v>
      </c>
      <c r="H6" s="193" t="s">
        <v>9</v>
      </c>
      <c r="I6" s="189" t="s">
        <v>10</v>
      </c>
      <c r="J6" s="189" t="s">
        <v>11</v>
      </c>
      <c r="K6" s="189" t="s">
        <v>12</v>
      </c>
      <c r="L6" s="189" t="s">
        <v>13</v>
      </c>
      <c r="M6" s="185" t="s">
        <v>14</v>
      </c>
      <c r="N6" s="185" t="s">
        <v>15</v>
      </c>
      <c r="O6" s="185" t="s">
        <v>16</v>
      </c>
      <c r="P6" s="185" t="s">
        <v>17</v>
      </c>
      <c r="Q6" s="189" t="s">
        <v>46</v>
      </c>
      <c r="R6" s="189" t="s">
        <v>18</v>
      </c>
      <c r="S6" s="189" t="s">
        <v>19</v>
      </c>
      <c r="T6" s="185" t="s">
        <v>20</v>
      </c>
      <c r="U6" s="185" t="s">
        <v>21</v>
      </c>
      <c r="V6" s="185" t="s">
        <v>22</v>
      </c>
      <c r="W6" s="185" t="s">
        <v>47</v>
      </c>
      <c r="X6" s="189" t="s">
        <v>46</v>
      </c>
      <c r="Y6" s="64"/>
      <c r="Z6" s="189" t="s">
        <v>23</v>
      </c>
      <c r="AA6" s="198" t="s">
        <v>24</v>
      </c>
      <c r="AB6" s="189" t="s">
        <v>25</v>
      </c>
      <c r="AC6" s="189" t="s">
        <v>26</v>
      </c>
      <c r="AD6" s="204" t="s">
        <v>95</v>
      </c>
      <c r="AE6" s="205"/>
      <c r="AF6" s="192" t="s">
        <v>28</v>
      </c>
      <c r="AG6" s="200" t="s">
        <v>29</v>
      </c>
      <c r="AH6" s="201"/>
      <c r="AI6" s="193" t="s">
        <v>30</v>
      </c>
      <c r="AJ6" s="64"/>
      <c r="AK6" s="193" t="s">
        <v>31</v>
      </c>
      <c r="AL6" s="193" t="s">
        <v>32</v>
      </c>
      <c r="AM6" s="196" t="s">
        <v>33</v>
      </c>
      <c r="AN6" s="202" t="s">
        <v>103</v>
      </c>
      <c r="AO6" s="17"/>
      <c r="AP6" s="187" t="s">
        <v>63</v>
      </c>
      <c r="AQ6" s="187" t="s">
        <v>64</v>
      </c>
      <c r="AR6" s="187" t="s">
        <v>111</v>
      </c>
      <c r="AS6" s="187" t="s">
        <v>65</v>
      </c>
      <c r="AT6" s="187" t="s">
        <v>98</v>
      </c>
      <c r="AU6" s="187" t="s">
        <v>119</v>
      </c>
      <c r="AV6" s="187" t="s">
        <v>113</v>
      </c>
      <c r="AW6" s="187" t="s">
        <v>114</v>
      </c>
      <c r="AX6" s="187" t="s">
        <v>115</v>
      </c>
      <c r="AY6" s="66"/>
      <c r="AZ6" s="68"/>
      <c r="BA6" s="207" t="s">
        <v>34</v>
      </c>
      <c r="BB6" s="70"/>
      <c r="BC6" s="193" t="s">
        <v>25</v>
      </c>
      <c r="BD6" s="193" t="s">
        <v>35</v>
      </c>
      <c r="BE6" s="187" t="s">
        <v>134</v>
      </c>
      <c r="BF6" s="187" t="s">
        <v>125</v>
      </c>
      <c r="BG6" s="187" t="s">
        <v>112</v>
      </c>
      <c r="BH6" s="187" t="s">
        <v>128</v>
      </c>
      <c r="BI6" s="187" t="s">
        <v>131</v>
      </c>
      <c r="BJ6" s="187" t="s">
        <v>132</v>
      </c>
      <c r="BK6" s="187" t="s">
        <v>133</v>
      </c>
      <c r="BL6" s="187" t="s">
        <v>127</v>
      </c>
      <c r="BM6" s="187" t="s">
        <v>116</v>
      </c>
      <c r="BN6" s="187" t="s">
        <v>118</v>
      </c>
      <c r="BO6" s="18"/>
      <c r="BP6" s="18"/>
      <c r="BQ6" s="18"/>
      <c r="BR6" s="200" t="s">
        <v>36</v>
      </c>
    </row>
    <row r="7" spans="1:125" ht="31.8" thickTop="1" thickBot="1">
      <c r="A7" s="213"/>
      <c r="B7" s="186"/>
      <c r="C7" s="195"/>
      <c r="D7" s="191"/>
      <c r="E7" s="191"/>
      <c r="F7" s="190"/>
      <c r="G7" s="195"/>
      <c r="H7" s="195"/>
      <c r="I7" s="190"/>
      <c r="J7" s="190"/>
      <c r="K7" s="191"/>
      <c r="L7" s="190"/>
      <c r="M7" s="186"/>
      <c r="N7" s="186"/>
      <c r="O7" s="186"/>
      <c r="P7" s="186"/>
      <c r="Q7" s="190"/>
      <c r="R7" s="191"/>
      <c r="S7" s="190"/>
      <c r="T7" s="186"/>
      <c r="U7" s="186"/>
      <c r="V7" s="186"/>
      <c r="W7" s="186"/>
      <c r="X7" s="190"/>
      <c r="Y7" s="19" t="s">
        <v>37</v>
      </c>
      <c r="Z7" s="191"/>
      <c r="AA7" s="199"/>
      <c r="AB7" s="191"/>
      <c r="AC7" s="191"/>
      <c r="AD7" s="118" t="s">
        <v>96</v>
      </c>
      <c r="AE7" s="119" t="s">
        <v>97</v>
      </c>
      <c r="AF7" s="191"/>
      <c r="AG7" s="20" t="s">
        <v>38</v>
      </c>
      <c r="AH7" s="20" t="s">
        <v>39</v>
      </c>
      <c r="AI7" s="194"/>
      <c r="AJ7" s="65" t="s">
        <v>40</v>
      </c>
      <c r="AK7" s="195"/>
      <c r="AL7" s="195"/>
      <c r="AM7" s="197"/>
      <c r="AN7" s="203"/>
      <c r="AO7" s="21" t="s">
        <v>66</v>
      </c>
      <c r="AP7" s="188"/>
      <c r="AQ7" s="188"/>
      <c r="AR7" s="188"/>
      <c r="AS7" s="188"/>
      <c r="AT7" s="188"/>
      <c r="AU7" s="188"/>
      <c r="AV7" s="188"/>
      <c r="AW7" s="188"/>
      <c r="AX7" s="188"/>
      <c r="AY7" s="67"/>
      <c r="AZ7" s="69" t="s">
        <v>41</v>
      </c>
      <c r="BA7" s="208"/>
      <c r="BB7" s="71" t="s">
        <v>42</v>
      </c>
      <c r="BC7" s="194"/>
      <c r="BD7" s="194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22"/>
      <c r="BP7" s="22"/>
      <c r="BQ7" s="22"/>
      <c r="BR7" s="206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>
      <c r="A9" s="209">
        <v>43344</v>
      </c>
      <c r="B9" s="32" t="s">
        <v>43</v>
      </c>
      <c r="C9" s="33" t="s">
        <v>135</v>
      </c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" si="0">AK9-SUM(Y9:AC9)</f>
        <v>0</v>
      </c>
      <c r="AM9" s="33">
        <f t="shared" ref="AM9" si="1">+AL9*0.12</f>
        <v>0</v>
      </c>
      <c r="AN9" s="33">
        <f t="shared" ref="AN9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" thickBot="1">
      <c r="A10" s="211"/>
      <c r="B10" s="15" t="s">
        <v>44</v>
      </c>
      <c r="C10" s="33">
        <v>11258.14</v>
      </c>
      <c r="D10" s="34">
        <v>3992.14</v>
      </c>
      <c r="E10" s="34">
        <v>4000</v>
      </c>
      <c r="F10" s="35">
        <v>43346</v>
      </c>
      <c r="G10" s="33">
        <f>IF(E10-D10&lt;0,E10-D10,0)*-1</f>
        <v>0</v>
      </c>
      <c r="H10" s="33">
        <f>IF(E10-D10&gt;0,E10-D10,0)</f>
        <v>7.8600000000001273</v>
      </c>
      <c r="I10" s="34"/>
      <c r="J10" s="34"/>
      <c r="K10" s="34"/>
      <c r="L10" s="34"/>
      <c r="M10" s="36">
        <f>(+K10)*M$5</f>
        <v>0</v>
      </c>
      <c r="N10" s="36">
        <f>(+K10)*N$5</f>
        <v>0</v>
      </c>
      <c r="O10" s="36">
        <f>+K10-M10-N10+P10</f>
        <v>0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 t="s">
        <v>137</v>
      </c>
      <c r="AE10" s="38">
        <v>7266</v>
      </c>
      <c r="AF10" s="34">
        <v>307.14</v>
      </c>
      <c r="AG10" s="33">
        <f>(AF10*0.8)*0.85</f>
        <v>208.8552</v>
      </c>
      <c r="AH10" s="33">
        <f>(AF10*0.8)*0.15</f>
        <v>36.8568</v>
      </c>
      <c r="AI10" s="33">
        <f>AF10*0.2</f>
        <v>61.427999999999997</v>
      </c>
      <c r="AJ10" s="34"/>
      <c r="AK10" s="33">
        <f t="shared" ref="AK10" si="3">(C10-AF10-AJ10)/1.12</f>
        <v>9777.6785714285706</v>
      </c>
      <c r="AL10" s="33">
        <f t="shared" ref="AL10" si="4">AK10-SUM(Y10:AC10)</f>
        <v>9777.6785714285706</v>
      </c>
      <c r="AM10" s="33">
        <f t="shared" ref="AM10" si="5">+AL10*0.12</f>
        <v>1173.3214285714284</v>
      </c>
      <c r="AN10" s="33">
        <f t="shared" ref="AN10" si="6">+AM10+AL10+AJ10</f>
        <v>10951</v>
      </c>
      <c r="AO10" s="39"/>
      <c r="AP10" s="40">
        <v>155</v>
      </c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155</v>
      </c>
      <c r="BA10" s="38"/>
      <c r="BB10" s="38"/>
      <c r="BC10" s="33">
        <v>0</v>
      </c>
      <c r="BD10" s="33">
        <f>SUM(BE10:BM10)+(BN10*0.5)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155</v>
      </c>
    </row>
    <row r="11" spans="1:125" s="164" customFormat="1" ht="15" thickBot="1">
      <c r="A11" s="158"/>
      <c r="B11" s="43"/>
      <c r="C11" s="44">
        <f>SUBTOTAL(9,C9:C10)</f>
        <v>11258.14</v>
      </c>
      <c r="D11" s="45">
        <f>SUBTOTAL(9,D9:D10)</f>
        <v>3992.14</v>
      </c>
      <c r="E11" s="45">
        <f>SUBTOTAL(9,E9:E10)</f>
        <v>4000</v>
      </c>
      <c r="F11" s="45"/>
      <c r="G11" s="45">
        <f t="shared" ref="G11:P11" si="7">SUBTOTAL(9,G9:G10)</f>
        <v>0</v>
      </c>
      <c r="H11" s="45">
        <f t="shared" si="7"/>
        <v>7.8600000000001273</v>
      </c>
      <c r="I11" s="45">
        <f t="shared" si="7"/>
        <v>0</v>
      </c>
      <c r="J11" s="45">
        <f t="shared" si="7"/>
        <v>0</v>
      </c>
      <c r="K11" s="160">
        <f t="shared" si="7"/>
        <v>0</v>
      </c>
      <c r="L11" s="45">
        <f t="shared" si="7"/>
        <v>0</v>
      </c>
      <c r="M11" s="46">
        <f t="shared" si="7"/>
        <v>0</v>
      </c>
      <c r="N11" s="46">
        <f t="shared" si="7"/>
        <v>0</v>
      </c>
      <c r="O11" s="46">
        <f t="shared" si="7"/>
        <v>0</v>
      </c>
      <c r="P11" s="46">
        <f t="shared" si="7"/>
        <v>0</v>
      </c>
      <c r="Q11" s="47"/>
      <c r="R11" s="45">
        <f t="shared" ref="R11:BQ11" si="8">SUBTOTAL(9,R9:R10)</f>
        <v>0</v>
      </c>
      <c r="S11" s="45">
        <f t="shared" si="8"/>
        <v>0</v>
      </c>
      <c r="T11" s="46">
        <f t="shared" si="8"/>
        <v>0</v>
      </c>
      <c r="U11" s="46">
        <f t="shared" si="8"/>
        <v>0</v>
      </c>
      <c r="V11" s="46">
        <f t="shared" si="8"/>
        <v>0</v>
      </c>
      <c r="W11" s="46">
        <f t="shared" si="8"/>
        <v>0</v>
      </c>
      <c r="X11" s="47"/>
      <c r="Y11" s="45">
        <f>SUBTOTAL(9,Y9:Y10)</f>
        <v>0</v>
      </c>
      <c r="Z11" s="45"/>
      <c r="AA11" s="45"/>
      <c r="AB11" s="45"/>
      <c r="AC11" s="163"/>
      <c r="AD11" s="48"/>
      <c r="AE11" s="48"/>
      <c r="AF11" s="45"/>
      <c r="AG11" s="44">
        <f t="shared" si="8"/>
        <v>208.8552</v>
      </c>
      <c r="AH11" s="44">
        <f t="shared" si="8"/>
        <v>36.8568</v>
      </c>
      <c r="AI11" s="44">
        <f t="shared" si="8"/>
        <v>61.427999999999997</v>
      </c>
      <c r="AJ11" s="45">
        <f t="shared" si="8"/>
        <v>0</v>
      </c>
      <c r="AK11" s="44">
        <f t="shared" si="8"/>
        <v>9777.6785714285706</v>
      </c>
      <c r="AL11" s="44">
        <f t="shared" si="8"/>
        <v>9777.6785714285706</v>
      </c>
      <c r="AM11" s="44">
        <f t="shared" si="8"/>
        <v>1173.3214285714284</v>
      </c>
      <c r="AN11" s="44">
        <f>+AN10+AN9</f>
        <v>10951</v>
      </c>
      <c r="AO11" s="49">
        <f t="shared" si="8"/>
        <v>0</v>
      </c>
      <c r="AP11" s="49">
        <f t="shared" si="8"/>
        <v>155</v>
      </c>
      <c r="AQ11" s="49">
        <f t="shared" si="8"/>
        <v>0</v>
      </c>
      <c r="AR11" s="49">
        <f t="shared" si="8"/>
        <v>0</v>
      </c>
      <c r="AS11" s="49">
        <f t="shared" si="8"/>
        <v>0</v>
      </c>
      <c r="AT11" s="49">
        <f t="shared" si="8"/>
        <v>0</v>
      </c>
      <c r="AU11" s="49">
        <f>SUBTOTAL(9,AU9:AU10)</f>
        <v>0</v>
      </c>
      <c r="AV11" s="49">
        <f t="shared" si="8"/>
        <v>0</v>
      </c>
      <c r="AW11" s="49">
        <f t="shared" si="8"/>
        <v>0</v>
      </c>
      <c r="AX11" s="49">
        <f t="shared" si="8"/>
        <v>0</v>
      </c>
      <c r="AY11" s="49">
        <f t="shared" si="8"/>
        <v>0</v>
      </c>
      <c r="AZ11" s="44">
        <f t="shared" si="8"/>
        <v>155</v>
      </c>
      <c r="BA11" s="48">
        <f t="shared" si="8"/>
        <v>0</v>
      </c>
      <c r="BB11" s="48">
        <f t="shared" si="8"/>
        <v>0</v>
      </c>
      <c r="BC11" s="44">
        <f t="shared" si="8"/>
        <v>0</v>
      </c>
      <c r="BD11" s="44">
        <f t="shared" si="8"/>
        <v>0</v>
      </c>
      <c r="BE11" s="49">
        <f t="shared" si="8"/>
        <v>0</v>
      </c>
      <c r="BF11" s="49">
        <f>SUBTOTAL(9,BF9:BF10)</f>
        <v>0</v>
      </c>
      <c r="BG11" s="49">
        <f t="shared" si="8"/>
        <v>0</v>
      </c>
      <c r="BH11" s="49">
        <f t="shared" si="8"/>
        <v>0</v>
      </c>
      <c r="BI11" s="49">
        <f t="shared" si="8"/>
        <v>0</v>
      </c>
      <c r="BJ11" s="49">
        <f t="shared" si="8"/>
        <v>0</v>
      </c>
      <c r="BK11" s="49">
        <f t="shared" si="8"/>
        <v>0</v>
      </c>
      <c r="BL11" s="49">
        <f t="shared" si="8"/>
        <v>0</v>
      </c>
      <c r="BM11" s="49">
        <f t="shared" si="8"/>
        <v>0</v>
      </c>
      <c r="BN11" s="49">
        <f t="shared" si="8"/>
        <v>0</v>
      </c>
      <c r="BO11" s="49">
        <f t="shared" si="8"/>
        <v>0</v>
      </c>
      <c r="BP11" s="49">
        <f t="shared" si="8"/>
        <v>0</v>
      </c>
      <c r="BQ11" s="49">
        <f t="shared" si="8"/>
        <v>0</v>
      </c>
      <c r="BR11" s="44">
        <f>SUBTOTAL(9,BR9:BR10)</f>
        <v>155</v>
      </c>
      <c r="BU11" s="165"/>
      <c r="BV11" s="165"/>
      <c r="BW11" s="165"/>
      <c r="BX11" s="165"/>
      <c r="BY11" s="165"/>
      <c r="BZ11" s="165"/>
      <c r="CA11" s="165"/>
      <c r="CB11" s="165"/>
      <c r="CC11" s="165"/>
      <c r="CD11" s="165"/>
      <c r="CE11" s="165"/>
      <c r="CF11" s="165"/>
      <c r="CG11" s="165"/>
      <c r="CH11" s="165"/>
      <c r="CI11" s="165"/>
      <c r="CJ11" s="165"/>
      <c r="CK11" s="165"/>
      <c r="CL11" s="165"/>
      <c r="CM11" s="165"/>
      <c r="CN11" s="165"/>
      <c r="CO11" s="165"/>
      <c r="CP11" s="165"/>
      <c r="CQ11" s="165"/>
      <c r="CR11" s="165"/>
      <c r="CS11" s="165"/>
      <c r="CT11" s="165"/>
      <c r="CU11" s="166"/>
      <c r="CV11" s="165"/>
      <c r="CW11" s="165"/>
      <c r="CX11" s="165"/>
      <c r="CY11" s="165"/>
      <c r="CZ11" s="165"/>
      <c r="DA11" s="165"/>
      <c r="DB11" s="165"/>
      <c r="DC11" s="165"/>
      <c r="DD11" s="165"/>
      <c r="DE11" s="165"/>
      <c r="DF11" s="165"/>
      <c r="DG11" s="165"/>
      <c r="DH11" s="165"/>
      <c r="DI11" s="165"/>
      <c r="DJ11" s="165"/>
      <c r="DK11" s="165"/>
      <c r="DL11" s="165"/>
      <c r="DM11" s="165"/>
      <c r="DN11" s="165"/>
      <c r="DO11" s="165"/>
      <c r="DP11" s="165"/>
      <c r="DQ11" s="165"/>
      <c r="DR11" s="165"/>
      <c r="DS11" s="165"/>
      <c r="DT11" s="165"/>
      <c r="DU11" s="165"/>
    </row>
    <row r="12" spans="1:125">
      <c r="A12" s="209">
        <f>A9+1</f>
        <v>43345</v>
      </c>
      <c r="B12" s="32" t="s">
        <v>43</v>
      </c>
      <c r="C12" s="33" t="s">
        <v>138</v>
      </c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v>0</v>
      </c>
      <c r="AL12" s="33">
        <f t="shared" ref="AL12:AL13" si="9">AK12-SUM(Y12:AC12)</f>
        <v>0</v>
      </c>
      <c r="AM12" s="33">
        <f t="shared" ref="AM12:AM13" si="10">+AL12*0.12</f>
        <v>0</v>
      </c>
      <c r="AN12" s="33">
        <f t="shared" ref="AN12:AN13" si="11"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" thickBot="1">
      <c r="A13" s="210"/>
      <c r="B13" s="15" t="s">
        <v>44</v>
      </c>
      <c r="C13" s="33"/>
      <c r="D13" s="34"/>
      <c r="E13" s="34"/>
      <c r="F13" s="35"/>
      <c r="G13" s="33">
        <f>IF(E13-D13&lt;0,E13-D13,0)*-1</f>
        <v>0</v>
      </c>
      <c r="H13" s="33">
        <f>IF(E13-D13&gt;0,E13-D13,0)</f>
        <v>0</v>
      </c>
      <c r="I13" s="34"/>
      <c r="J13" s="34"/>
      <c r="K13" s="34"/>
      <c r="L13" s="34"/>
      <c r="M13" s="36">
        <f>(+K13)*M$5</f>
        <v>0</v>
      </c>
      <c r="N13" s="36">
        <f>(+K13)*N$5</f>
        <v>0</v>
      </c>
      <c r="O13" s="36">
        <f>+K13-M13-N13+P13</f>
        <v>0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/>
      <c r="AD13" s="38"/>
      <c r="AE13" s="38"/>
      <c r="AF13" s="34"/>
      <c r="AG13" s="33">
        <f>(AF13*0.8)*0.85</f>
        <v>0</v>
      </c>
      <c r="AH13" s="33">
        <f>(AF13*0.8)*0.15</f>
        <v>0</v>
      </c>
      <c r="AI13" s="33">
        <f>AF13*0.2</f>
        <v>0</v>
      </c>
      <c r="AJ13" s="34">
        <v>0</v>
      </c>
      <c r="AK13" s="33">
        <f t="shared" ref="AK13" si="12">+AJ13+AI13+AG13</f>
        <v>0</v>
      </c>
      <c r="AL13" s="33">
        <f t="shared" si="9"/>
        <v>0</v>
      </c>
      <c r="AM13" s="33">
        <f t="shared" si="10"/>
        <v>0</v>
      </c>
      <c r="AN13" s="33">
        <f t="shared" si="11"/>
        <v>0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4" customFormat="1" ht="15" thickBot="1">
      <c r="A14" s="158"/>
      <c r="B14" s="43"/>
      <c r="C14" s="44">
        <f>SUBTOTAL(9,C12:C13)</f>
        <v>0</v>
      </c>
      <c r="D14" s="45">
        <f>SUBTOTAL(9,D12:D13)</f>
        <v>0</v>
      </c>
      <c r="E14" s="45">
        <f>SUBTOTAL(9,E12:E13)</f>
        <v>0</v>
      </c>
      <c r="F14" s="169"/>
      <c r="G14" s="45">
        <f t="shared" ref="G14:L14" si="13">SUBTOTAL(9,G12:G13)</f>
        <v>0</v>
      </c>
      <c r="H14" s="45">
        <f t="shared" si="13"/>
        <v>0</v>
      </c>
      <c r="I14" s="45">
        <f t="shared" si="13"/>
        <v>0</v>
      </c>
      <c r="J14" s="45">
        <f t="shared" si="13"/>
        <v>0</v>
      </c>
      <c r="K14" s="160">
        <f t="shared" si="13"/>
        <v>0</v>
      </c>
      <c r="L14" s="161">
        <f t="shared" si="13"/>
        <v>0</v>
      </c>
      <c r="M14" s="162">
        <f t="shared" ref="M14:M22" si="14">(+K14)*M$5</f>
        <v>0</v>
      </c>
      <c r="N14" s="162">
        <f t="shared" ref="N14:N22" si="15">(+K14)*N$5</f>
        <v>0</v>
      </c>
      <c r="O14" s="162">
        <f t="shared" ref="O14:O22" si="16">+K14-M14-N14+P14</f>
        <v>0</v>
      </c>
      <c r="P14" s="162">
        <f t="shared" ref="P14:P20" si="17">L14-(L14*(M$5+N$5))</f>
        <v>0</v>
      </c>
      <c r="Q14" s="47"/>
      <c r="R14" s="45">
        <f t="shared" ref="R14:BQ14" si="18">SUBTOTAL(9,R12:R13)</f>
        <v>0</v>
      </c>
      <c r="S14" s="45">
        <f t="shared" si="18"/>
        <v>0</v>
      </c>
      <c r="T14" s="46">
        <f t="shared" si="18"/>
        <v>0</v>
      </c>
      <c r="U14" s="46">
        <f t="shared" si="18"/>
        <v>0</v>
      </c>
      <c r="V14" s="46">
        <f t="shared" si="18"/>
        <v>0</v>
      </c>
      <c r="W14" s="46">
        <f t="shared" si="18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8"/>
        <v>0</v>
      </c>
      <c r="AH14" s="44">
        <f t="shared" si="18"/>
        <v>0</v>
      </c>
      <c r="AI14" s="44">
        <f t="shared" si="18"/>
        <v>0</v>
      </c>
      <c r="AJ14" s="45">
        <f t="shared" si="18"/>
        <v>0</v>
      </c>
      <c r="AK14" s="44">
        <f t="shared" si="18"/>
        <v>0</v>
      </c>
      <c r="AL14" s="44">
        <f t="shared" si="18"/>
        <v>0</v>
      </c>
      <c r="AM14" s="44">
        <f t="shared" si="18"/>
        <v>0</v>
      </c>
      <c r="AN14" s="44">
        <f t="shared" ref="AN14:AN41" si="19">+AM14+AL14+AJ14</f>
        <v>0</v>
      </c>
      <c r="AO14" s="49">
        <f t="shared" si="18"/>
        <v>0</v>
      </c>
      <c r="AP14" s="49">
        <f t="shared" si="18"/>
        <v>0</v>
      </c>
      <c r="AQ14" s="49">
        <f t="shared" si="18"/>
        <v>0</v>
      </c>
      <c r="AR14" s="49">
        <f t="shared" si="18"/>
        <v>0</v>
      </c>
      <c r="AS14" s="49">
        <f t="shared" si="18"/>
        <v>0</v>
      </c>
      <c r="AT14" s="49">
        <f t="shared" si="18"/>
        <v>0</v>
      </c>
      <c r="AU14" s="49">
        <f>SUBTOTAL(9,AU12:AU13)</f>
        <v>0</v>
      </c>
      <c r="AV14" s="49">
        <f t="shared" si="18"/>
        <v>0</v>
      </c>
      <c r="AW14" s="49">
        <f t="shared" si="18"/>
        <v>0</v>
      </c>
      <c r="AX14" s="49">
        <f t="shared" si="18"/>
        <v>0</v>
      </c>
      <c r="AY14" s="49">
        <f t="shared" si="18"/>
        <v>0</v>
      </c>
      <c r="AZ14" s="44">
        <f t="shared" si="18"/>
        <v>0</v>
      </c>
      <c r="BA14" s="48">
        <f t="shared" si="18"/>
        <v>0</v>
      </c>
      <c r="BB14" s="48">
        <f t="shared" si="18"/>
        <v>0</v>
      </c>
      <c r="BC14" s="44">
        <f t="shared" si="18"/>
        <v>0</v>
      </c>
      <c r="BD14" s="44">
        <v>0</v>
      </c>
      <c r="BE14" s="49">
        <f t="shared" si="18"/>
        <v>0</v>
      </c>
      <c r="BF14" s="49">
        <f>SUBTOTAL(9,BF12:BF13)</f>
        <v>0</v>
      </c>
      <c r="BG14" s="49">
        <f t="shared" si="18"/>
        <v>0</v>
      </c>
      <c r="BH14" s="49">
        <f t="shared" si="18"/>
        <v>0</v>
      </c>
      <c r="BI14" s="49">
        <f t="shared" si="18"/>
        <v>0</v>
      </c>
      <c r="BJ14" s="49">
        <f t="shared" si="18"/>
        <v>0</v>
      </c>
      <c r="BK14" s="49">
        <f t="shared" si="18"/>
        <v>0</v>
      </c>
      <c r="BL14" s="49">
        <f t="shared" si="18"/>
        <v>0</v>
      </c>
      <c r="BM14" s="49">
        <f t="shared" si="18"/>
        <v>0</v>
      </c>
      <c r="BN14" s="49">
        <f t="shared" si="18"/>
        <v>0</v>
      </c>
      <c r="BO14" s="49">
        <f t="shared" si="18"/>
        <v>0</v>
      </c>
      <c r="BP14" s="49">
        <f t="shared" si="18"/>
        <v>0</v>
      </c>
      <c r="BQ14" s="49">
        <f t="shared" si="18"/>
        <v>0</v>
      </c>
      <c r="BR14" s="44">
        <f>SUBTOTAL(9,BR12:BR13)</f>
        <v>0</v>
      </c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65"/>
      <c r="CV14" s="165"/>
      <c r="CW14" s="165"/>
      <c r="CX14" s="165"/>
      <c r="CY14" s="165"/>
      <c r="CZ14" s="165"/>
      <c r="DA14" s="165"/>
      <c r="DB14" s="165"/>
      <c r="DC14" s="165"/>
      <c r="DD14" s="165"/>
      <c r="DE14" s="165"/>
      <c r="DF14" s="165"/>
      <c r="DG14" s="165"/>
      <c r="DH14" s="165"/>
      <c r="DI14" s="165"/>
      <c r="DJ14" s="165"/>
      <c r="DK14" s="165"/>
      <c r="DL14" s="165"/>
      <c r="DM14" s="165"/>
      <c r="DN14" s="165"/>
      <c r="DO14" s="165"/>
      <c r="DP14" s="165"/>
      <c r="DQ14" s="165"/>
      <c r="DR14" s="165"/>
      <c r="DS14" s="165"/>
      <c r="DT14" s="165"/>
      <c r="DU14" s="165"/>
    </row>
    <row r="15" spans="1:125">
      <c r="A15" s="209">
        <f>+A12+1</f>
        <v>43346</v>
      </c>
      <c r="B15" s="32" t="s">
        <v>43</v>
      </c>
      <c r="C15" s="33">
        <v>17546.11</v>
      </c>
      <c r="D15" s="34">
        <v>13952.04</v>
      </c>
      <c r="E15" s="34">
        <v>13955</v>
      </c>
      <c r="F15" s="35">
        <v>43346</v>
      </c>
      <c r="G15" s="33">
        <f>IF(E15-D15&lt;0,E15-D15,0)*-1</f>
        <v>0</v>
      </c>
      <c r="H15" s="33">
        <f>IF(E15-D15&gt;0,E15-D15,0)</f>
        <v>2.9599999999991269</v>
      </c>
      <c r="I15" s="34"/>
      <c r="J15" s="34"/>
      <c r="K15" s="34">
        <v>2902.95</v>
      </c>
      <c r="L15" s="34"/>
      <c r="M15" s="36">
        <f t="shared" si="14"/>
        <v>62.413424999999989</v>
      </c>
      <c r="N15" s="36">
        <f t="shared" si="15"/>
        <v>14.514749999999999</v>
      </c>
      <c r="O15" s="36">
        <f t="shared" si="16"/>
        <v>2826.0218249999998</v>
      </c>
      <c r="P15" s="36">
        <f t="shared" si="17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>
        <v>52.25</v>
      </c>
      <c r="AA15" s="34"/>
      <c r="AB15" s="34"/>
      <c r="AC15" s="34">
        <v>378.87</v>
      </c>
      <c r="AD15" s="38"/>
      <c r="AE15" s="38"/>
      <c r="AF15" s="34">
        <v>1258.44</v>
      </c>
      <c r="AG15" s="33">
        <f>(AF15*0.8)*0.85</f>
        <v>855.73919999999998</v>
      </c>
      <c r="AH15" s="33">
        <f>(AF15*0.8)*0.15</f>
        <v>151.0128</v>
      </c>
      <c r="AI15" s="33">
        <f>AF15*0.2</f>
        <v>251.68800000000002</v>
      </c>
      <c r="AJ15" s="34"/>
      <c r="AK15" s="33">
        <f t="shared" ref="AK15" si="20">(C15-AF15-AJ15)/1.12</f>
        <v>14542.562499999998</v>
      </c>
      <c r="AL15" s="33">
        <f t="shared" ref="AL15:AL16" si="21">AK15-SUM(Y15:AC15)</f>
        <v>14111.442499999997</v>
      </c>
      <c r="AM15" s="33">
        <f t="shared" ref="AM15:AM16" si="22">+AL15*0.12</f>
        <v>1693.3730999999996</v>
      </c>
      <c r="AN15" s="33">
        <f t="shared" si="19"/>
        <v>15804.815599999996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" thickBot="1">
      <c r="A16" s="210"/>
      <c r="B16" s="15" t="s">
        <v>44</v>
      </c>
      <c r="C16" s="33">
        <v>19517.18</v>
      </c>
      <c r="D16" s="34">
        <v>9142.43</v>
      </c>
      <c r="E16" s="34">
        <v>9145</v>
      </c>
      <c r="F16" s="35">
        <v>43347</v>
      </c>
      <c r="G16" s="33">
        <f>IF(E16-D16&lt;0,E16-D16,0)*-1</f>
        <v>0</v>
      </c>
      <c r="H16" s="33">
        <f>IF(E16-D16&gt;0,E16-D16,0)</f>
        <v>2.569999999999709</v>
      </c>
      <c r="I16" s="34"/>
      <c r="J16" s="34"/>
      <c r="K16" s="34">
        <v>3557.61</v>
      </c>
      <c r="L16" s="34"/>
      <c r="M16" s="36">
        <f>(+K16)*M$5</f>
        <v>76.488614999999996</v>
      </c>
      <c r="N16" s="36">
        <f t="shared" si="15"/>
        <v>17.788050000000002</v>
      </c>
      <c r="O16" s="36">
        <f>+K16-M16-N16+P16</f>
        <v>3463.3333349999998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>
        <f>72.3+551</f>
        <v>623.29999999999995</v>
      </c>
      <c r="AA16" s="34"/>
      <c r="AB16" s="34"/>
      <c r="AC16" s="34">
        <v>32.14</v>
      </c>
      <c r="AD16" s="38" t="s">
        <v>137</v>
      </c>
      <c r="AE16" s="38">
        <f>202.5+1017+3406.5+333+340.2+310.5+552</f>
        <v>6161.7</v>
      </c>
      <c r="AF16" s="34">
        <v>909.47</v>
      </c>
      <c r="AG16" s="33">
        <f>(AF16*0.8)*0.85</f>
        <v>618.43960000000004</v>
      </c>
      <c r="AH16" s="33">
        <f>(AF16*0.8)*0.15</f>
        <v>109.13639999999999</v>
      </c>
      <c r="AI16" s="33">
        <f>AF16*0.2</f>
        <v>181.89400000000001</v>
      </c>
      <c r="AJ16" s="34">
        <v>0</v>
      </c>
      <c r="AK16" s="33">
        <f t="shared" ref="AK16" si="23">+AJ16+AI16+AG16</f>
        <v>800.33360000000005</v>
      </c>
      <c r="AL16" s="33">
        <f t="shared" si="21"/>
        <v>144.89360000000011</v>
      </c>
      <c r="AM16" s="33">
        <f t="shared" si="22"/>
        <v>17.387232000000012</v>
      </c>
      <c r="AN16" s="33">
        <f t="shared" si="19"/>
        <v>162.28083200000012</v>
      </c>
      <c r="AO16" s="39">
        <v>390</v>
      </c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390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390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4" customFormat="1" ht="15" thickBot="1">
      <c r="A17" s="158"/>
      <c r="B17" s="43"/>
      <c r="C17" s="44">
        <f>SUBTOTAL(9,C15:C16)</f>
        <v>37063.29</v>
      </c>
      <c r="D17" s="45">
        <f>SUBTOTAL(9,D15:D16)</f>
        <v>23094.47</v>
      </c>
      <c r="E17" s="45">
        <f>SUBTOTAL(9,E15:E16)</f>
        <v>23100</v>
      </c>
      <c r="F17" s="169"/>
      <c r="G17" s="45">
        <f t="shared" ref="G17:L17" si="24">SUBTOTAL(9,G15:G16)</f>
        <v>0</v>
      </c>
      <c r="H17" s="45">
        <f t="shared" si="24"/>
        <v>5.5299999999988358</v>
      </c>
      <c r="I17" s="45">
        <f t="shared" si="24"/>
        <v>0</v>
      </c>
      <c r="J17" s="45">
        <f t="shared" si="24"/>
        <v>0</v>
      </c>
      <c r="K17" s="160">
        <f t="shared" si="24"/>
        <v>6460.5599999999995</v>
      </c>
      <c r="L17" s="45">
        <f t="shared" si="24"/>
        <v>0</v>
      </c>
      <c r="M17" s="162">
        <f t="shared" si="14"/>
        <v>138.90203999999997</v>
      </c>
      <c r="N17" s="162">
        <f t="shared" si="15"/>
        <v>32.302799999999998</v>
      </c>
      <c r="O17" s="162">
        <f t="shared" si="16"/>
        <v>6289.3551599999992</v>
      </c>
      <c r="P17" s="162">
        <f t="shared" si="17"/>
        <v>0</v>
      </c>
      <c r="Q17" s="47"/>
      <c r="R17" s="45">
        <f t="shared" ref="R17:BQ17" si="25">SUBTOTAL(9,R15:R16)</f>
        <v>0</v>
      </c>
      <c r="S17" s="45">
        <f t="shared" si="25"/>
        <v>0</v>
      </c>
      <c r="T17" s="46">
        <f t="shared" si="25"/>
        <v>0</v>
      </c>
      <c r="U17" s="46">
        <f t="shared" si="25"/>
        <v>0</v>
      </c>
      <c r="V17" s="46">
        <f t="shared" si="25"/>
        <v>0</v>
      </c>
      <c r="W17" s="46">
        <f t="shared" si="25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5"/>
        <v>1474.1788000000001</v>
      </c>
      <c r="AH17" s="44">
        <f t="shared" si="25"/>
        <v>260.14920000000001</v>
      </c>
      <c r="AI17" s="44">
        <f t="shared" si="25"/>
        <v>433.58199999999999</v>
      </c>
      <c r="AJ17" s="45">
        <f t="shared" si="25"/>
        <v>0</v>
      </c>
      <c r="AK17" s="44">
        <f t="shared" si="25"/>
        <v>15342.896099999998</v>
      </c>
      <c r="AL17" s="44">
        <f t="shared" si="25"/>
        <v>14256.336099999997</v>
      </c>
      <c r="AM17" s="44">
        <f t="shared" si="25"/>
        <v>1710.7603319999996</v>
      </c>
      <c r="AN17" s="44">
        <f t="shared" si="19"/>
        <v>15967.096431999997</v>
      </c>
      <c r="AO17" s="49">
        <f t="shared" si="25"/>
        <v>390</v>
      </c>
      <c r="AP17" s="49">
        <f t="shared" si="25"/>
        <v>0</v>
      </c>
      <c r="AQ17" s="49">
        <f t="shared" si="25"/>
        <v>0</v>
      </c>
      <c r="AR17" s="49">
        <f t="shared" si="25"/>
        <v>0</v>
      </c>
      <c r="AS17" s="49">
        <f t="shared" si="25"/>
        <v>0</v>
      </c>
      <c r="AT17" s="49">
        <f t="shared" si="25"/>
        <v>0</v>
      </c>
      <c r="AU17" s="49">
        <f>SUBTOTAL(9,AU15:AU16)</f>
        <v>0</v>
      </c>
      <c r="AV17" s="49">
        <f t="shared" si="25"/>
        <v>0</v>
      </c>
      <c r="AW17" s="49">
        <f t="shared" si="25"/>
        <v>0</v>
      </c>
      <c r="AX17" s="49">
        <f t="shared" si="25"/>
        <v>0</v>
      </c>
      <c r="AY17" s="49">
        <f t="shared" si="25"/>
        <v>0</v>
      </c>
      <c r="AZ17" s="44">
        <f t="shared" si="25"/>
        <v>390</v>
      </c>
      <c r="BA17" s="48">
        <f t="shared" si="25"/>
        <v>0</v>
      </c>
      <c r="BB17" s="48">
        <f t="shared" si="25"/>
        <v>0</v>
      </c>
      <c r="BC17" s="44">
        <f t="shared" si="25"/>
        <v>0</v>
      </c>
      <c r="BD17" s="44">
        <f t="shared" si="25"/>
        <v>0</v>
      </c>
      <c r="BE17" s="49">
        <f t="shared" si="25"/>
        <v>0</v>
      </c>
      <c r="BF17" s="49">
        <f>SUBTOTAL(9,BF15:BF16)</f>
        <v>0</v>
      </c>
      <c r="BG17" s="49">
        <f t="shared" si="25"/>
        <v>0</v>
      </c>
      <c r="BH17" s="49">
        <f t="shared" si="25"/>
        <v>0</v>
      </c>
      <c r="BI17" s="49">
        <f t="shared" si="25"/>
        <v>0</v>
      </c>
      <c r="BJ17" s="49">
        <f t="shared" si="25"/>
        <v>0</v>
      </c>
      <c r="BK17" s="49">
        <f t="shared" si="25"/>
        <v>0</v>
      </c>
      <c r="BL17" s="49">
        <f t="shared" si="25"/>
        <v>0</v>
      </c>
      <c r="BM17" s="49">
        <f t="shared" si="25"/>
        <v>0</v>
      </c>
      <c r="BN17" s="49">
        <f t="shared" si="25"/>
        <v>0</v>
      </c>
      <c r="BO17" s="49">
        <f t="shared" si="25"/>
        <v>0</v>
      </c>
      <c r="BP17" s="49">
        <f t="shared" si="25"/>
        <v>0</v>
      </c>
      <c r="BQ17" s="49">
        <f t="shared" si="25"/>
        <v>0</v>
      </c>
      <c r="BR17" s="44">
        <f>SUBTOTAL(9,BR15:BR16)</f>
        <v>390</v>
      </c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65"/>
      <c r="CV17" s="165"/>
      <c r="CW17" s="165"/>
      <c r="CX17" s="165"/>
      <c r="CY17" s="165"/>
      <c r="CZ17" s="165"/>
      <c r="DA17" s="165"/>
      <c r="DB17" s="165"/>
      <c r="DC17" s="165"/>
      <c r="DD17" s="165"/>
      <c r="DE17" s="165"/>
      <c r="DF17" s="165"/>
      <c r="DG17" s="165"/>
      <c r="DH17" s="165"/>
      <c r="DI17" s="165"/>
      <c r="DJ17" s="165"/>
      <c r="DK17" s="165"/>
      <c r="DL17" s="165"/>
      <c r="DM17" s="165"/>
      <c r="DN17" s="165"/>
      <c r="DO17" s="165"/>
      <c r="DP17" s="165"/>
      <c r="DQ17" s="165"/>
      <c r="DR17" s="165"/>
      <c r="DS17" s="165"/>
      <c r="DT17" s="165"/>
      <c r="DU17" s="165"/>
    </row>
    <row r="18" spans="1:125">
      <c r="A18" s="209">
        <f>+A15+1</f>
        <v>43347</v>
      </c>
      <c r="B18" s="32" t="s">
        <v>43</v>
      </c>
      <c r="C18" s="33">
        <v>21069.38</v>
      </c>
      <c r="D18" s="34">
        <v>11352.9</v>
      </c>
      <c r="E18" s="34">
        <v>11355</v>
      </c>
      <c r="F18" s="35">
        <v>43347</v>
      </c>
      <c r="G18" s="33">
        <f>IF(E18-D18&lt;0,E18-D18,0)*-1</f>
        <v>0</v>
      </c>
      <c r="H18" s="33">
        <f>IF(E18-D18&gt;0,E18-D18,0)</f>
        <v>2.1000000000003638</v>
      </c>
      <c r="I18" s="34"/>
      <c r="J18" s="34"/>
      <c r="K18" s="34">
        <v>8791.06</v>
      </c>
      <c r="L18" s="34"/>
      <c r="M18" s="36">
        <f t="shared" si="14"/>
        <v>189.00778999999997</v>
      </c>
      <c r="N18" s="36">
        <f t="shared" si="15"/>
        <v>43.955300000000001</v>
      </c>
      <c r="O18" s="36">
        <f t="shared" si="16"/>
        <v>8558.0969100000002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>
        <f>42.25+72</f>
        <v>114.25</v>
      </c>
      <c r="AA18" s="34"/>
      <c r="AB18" s="34"/>
      <c r="AC18" s="34">
        <v>163.16999999999999</v>
      </c>
      <c r="AD18" s="38" t="s">
        <v>139</v>
      </c>
      <c r="AE18" s="38">
        <v>648</v>
      </c>
      <c r="AF18" s="34">
        <v>1569.29</v>
      </c>
      <c r="AG18" s="33">
        <f>(AF18*0.8)*0.85</f>
        <v>1067.1171999999999</v>
      </c>
      <c r="AH18" s="33">
        <f>(AF18*0.8)*0.15</f>
        <v>188.31479999999999</v>
      </c>
      <c r="AI18" s="33">
        <f>AF18*0.2</f>
        <v>313.858</v>
      </c>
      <c r="AJ18" s="34"/>
      <c r="AK18" s="33">
        <f t="shared" ref="AK18:AK19" si="26">(C18-AF18-AJ18)/1.12</f>
        <v>17410.794642857141</v>
      </c>
      <c r="AL18" s="33">
        <f t="shared" ref="AL18:AL19" si="27">AK18-SUM(Y18:AC18)</f>
        <v>17133.374642857143</v>
      </c>
      <c r="AM18" s="33">
        <f t="shared" ref="AM18:AM19" si="28">+AL18*0.12</f>
        <v>2056.0049571428572</v>
      </c>
      <c r="AN18" s="33">
        <f t="shared" ref="AN18:AN19" si="29">+AM18+AL18+AJ18</f>
        <v>19189.3796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" thickBot="1">
      <c r="A19" s="210"/>
      <c r="B19" s="15" t="s">
        <v>44</v>
      </c>
      <c r="C19" s="33">
        <v>22337.93</v>
      </c>
      <c r="D19" s="34">
        <v>12857.6</v>
      </c>
      <c r="E19" s="34">
        <v>12860</v>
      </c>
      <c r="F19" s="35">
        <v>43348</v>
      </c>
      <c r="G19" s="33">
        <f>IF(E19-D19&lt;0,E19-D19,0)*-1</f>
        <v>0</v>
      </c>
      <c r="H19" s="33">
        <f>IF(E19-D19&gt;0,E19-D19,0)</f>
        <v>2.3999999999996362</v>
      </c>
      <c r="I19" s="34"/>
      <c r="J19" s="34"/>
      <c r="K19" s="34">
        <v>6383.94</v>
      </c>
      <c r="L19" s="34"/>
      <c r="M19" s="36">
        <f t="shared" si="14"/>
        <v>137.25470999999999</v>
      </c>
      <c r="N19" s="36">
        <f t="shared" si="15"/>
        <v>31.919699999999999</v>
      </c>
      <c r="O19" s="36">
        <f t="shared" si="16"/>
        <v>6214.7655899999991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v>223</v>
      </c>
      <c r="AA19" s="34"/>
      <c r="AB19" s="34"/>
      <c r="AC19" s="34">
        <v>113.39</v>
      </c>
      <c r="AD19" s="38" t="s">
        <v>137</v>
      </c>
      <c r="AE19" s="38">
        <v>2760</v>
      </c>
      <c r="AF19" s="34">
        <v>1503.97</v>
      </c>
      <c r="AG19" s="33">
        <f>(AF19*0.8)*0.85</f>
        <v>1022.6996000000001</v>
      </c>
      <c r="AH19" s="33">
        <f>(AF19*0.8)*0.15</f>
        <v>180.47640000000001</v>
      </c>
      <c r="AI19" s="33">
        <f>AF19*0.2</f>
        <v>300.79400000000004</v>
      </c>
      <c r="AJ19" s="34">
        <v>0</v>
      </c>
      <c r="AK19" s="33">
        <f t="shared" si="26"/>
        <v>18601.749999999996</v>
      </c>
      <c r="AL19" s="33">
        <f t="shared" si="27"/>
        <v>18265.359999999997</v>
      </c>
      <c r="AM19" s="33">
        <f t="shared" si="28"/>
        <v>2191.8431999999993</v>
      </c>
      <c r="AN19" s="33">
        <f t="shared" si="29"/>
        <v>20457.203199999996</v>
      </c>
      <c r="AO19" s="39"/>
      <c r="AP19" s="40">
        <v>740</v>
      </c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740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740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4" customFormat="1" ht="15" thickBot="1">
      <c r="A20" s="158"/>
      <c r="B20" s="43"/>
      <c r="C20" s="44">
        <f>SUBTOTAL(9,C18:C19)</f>
        <v>43407.31</v>
      </c>
      <c r="D20" s="45">
        <f>SUBTOTAL(9,D18:D19)</f>
        <v>24210.5</v>
      </c>
      <c r="E20" s="45">
        <f>SUBTOTAL(9,E18:E19)</f>
        <v>24215</v>
      </c>
      <c r="F20" s="47"/>
      <c r="G20" s="45">
        <f t="shared" ref="G20:L20" si="30">SUBTOTAL(9,G18:G19)</f>
        <v>0</v>
      </c>
      <c r="H20" s="45">
        <f t="shared" si="30"/>
        <v>4.5</v>
      </c>
      <c r="I20" s="45">
        <f t="shared" si="30"/>
        <v>0</v>
      </c>
      <c r="J20" s="45">
        <f t="shared" si="30"/>
        <v>0</v>
      </c>
      <c r="K20" s="160">
        <f t="shared" si="30"/>
        <v>15175</v>
      </c>
      <c r="L20" s="45">
        <f t="shared" si="30"/>
        <v>0</v>
      </c>
      <c r="M20" s="162">
        <f t="shared" si="14"/>
        <v>326.26249999999999</v>
      </c>
      <c r="N20" s="162">
        <f t="shared" si="15"/>
        <v>75.875</v>
      </c>
      <c r="O20" s="162">
        <f t="shared" si="16"/>
        <v>14772.862499999999</v>
      </c>
      <c r="P20" s="162">
        <f t="shared" si="17"/>
        <v>0</v>
      </c>
      <c r="Q20" s="47"/>
      <c r="R20" s="45">
        <f t="shared" ref="R20:BQ20" si="31">SUBTOTAL(9,R18:R19)</f>
        <v>0</v>
      </c>
      <c r="S20" s="45">
        <f t="shared" si="31"/>
        <v>0</v>
      </c>
      <c r="T20" s="46">
        <f t="shared" si="31"/>
        <v>0</v>
      </c>
      <c r="U20" s="46">
        <f t="shared" si="31"/>
        <v>0</v>
      </c>
      <c r="V20" s="46">
        <f t="shared" si="31"/>
        <v>0</v>
      </c>
      <c r="W20" s="46">
        <f t="shared" si="31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31"/>
        <v>2089.8168000000001</v>
      </c>
      <c r="AH20" s="44">
        <f t="shared" si="31"/>
        <v>368.7912</v>
      </c>
      <c r="AI20" s="44">
        <f t="shared" si="31"/>
        <v>614.65200000000004</v>
      </c>
      <c r="AJ20" s="45">
        <v>0</v>
      </c>
      <c r="AK20" s="44">
        <f>SUBTOTAL(9,AK18:AK19)</f>
        <v>36012.544642857138</v>
      </c>
      <c r="AL20" s="44">
        <f t="shared" si="31"/>
        <v>35398.73464285714</v>
      </c>
      <c r="AM20" s="44">
        <f t="shared" si="31"/>
        <v>4247.8481571428565</v>
      </c>
      <c r="AN20" s="44">
        <f t="shared" si="19"/>
        <v>39646.582799999996</v>
      </c>
      <c r="AO20" s="49">
        <f t="shared" si="31"/>
        <v>0</v>
      </c>
      <c r="AP20" s="49">
        <f t="shared" si="31"/>
        <v>740</v>
      </c>
      <c r="AQ20" s="49">
        <f t="shared" si="31"/>
        <v>0</v>
      </c>
      <c r="AR20" s="49">
        <f t="shared" si="31"/>
        <v>0</v>
      </c>
      <c r="AS20" s="49">
        <f t="shared" si="31"/>
        <v>0</v>
      </c>
      <c r="AT20" s="49">
        <f t="shared" si="31"/>
        <v>0</v>
      </c>
      <c r="AU20" s="49">
        <f>SUBTOTAL(9,AU18:AU19)</f>
        <v>0</v>
      </c>
      <c r="AV20" s="49">
        <f t="shared" si="31"/>
        <v>0</v>
      </c>
      <c r="AW20" s="49">
        <f t="shared" si="31"/>
        <v>0</v>
      </c>
      <c r="AX20" s="49">
        <f t="shared" si="31"/>
        <v>0</v>
      </c>
      <c r="AY20" s="49">
        <f t="shared" si="31"/>
        <v>0</v>
      </c>
      <c r="AZ20" s="44">
        <f t="shared" si="31"/>
        <v>740</v>
      </c>
      <c r="BA20" s="48">
        <f t="shared" si="31"/>
        <v>0</v>
      </c>
      <c r="BB20" s="48">
        <f t="shared" si="31"/>
        <v>0</v>
      </c>
      <c r="BC20" s="44">
        <f t="shared" si="31"/>
        <v>0</v>
      </c>
      <c r="BD20" s="44">
        <f t="shared" si="31"/>
        <v>0</v>
      </c>
      <c r="BE20" s="49">
        <f t="shared" si="31"/>
        <v>0</v>
      </c>
      <c r="BF20" s="49">
        <f>SUBTOTAL(9,BF18:BF19)</f>
        <v>0</v>
      </c>
      <c r="BG20" s="49">
        <f t="shared" si="31"/>
        <v>0</v>
      </c>
      <c r="BH20" s="49">
        <f t="shared" si="31"/>
        <v>0</v>
      </c>
      <c r="BI20" s="49">
        <f t="shared" si="31"/>
        <v>0</v>
      </c>
      <c r="BJ20" s="49">
        <f t="shared" si="31"/>
        <v>0</v>
      </c>
      <c r="BK20" s="49">
        <f t="shared" si="31"/>
        <v>0</v>
      </c>
      <c r="BL20" s="49">
        <f t="shared" si="31"/>
        <v>0</v>
      </c>
      <c r="BM20" s="49">
        <f t="shared" si="31"/>
        <v>0</v>
      </c>
      <c r="BN20" s="49">
        <f t="shared" si="31"/>
        <v>0</v>
      </c>
      <c r="BO20" s="49">
        <f t="shared" si="31"/>
        <v>0</v>
      </c>
      <c r="BP20" s="49">
        <f t="shared" si="31"/>
        <v>0</v>
      </c>
      <c r="BQ20" s="49">
        <f t="shared" si="31"/>
        <v>0</v>
      </c>
      <c r="BR20" s="44">
        <f>SUBTOTAL(9,BR18:BR19)</f>
        <v>740</v>
      </c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65"/>
      <c r="CW20" s="165"/>
      <c r="CX20" s="165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65"/>
      <c r="DR20" s="165"/>
      <c r="DS20" s="165"/>
      <c r="DT20" s="165"/>
      <c r="DU20" s="165"/>
    </row>
    <row r="21" spans="1:125">
      <c r="A21" s="209">
        <f>+A18+1</f>
        <v>43348</v>
      </c>
      <c r="B21" s="32" t="s">
        <v>43</v>
      </c>
      <c r="C21" s="33">
        <v>21848.52</v>
      </c>
      <c r="D21" s="34">
        <v>14283.01</v>
      </c>
      <c r="E21" s="34">
        <v>14285</v>
      </c>
      <c r="F21" s="35">
        <v>43348</v>
      </c>
      <c r="G21" s="33">
        <f>IF(E21-D21&lt;0,E21-D21,0)*-1</f>
        <v>0</v>
      </c>
      <c r="H21" s="33">
        <f>IF(E21-D21&gt;0,E21-D21,0)</f>
        <v>1.9899999999997817</v>
      </c>
      <c r="I21" s="34"/>
      <c r="J21" s="34"/>
      <c r="K21" s="34">
        <v>3219.48</v>
      </c>
      <c r="L21" s="34"/>
      <c r="M21" s="36">
        <f t="shared" si="14"/>
        <v>69.218819999999994</v>
      </c>
      <c r="N21" s="36">
        <f t="shared" si="15"/>
        <v>16.0974</v>
      </c>
      <c r="O21" s="36">
        <f t="shared" si="16"/>
        <v>3134.1637799999999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f>63+397.8</f>
        <v>460.8</v>
      </c>
      <c r="AA21" s="34"/>
      <c r="AB21" s="34"/>
      <c r="AC21" s="34">
        <v>305.02999999999997</v>
      </c>
      <c r="AD21" s="38" t="s">
        <v>139</v>
      </c>
      <c r="AE21" s="38">
        <v>3580.2</v>
      </c>
      <c r="AF21" s="34">
        <v>1348.54</v>
      </c>
      <c r="AG21" s="33">
        <f>(AF21*0.8)*0.85</f>
        <v>917.00720000000001</v>
      </c>
      <c r="AH21" s="33">
        <f>(AF21*0.8)*0.15</f>
        <v>161.82480000000001</v>
      </c>
      <c r="AI21" s="33">
        <f>AF21*0.2</f>
        <v>269.70800000000003</v>
      </c>
      <c r="AJ21" s="34">
        <v>0</v>
      </c>
      <c r="AK21" s="33">
        <f t="shared" ref="AK21:AK22" si="32">(C21-AF21-AJ21)/1.12</f>
        <v>18303.553571428569</v>
      </c>
      <c r="AL21" s="33">
        <f t="shared" ref="AL21:AL22" si="33">AK21-SUM(Y21:AC21)</f>
        <v>17537.723571428571</v>
      </c>
      <c r="AM21" s="33">
        <f t="shared" ref="AM21:AM22" si="34">+AL21*0.12</f>
        <v>2104.5268285714283</v>
      </c>
      <c r="AN21" s="33">
        <f t="shared" si="19"/>
        <v>19642.250399999997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" thickBot="1">
      <c r="A22" s="210"/>
      <c r="B22" s="15" t="s">
        <v>44</v>
      </c>
      <c r="C22" s="33">
        <v>20505.82</v>
      </c>
      <c r="D22" s="34">
        <v>10158.540000000001</v>
      </c>
      <c r="E22" s="34">
        <v>10160</v>
      </c>
      <c r="F22" s="35">
        <v>43349</v>
      </c>
      <c r="G22" s="33">
        <f>IF(E22-D22&lt;0,E22-D22,0)*-1</f>
        <v>0</v>
      </c>
      <c r="H22" s="33">
        <f>IF(E22-D22&gt;0,E22-D22,0)</f>
        <v>1.4599999999991269</v>
      </c>
      <c r="I22" s="34"/>
      <c r="J22" s="34"/>
      <c r="K22" s="34">
        <v>7042.78</v>
      </c>
      <c r="L22" s="34"/>
      <c r="M22" s="36">
        <f t="shared" si="14"/>
        <v>151.41976999999997</v>
      </c>
      <c r="N22" s="36">
        <f t="shared" si="15"/>
        <v>35.213900000000002</v>
      </c>
      <c r="O22" s="36">
        <f t="shared" si="16"/>
        <v>6856.1463300000005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f>159.5+314.5</f>
        <v>474</v>
      </c>
      <c r="AA22" s="34"/>
      <c r="AB22" s="34"/>
      <c r="AC22" s="34"/>
      <c r="AD22" s="38" t="s">
        <v>139</v>
      </c>
      <c r="AE22" s="38">
        <v>2830.5</v>
      </c>
      <c r="AF22" s="34">
        <v>1303.82</v>
      </c>
      <c r="AG22" s="33">
        <f>(AF22*0.8)*0.85</f>
        <v>886.59760000000006</v>
      </c>
      <c r="AH22" s="33">
        <f>(AF22*0.8)*0.15</f>
        <v>156.45840000000001</v>
      </c>
      <c r="AI22" s="33">
        <f>AF22*0.2</f>
        <v>260.76400000000001</v>
      </c>
      <c r="AJ22" s="34">
        <v>0</v>
      </c>
      <c r="AK22" s="33">
        <f t="shared" si="32"/>
        <v>17144.642857142855</v>
      </c>
      <c r="AL22" s="33">
        <f t="shared" si="33"/>
        <v>16670.642857142855</v>
      </c>
      <c r="AM22" s="33">
        <f t="shared" si="34"/>
        <v>2000.4771428571426</v>
      </c>
      <c r="AN22" s="33">
        <f t="shared" si="19"/>
        <v>18671.12</v>
      </c>
      <c r="AO22" s="39">
        <v>310</v>
      </c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310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310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" thickBot="1">
      <c r="A23" s="42"/>
      <c r="B23" s="43"/>
      <c r="C23" s="44">
        <f>SUBTOTAL(9,C21:C22)</f>
        <v>42354.34</v>
      </c>
      <c r="D23" s="45">
        <f>SUBTOTAL(9,D21:D22)</f>
        <v>24441.550000000003</v>
      </c>
      <c r="E23" s="45">
        <f>SUBTOTAL(9,E21:E22)</f>
        <v>24445</v>
      </c>
      <c r="F23" s="47"/>
      <c r="G23" s="45">
        <f t="shared" ref="G23:P23" si="35">SUBTOTAL(9,G21:G22)</f>
        <v>0</v>
      </c>
      <c r="H23" s="45">
        <f t="shared" si="35"/>
        <v>3.4499999999989086</v>
      </c>
      <c r="I23" s="45">
        <f t="shared" si="35"/>
        <v>0</v>
      </c>
      <c r="J23" s="45">
        <f t="shared" si="35"/>
        <v>0</v>
      </c>
      <c r="K23" s="160">
        <f t="shared" si="35"/>
        <v>10262.26</v>
      </c>
      <c r="L23" s="45">
        <f t="shared" si="35"/>
        <v>0</v>
      </c>
      <c r="M23" s="46">
        <f t="shared" si="35"/>
        <v>220.63858999999997</v>
      </c>
      <c r="N23" s="46">
        <f t="shared" si="35"/>
        <v>51.311300000000003</v>
      </c>
      <c r="O23" s="46">
        <f t="shared" si="35"/>
        <v>9990.3101100000003</v>
      </c>
      <c r="P23" s="46">
        <f t="shared" si="35"/>
        <v>0</v>
      </c>
      <c r="Q23" s="47"/>
      <c r="R23" s="45">
        <f t="shared" ref="R23:BQ23" si="36">SUBTOTAL(9,R21:R22)</f>
        <v>0</v>
      </c>
      <c r="S23" s="45">
        <f t="shared" si="36"/>
        <v>0</v>
      </c>
      <c r="T23" s="46">
        <f t="shared" si="36"/>
        <v>0</v>
      </c>
      <c r="U23" s="46">
        <f t="shared" si="36"/>
        <v>0</v>
      </c>
      <c r="V23" s="46">
        <f t="shared" si="36"/>
        <v>0</v>
      </c>
      <c r="W23" s="46">
        <f t="shared" si="36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6"/>
        <v>1803.6048000000001</v>
      </c>
      <c r="AH23" s="44">
        <f t="shared" si="36"/>
        <v>318.28320000000002</v>
      </c>
      <c r="AI23" s="44">
        <f t="shared" si="36"/>
        <v>530.47199999999998</v>
      </c>
      <c r="AJ23" s="45">
        <v>0</v>
      </c>
      <c r="AK23" s="44">
        <f>SUBTOTAL(9,AK21:AK22)</f>
        <v>35448.19642857142</v>
      </c>
      <c r="AL23" s="44">
        <f t="shared" ref="AL23:AM23" si="37">SUBTOTAL(9,AL21:AL22)</f>
        <v>34208.366428571426</v>
      </c>
      <c r="AM23" s="44">
        <f t="shared" si="37"/>
        <v>4105.0039714285704</v>
      </c>
      <c r="AN23" s="44">
        <f t="shared" si="19"/>
        <v>38313.3704</v>
      </c>
      <c r="AO23" s="49">
        <f t="shared" si="36"/>
        <v>310</v>
      </c>
      <c r="AP23" s="49">
        <f t="shared" si="36"/>
        <v>0</v>
      </c>
      <c r="AQ23" s="49">
        <f t="shared" si="36"/>
        <v>0</v>
      </c>
      <c r="AR23" s="49">
        <f t="shared" si="36"/>
        <v>0</v>
      </c>
      <c r="AS23" s="49">
        <f t="shared" si="36"/>
        <v>0</v>
      </c>
      <c r="AT23" s="49">
        <f t="shared" si="36"/>
        <v>0</v>
      </c>
      <c r="AU23" s="49">
        <f>SUBTOTAL(9,AU21:AU22)</f>
        <v>0</v>
      </c>
      <c r="AV23" s="49">
        <f t="shared" si="36"/>
        <v>0</v>
      </c>
      <c r="AW23" s="49">
        <f t="shared" si="36"/>
        <v>0</v>
      </c>
      <c r="AX23" s="49">
        <f t="shared" si="36"/>
        <v>0</v>
      </c>
      <c r="AY23" s="49">
        <f t="shared" si="36"/>
        <v>0</v>
      </c>
      <c r="AZ23" s="44">
        <f t="shared" si="36"/>
        <v>310</v>
      </c>
      <c r="BA23" s="48"/>
      <c r="BB23" s="48">
        <f t="shared" si="36"/>
        <v>0</v>
      </c>
      <c r="BC23" s="44">
        <f t="shared" si="36"/>
        <v>0</v>
      </c>
      <c r="BD23" s="44">
        <f t="shared" si="36"/>
        <v>0</v>
      </c>
      <c r="BE23" s="49">
        <f t="shared" si="36"/>
        <v>0</v>
      </c>
      <c r="BF23" s="49">
        <f>SUBTOTAL(9,BF21:BF22)</f>
        <v>0</v>
      </c>
      <c r="BG23" s="49">
        <f t="shared" si="36"/>
        <v>0</v>
      </c>
      <c r="BH23" s="49">
        <f t="shared" si="36"/>
        <v>0</v>
      </c>
      <c r="BI23" s="49">
        <f t="shared" si="36"/>
        <v>0</v>
      </c>
      <c r="BJ23" s="49">
        <f t="shared" si="36"/>
        <v>0</v>
      </c>
      <c r="BK23" s="49">
        <f t="shared" si="36"/>
        <v>0</v>
      </c>
      <c r="BL23" s="49">
        <f t="shared" si="36"/>
        <v>0</v>
      </c>
      <c r="BM23" s="49">
        <f t="shared" si="36"/>
        <v>0</v>
      </c>
      <c r="BN23" s="49">
        <f t="shared" si="36"/>
        <v>0</v>
      </c>
      <c r="BO23" s="49">
        <f t="shared" si="36"/>
        <v>0</v>
      </c>
      <c r="BP23" s="49">
        <f t="shared" si="36"/>
        <v>0</v>
      </c>
      <c r="BQ23" s="49">
        <f t="shared" si="36"/>
        <v>0</v>
      </c>
      <c r="BR23" s="44">
        <f>SUBTOTAL(9,BR21:BR22)</f>
        <v>310</v>
      </c>
    </row>
    <row r="24" spans="1:125">
      <c r="A24" s="209">
        <f>A21+1</f>
        <v>43349</v>
      </c>
      <c r="B24" s="32" t="s">
        <v>43</v>
      </c>
      <c r="C24" s="33">
        <v>28739.15</v>
      </c>
      <c r="D24" s="34">
        <v>20420.82</v>
      </c>
      <c r="E24" s="34">
        <v>20422</v>
      </c>
      <c r="F24" s="35">
        <v>43349</v>
      </c>
      <c r="G24" s="33">
        <f>IF(E24-D24&lt;0,E24-D24,0)*-1</f>
        <v>0</v>
      </c>
      <c r="H24" s="33">
        <f>IF(E24-D24&gt;0,E24-D24,0)</f>
        <v>1.180000000000291</v>
      </c>
      <c r="I24" s="34"/>
      <c r="J24" s="34"/>
      <c r="K24" s="34">
        <v>7065.11</v>
      </c>
      <c r="L24" s="34"/>
      <c r="M24" s="36">
        <f>(+K24)*M$5</f>
        <v>151.89986499999998</v>
      </c>
      <c r="N24" s="36">
        <f>(+K24)*N$5</f>
        <v>35.32555</v>
      </c>
      <c r="O24" s="36">
        <f>+K24-M24-N24+P24</f>
        <v>6877.8845849999998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>
        <f>24.5+60.5</f>
        <v>85</v>
      </c>
      <c r="AA24" s="34"/>
      <c r="AB24" s="34"/>
      <c r="AC24" s="34">
        <v>260.72000000000003</v>
      </c>
      <c r="AD24" s="38" t="s">
        <v>137</v>
      </c>
      <c r="AE24" s="38">
        <v>907.5</v>
      </c>
      <c r="AF24" s="34">
        <v>2086.58</v>
      </c>
      <c r="AG24" s="33">
        <f>(AF24*0.8)*0.85</f>
        <v>1418.8744000000002</v>
      </c>
      <c r="AH24" s="33">
        <f>(AF24*0.8)*0.15</f>
        <v>250.3896</v>
      </c>
      <c r="AI24" s="33">
        <f>AF24*0.2</f>
        <v>417.31600000000003</v>
      </c>
      <c r="AJ24" s="34">
        <v>0</v>
      </c>
      <c r="AK24" s="33">
        <f>(C24-AF24-AJ24)/1.12</f>
        <v>23796.937499999996</v>
      </c>
      <c r="AL24" s="33">
        <f>AK24-SUM(Y24:AC24)</f>
        <v>23451.217499999995</v>
      </c>
      <c r="AM24" s="33">
        <f>+AL24*0.12</f>
        <v>2814.1460999999995</v>
      </c>
      <c r="AN24" s="33">
        <f>+AM24+AL24+AJ24</f>
        <v>26265.363599999993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" thickBot="1">
      <c r="A25" s="210"/>
      <c r="B25" s="15" t="s">
        <v>44</v>
      </c>
      <c r="C25" s="33">
        <v>33987.410000000003</v>
      </c>
      <c r="D25" s="34">
        <v>22510.04</v>
      </c>
      <c r="E25" s="34">
        <v>22511</v>
      </c>
      <c r="F25" s="35">
        <v>43350</v>
      </c>
      <c r="G25" s="33">
        <f>IF(E25-D25&lt;0,E25-D25,0)*-1</f>
        <v>0</v>
      </c>
      <c r="H25" s="33">
        <f>IF(E25-D25&gt;0,E25-D25,0)</f>
        <v>0.95999999999912689</v>
      </c>
      <c r="I25" s="34"/>
      <c r="J25" s="34"/>
      <c r="K25" s="34">
        <v>8601.31</v>
      </c>
      <c r="L25" s="34"/>
      <c r="M25" s="36">
        <f>(+K25)*M$5</f>
        <v>184.92816499999998</v>
      </c>
      <c r="N25" s="36">
        <f>(+K25)*N$5</f>
        <v>43.006549999999997</v>
      </c>
      <c r="O25" s="36">
        <f>+K25-M25-N25+P25</f>
        <v>8373.3752850000001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>
        <f>194.4+248.5</f>
        <v>442.9</v>
      </c>
      <c r="AA25" s="34">
        <v>40.5</v>
      </c>
      <c r="AB25" s="34"/>
      <c r="AC25" s="34">
        <v>156.16</v>
      </c>
      <c r="AD25" s="38" t="s">
        <v>137</v>
      </c>
      <c r="AE25" s="38">
        <v>2236.5</v>
      </c>
      <c r="AF25" s="34">
        <v>2525.11</v>
      </c>
      <c r="AG25" s="33">
        <f>(AF25*0.8)*0.85</f>
        <v>1717.0748000000001</v>
      </c>
      <c r="AH25" s="33">
        <f>(AF25*0.8)*0.15</f>
        <v>303.01320000000004</v>
      </c>
      <c r="AI25" s="33">
        <f>AF25*0.2</f>
        <v>505.02200000000005</v>
      </c>
      <c r="AJ25" s="34">
        <v>0</v>
      </c>
      <c r="AK25" s="33">
        <f>(C25-AF25-AJ25)/1.12</f>
        <v>28091.339285714286</v>
      </c>
      <c r="AL25" s="33">
        <f>AK25-SUM(Y25:AC25)</f>
        <v>27451.779285714285</v>
      </c>
      <c r="AM25" s="33">
        <f>+AL25*0.12</f>
        <v>3294.2135142857142</v>
      </c>
      <c r="AN25" s="33">
        <f>+AM25+AL25+AJ25</f>
        <v>30745.9928</v>
      </c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" thickBot="1">
      <c r="A26" s="42"/>
      <c r="B26" s="43"/>
      <c r="C26" s="44">
        <f>SUBTOTAL(9,C24:C25)</f>
        <v>62726.560000000005</v>
      </c>
      <c r="D26" s="45">
        <f>SUBTOTAL(9,D24:D25)</f>
        <v>42930.86</v>
      </c>
      <c r="E26" s="45">
        <f>SUBTOTAL(9,E24:E25)</f>
        <v>42933</v>
      </c>
      <c r="F26" s="47"/>
      <c r="G26" s="45">
        <f t="shared" ref="G26:P26" si="38">SUBTOTAL(9,G24:G25)</f>
        <v>0</v>
      </c>
      <c r="H26" s="45">
        <f t="shared" si="38"/>
        <v>2.1399999999994179</v>
      </c>
      <c r="I26" s="45">
        <f t="shared" si="38"/>
        <v>0</v>
      </c>
      <c r="J26" s="45">
        <f t="shared" si="38"/>
        <v>0</v>
      </c>
      <c r="K26" s="45"/>
      <c r="L26" s="45">
        <f t="shared" si="38"/>
        <v>0</v>
      </c>
      <c r="M26" s="46">
        <f t="shared" si="38"/>
        <v>336.82802999999996</v>
      </c>
      <c r="N26" s="46">
        <f t="shared" si="38"/>
        <v>78.332099999999997</v>
      </c>
      <c r="O26" s="46">
        <f t="shared" si="38"/>
        <v>15251.25987</v>
      </c>
      <c r="P26" s="46">
        <f t="shared" si="38"/>
        <v>0</v>
      </c>
      <c r="Q26" s="47"/>
      <c r="R26" s="45">
        <f t="shared" ref="R26:BQ26" si="39">SUBTOTAL(9,R24:R25)</f>
        <v>0</v>
      </c>
      <c r="S26" s="45">
        <f t="shared" si="39"/>
        <v>0</v>
      </c>
      <c r="T26" s="46">
        <f t="shared" si="39"/>
        <v>0</v>
      </c>
      <c r="U26" s="46">
        <f t="shared" si="39"/>
        <v>0</v>
      </c>
      <c r="V26" s="46">
        <f t="shared" si="39"/>
        <v>0</v>
      </c>
      <c r="W26" s="46">
        <f t="shared" si="39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9"/>
        <v>3135.9492</v>
      </c>
      <c r="AH26" s="44">
        <f t="shared" si="39"/>
        <v>553.40280000000007</v>
      </c>
      <c r="AI26" s="44">
        <f t="shared" si="39"/>
        <v>922.33800000000008</v>
      </c>
      <c r="AJ26" s="45">
        <v>0</v>
      </c>
      <c r="AK26" s="44">
        <f t="shared" si="39"/>
        <v>51888.276785714283</v>
      </c>
      <c r="AL26" s="44">
        <f t="shared" si="39"/>
        <v>50902.996785714276</v>
      </c>
      <c r="AM26" s="44">
        <f t="shared" si="39"/>
        <v>6108.3596142857132</v>
      </c>
      <c r="AN26" s="44">
        <f t="shared" si="19"/>
        <v>57011.35639999999</v>
      </c>
      <c r="AO26" s="49">
        <f t="shared" si="39"/>
        <v>0</v>
      </c>
      <c r="AP26" s="49">
        <f t="shared" si="39"/>
        <v>0</v>
      </c>
      <c r="AQ26" s="49">
        <f t="shared" si="39"/>
        <v>0</v>
      </c>
      <c r="AR26" s="49">
        <f t="shared" si="39"/>
        <v>0</v>
      </c>
      <c r="AS26" s="49">
        <f t="shared" si="39"/>
        <v>0</v>
      </c>
      <c r="AT26" s="49">
        <f t="shared" si="39"/>
        <v>0</v>
      </c>
      <c r="AU26" s="49">
        <f>SUBTOTAL(9,AU24:AU25)</f>
        <v>0</v>
      </c>
      <c r="AV26" s="49">
        <f t="shared" si="39"/>
        <v>0</v>
      </c>
      <c r="AW26" s="49">
        <f t="shared" si="39"/>
        <v>0</v>
      </c>
      <c r="AX26" s="49">
        <f t="shared" si="39"/>
        <v>0</v>
      </c>
      <c r="AY26" s="49">
        <f t="shared" si="39"/>
        <v>0</v>
      </c>
      <c r="AZ26" s="44">
        <f t="shared" si="39"/>
        <v>0</v>
      </c>
      <c r="BA26" s="48">
        <f t="shared" si="39"/>
        <v>0</v>
      </c>
      <c r="BB26" s="48">
        <f t="shared" si="39"/>
        <v>0</v>
      </c>
      <c r="BC26" s="44">
        <f t="shared" si="39"/>
        <v>0</v>
      </c>
      <c r="BD26" s="44">
        <f t="shared" si="39"/>
        <v>0</v>
      </c>
      <c r="BE26" s="49">
        <f t="shared" si="39"/>
        <v>0</v>
      </c>
      <c r="BF26" s="49">
        <f>SUBTOTAL(9,BF24:BF25)</f>
        <v>0</v>
      </c>
      <c r="BG26" s="49">
        <f t="shared" si="39"/>
        <v>0</v>
      </c>
      <c r="BH26" s="49">
        <f t="shared" si="39"/>
        <v>0</v>
      </c>
      <c r="BI26" s="49">
        <f t="shared" si="39"/>
        <v>0</v>
      </c>
      <c r="BJ26" s="49">
        <f t="shared" si="39"/>
        <v>0</v>
      </c>
      <c r="BK26" s="49">
        <f t="shared" si="39"/>
        <v>0</v>
      </c>
      <c r="BL26" s="49">
        <f t="shared" si="39"/>
        <v>0</v>
      </c>
      <c r="BM26" s="49">
        <f t="shared" si="39"/>
        <v>0</v>
      </c>
      <c r="BN26" s="49">
        <f t="shared" si="39"/>
        <v>0</v>
      </c>
      <c r="BO26" s="49">
        <f t="shared" si="39"/>
        <v>0</v>
      </c>
      <c r="BP26" s="49">
        <f t="shared" si="39"/>
        <v>0</v>
      </c>
      <c r="BQ26" s="49">
        <f t="shared" si="39"/>
        <v>0</v>
      </c>
      <c r="BR26" s="44">
        <f>SUBTOTAL(9,BR24:BR25)</f>
        <v>0</v>
      </c>
    </row>
    <row r="27" spans="1:125">
      <c r="A27" s="209">
        <f>+A24+1</f>
        <v>43350</v>
      </c>
      <c r="B27" s="32" t="s">
        <v>43</v>
      </c>
      <c r="C27" s="33">
        <v>23385.759999999998</v>
      </c>
      <c r="D27" s="34">
        <v>14333.71</v>
      </c>
      <c r="E27" s="34">
        <v>14340</v>
      </c>
      <c r="F27" s="35">
        <v>43350</v>
      </c>
      <c r="G27" s="33"/>
      <c r="H27" s="33">
        <f>IF(E27-D27&gt;0,E27-D27,0)</f>
        <v>6.2900000000008731</v>
      </c>
      <c r="I27" s="34"/>
      <c r="J27" s="34"/>
      <c r="K27" s="34">
        <v>8273.1200000000008</v>
      </c>
      <c r="L27" s="34"/>
      <c r="M27" s="36">
        <f>(+K27)*M$5</f>
        <v>177.87208000000001</v>
      </c>
      <c r="N27" s="36">
        <f>(+K27)*N$5</f>
        <v>41.365600000000008</v>
      </c>
      <c r="O27" s="36">
        <f>+K27-M27-N27+P27</f>
        <v>8053.8823200000006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f>10.75+34</f>
        <v>44.75</v>
      </c>
      <c r="AA27" s="34"/>
      <c r="AB27" s="34"/>
      <c r="AC27" s="34">
        <v>65.180000000000007</v>
      </c>
      <c r="AD27" s="38" t="s">
        <v>139</v>
      </c>
      <c r="AE27" s="38">
        <v>669</v>
      </c>
      <c r="AF27" s="34">
        <v>1798.87</v>
      </c>
      <c r="AG27" s="33">
        <f>(AF27*0.8)*0.85</f>
        <v>1223.2316000000001</v>
      </c>
      <c r="AH27" s="33">
        <f>(AF27*0.8)*0.15</f>
        <v>215.86439999999999</v>
      </c>
      <c r="AI27" s="33">
        <f>AF27*0.2</f>
        <v>359.774</v>
      </c>
      <c r="AJ27" s="34">
        <v>0</v>
      </c>
      <c r="AK27" s="33">
        <f t="shared" ref="AK27" si="40">(C27-AF27-AJ27)/1.12</f>
        <v>19274.008928571428</v>
      </c>
      <c r="AL27" s="33">
        <f t="shared" ref="AL27" si="41">AK27-SUM(Y27:AC27)</f>
        <v>19164.078928571427</v>
      </c>
      <c r="AM27" s="33">
        <f t="shared" ref="AM27" si="42">+AL27*0.12</f>
        <v>2299.6894714285713</v>
      </c>
      <c r="AN27" s="33">
        <f t="shared" si="19"/>
        <v>21463.768399999997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" thickBot="1">
      <c r="A28" s="210"/>
      <c r="B28" s="15" t="s">
        <v>44</v>
      </c>
      <c r="C28" s="33">
        <v>23092.91</v>
      </c>
      <c r="D28" s="34">
        <v>12328.44</v>
      </c>
      <c r="E28" s="34">
        <v>12340</v>
      </c>
      <c r="F28" s="35">
        <v>43351</v>
      </c>
      <c r="G28" s="33"/>
      <c r="H28" s="33">
        <f>IF(E28-D28&gt;0,E28-D28,0)</f>
        <v>11.559999999999491</v>
      </c>
      <c r="I28" s="34"/>
      <c r="J28" s="34"/>
      <c r="K28" s="34">
        <v>7574.9</v>
      </c>
      <c r="L28" s="34"/>
      <c r="M28" s="36">
        <f>(+K28)*M$5</f>
        <v>162.86034999999998</v>
      </c>
      <c r="N28" s="36">
        <f>(+K28)*N$5</f>
        <v>37.874499999999998</v>
      </c>
      <c r="O28" s="36">
        <f>+K28-M28-N28+P28</f>
        <v>7374.1651499999998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f>18.75+133.8</f>
        <v>152.55000000000001</v>
      </c>
      <c r="AA28" s="34"/>
      <c r="AB28" s="34"/>
      <c r="AC28" s="34">
        <v>34.82</v>
      </c>
      <c r="AD28" s="38" t="s">
        <v>139</v>
      </c>
      <c r="AE28" s="38">
        <v>3002.2</v>
      </c>
      <c r="AF28" s="34">
        <v>1493.8</v>
      </c>
      <c r="AG28" s="33">
        <f>(AF28*0.8)*0.85</f>
        <v>1015.784</v>
      </c>
      <c r="AH28" s="33">
        <f>(AF28*0.8)*0.15</f>
        <v>179.256</v>
      </c>
      <c r="AI28" s="33">
        <f>AF28*0.2</f>
        <v>298.76</v>
      </c>
      <c r="AJ28" s="34">
        <v>0</v>
      </c>
      <c r="AK28" s="33">
        <f>(C28-AF28-AJ28)/1.12</f>
        <v>19284.919642857141</v>
      </c>
      <c r="AL28" s="33">
        <f>AK28-SUM(Y28:AC28)</f>
        <v>19097.549642857142</v>
      </c>
      <c r="AM28" s="33">
        <f>+AL28*0.12</f>
        <v>2291.7059571428572</v>
      </c>
      <c r="AN28" s="33">
        <f>+AM28+AL28+AJ28</f>
        <v>21389.2556</v>
      </c>
      <c r="AO28" s="39">
        <v>340</v>
      </c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340</v>
      </c>
      <c r="BA28" s="38"/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340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" thickBot="1">
      <c r="A29" s="42"/>
      <c r="B29" s="43"/>
      <c r="C29" s="44">
        <f>SUBTOTAL(9,C27:C28)</f>
        <v>46478.67</v>
      </c>
      <c r="D29" s="45">
        <f>SUBTOTAL(9,D27:D28)</f>
        <v>26662.15</v>
      </c>
      <c r="E29" s="45">
        <f>SUBTOTAL(9,E27:E28)</f>
        <v>26680</v>
      </c>
      <c r="F29" s="47"/>
      <c r="G29" s="45">
        <f t="shared" ref="G29:P29" si="43">SUBTOTAL(9,G27:G28)</f>
        <v>0</v>
      </c>
      <c r="H29" s="45">
        <f t="shared" si="43"/>
        <v>17.850000000000364</v>
      </c>
      <c r="I29" s="45">
        <f t="shared" si="43"/>
        <v>0</v>
      </c>
      <c r="J29" s="45">
        <f t="shared" si="43"/>
        <v>0</v>
      </c>
      <c r="K29" s="160">
        <f t="shared" si="43"/>
        <v>15848.02</v>
      </c>
      <c r="L29" s="45">
        <f t="shared" si="43"/>
        <v>0</v>
      </c>
      <c r="M29" s="46">
        <f t="shared" si="43"/>
        <v>340.73243000000002</v>
      </c>
      <c r="N29" s="46">
        <f t="shared" si="43"/>
        <v>79.240100000000012</v>
      </c>
      <c r="O29" s="46">
        <f t="shared" si="43"/>
        <v>15428.047470000001</v>
      </c>
      <c r="P29" s="46">
        <f t="shared" si="43"/>
        <v>0</v>
      </c>
      <c r="Q29" s="47"/>
      <c r="R29" s="45">
        <f t="shared" ref="R29:BQ29" si="44">SUBTOTAL(9,R27:R28)</f>
        <v>0</v>
      </c>
      <c r="S29" s="45">
        <f t="shared" si="44"/>
        <v>0</v>
      </c>
      <c r="T29" s="46">
        <f t="shared" si="44"/>
        <v>0</v>
      </c>
      <c r="U29" s="46">
        <f t="shared" si="44"/>
        <v>0</v>
      </c>
      <c r="V29" s="46">
        <f t="shared" si="44"/>
        <v>0</v>
      </c>
      <c r="W29" s="46">
        <f t="shared" si="44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44"/>
        <v>2239.0156000000002</v>
      </c>
      <c r="AH29" s="44">
        <f t="shared" si="44"/>
        <v>395.12040000000002</v>
      </c>
      <c r="AI29" s="44">
        <f t="shared" si="44"/>
        <v>658.53399999999999</v>
      </c>
      <c r="AJ29" s="45">
        <f t="shared" si="44"/>
        <v>0</v>
      </c>
      <c r="AK29" s="44">
        <f t="shared" si="44"/>
        <v>38558.928571428565</v>
      </c>
      <c r="AL29" s="44">
        <f t="shared" si="44"/>
        <v>38261.62857142857</v>
      </c>
      <c r="AM29" s="44">
        <f t="shared" si="44"/>
        <v>4591.3954285714281</v>
      </c>
      <c r="AN29" s="44">
        <f t="shared" si="19"/>
        <v>42853.023999999998</v>
      </c>
      <c r="AO29" s="49">
        <f t="shared" si="44"/>
        <v>340</v>
      </c>
      <c r="AP29" s="49">
        <f t="shared" si="44"/>
        <v>0</v>
      </c>
      <c r="AQ29" s="49">
        <f t="shared" si="44"/>
        <v>0</v>
      </c>
      <c r="AR29" s="49">
        <f t="shared" si="44"/>
        <v>0</v>
      </c>
      <c r="AS29" s="49">
        <f t="shared" si="44"/>
        <v>0</v>
      </c>
      <c r="AT29" s="49">
        <f t="shared" si="44"/>
        <v>0</v>
      </c>
      <c r="AU29" s="49">
        <f>SUBTOTAL(9,AU27:AU28)</f>
        <v>0</v>
      </c>
      <c r="AV29" s="49">
        <f t="shared" si="44"/>
        <v>0</v>
      </c>
      <c r="AW29" s="49">
        <f t="shared" si="44"/>
        <v>0</v>
      </c>
      <c r="AX29" s="49">
        <f t="shared" si="44"/>
        <v>0</v>
      </c>
      <c r="AY29" s="49">
        <f t="shared" si="44"/>
        <v>0</v>
      </c>
      <c r="AZ29" s="44">
        <f t="shared" si="44"/>
        <v>340</v>
      </c>
      <c r="BA29" s="48">
        <f t="shared" si="44"/>
        <v>0</v>
      </c>
      <c r="BB29" s="48">
        <f t="shared" si="44"/>
        <v>0</v>
      </c>
      <c r="BC29" s="44">
        <f t="shared" si="44"/>
        <v>0</v>
      </c>
      <c r="BD29" s="44">
        <f t="shared" si="44"/>
        <v>0</v>
      </c>
      <c r="BE29" s="49">
        <f t="shared" si="44"/>
        <v>0</v>
      </c>
      <c r="BF29" s="49">
        <f>SUBTOTAL(9,BF27:BF28)</f>
        <v>0</v>
      </c>
      <c r="BG29" s="49">
        <f t="shared" si="44"/>
        <v>0</v>
      </c>
      <c r="BH29" s="49">
        <f t="shared" si="44"/>
        <v>0</v>
      </c>
      <c r="BI29" s="49">
        <f t="shared" si="44"/>
        <v>0</v>
      </c>
      <c r="BJ29" s="49">
        <f t="shared" si="44"/>
        <v>0</v>
      </c>
      <c r="BK29" s="49">
        <f t="shared" si="44"/>
        <v>0</v>
      </c>
      <c r="BL29" s="49">
        <f t="shared" si="44"/>
        <v>0</v>
      </c>
      <c r="BM29" s="49">
        <f t="shared" si="44"/>
        <v>0</v>
      </c>
      <c r="BN29" s="49">
        <f t="shared" si="44"/>
        <v>0</v>
      </c>
      <c r="BO29" s="49">
        <f t="shared" si="44"/>
        <v>0</v>
      </c>
      <c r="BP29" s="49">
        <f t="shared" si="44"/>
        <v>0</v>
      </c>
      <c r="BQ29" s="49">
        <f t="shared" si="44"/>
        <v>0</v>
      </c>
      <c r="BR29" s="44">
        <f>SUBTOTAL(9,BR27:BR28)</f>
        <v>340</v>
      </c>
    </row>
    <row r="30" spans="1:125">
      <c r="A30" s="209">
        <f>+A27+1</f>
        <v>43351</v>
      </c>
      <c r="B30" s="32" t="s">
        <v>43</v>
      </c>
      <c r="C30" s="33" t="s">
        <v>135</v>
      </c>
      <c r="D30" s="34"/>
      <c r="E30" s="34"/>
      <c r="F30" s="35"/>
      <c r="G30" s="33">
        <f>IF(E30-D30&lt;0,E30-D30,0)*-1</f>
        <v>0</v>
      </c>
      <c r="H30" s="33">
        <f>IF(E30-D30&gt;0,E30-D30,0)</f>
        <v>0</v>
      </c>
      <c r="I30" s="34"/>
      <c r="J30" s="34"/>
      <c r="K30" s="34"/>
      <c r="L30" s="34"/>
      <c r="M30" s="36">
        <f>(+K30)*M$5</f>
        <v>0</v>
      </c>
      <c r="N30" s="36">
        <f>(+K30)*N$5</f>
        <v>0</v>
      </c>
      <c r="O30" s="36">
        <f>+K30-M30-N30+P30</f>
        <v>0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/>
      <c r="AA30" s="34"/>
      <c r="AB30" s="34"/>
      <c r="AC30" s="34"/>
      <c r="AD30" s="38"/>
      <c r="AE30" s="38"/>
      <c r="AF30" s="34"/>
      <c r="AG30" s="33">
        <f>(AF30*0.8)*0.85</f>
        <v>0</v>
      </c>
      <c r="AH30" s="33">
        <f>(AF30*0.8)*0.15</f>
        <v>0</v>
      </c>
      <c r="AI30" s="33">
        <f>AF30*0.2</f>
        <v>0</v>
      </c>
      <c r="AJ30" s="34">
        <v>0</v>
      </c>
      <c r="AK30" s="33">
        <v>0</v>
      </c>
      <c r="AL30" s="33">
        <f t="shared" ref="AL30" si="45">AK30-SUM(Y30:AC30)</f>
        <v>0</v>
      </c>
      <c r="AM30" s="33">
        <f t="shared" ref="AM30" si="46">+AL30*0.12</f>
        <v>0</v>
      </c>
      <c r="AN30" s="33">
        <f t="shared" ref="AN30" si="47">+AM30+AL30+AJ30</f>
        <v>0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" thickBot="1">
      <c r="A31" s="210"/>
      <c r="B31" s="15" t="s">
        <v>44</v>
      </c>
      <c r="C31" s="33">
        <v>13527.14</v>
      </c>
      <c r="D31" s="34">
        <v>8539.2000000000007</v>
      </c>
      <c r="E31" s="34">
        <v>8540</v>
      </c>
      <c r="F31" s="35">
        <v>43353</v>
      </c>
      <c r="G31" s="33">
        <f>IF(E31-D31&lt;0,E31-D31,0)*-1</f>
        <v>0</v>
      </c>
      <c r="H31" s="33">
        <f>IF(E31-D31&gt;0,E31-D31,0)</f>
        <v>0.7999999999992724</v>
      </c>
      <c r="I31" s="34">
        <v>1800</v>
      </c>
      <c r="J31" s="34"/>
      <c r="K31" s="34">
        <v>3207.94</v>
      </c>
      <c r="L31" s="34"/>
      <c r="M31" s="36">
        <f>(+K31)*M$5</f>
        <v>68.970709999999997</v>
      </c>
      <c r="N31" s="36">
        <f>(+K31)*N$5</f>
        <v>16.0397</v>
      </c>
      <c r="O31" s="36">
        <f>+K31-M31-N31+P31</f>
        <v>3122.9295900000002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/>
      <c r="AD31" s="38"/>
      <c r="AE31" s="38"/>
      <c r="AF31" s="34">
        <v>932.14</v>
      </c>
      <c r="AG31" s="33">
        <f>(AF31*0.8)*0.85</f>
        <v>633.85519999999997</v>
      </c>
      <c r="AH31" s="33">
        <f>(AF31*0.8)*0.15</f>
        <v>111.85679999999999</v>
      </c>
      <c r="AI31" s="33">
        <f>AF31*0.2</f>
        <v>186.428</v>
      </c>
      <c r="AJ31" s="34">
        <v>0</v>
      </c>
      <c r="AK31" s="33">
        <f t="shared" ref="AK31" si="48">(C31-AF31-AJ31)/1.12</f>
        <v>11245.535714285714</v>
      </c>
      <c r="AL31" s="33">
        <f t="shared" ref="AL31" si="49">AK31-SUM(Y31:AC31)</f>
        <v>11245.535714285714</v>
      </c>
      <c r="AM31" s="33">
        <f t="shared" ref="AM31" si="50">+AL31*0.12</f>
        <v>1349.4642857142856</v>
      </c>
      <c r="AN31" s="33">
        <f t="shared" ref="AN31" si="51">+AM31+AL31+AJ31</f>
        <v>12595</v>
      </c>
      <c r="AO31" s="39">
        <v>763</v>
      </c>
      <c r="AP31" s="40"/>
      <c r="AQ31" s="40">
        <v>1780</v>
      </c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2543</v>
      </c>
      <c r="BA31" s="38"/>
      <c r="BB31" s="38">
        <v>0</v>
      </c>
      <c r="BC31" s="33">
        <v>0</v>
      </c>
      <c r="BD31" s="33">
        <v>0</v>
      </c>
      <c r="BE31" s="39"/>
      <c r="BF31" s="39">
        <v>0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2543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" thickBot="1">
      <c r="A32" s="42"/>
      <c r="B32" s="43"/>
      <c r="C32" s="44">
        <f>SUBTOTAL(9,C30:C31)</f>
        <v>13527.14</v>
      </c>
      <c r="D32" s="45">
        <f>SUBTOTAL(9,D30:D31)</f>
        <v>8539.2000000000007</v>
      </c>
      <c r="E32" s="45">
        <f>SUBTOTAL(9,E30:E31)</f>
        <v>8540</v>
      </c>
      <c r="F32" s="47"/>
      <c r="G32" s="45">
        <f t="shared" ref="G32:P32" si="52">SUBTOTAL(9,G30:G31)</f>
        <v>0</v>
      </c>
      <c r="H32" s="45">
        <f t="shared" si="52"/>
        <v>0.7999999999992724</v>
      </c>
      <c r="I32" s="45">
        <f t="shared" si="52"/>
        <v>1800</v>
      </c>
      <c r="J32" s="45">
        <f t="shared" si="52"/>
        <v>0</v>
      </c>
      <c r="K32" s="160">
        <f t="shared" si="52"/>
        <v>3207.94</v>
      </c>
      <c r="L32" s="45">
        <f t="shared" si="52"/>
        <v>0</v>
      </c>
      <c r="M32" s="46">
        <f t="shared" si="52"/>
        <v>68.970709999999997</v>
      </c>
      <c r="N32" s="46">
        <f t="shared" si="52"/>
        <v>16.0397</v>
      </c>
      <c r="O32" s="46">
        <f t="shared" si="52"/>
        <v>3122.9295900000002</v>
      </c>
      <c r="P32" s="46">
        <f t="shared" si="52"/>
        <v>0</v>
      </c>
      <c r="Q32" s="47"/>
      <c r="R32" s="45">
        <f t="shared" ref="R32:BQ32" si="53">SUBTOTAL(9,R30:R31)</f>
        <v>0</v>
      </c>
      <c r="S32" s="45">
        <f t="shared" si="53"/>
        <v>0</v>
      </c>
      <c r="T32" s="46">
        <f t="shared" si="53"/>
        <v>0</v>
      </c>
      <c r="U32" s="46">
        <f t="shared" si="53"/>
        <v>0</v>
      </c>
      <c r="V32" s="46">
        <f t="shared" si="53"/>
        <v>0</v>
      </c>
      <c r="W32" s="46">
        <f t="shared" si="53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53"/>
        <v>633.85519999999997</v>
      </c>
      <c r="AH32" s="44">
        <f t="shared" si="53"/>
        <v>111.85679999999999</v>
      </c>
      <c r="AI32" s="44">
        <f t="shared" si="53"/>
        <v>186.428</v>
      </c>
      <c r="AJ32" s="45">
        <f t="shared" si="53"/>
        <v>0</v>
      </c>
      <c r="AK32" s="44">
        <f t="shared" si="53"/>
        <v>11245.535714285714</v>
      </c>
      <c r="AL32" s="44">
        <f t="shared" si="53"/>
        <v>11245.535714285714</v>
      </c>
      <c r="AM32" s="44">
        <f t="shared" si="53"/>
        <v>1349.4642857142856</v>
      </c>
      <c r="AN32" s="44">
        <f t="shared" si="19"/>
        <v>12595</v>
      </c>
      <c r="AO32" s="49">
        <f t="shared" si="53"/>
        <v>763</v>
      </c>
      <c r="AP32" s="49">
        <f t="shared" si="53"/>
        <v>0</v>
      </c>
      <c r="AQ32" s="49">
        <f t="shared" si="53"/>
        <v>1780</v>
      </c>
      <c r="AR32" s="49">
        <f t="shared" si="53"/>
        <v>0</v>
      </c>
      <c r="AS32" s="49">
        <f t="shared" si="53"/>
        <v>0</v>
      </c>
      <c r="AT32" s="49">
        <f t="shared" si="53"/>
        <v>0</v>
      </c>
      <c r="AU32" s="49">
        <f>SUBTOTAL(9,AU30:AU31)</f>
        <v>0</v>
      </c>
      <c r="AV32" s="49">
        <f t="shared" si="53"/>
        <v>0</v>
      </c>
      <c r="AW32" s="49">
        <f t="shared" si="53"/>
        <v>0</v>
      </c>
      <c r="AX32" s="49">
        <f t="shared" si="53"/>
        <v>0</v>
      </c>
      <c r="AY32" s="49">
        <f t="shared" si="53"/>
        <v>0</v>
      </c>
      <c r="AZ32" s="44">
        <f t="shared" si="53"/>
        <v>2543</v>
      </c>
      <c r="BA32" s="48">
        <f t="shared" si="53"/>
        <v>0</v>
      </c>
      <c r="BB32" s="48">
        <f t="shared" si="53"/>
        <v>0</v>
      </c>
      <c r="BC32" s="44">
        <f t="shared" si="53"/>
        <v>0</v>
      </c>
      <c r="BD32" s="44">
        <f t="shared" si="53"/>
        <v>0</v>
      </c>
      <c r="BE32" s="49">
        <f t="shared" si="53"/>
        <v>0</v>
      </c>
      <c r="BF32" s="49">
        <f>SUBTOTAL(9,BF30:BF31)</f>
        <v>0</v>
      </c>
      <c r="BG32" s="49">
        <f t="shared" si="53"/>
        <v>0</v>
      </c>
      <c r="BH32" s="49">
        <f t="shared" si="53"/>
        <v>0</v>
      </c>
      <c r="BI32" s="49">
        <f t="shared" si="53"/>
        <v>0</v>
      </c>
      <c r="BJ32" s="49">
        <f t="shared" si="53"/>
        <v>0</v>
      </c>
      <c r="BK32" s="49">
        <f t="shared" si="53"/>
        <v>0</v>
      </c>
      <c r="BL32" s="49">
        <f t="shared" si="53"/>
        <v>0</v>
      </c>
      <c r="BM32" s="49">
        <f t="shared" si="53"/>
        <v>0</v>
      </c>
      <c r="BN32" s="49">
        <f t="shared" si="53"/>
        <v>0</v>
      </c>
      <c r="BO32" s="49">
        <f t="shared" si="53"/>
        <v>0</v>
      </c>
      <c r="BP32" s="49">
        <f t="shared" si="53"/>
        <v>0</v>
      </c>
      <c r="BQ32" s="49">
        <f t="shared" si="53"/>
        <v>0</v>
      </c>
      <c r="BR32" s="44">
        <f>SUBTOTAL(9,BR30:BR31)</f>
        <v>2543</v>
      </c>
    </row>
    <row r="33" spans="1:125">
      <c r="A33" s="209">
        <f>+A30+1</f>
        <v>43352</v>
      </c>
      <c r="B33" s="32" t="s">
        <v>43</v>
      </c>
      <c r="C33" s="33" t="s">
        <v>138</v>
      </c>
      <c r="D33" s="34"/>
      <c r="E33" s="34"/>
      <c r="F33" s="35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v>0</v>
      </c>
      <c r="AL33" s="33">
        <f>AK33-SUM(Y33:AC33)</f>
        <v>0</v>
      </c>
      <c r="AM33" s="33">
        <f>+AL33*0.12</f>
        <v>0</v>
      </c>
      <c r="AN33" s="33">
        <f>+AM33+AL33+AJ33</f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" thickBot="1">
      <c r="A34" s="210"/>
      <c r="B34" s="15" t="s">
        <v>44</v>
      </c>
      <c r="C34" s="33"/>
      <c r="D34" s="34"/>
      <c r="E34" s="34"/>
      <c r="F34" s="35"/>
      <c r="G34" s="33">
        <f>IF(E34-D34&lt;0,E34-D34,0)*-1</f>
        <v>0</v>
      </c>
      <c r="H34" s="33">
        <f>IF(E34-D34&gt;0,E34-D34,0)</f>
        <v>0</v>
      </c>
      <c r="I34" s="34"/>
      <c r="J34" s="34"/>
      <c r="K34" s="34"/>
      <c r="L34" s="34"/>
      <c r="M34" s="36">
        <f>(+K34)*M$5</f>
        <v>0</v>
      </c>
      <c r="N34" s="36">
        <f>(+K34)*N$5</f>
        <v>0</v>
      </c>
      <c r="O34" s="36">
        <f>+K34-M34-N34+P34</f>
        <v>0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/>
      <c r="AF34" s="34"/>
      <c r="AG34" s="33">
        <f>(AF34*0.8)*0.85</f>
        <v>0</v>
      </c>
      <c r="AH34" s="33">
        <f>(AF34*0.8)*0.15</f>
        <v>0</v>
      </c>
      <c r="AI34" s="33">
        <f>AF34*0.2</f>
        <v>0</v>
      </c>
      <c r="AJ34" s="34">
        <v>0</v>
      </c>
      <c r="AK34" s="33">
        <f>(C34-AF34-AJ34)/1.12</f>
        <v>0</v>
      </c>
      <c r="AL34" s="33">
        <f>AK34-SUM(Y34:AC34)</f>
        <v>0</v>
      </c>
      <c r="AM34" s="33">
        <f>+AL34*0.12</f>
        <v>0</v>
      </c>
      <c r="AN34" s="33">
        <f>+AM34+AL34+AJ34</f>
        <v>0</v>
      </c>
      <c r="AO34" s="39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>
        <v>0</v>
      </c>
      <c r="BN34" s="39"/>
      <c r="BO34" s="39"/>
      <c r="BP34" s="39"/>
      <c r="BQ34" s="39"/>
      <c r="BR34" s="41">
        <f>AZ34+BA34+BB34+BD34-BC34</f>
        <v>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" thickBot="1">
      <c r="A35" s="42"/>
      <c r="B35" s="43"/>
      <c r="C35" s="44">
        <f t="shared" ref="C35:Y35" si="54">SUBTOTAL(9,C33:C34)</f>
        <v>0</v>
      </c>
      <c r="D35" s="160">
        <f t="shared" si="54"/>
        <v>0</v>
      </c>
      <c r="E35" s="160">
        <f t="shared" si="54"/>
        <v>0</v>
      </c>
      <c r="F35" s="171"/>
      <c r="G35" s="44">
        <f t="shared" si="54"/>
        <v>0</v>
      </c>
      <c r="H35" s="44">
        <f t="shared" si="54"/>
        <v>0</v>
      </c>
      <c r="I35" s="160">
        <f t="shared" si="54"/>
        <v>0</v>
      </c>
      <c r="J35" s="160">
        <f t="shared" si="54"/>
        <v>0</v>
      </c>
      <c r="K35" s="160">
        <f t="shared" si="54"/>
        <v>0</v>
      </c>
      <c r="L35" s="160">
        <f t="shared" si="54"/>
        <v>0</v>
      </c>
      <c r="M35" s="44">
        <f t="shared" si="54"/>
        <v>0</v>
      </c>
      <c r="N35" s="44">
        <f t="shared" si="54"/>
        <v>0</v>
      </c>
      <c r="O35" s="44">
        <f t="shared" si="54"/>
        <v>0</v>
      </c>
      <c r="P35" s="44">
        <f t="shared" si="54"/>
        <v>0</v>
      </c>
      <c r="Q35" s="160">
        <f t="shared" si="54"/>
        <v>0</v>
      </c>
      <c r="R35" s="160">
        <f t="shared" si="54"/>
        <v>0</v>
      </c>
      <c r="S35" s="160">
        <f t="shared" si="54"/>
        <v>0</v>
      </c>
      <c r="T35" s="44">
        <f t="shared" si="54"/>
        <v>0</v>
      </c>
      <c r="U35" s="44">
        <f t="shared" si="54"/>
        <v>0</v>
      </c>
      <c r="V35" s="44">
        <f t="shared" si="54"/>
        <v>0</v>
      </c>
      <c r="W35" s="44">
        <f t="shared" si="54"/>
        <v>0</v>
      </c>
      <c r="X35" s="160">
        <f t="shared" si="54"/>
        <v>0</v>
      </c>
      <c r="Y35" s="160">
        <f t="shared" si="54"/>
        <v>0</v>
      </c>
      <c r="Z35" s="160"/>
      <c r="AA35" s="160"/>
      <c r="AB35" s="160"/>
      <c r="AC35" s="160"/>
      <c r="AD35" s="48"/>
      <c r="AE35" s="48"/>
      <c r="AF35" s="45"/>
      <c r="AG35" s="44">
        <f t="shared" ref="AG35:BQ35" si="55">SUBTOTAL(9,AG33:AG34)</f>
        <v>0</v>
      </c>
      <c r="AH35" s="44">
        <f t="shared" si="55"/>
        <v>0</v>
      </c>
      <c r="AI35" s="44">
        <f t="shared" si="55"/>
        <v>0</v>
      </c>
      <c r="AJ35" s="45">
        <f t="shared" si="55"/>
        <v>0</v>
      </c>
      <c r="AK35" s="44">
        <f t="shared" si="55"/>
        <v>0</v>
      </c>
      <c r="AL35" s="44">
        <f t="shared" si="55"/>
        <v>0</v>
      </c>
      <c r="AM35" s="44">
        <f t="shared" si="55"/>
        <v>0</v>
      </c>
      <c r="AN35" s="44">
        <f t="shared" si="19"/>
        <v>0</v>
      </c>
      <c r="AO35" s="49">
        <f t="shared" si="55"/>
        <v>0</v>
      </c>
      <c r="AP35" s="49">
        <f t="shared" si="55"/>
        <v>0</v>
      </c>
      <c r="AQ35" s="49">
        <f t="shared" si="55"/>
        <v>0</v>
      </c>
      <c r="AR35" s="49">
        <f t="shared" si="55"/>
        <v>0</v>
      </c>
      <c r="AS35" s="49">
        <f t="shared" si="55"/>
        <v>0</v>
      </c>
      <c r="AT35" s="49">
        <f t="shared" si="55"/>
        <v>0</v>
      </c>
      <c r="AU35" s="49">
        <f>SUBTOTAL(9,AU33:AU34)</f>
        <v>0</v>
      </c>
      <c r="AV35" s="49">
        <f t="shared" si="55"/>
        <v>0</v>
      </c>
      <c r="AW35" s="49">
        <f t="shared" si="55"/>
        <v>0</v>
      </c>
      <c r="AX35" s="49">
        <f t="shared" si="55"/>
        <v>0</v>
      </c>
      <c r="AY35" s="49">
        <f t="shared" si="55"/>
        <v>0</v>
      </c>
      <c r="AZ35" s="44">
        <f t="shared" si="55"/>
        <v>0</v>
      </c>
      <c r="BA35" s="48">
        <f t="shared" si="55"/>
        <v>0</v>
      </c>
      <c r="BB35" s="48">
        <f t="shared" si="55"/>
        <v>0</v>
      </c>
      <c r="BC35" s="44">
        <f t="shared" si="55"/>
        <v>0</v>
      </c>
      <c r="BD35" s="44">
        <f t="shared" si="55"/>
        <v>0</v>
      </c>
      <c r="BE35" s="49">
        <f t="shared" si="55"/>
        <v>0</v>
      </c>
      <c r="BF35" s="49">
        <f>SUBTOTAL(9,BF33:BF34)</f>
        <v>0</v>
      </c>
      <c r="BG35" s="49">
        <f t="shared" si="55"/>
        <v>0</v>
      </c>
      <c r="BH35" s="49">
        <f t="shared" si="55"/>
        <v>0</v>
      </c>
      <c r="BI35" s="49">
        <f t="shared" si="55"/>
        <v>0</v>
      </c>
      <c r="BJ35" s="49">
        <f t="shared" si="55"/>
        <v>0</v>
      </c>
      <c r="BK35" s="49">
        <f t="shared" si="55"/>
        <v>0</v>
      </c>
      <c r="BL35" s="49">
        <f t="shared" si="55"/>
        <v>0</v>
      </c>
      <c r="BM35" s="49">
        <f t="shared" si="55"/>
        <v>0</v>
      </c>
      <c r="BN35" s="49">
        <f t="shared" si="55"/>
        <v>0</v>
      </c>
      <c r="BO35" s="49">
        <f t="shared" si="55"/>
        <v>0</v>
      </c>
      <c r="BP35" s="49">
        <f t="shared" si="55"/>
        <v>0</v>
      </c>
      <c r="BQ35" s="49">
        <f t="shared" si="55"/>
        <v>0</v>
      </c>
      <c r="BR35" s="44">
        <f>SUBTOTAL(9,BR33:BR34)</f>
        <v>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209">
        <f>+A33+1</f>
        <v>43353</v>
      </c>
      <c r="B36" s="15" t="s">
        <v>43</v>
      </c>
      <c r="C36" s="33">
        <v>16022.93</v>
      </c>
      <c r="D36" s="34">
        <v>12188.52</v>
      </c>
      <c r="E36" s="34">
        <v>12190</v>
      </c>
      <c r="F36" s="35">
        <v>43353</v>
      </c>
      <c r="G36" s="33">
        <f>IF(E36-D36&lt;0,E36-D36,0)*-1</f>
        <v>0</v>
      </c>
      <c r="H36" s="33">
        <f>IF(E36-D36&gt;0,E36-D36,0)</f>
        <v>1.4799999999995634</v>
      </c>
      <c r="I36" s="34"/>
      <c r="J36" s="34"/>
      <c r="K36" s="34">
        <v>974.91</v>
      </c>
      <c r="L36" s="34"/>
      <c r="M36" s="36">
        <f>(+K36)*M$5</f>
        <v>20.960564999999999</v>
      </c>
      <c r="N36" s="36">
        <f>(+K36)*N$5</f>
        <v>4.8745500000000002</v>
      </c>
      <c r="O36" s="36">
        <f>+K36-M36-N36+P36</f>
        <v>949.07488499999999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f>36+10.75+177</f>
        <v>223.75</v>
      </c>
      <c r="AA36" s="34"/>
      <c r="AB36" s="34"/>
      <c r="AC36" s="34">
        <v>364.75</v>
      </c>
      <c r="AD36" s="38" t="s">
        <v>137</v>
      </c>
      <c r="AE36" s="38">
        <v>2271</v>
      </c>
      <c r="AF36" s="34">
        <v>985.77</v>
      </c>
      <c r="AG36" s="33">
        <f>(AF36*0.8)*0.85</f>
        <v>670.32359999999994</v>
      </c>
      <c r="AH36" s="33">
        <f>(AF36*0.8)*0.15</f>
        <v>118.29239999999999</v>
      </c>
      <c r="AI36" s="33">
        <f>AF36*0.2</f>
        <v>197.154</v>
      </c>
      <c r="AJ36" s="34">
        <v>0</v>
      </c>
      <c r="AK36" s="33">
        <f>(C36-AF36-AJ36)/1.12</f>
        <v>13426.035714285714</v>
      </c>
      <c r="AL36" s="33">
        <f>AK36-SUM(Y36:AC36)</f>
        <v>12837.535714285714</v>
      </c>
      <c r="AM36" s="33">
        <f>+AL36*0.12</f>
        <v>1540.5042857142855</v>
      </c>
      <c r="AN36" s="33">
        <f>+AM36+AL36+AJ36</f>
        <v>14378.039999999999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" thickBot="1">
      <c r="A37" s="210"/>
      <c r="B37" s="15" t="s">
        <v>44</v>
      </c>
      <c r="C37" s="33">
        <v>18595.34</v>
      </c>
      <c r="D37" s="34">
        <v>7157.85</v>
      </c>
      <c r="E37" s="34">
        <v>7160</v>
      </c>
      <c r="F37" s="35">
        <v>43354</v>
      </c>
      <c r="G37" s="33">
        <f>IF(E37-D37&lt;0,E37-D37,0)*-1</f>
        <v>0</v>
      </c>
      <c r="H37" s="33">
        <f>IF(E37-D37&gt;0,E37-D37,0)</f>
        <v>2.1499999999996362</v>
      </c>
      <c r="I37" s="34"/>
      <c r="J37" s="34"/>
      <c r="K37" s="34">
        <v>5626.06</v>
      </c>
      <c r="L37" s="34"/>
      <c r="M37" s="36">
        <f>(+K37)*M$5</f>
        <v>120.96029</v>
      </c>
      <c r="N37" s="36">
        <f>(+K37)*N$5</f>
        <v>28.130300000000002</v>
      </c>
      <c r="O37" s="36">
        <f>+K37-M37-N37+P37</f>
        <v>5476.9694100000006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352.8</v>
      </c>
      <c r="AA37" s="34"/>
      <c r="AB37" s="34"/>
      <c r="AC37" s="34">
        <v>46.43</v>
      </c>
      <c r="AD37" s="38" t="s">
        <v>137</v>
      </c>
      <c r="AE37" s="38">
        <v>5412.2</v>
      </c>
      <c r="AF37" s="34">
        <v>989.2</v>
      </c>
      <c r="AG37" s="33">
        <f>(AF37*0.8)*0.85</f>
        <v>672.65600000000006</v>
      </c>
      <c r="AH37" s="33">
        <f>(AF37*0.8)*0.15</f>
        <v>118.70400000000001</v>
      </c>
      <c r="AI37" s="33">
        <f>AF37*0.2</f>
        <v>197.84000000000003</v>
      </c>
      <c r="AJ37" s="34"/>
      <c r="AK37" s="33">
        <f>(C37-AF37-AJ37)/1.12</f>
        <v>15719.767857142855</v>
      </c>
      <c r="AL37" s="33">
        <f>AK37-SUM(Y37:AC37)</f>
        <v>15320.537857142856</v>
      </c>
      <c r="AM37" s="33">
        <f>+AL37*0.12</f>
        <v>1838.4645428571425</v>
      </c>
      <c r="AN37" s="33">
        <f>+AM37+AL37+AJ37</f>
        <v>17159.002399999998</v>
      </c>
      <c r="AO37" s="39">
        <v>130</v>
      </c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130</v>
      </c>
      <c r="BA37" s="38">
        <v>60</v>
      </c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>
        <v>0</v>
      </c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190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" thickBot="1">
      <c r="A38" s="42"/>
      <c r="B38" s="43"/>
      <c r="C38" s="44">
        <f>SUBTOTAL(9,C36:C37)</f>
        <v>34618.270000000004</v>
      </c>
      <c r="D38" s="45">
        <f>SUBTOTAL(9,D36:D37)</f>
        <v>19346.370000000003</v>
      </c>
      <c r="E38" s="45">
        <f>SUBTOTAL(9,E36:E37)</f>
        <v>19350</v>
      </c>
      <c r="F38" s="47"/>
      <c r="G38" s="45">
        <f t="shared" ref="G38:P38" si="56">SUBTOTAL(9,G36:G37)</f>
        <v>0</v>
      </c>
      <c r="H38" s="45">
        <f t="shared" si="56"/>
        <v>3.6299999999991996</v>
      </c>
      <c r="I38" s="160">
        <f t="shared" si="56"/>
        <v>0</v>
      </c>
      <c r="J38" s="160">
        <f t="shared" si="56"/>
        <v>0</v>
      </c>
      <c r="K38" s="160">
        <f t="shared" si="56"/>
        <v>6600.97</v>
      </c>
      <c r="L38" s="160">
        <f t="shared" si="56"/>
        <v>0</v>
      </c>
      <c r="M38" s="46">
        <f t="shared" si="56"/>
        <v>141.92085499999999</v>
      </c>
      <c r="N38" s="46">
        <f t="shared" si="56"/>
        <v>33.004850000000005</v>
      </c>
      <c r="O38" s="46">
        <f t="shared" si="56"/>
        <v>6426.0442950000006</v>
      </c>
      <c r="P38" s="46">
        <f t="shared" si="56"/>
        <v>0</v>
      </c>
      <c r="Q38" s="47"/>
      <c r="R38" s="45">
        <f t="shared" ref="R38:BQ38" si="57">SUBTOTAL(9,R36:R37)</f>
        <v>0</v>
      </c>
      <c r="S38" s="45">
        <f t="shared" si="57"/>
        <v>0</v>
      </c>
      <c r="T38" s="46">
        <f t="shared" si="57"/>
        <v>0</v>
      </c>
      <c r="U38" s="46">
        <f t="shared" si="57"/>
        <v>0</v>
      </c>
      <c r="V38" s="46">
        <f t="shared" si="57"/>
        <v>0</v>
      </c>
      <c r="W38" s="46">
        <f t="shared" si="57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57"/>
        <v>1342.9796000000001</v>
      </c>
      <c r="AH38" s="44">
        <f t="shared" si="57"/>
        <v>236.99639999999999</v>
      </c>
      <c r="AI38" s="44">
        <f t="shared" si="57"/>
        <v>394.99400000000003</v>
      </c>
      <c r="AJ38" s="45">
        <f t="shared" si="57"/>
        <v>0</v>
      </c>
      <c r="AK38" s="44">
        <f t="shared" si="57"/>
        <v>29145.803571428569</v>
      </c>
      <c r="AL38" s="44">
        <f t="shared" si="57"/>
        <v>28158.073571428569</v>
      </c>
      <c r="AM38" s="44">
        <f t="shared" si="57"/>
        <v>3378.9688285714283</v>
      </c>
      <c r="AN38" s="44">
        <f t="shared" si="19"/>
        <v>31537.042399999998</v>
      </c>
      <c r="AO38" s="49">
        <f t="shared" si="57"/>
        <v>130</v>
      </c>
      <c r="AP38" s="49">
        <f t="shared" si="57"/>
        <v>0</v>
      </c>
      <c r="AQ38" s="49">
        <f t="shared" si="57"/>
        <v>0</v>
      </c>
      <c r="AR38" s="49">
        <f t="shared" si="57"/>
        <v>0</v>
      </c>
      <c r="AS38" s="49">
        <f t="shared" si="57"/>
        <v>0</v>
      </c>
      <c r="AT38" s="49">
        <f t="shared" si="57"/>
        <v>0</v>
      </c>
      <c r="AU38" s="49">
        <f>SUBTOTAL(9,AU36:AU37)</f>
        <v>0</v>
      </c>
      <c r="AV38" s="49">
        <f t="shared" si="57"/>
        <v>0</v>
      </c>
      <c r="AW38" s="49">
        <f t="shared" si="57"/>
        <v>0</v>
      </c>
      <c r="AX38" s="49">
        <f t="shared" si="57"/>
        <v>0</v>
      </c>
      <c r="AY38" s="49">
        <f t="shared" si="57"/>
        <v>0</v>
      </c>
      <c r="AZ38" s="44">
        <f t="shared" si="57"/>
        <v>130</v>
      </c>
      <c r="BA38" s="48">
        <f t="shared" si="57"/>
        <v>60</v>
      </c>
      <c r="BB38" s="48">
        <f t="shared" si="57"/>
        <v>0</v>
      </c>
      <c r="BC38" s="44">
        <f t="shared" si="57"/>
        <v>0</v>
      </c>
      <c r="BD38" s="44">
        <f t="shared" si="57"/>
        <v>0</v>
      </c>
      <c r="BE38" s="49">
        <f t="shared" si="57"/>
        <v>0</v>
      </c>
      <c r="BF38" s="49">
        <f>SUBTOTAL(9,BF36:BF37)</f>
        <v>0</v>
      </c>
      <c r="BG38" s="49">
        <f t="shared" si="57"/>
        <v>0</v>
      </c>
      <c r="BH38" s="49">
        <f t="shared" si="57"/>
        <v>0</v>
      </c>
      <c r="BI38" s="49">
        <f t="shared" si="57"/>
        <v>0</v>
      </c>
      <c r="BJ38" s="49">
        <f t="shared" si="57"/>
        <v>0</v>
      </c>
      <c r="BK38" s="49">
        <f t="shared" si="57"/>
        <v>0</v>
      </c>
      <c r="BL38" s="49">
        <f t="shared" si="57"/>
        <v>0</v>
      </c>
      <c r="BM38" s="49">
        <f t="shared" si="57"/>
        <v>0</v>
      </c>
      <c r="BN38" s="49">
        <f t="shared" si="57"/>
        <v>0</v>
      </c>
      <c r="BO38" s="49">
        <f t="shared" si="57"/>
        <v>0</v>
      </c>
      <c r="BP38" s="49">
        <f t="shared" si="57"/>
        <v>0</v>
      </c>
      <c r="BQ38" s="49">
        <f t="shared" si="57"/>
        <v>0</v>
      </c>
      <c r="BR38" s="44">
        <f>SUBTOTAL(9,BR36:BR37)</f>
        <v>190</v>
      </c>
    </row>
    <row r="39" spans="1:125">
      <c r="A39" s="209">
        <f>+A36+1</f>
        <v>43354</v>
      </c>
      <c r="B39" s="16" t="s">
        <v>43</v>
      </c>
      <c r="C39" s="33">
        <v>19171.63</v>
      </c>
      <c r="D39" s="34">
        <v>11771.52</v>
      </c>
      <c r="E39" s="34">
        <v>11773</v>
      </c>
      <c r="F39" s="35">
        <v>43354</v>
      </c>
      <c r="G39" s="33">
        <f>IF(E39-D39&lt;0,E39-D39,0)*-1</f>
        <v>0</v>
      </c>
      <c r="H39" s="33">
        <f>IF(E39-D39&gt;0,E39-D39,0)</f>
        <v>1.4799999999995634</v>
      </c>
      <c r="I39" s="34"/>
      <c r="J39" s="34"/>
      <c r="K39" s="34">
        <v>6100.36</v>
      </c>
      <c r="L39" s="34"/>
      <c r="M39" s="36">
        <f>(+K39)*M$5</f>
        <v>131.15773999999999</v>
      </c>
      <c r="N39" s="36">
        <f>(+K39)*N$5</f>
        <v>30.501799999999999</v>
      </c>
      <c r="O39" s="36">
        <f>+K39-M39-N39+P39</f>
        <v>5938.70046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f>13.75+51.5</f>
        <v>65.25</v>
      </c>
      <c r="AA39" s="34"/>
      <c r="AB39" s="34"/>
      <c r="AC39" s="34">
        <v>150</v>
      </c>
      <c r="AD39" s="38" t="s">
        <v>137</v>
      </c>
      <c r="AE39" s="38">
        <v>1084.5</v>
      </c>
      <c r="AF39" s="34">
        <v>1257.6300000000001</v>
      </c>
      <c r="AG39" s="33">
        <f>(AF39*0.8)*0.85</f>
        <v>855.18840000000012</v>
      </c>
      <c r="AH39" s="33">
        <f>(AF39*0.8)*0.15</f>
        <v>150.91560000000001</v>
      </c>
      <c r="AI39" s="33">
        <f>AF39*0.2</f>
        <v>251.52600000000004</v>
      </c>
      <c r="AJ39" s="34"/>
      <c r="AK39" s="33">
        <f>(C39-AF39-AJ39)/1.12</f>
        <v>15994.642857142855</v>
      </c>
      <c r="AL39" s="33">
        <f>AK39-SUM(Y39:AC39)</f>
        <v>15779.392857142855</v>
      </c>
      <c r="AM39" s="33">
        <f>+AL39*0.12</f>
        <v>1893.5271428571425</v>
      </c>
      <c r="AN39" s="33">
        <f>+AM39+AL39+AJ39</f>
        <v>17672.919999999998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" thickBot="1">
      <c r="A40" s="210"/>
      <c r="B40" s="16" t="s">
        <v>44</v>
      </c>
      <c r="C40" s="33">
        <v>30590.36</v>
      </c>
      <c r="D40" s="34">
        <v>17506.71</v>
      </c>
      <c r="E40" s="34">
        <v>17507</v>
      </c>
      <c r="F40" s="35">
        <v>43355</v>
      </c>
      <c r="G40" s="33">
        <f>IF(E40-D40&lt;0,E40-D40,0)*-1</f>
        <v>0</v>
      </c>
      <c r="H40" s="33">
        <f>IF(E40-D40&gt;0,E40-D40,0)</f>
        <v>0.29000000000087311</v>
      </c>
      <c r="I40" s="34"/>
      <c r="J40" s="34"/>
      <c r="K40" s="34">
        <v>12530.65</v>
      </c>
      <c r="L40" s="34"/>
      <c r="M40" s="36">
        <f>(+K40)*M$5</f>
        <v>269.408975</v>
      </c>
      <c r="N40" s="36">
        <f>(+K40)*N$5</f>
        <v>62.65325</v>
      </c>
      <c r="O40" s="36">
        <f>+K40-M40-N40+P40</f>
        <v>12198.587775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127</v>
      </c>
      <c r="AA40" s="34"/>
      <c r="AB40" s="34"/>
      <c r="AC40" s="34"/>
      <c r="AD40" s="38" t="s">
        <v>140</v>
      </c>
      <c r="AE40" s="38">
        <v>426</v>
      </c>
      <c r="AF40" s="34">
        <v>2399.36</v>
      </c>
      <c r="AG40" s="33">
        <f>(AF40*0.8)*0.85</f>
        <v>1631.5648000000001</v>
      </c>
      <c r="AH40" s="33">
        <f>(AF40*0.8)*0.15</f>
        <v>287.92320000000001</v>
      </c>
      <c r="AI40" s="33">
        <f>AF40*0.2</f>
        <v>479.87200000000007</v>
      </c>
      <c r="AJ40" s="34"/>
      <c r="AK40" s="33">
        <f>(C40-AF40-AJ40)/1.12</f>
        <v>25170.53571428571</v>
      </c>
      <c r="AL40" s="33">
        <f>AK40-SUM(Y40:AC40)</f>
        <v>25043.53571428571</v>
      </c>
      <c r="AM40" s="33">
        <f>+AL40*0.12</f>
        <v>3005.2242857142851</v>
      </c>
      <c r="AN40" s="33">
        <f>+AM40+AL40+AJ40</f>
        <v>28048.759999999995</v>
      </c>
      <c r="AO40" s="39"/>
      <c r="AP40" s="40">
        <v>296</v>
      </c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296</v>
      </c>
      <c r="BA40" s="38">
        <v>125</v>
      </c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421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" thickBot="1">
      <c r="A41" s="42"/>
      <c r="B41" s="43"/>
      <c r="C41" s="44">
        <f>SUBTOTAL(9,C39:C40)</f>
        <v>49761.990000000005</v>
      </c>
      <c r="D41" s="45">
        <f>SUBTOTAL(9,D39:D40)</f>
        <v>29278.23</v>
      </c>
      <c r="E41" s="45">
        <f>SUBTOTAL(9,E39:E40)</f>
        <v>29280</v>
      </c>
      <c r="F41" s="47"/>
      <c r="G41" s="45">
        <f t="shared" ref="G41:P41" si="58">SUBTOTAL(9,G39:G40)</f>
        <v>0</v>
      </c>
      <c r="H41" s="45">
        <f t="shared" si="58"/>
        <v>1.7700000000004366</v>
      </c>
      <c r="I41" s="160">
        <f t="shared" si="58"/>
        <v>0</v>
      </c>
      <c r="J41" s="160">
        <f t="shared" si="58"/>
        <v>0</v>
      </c>
      <c r="K41" s="160">
        <f t="shared" si="58"/>
        <v>18631.009999999998</v>
      </c>
      <c r="L41" s="160">
        <f t="shared" si="58"/>
        <v>0</v>
      </c>
      <c r="M41" s="46">
        <f t="shared" si="58"/>
        <v>400.56671499999999</v>
      </c>
      <c r="N41" s="46">
        <f t="shared" si="58"/>
        <v>93.155050000000003</v>
      </c>
      <c r="O41" s="46">
        <f t="shared" si="58"/>
        <v>18137.288235</v>
      </c>
      <c r="P41" s="46">
        <f t="shared" si="58"/>
        <v>0</v>
      </c>
      <c r="Q41" s="47"/>
      <c r="R41" s="45">
        <f t="shared" ref="R41:BQ41" si="59">SUBTOTAL(9,R39:R40)</f>
        <v>0</v>
      </c>
      <c r="S41" s="45">
        <f t="shared" si="59"/>
        <v>0</v>
      </c>
      <c r="T41" s="46">
        <f t="shared" si="59"/>
        <v>0</v>
      </c>
      <c r="U41" s="46">
        <f t="shared" si="59"/>
        <v>0</v>
      </c>
      <c r="V41" s="46">
        <f t="shared" si="59"/>
        <v>0</v>
      </c>
      <c r="W41" s="46">
        <f t="shared" si="59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59"/>
        <v>2486.7532000000001</v>
      </c>
      <c r="AH41" s="44">
        <f t="shared" si="59"/>
        <v>438.83879999999999</v>
      </c>
      <c r="AI41" s="44">
        <f t="shared" si="59"/>
        <v>731.39800000000014</v>
      </c>
      <c r="AJ41" s="45">
        <f t="shared" si="59"/>
        <v>0</v>
      </c>
      <c r="AK41" s="44">
        <f t="shared" si="59"/>
        <v>41165.178571428565</v>
      </c>
      <c r="AL41" s="44">
        <f t="shared" si="59"/>
        <v>40822.928571428565</v>
      </c>
      <c r="AM41" s="44">
        <f t="shared" si="59"/>
        <v>4898.7514285714278</v>
      </c>
      <c r="AN41" s="44">
        <f t="shared" si="19"/>
        <v>45721.679999999993</v>
      </c>
      <c r="AO41" s="49">
        <f t="shared" si="59"/>
        <v>0</v>
      </c>
      <c r="AP41" s="49">
        <f t="shared" si="59"/>
        <v>296</v>
      </c>
      <c r="AQ41" s="49">
        <f t="shared" si="59"/>
        <v>0</v>
      </c>
      <c r="AR41" s="49">
        <f t="shared" si="59"/>
        <v>0</v>
      </c>
      <c r="AS41" s="49">
        <f t="shared" si="59"/>
        <v>0</v>
      </c>
      <c r="AT41" s="49">
        <f t="shared" si="59"/>
        <v>0</v>
      </c>
      <c r="AU41" s="49">
        <f>SUBTOTAL(9,AU39:AU40)</f>
        <v>0</v>
      </c>
      <c r="AV41" s="49">
        <f t="shared" si="59"/>
        <v>0</v>
      </c>
      <c r="AW41" s="49">
        <f t="shared" si="59"/>
        <v>0</v>
      </c>
      <c r="AX41" s="49">
        <f t="shared" si="59"/>
        <v>0</v>
      </c>
      <c r="AY41" s="49">
        <f t="shared" si="59"/>
        <v>0</v>
      </c>
      <c r="AZ41" s="44">
        <f t="shared" si="59"/>
        <v>296</v>
      </c>
      <c r="BA41" s="48">
        <f t="shared" si="59"/>
        <v>125</v>
      </c>
      <c r="BB41" s="48">
        <f t="shared" si="59"/>
        <v>0</v>
      </c>
      <c r="BC41" s="44">
        <f t="shared" si="59"/>
        <v>0</v>
      </c>
      <c r="BD41" s="44">
        <f t="shared" si="59"/>
        <v>0</v>
      </c>
      <c r="BE41" s="49">
        <f t="shared" si="59"/>
        <v>0</v>
      </c>
      <c r="BF41" s="49">
        <f>SUBTOTAL(9,BF39:BF40)</f>
        <v>0</v>
      </c>
      <c r="BG41" s="49">
        <f t="shared" si="59"/>
        <v>0</v>
      </c>
      <c r="BH41" s="49">
        <f t="shared" si="59"/>
        <v>0</v>
      </c>
      <c r="BI41" s="49">
        <f t="shared" si="59"/>
        <v>0</v>
      </c>
      <c r="BJ41" s="49">
        <f t="shared" si="59"/>
        <v>0</v>
      </c>
      <c r="BK41" s="49">
        <f t="shared" si="59"/>
        <v>0</v>
      </c>
      <c r="BL41" s="49">
        <f t="shared" si="59"/>
        <v>0</v>
      </c>
      <c r="BM41" s="49">
        <f t="shared" si="59"/>
        <v>0</v>
      </c>
      <c r="BN41" s="49">
        <f t="shared" si="59"/>
        <v>0</v>
      </c>
      <c r="BO41" s="49">
        <f t="shared" si="59"/>
        <v>0</v>
      </c>
      <c r="BP41" s="49">
        <f t="shared" si="59"/>
        <v>0</v>
      </c>
      <c r="BQ41" s="49">
        <f t="shared" si="59"/>
        <v>0</v>
      </c>
      <c r="BR41" s="44">
        <f>SUBTOTAL(9,BR39:BR40)</f>
        <v>421</v>
      </c>
    </row>
    <row r="42" spans="1:125">
      <c r="A42" s="209">
        <f>+A39+1</f>
        <v>43355</v>
      </c>
      <c r="B42" s="15" t="s">
        <v>43</v>
      </c>
      <c r="C42" s="33">
        <v>19512.55</v>
      </c>
      <c r="D42" s="34">
        <v>8197.14</v>
      </c>
      <c r="E42" s="34">
        <v>8200</v>
      </c>
      <c r="F42" s="35">
        <v>43355</v>
      </c>
      <c r="G42" s="33">
        <f>IF(E42-D42&lt;0,E42-D42,0)*-1</f>
        <v>0</v>
      </c>
      <c r="H42" s="33">
        <f>IF(E42-D42&gt;0,E42-D42,0)</f>
        <v>2.8600000000005821</v>
      </c>
      <c r="I42" s="34"/>
      <c r="J42" s="34"/>
      <c r="K42" s="34">
        <v>9331.4699999999993</v>
      </c>
      <c r="L42" s="34"/>
      <c r="M42" s="36">
        <f>(+K42)*M$5</f>
        <v>200.62660499999998</v>
      </c>
      <c r="N42" s="36">
        <f>(+K42)*N$5</f>
        <v>46.657350000000001</v>
      </c>
      <c r="O42" s="36">
        <f>+K42-M42-N42+P42</f>
        <v>9084.1860450000004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>
        <f>48.25+110</f>
        <v>158.25</v>
      </c>
      <c r="AA42" s="34"/>
      <c r="AB42" s="34"/>
      <c r="AC42" s="34">
        <v>456.69</v>
      </c>
      <c r="AD42" s="38" t="s">
        <v>137</v>
      </c>
      <c r="AE42" s="38">
        <v>1369</v>
      </c>
      <c r="AF42" s="34">
        <v>1354.57</v>
      </c>
      <c r="AG42" s="33">
        <f>(AF42*0.8)*0.85</f>
        <v>921.10759999999993</v>
      </c>
      <c r="AH42" s="33">
        <f>(AF42*0.8)*0.15</f>
        <v>162.54839999999999</v>
      </c>
      <c r="AI42" s="33">
        <f>AF42*0.2</f>
        <v>270.91399999999999</v>
      </c>
      <c r="AJ42" s="34"/>
      <c r="AK42" s="33">
        <f>(C42-AF42-AJ42)/1.12</f>
        <v>16212.482142857141</v>
      </c>
      <c r="AL42" s="33">
        <f>AK42-SUM(Y42:AC42)</f>
        <v>15597.542142857141</v>
      </c>
      <c r="AM42" s="33">
        <f>+AL42*0.12</f>
        <v>1871.7050571428567</v>
      </c>
      <c r="AN42" s="33">
        <f>+AM42+AL42+AJ42</f>
        <v>17469.247199999998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" thickBot="1">
      <c r="A43" s="210"/>
      <c r="B43" s="15" t="s">
        <v>44</v>
      </c>
      <c r="C43" s="33">
        <v>26589.03</v>
      </c>
      <c r="D43" s="34">
        <v>18649.29</v>
      </c>
      <c r="E43" s="34">
        <v>18650</v>
      </c>
      <c r="F43" s="35">
        <v>43356</v>
      </c>
      <c r="G43" s="33">
        <f>IF(E43-D43&lt;0,E43-D43,0)*-1</f>
        <v>0</v>
      </c>
      <c r="H43" s="33">
        <f>IF(E43-D43&gt;0,E43-D43,0)</f>
        <v>0.70999999999912689</v>
      </c>
      <c r="I43" s="34"/>
      <c r="J43" s="34"/>
      <c r="K43" s="34">
        <v>5971.74</v>
      </c>
      <c r="L43" s="34"/>
      <c r="M43" s="36">
        <f>(+K43)*M$5</f>
        <v>128.39240999999998</v>
      </c>
      <c r="N43" s="36">
        <f>(+K43)*N$5</f>
        <v>29.858699999999999</v>
      </c>
      <c r="O43" s="36">
        <f>+K43-M43-N43+P43</f>
        <v>5813.4888899999996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>
        <f>23+133.5</f>
        <v>156.5</v>
      </c>
      <c r="AA43" s="34"/>
      <c r="AB43" s="34"/>
      <c r="AC43" s="34"/>
      <c r="AD43" s="38" t="s">
        <v>137</v>
      </c>
      <c r="AE43" s="38">
        <v>1811.5</v>
      </c>
      <c r="AF43" s="34">
        <v>1948.03</v>
      </c>
      <c r="AG43" s="33">
        <f>(AF43*0.8)*0.85</f>
        <v>1324.6604</v>
      </c>
      <c r="AH43" s="33">
        <f>(AF43*0.8)*0.15</f>
        <v>233.7636</v>
      </c>
      <c r="AI43" s="33">
        <f>AF43*0.2</f>
        <v>389.60599999999999</v>
      </c>
      <c r="AJ43" s="34"/>
      <c r="AK43" s="33">
        <f>(C43-AF43-AJ43)/1.12</f>
        <v>22000.892857142855</v>
      </c>
      <c r="AL43" s="33">
        <f>AK43-SUM(Y43:AC43)</f>
        <v>21844.392857142855</v>
      </c>
      <c r="AM43" s="33">
        <f>+AL43*0.12</f>
        <v>2621.3271428571425</v>
      </c>
      <c r="AN43" s="33">
        <f>+AM43+AL43+AJ43</f>
        <v>24465.719999999998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" thickBot="1">
      <c r="A44" s="42"/>
      <c r="B44" s="43"/>
      <c r="C44" s="44">
        <f>SUBTOTAL(9,C42:C43)</f>
        <v>46101.58</v>
      </c>
      <c r="D44" s="45">
        <f>SUBTOTAL(9,D42:D43)</f>
        <v>26846.43</v>
      </c>
      <c r="E44" s="45">
        <f>SUBTOTAL(9,E42:E43)</f>
        <v>26850</v>
      </c>
      <c r="F44" s="47"/>
      <c r="G44" s="45">
        <f t="shared" ref="G44:P44" si="60">SUBTOTAL(9,G42:G43)</f>
        <v>0</v>
      </c>
      <c r="H44" s="45">
        <f t="shared" si="60"/>
        <v>3.569999999999709</v>
      </c>
      <c r="I44" s="160">
        <f t="shared" si="60"/>
        <v>0</v>
      </c>
      <c r="J44" s="160">
        <f t="shared" si="60"/>
        <v>0</v>
      </c>
      <c r="K44" s="160">
        <f t="shared" si="60"/>
        <v>15303.21</v>
      </c>
      <c r="L44" s="160">
        <f t="shared" si="60"/>
        <v>0</v>
      </c>
      <c r="M44" s="46">
        <f t="shared" si="60"/>
        <v>329.01901499999997</v>
      </c>
      <c r="N44" s="46">
        <f t="shared" si="60"/>
        <v>76.516050000000007</v>
      </c>
      <c r="O44" s="46">
        <f t="shared" si="60"/>
        <v>14897.674934999999</v>
      </c>
      <c r="P44" s="46">
        <f t="shared" si="60"/>
        <v>0</v>
      </c>
      <c r="Q44" s="47"/>
      <c r="R44" s="45">
        <f t="shared" ref="R44:BQ44" si="61">SUBTOTAL(9,R42:R43)</f>
        <v>0</v>
      </c>
      <c r="S44" s="45">
        <f t="shared" si="61"/>
        <v>0</v>
      </c>
      <c r="T44" s="46">
        <f t="shared" si="61"/>
        <v>0</v>
      </c>
      <c r="U44" s="46">
        <f t="shared" si="61"/>
        <v>0</v>
      </c>
      <c r="V44" s="46">
        <f t="shared" si="61"/>
        <v>0</v>
      </c>
      <c r="W44" s="46">
        <f t="shared" si="61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61"/>
        <v>2245.768</v>
      </c>
      <c r="AH44" s="44">
        <f t="shared" si="61"/>
        <v>396.31200000000001</v>
      </c>
      <c r="AI44" s="44">
        <f t="shared" si="61"/>
        <v>660.52</v>
      </c>
      <c r="AJ44" s="45">
        <f t="shared" si="61"/>
        <v>0</v>
      </c>
      <c r="AK44" s="44">
        <f t="shared" si="61"/>
        <v>38213.375</v>
      </c>
      <c r="AL44" s="44">
        <f t="shared" si="61"/>
        <v>37441.934999999998</v>
      </c>
      <c r="AM44" s="44">
        <f t="shared" si="61"/>
        <v>4493.0321999999996</v>
      </c>
      <c r="AN44" s="44">
        <f t="shared" ref="AN44:AN76" si="62">+AM44+AL44+AJ44</f>
        <v>41934.967199999999</v>
      </c>
      <c r="AO44" s="49">
        <f t="shared" si="61"/>
        <v>0</v>
      </c>
      <c r="AP44" s="49">
        <f t="shared" si="61"/>
        <v>0</v>
      </c>
      <c r="AQ44" s="49">
        <f t="shared" si="61"/>
        <v>0</v>
      </c>
      <c r="AR44" s="49">
        <f t="shared" si="61"/>
        <v>0</v>
      </c>
      <c r="AS44" s="49">
        <f t="shared" si="61"/>
        <v>0</v>
      </c>
      <c r="AT44" s="49">
        <f t="shared" si="61"/>
        <v>0</v>
      </c>
      <c r="AU44" s="49">
        <f>SUBTOTAL(9,AU42:AU43)</f>
        <v>0</v>
      </c>
      <c r="AV44" s="49">
        <f t="shared" si="61"/>
        <v>0</v>
      </c>
      <c r="AW44" s="49">
        <f t="shared" si="61"/>
        <v>0</v>
      </c>
      <c r="AX44" s="49">
        <f t="shared" si="61"/>
        <v>0</v>
      </c>
      <c r="AY44" s="49">
        <f t="shared" si="61"/>
        <v>0</v>
      </c>
      <c r="AZ44" s="44">
        <f t="shared" si="61"/>
        <v>0</v>
      </c>
      <c r="BA44" s="48">
        <f t="shared" si="61"/>
        <v>0</v>
      </c>
      <c r="BB44" s="48">
        <f t="shared" si="61"/>
        <v>0</v>
      </c>
      <c r="BC44" s="44">
        <f t="shared" si="61"/>
        <v>0</v>
      </c>
      <c r="BD44" s="44">
        <f t="shared" si="61"/>
        <v>0</v>
      </c>
      <c r="BE44" s="49">
        <f t="shared" si="61"/>
        <v>0</v>
      </c>
      <c r="BF44" s="49">
        <f>SUBTOTAL(9,BF42:BF43)</f>
        <v>0</v>
      </c>
      <c r="BG44" s="49">
        <f t="shared" si="61"/>
        <v>0</v>
      </c>
      <c r="BH44" s="49">
        <f t="shared" si="61"/>
        <v>0</v>
      </c>
      <c r="BI44" s="49">
        <f t="shared" si="61"/>
        <v>0</v>
      </c>
      <c r="BJ44" s="49">
        <f t="shared" si="61"/>
        <v>0</v>
      </c>
      <c r="BK44" s="49">
        <f t="shared" si="61"/>
        <v>0</v>
      </c>
      <c r="BL44" s="49">
        <f t="shared" si="61"/>
        <v>0</v>
      </c>
      <c r="BM44" s="49">
        <f t="shared" si="61"/>
        <v>0</v>
      </c>
      <c r="BN44" s="49">
        <f t="shared" si="61"/>
        <v>0</v>
      </c>
      <c r="BO44" s="49">
        <f t="shared" si="61"/>
        <v>0</v>
      </c>
      <c r="BP44" s="49">
        <f t="shared" si="61"/>
        <v>0</v>
      </c>
      <c r="BQ44" s="49">
        <f t="shared" si="61"/>
        <v>0</v>
      </c>
      <c r="BR44" s="44">
        <f>SUBTOTAL(9,BR42:BR43)</f>
        <v>0</v>
      </c>
    </row>
    <row r="45" spans="1:125">
      <c r="A45" s="209">
        <f>+A42+1</f>
        <v>43356</v>
      </c>
      <c r="B45" s="15" t="s">
        <v>43</v>
      </c>
      <c r="C45" s="33">
        <v>16832.330000000002</v>
      </c>
      <c r="D45" s="34">
        <v>12839.83</v>
      </c>
      <c r="E45" s="34">
        <v>12840</v>
      </c>
      <c r="F45" s="35">
        <v>43356</v>
      </c>
      <c r="G45" s="33">
        <v>0</v>
      </c>
      <c r="H45" s="33">
        <f>IF(E45-D45&gt;0,E45-D45,0)</f>
        <v>0.17000000000007276</v>
      </c>
      <c r="I45" s="34"/>
      <c r="J45" s="34"/>
      <c r="K45" s="34">
        <v>3099.02</v>
      </c>
      <c r="L45" s="34"/>
      <c r="M45" s="36">
        <f>(+K45)*M$5</f>
        <v>66.628929999999997</v>
      </c>
      <c r="N45" s="36">
        <f>(+K45)*N$5</f>
        <v>15.495100000000001</v>
      </c>
      <c r="O45" s="36">
        <f>+K45-M45-N45+P45</f>
        <v>3016.89597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>
        <v>66</v>
      </c>
      <c r="AA45" s="34"/>
      <c r="AB45" s="34"/>
      <c r="AC45" s="34">
        <v>233.48</v>
      </c>
      <c r="AD45" s="38" t="s">
        <v>139</v>
      </c>
      <c r="AE45" s="38">
        <v>594</v>
      </c>
      <c r="AF45" s="34">
        <v>1279.43</v>
      </c>
      <c r="AG45" s="33">
        <f>(AF45*0.8)*0.85</f>
        <v>870.01240000000007</v>
      </c>
      <c r="AH45" s="33">
        <f>(AF45*0.8)*0.15</f>
        <v>153.5316</v>
      </c>
      <c r="AI45" s="33">
        <f>AF45*0.2</f>
        <v>255.88600000000002</v>
      </c>
      <c r="AJ45" s="34"/>
      <c r="AK45" s="33">
        <f t="shared" ref="AK45:AK46" si="63">(C45-AF45-AJ45)/1.12</f>
        <v>13886.517857142857</v>
      </c>
      <c r="AL45" s="33">
        <f t="shared" ref="AL45:AL46" si="64">AK45-SUM(Y45:AC45)</f>
        <v>13587.037857142857</v>
      </c>
      <c r="AM45" s="33">
        <f t="shared" ref="AM45:AM46" si="65">+AL45*0.12</f>
        <v>1630.4445428571428</v>
      </c>
      <c r="AN45" s="33">
        <f t="shared" si="62"/>
        <v>15217.482400000001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" thickBot="1">
      <c r="A46" s="210"/>
      <c r="B46" s="15" t="s">
        <v>44</v>
      </c>
      <c r="C46" s="33">
        <v>23137.23</v>
      </c>
      <c r="D46" s="34">
        <v>16992.11</v>
      </c>
      <c r="E46" s="34">
        <v>17000</v>
      </c>
      <c r="F46" s="35">
        <v>43357</v>
      </c>
      <c r="G46" s="33">
        <f>IF(E46-D46&lt;0,E46-D46,0)*-1</f>
        <v>0</v>
      </c>
      <c r="H46" s="33">
        <f>IF(E46-D46&gt;0,E46-D46,0)</f>
        <v>7.8899999999994179</v>
      </c>
      <c r="I46" s="34"/>
      <c r="J46" s="34"/>
      <c r="K46" s="34">
        <v>2033.98</v>
      </c>
      <c r="L46" s="34"/>
      <c r="M46" s="36">
        <f>(+K46)*M$5</f>
        <v>43.73057</v>
      </c>
      <c r="N46" s="36">
        <f>(+K46)*N$5</f>
        <v>10.1699</v>
      </c>
      <c r="O46" s="36">
        <f>+K46-M46-N46+P46</f>
        <v>1980.07953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>
        <f>21+319.5</f>
        <v>340.5</v>
      </c>
      <c r="AA46" s="34"/>
      <c r="AB46" s="34"/>
      <c r="AC46" s="34">
        <v>32.14</v>
      </c>
      <c r="AD46" s="38" t="s">
        <v>137</v>
      </c>
      <c r="AE46" s="38">
        <v>3738.5</v>
      </c>
      <c r="AF46" s="34">
        <v>1505.52</v>
      </c>
      <c r="AG46" s="33">
        <f>(AF46*0.8)*0.85</f>
        <v>1023.7535999999999</v>
      </c>
      <c r="AH46" s="33">
        <f>(AF46*0.8)*0.15</f>
        <v>180.66239999999999</v>
      </c>
      <c r="AI46" s="33">
        <f>AF46*0.2</f>
        <v>301.10399999999998</v>
      </c>
      <c r="AJ46" s="34"/>
      <c r="AK46" s="33">
        <f t="shared" si="63"/>
        <v>19314.026785714283</v>
      </c>
      <c r="AL46" s="33">
        <f t="shared" si="64"/>
        <v>18941.386785714283</v>
      </c>
      <c r="AM46" s="33">
        <f t="shared" si="65"/>
        <v>2272.9664142857141</v>
      </c>
      <c r="AN46" s="33">
        <f t="shared" si="62"/>
        <v>21214.353199999998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" thickBot="1">
      <c r="A47" s="42"/>
      <c r="B47" s="43"/>
      <c r="C47" s="44">
        <f>SUBTOTAL(9,C45:C46)</f>
        <v>39969.56</v>
      </c>
      <c r="D47" s="45">
        <f>SUBTOTAL(9,D45:D46)</f>
        <v>29831.940000000002</v>
      </c>
      <c r="E47" s="45">
        <f>SUBTOTAL(9,E45:E46)</f>
        <v>29840</v>
      </c>
      <c r="F47" s="47"/>
      <c r="G47" s="45">
        <f t="shared" ref="G47:P47" si="66">SUBTOTAL(9,G45:G46)</f>
        <v>0</v>
      </c>
      <c r="H47" s="45">
        <f t="shared" si="66"/>
        <v>8.0599999999994907</v>
      </c>
      <c r="I47" s="160">
        <f t="shared" si="66"/>
        <v>0</v>
      </c>
      <c r="J47" s="160">
        <f t="shared" si="66"/>
        <v>0</v>
      </c>
      <c r="K47" s="160">
        <f t="shared" si="66"/>
        <v>5133</v>
      </c>
      <c r="L47" s="160">
        <f t="shared" si="66"/>
        <v>0</v>
      </c>
      <c r="M47" s="46">
        <f t="shared" si="66"/>
        <v>110.3595</v>
      </c>
      <c r="N47" s="46">
        <f t="shared" si="66"/>
        <v>25.664999999999999</v>
      </c>
      <c r="O47" s="46">
        <f t="shared" si="66"/>
        <v>4996.9755000000005</v>
      </c>
      <c r="P47" s="46">
        <f t="shared" si="66"/>
        <v>0</v>
      </c>
      <c r="Q47" s="47"/>
      <c r="R47" s="45">
        <f t="shared" ref="R47:BQ47" si="67">SUBTOTAL(9,R45:R46)</f>
        <v>0</v>
      </c>
      <c r="S47" s="45">
        <f t="shared" si="67"/>
        <v>0</v>
      </c>
      <c r="T47" s="46">
        <f t="shared" si="67"/>
        <v>0</v>
      </c>
      <c r="U47" s="46">
        <f t="shared" si="67"/>
        <v>0</v>
      </c>
      <c r="V47" s="46">
        <f t="shared" si="67"/>
        <v>0</v>
      </c>
      <c r="W47" s="46">
        <f t="shared" si="67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67"/>
        <v>1893.7660000000001</v>
      </c>
      <c r="AH47" s="44">
        <f t="shared" si="67"/>
        <v>334.19399999999996</v>
      </c>
      <c r="AI47" s="44">
        <f t="shared" si="67"/>
        <v>556.99</v>
      </c>
      <c r="AJ47" s="45">
        <f t="shared" si="67"/>
        <v>0</v>
      </c>
      <c r="AK47" s="44">
        <f t="shared" si="67"/>
        <v>33200.544642857138</v>
      </c>
      <c r="AL47" s="44">
        <f t="shared" si="67"/>
        <v>32528.424642857142</v>
      </c>
      <c r="AM47" s="44">
        <f t="shared" si="67"/>
        <v>3903.4109571428571</v>
      </c>
      <c r="AN47" s="44">
        <f t="shared" si="62"/>
        <v>36431.835599999999</v>
      </c>
      <c r="AO47" s="49">
        <f t="shared" si="67"/>
        <v>0</v>
      </c>
      <c r="AP47" s="49">
        <f t="shared" si="67"/>
        <v>0</v>
      </c>
      <c r="AQ47" s="49">
        <f t="shared" si="67"/>
        <v>0</v>
      </c>
      <c r="AR47" s="49">
        <f t="shared" si="67"/>
        <v>0</v>
      </c>
      <c r="AS47" s="49">
        <f t="shared" si="67"/>
        <v>0</v>
      </c>
      <c r="AT47" s="49">
        <f t="shared" si="67"/>
        <v>0</v>
      </c>
      <c r="AU47" s="49">
        <f>SUBTOTAL(9,AU45:AU46)</f>
        <v>0</v>
      </c>
      <c r="AV47" s="49">
        <f t="shared" si="67"/>
        <v>0</v>
      </c>
      <c r="AW47" s="49">
        <f t="shared" si="67"/>
        <v>0</v>
      </c>
      <c r="AX47" s="49">
        <f t="shared" si="67"/>
        <v>0</v>
      </c>
      <c r="AY47" s="49">
        <f t="shared" si="67"/>
        <v>0</v>
      </c>
      <c r="AZ47" s="44">
        <f t="shared" si="67"/>
        <v>0</v>
      </c>
      <c r="BA47" s="48">
        <f t="shared" si="67"/>
        <v>0</v>
      </c>
      <c r="BB47" s="48">
        <f t="shared" si="67"/>
        <v>0</v>
      </c>
      <c r="BC47" s="44">
        <f t="shared" si="67"/>
        <v>0</v>
      </c>
      <c r="BD47" s="44">
        <f t="shared" si="67"/>
        <v>0</v>
      </c>
      <c r="BE47" s="49">
        <f t="shared" si="67"/>
        <v>0</v>
      </c>
      <c r="BF47" s="49">
        <f>SUBTOTAL(9,BF45:BF46)</f>
        <v>0</v>
      </c>
      <c r="BG47" s="49">
        <f t="shared" si="67"/>
        <v>0</v>
      </c>
      <c r="BH47" s="49">
        <f t="shared" si="67"/>
        <v>0</v>
      </c>
      <c r="BI47" s="49">
        <f t="shared" si="67"/>
        <v>0</v>
      </c>
      <c r="BJ47" s="49">
        <f t="shared" si="67"/>
        <v>0</v>
      </c>
      <c r="BK47" s="49">
        <f t="shared" si="67"/>
        <v>0</v>
      </c>
      <c r="BL47" s="49">
        <f t="shared" si="67"/>
        <v>0</v>
      </c>
      <c r="BM47" s="49">
        <f t="shared" si="67"/>
        <v>0</v>
      </c>
      <c r="BN47" s="49">
        <f t="shared" si="67"/>
        <v>0</v>
      </c>
      <c r="BO47" s="49">
        <f t="shared" si="67"/>
        <v>0</v>
      </c>
      <c r="BP47" s="49">
        <f t="shared" si="67"/>
        <v>0</v>
      </c>
      <c r="BQ47" s="49">
        <f t="shared" si="67"/>
        <v>0</v>
      </c>
      <c r="BR47" s="44">
        <f>SUBTOTAL(9,BR45:BR46)</f>
        <v>0</v>
      </c>
    </row>
    <row r="48" spans="1:125">
      <c r="A48" s="209">
        <f>A45+1</f>
        <v>43357</v>
      </c>
      <c r="B48" s="16" t="s">
        <v>43</v>
      </c>
      <c r="C48" s="33">
        <v>48985.01</v>
      </c>
      <c r="D48" s="34">
        <v>23478.39</v>
      </c>
      <c r="E48" s="34">
        <v>23480</v>
      </c>
      <c r="F48" s="35">
        <v>43357</v>
      </c>
      <c r="G48" s="33"/>
      <c r="H48" s="33">
        <f>IF(E48-D48&gt;0,E48-D48,0)</f>
        <v>1.6100000000005821</v>
      </c>
      <c r="I48" s="34"/>
      <c r="J48" s="34">
        <v>0</v>
      </c>
      <c r="K48" s="34">
        <v>9967</v>
      </c>
      <c r="L48" s="34"/>
      <c r="M48" s="36">
        <f>(+K48)*M$5</f>
        <v>214.29049999999998</v>
      </c>
      <c r="N48" s="36">
        <f>(+K48)*N$5</f>
        <v>49.835000000000001</v>
      </c>
      <c r="O48" s="36">
        <f>+K48-M48-N48+P48</f>
        <v>9702.8745000000017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f>30.75+34</f>
        <v>64.75</v>
      </c>
      <c r="AA48" s="34"/>
      <c r="AB48" s="34"/>
      <c r="AC48" s="34">
        <v>388.87</v>
      </c>
      <c r="AD48" s="38" t="s">
        <v>141</v>
      </c>
      <c r="AE48" s="38">
        <v>15086</v>
      </c>
      <c r="AF48" s="34">
        <v>3805.45</v>
      </c>
      <c r="AG48" s="33">
        <f>(AF48*0.8)*0.85</f>
        <v>2587.7060000000001</v>
      </c>
      <c r="AH48" s="33">
        <f>(AF48*0.8)*0.15</f>
        <v>456.654</v>
      </c>
      <c r="AI48" s="33">
        <f>AF48*0.2</f>
        <v>761.09</v>
      </c>
      <c r="AJ48" s="34"/>
      <c r="AK48" s="33">
        <f t="shared" ref="AK48" si="68">(C48-AF48-AJ48)/1.12</f>
        <v>40338.892857142855</v>
      </c>
      <c r="AL48" s="33">
        <f t="shared" ref="AL48" si="69">AK48-SUM(Y48:AC48)</f>
        <v>39885.272857142852</v>
      </c>
      <c r="AM48" s="33">
        <f t="shared" ref="AM48" si="70">+AL48*0.12</f>
        <v>4786.2327428571425</v>
      </c>
      <c r="AN48" s="33">
        <f t="shared" ref="AN48" si="71">+AM48+AL48+AJ48</f>
        <v>44671.505599999997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" thickBot="1">
      <c r="A49" s="210"/>
      <c r="B49" s="16" t="s">
        <v>44</v>
      </c>
      <c r="C49" s="33">
        <v>26820.79</v>
      </c>
      <c r="D49" s="34">
        <v>17153.419999999998</v>
      </c>
      <c r="E49" s="34">
        <v>17155</v>
      </c>
      <c r="F49" s="35">
        <v>43358</v>
      </c>
      <c r="G49" s="33"/>
      <c r="H49" s="33">
        <f>IF(E49-D49&gt;0,E49-D49,0)</f>
        <v>1.5800000000017462</v>
      </c>
      <c r="I49" s="34"/>
      <c r="J49" s="34"/>
      <c r="K49" s="34">
        <v>5994.34</v>
      </c>
      <c r="L49" s="34"/>
      <c r="M49" s="36">
        <f>(+K49)*M$5</f>
        <v>128.87831</v>
      </c>
      <c r="N49" s="36">
        <f>(+K49)*N$5</f>
        <v>29.971700000000002</v>
      </c>
      <c r="O49" s="36">
        <f>+K49-M49-N49+P49</f>
        <v>5835.48999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v>354</v>
      </c>
      <c r="AA49" s="34"/>
      <c r="AB49" s="34"/>
      <c r="AC49" s="34">
        <v>133.03</v>
      </c>
      <c r="AD49" s="38" t="s">
        <v>139</v>
      </c>
      <c r="AE49" s="38">
        <v>3186</v>
      </c>
      <c r="AF49" s="34">
        <v>1802.62</v>
      </c>
      <c r="AG49" s="33">
        <f>(AF49*0.8)*0.85</f>
        <v>1225.7816</v>
      </c>
      <c r="AH49" s="33">
        <f>(AF49*0.8)*0.15</f>
        <v>216.31440000000001</v>
      </c>
      <c r="AI49" s="33">
        <f>AF49*0.2</f>
        <v>360.524</v>
      </c>
      <c r="AJ49" s="34"/>
      <c r="AK49" s="33">
        <f>(C49-AF49-AJ49)/1.12</f>
        <v>22337.651785714286</v>
      </c>
      <c r="AL49" s="33">
        <f>AK49-SUM(Y49:AC49)</f>
        <v>21850.621785714287</v>
      </c>
      <c r="AM49" s="33">
        <f>+AL49*0.12</f>
        <v>2622.0746142857142</v>
      </c>
      <c r="AN49" s="33">
        <f t="shared" ref="AN49" si="72">+AM49+AL49+AJ49</f>
        <v>24472.696400000001</v>
      </c>
      <c r="AO49" s="39"/>
      <c r="AP49" s="40">
        <v>215</v>
      </c>
      <c r="AQ49" s="40"/>
      <c r="AR49" s="40">
        <v>360</v>
      </c>
      <c r="AS49" s="40"/>
      <c r="AT49" s="40"/>
      <c r="AU49" s="40"/>
      <c r="AV49" s="40"/>
      <c r="AW49" s="40"/>
      <c r="AX49" s="40"/>
      <c r="AY49" s="40"/>
      <c r="AZ49" s="33">
        <f>SUM(AO49:AY49)</f>
        <v>575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575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" thickBot="1">
      <c r="A50" s="42"/>
      <c r="B50" s="43"/>
      <c r="C50" s="44">
        <f>SUBTOTAL(9,C48:C49)</f>
        <v>75805.8</v>
      </c>
      <c r="D50" s="45">
        <f>SUBTOTAL(9,D48:D49)</f>
        <v>40631.81</v>
      </c>
      <c r="E50" s="45">
        <f>SUBTOTAL(9,E48:E49)</f>
        <v>40635</v>
      </c>
      <c r="F50" s="47"/>
      <c r="G50" s="45">
        <f t="shared" ref="G50:P50" si="73">SUBTOTAL(9,G48:G49)</f>
        <v>0</v>
      </c>
      <c r="H50" s="45">
        <f t="shared" si="73"/>
        <v>3.1900000000023283</v>
      </c>
      <c r="I50" s="160">
        <f t="shared" si="73"/>
        <v>0</v>
      </c>
      <c r="J50" s="160">
        <f t="shared" si="73"/>
        <v>0</v>
      </c>
      <c r="K50" s="160">
        <f t="shared" si="73"/>
        <v>15961.34</v>
      </c>
      <c r="L50" s="160">
        <f t="shared" si="73"/>
        <v>0</v>
      </c>
      <c r="M50" s="46">
        <f t="shared" si="73"/>
        <v>343.16881000000001</v>
      </c>
      <c r="N50" s="46">
        <f t="shared" si="73"/>
        <v>79.806700000000006</v>
      </c>
      <c r="O50" s="46">
        <f t="shared" si="73"/>
        <v>15538.364490000002</v>
      </c>
      <c r="P50" s="46">
        <f t="shared" si="73"/>
        <v>0</v>
      </c>
      <c r="Q50" s="47"/>
      <c r="R50" s="45">
        <f t="shared" ref="R50:BQ50" si="74">SUBTOTAL(9,R48:R49)</f>
        <v>0</v>
      </c>
      <c r="S50" s="45">
        <f t="shared" si="74"/>
        <v>0</v>
      </c>
      <c r="T50" s="46">
        <f t="shared" si="74"/>
        <v>0</v>
      </c>
      <c r="U50" s="46">
        <f t="shared" si="74"/>
        <v>0</v>
      </c>
      <c r="V50" s="46">
        <f t="shared" si="74"/>
        <v>0</v>
      </c>
      <c r="W50" s="46">
        <f t="shared" si="74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74"/>
        <v>3813.4876000000004</v>
      </c>
      <c r="AH50" s="44">
        <f t="shared" si="74"/>
        <v>672.96839999999997</v>
      </c>
      <c r="AI50" s="44">
        <f t="shared" si="74"/>
        <v>1121.614</v>
      </c>
      <c r="AJ50" s="45">
        <f t="shared" si="74"/>
        <v>0</v>
      </c>
      <c r="AK50" s="44">
        <f t="shared" si="74"/>
        <v>62676.544642857145</v>
      </c>
      <c r="AL50" s="44">
        <f t="shared" si="74"/>
        <v>61735.894642857136</v>
      </c>
      <c r="AM50" s="44">
        <f t="shared" si="74"/>
        <v>7408.3073571428567</v>
      </c>
      <c r="AN50" s="44">
        <f t="shared" si="62"/>
        <v>69144.20199999999</v>
      </c>
      <c r="AO50" s="49">
        <f t="shared" si="74"/>
        <v>0</v>
      </c>
      <c r="AP50" s="49">
        <f t="shared" si="74"/>
        <v>215</v>
      </c>
      <c r="AQ50" s="49">
        <f t="shared" si="74"/>
        <v>0</v>
      </c>
      <c r="AR50" s="49">
        <f t="shared" si="74"/>
        <v>360</v>
      </c>
      <c r="AS50" s="49">
        <f t="shared" si="74"/>
        <v>0</v>
      </c>
      <c r="AT50" s="49">
        <f t="shared" si="74"/>
        <v>0</v>
      </c>
      <c r="AU50" s="49">
        <f>SUBTOTAL(9,AU48:AU49)</f>
        <v>0</v>
      </c>
      <c r="AV50" s="49">
        <f t="shared" si="74"/>
        <v>0</v>
      </c>
      <c r="AW50" s="49">
        <f t="shared" si="74"/>
        <v>0</v>
      </c>
      <c r="AX50" s="49">
        <f t="shared" si="74"/>
        <v>0</v>
      </c>
      <c r="AY50" s="49">
        <f t="shared" si="74"/>
        <v>0</v>
      </c>
      <c r="AZ50" s="44">
        <f t="shared" si="74"/>
        <v>575</v>
      </c>
      <c r="BA50" s="48">
        <f t="shared" si="74"/>
        <v>0</v>
      </c>
      <c r="BB50" s="48">
        <f t="shared" si="74"/>
        <v>0</v>
      </c>
      <c r="BC50" s="44">
        <f t="shared" si="74"/>
        <v>0</v>
      </c>
      <c r="BD50" s="44">
        <f t="shared" si="74"/>
        <v>0</v>
      </c>
      <c r="BE50" s="49">
        <f t="shared" si="74"/>
        <v>0</v>
      </c>
      <c r="BF50" s="49">
        <f>SUBTOTAL(9,BF48:BF49)</f>
        <v>0</v>
      </c>
      <c r="BG50" s="49">
        <f t="shared" si="74"/>
        <v>0</v>
      </c>
      <c r="BH50" s="49">
        <f t="shared" si="74"/>
        <v>0</v>
      </c>
      <c r="BI50" s="49">
        <f t="shared" si="74"/>
        <v>0</v>
      </c>
      <c r="BJ50" s="49">
        <f t="shared" si="74"/>
        <v>0</v>
      </c>
      <c r="BK50" s="49">
        <f t="shared" si="74"/>
        <v>0</v>
      </c>
      <c r="BL50" s="49">
        <f t="shared" si="74"/>
        <v>0</v>
      </c>
      <c r="BM50" s="49">
        <f t="shared" si="74"/>
        <v>0</v>
      </c>
      <c r="BN50" s="49">
        <f t="shared" si="74"/>
        <v>0</v>
      </c>
      <c r="BO50" s="49">
        <f t="shared" si="74"/>
        <v>0</v>
      </c>
      <c r="BP50" s="49">
        <f t="shared" si="74"/>
        <v>0</v>
      </c>
      <c r="BQ50" s="49">
        <f t="shared" si="74"/>
        <v>0</v>
      </c>
      <c r="BR50" s="44">
        <f>SUBTOTAL(9,BR48:BR49)</f>
        <v>575</v>
      </c>
    </row>
    <row r="51" spans="1:97">
      <c r="A51" s="209">
        <f>+A48+1</f>
        <v>43358</v>
      </c>
      <c r="B51" s="16" t="s">
        <v>43</v>
      </c>
      <c r="C51" s="33" t="s">
        <v>135</v>
      </c>
      <c r="D51" s="34"/>
      <c r="E51" s="34"/>
      <c r="F51" s="35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>AK51-SUM(Y51:AC51)</f>
        <v>0</v>
      </c>
      <c r="AM51" s="33">
        <f>+AL51*0.12</f>
        <v>0</v>
      </c>
      <c r="AN51" s="33">
        <f t="shared" si="62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" thickBot="1">
      <c r="A52" s="210"/>
      <c r="B52" s="16" t="s">
        <v>44</v>
      </c>
      <c r="C52" s="33">
        <v>4410.45</v>
      </c>
      <c r="D52" s="34">
        <v>1425.09</v>
      </c>
      <c r="E52" s="34">
        <v>1420</v>
      </c>
      <c r="F52" s="35">
        <v>43360</v>
      </c>
      <c r="G52" s="33">
        <f>IF(E52-D52&lt;0,E52-D52,0)*-1</f>
        <v>5.0899999999999181</v>
      </c>
      <c r="H52" s="33">
        <f>IF(E52-D52&gt;0,E52-D52,0)</f>
        <v>0</v>
      </c>
      <c r="I52" s="34"/>
      <c r="J52" s="34"/>
      <c r="K52" s="34">
        <v>675.36</v>
      </c>
      <c r="L52" s="34"/>
      <c r="M52" s="36">
        <f>(+K52)*M$5</f>
        <v>14.520239999999999</v>
      </c>
      <c r="N52" s="36">
        <f>(+K52)*N$5</f>
        <v>3.3768000000000002</v>
      </c>
      <c r="O52" s="36">
        <f>+K52-M52-N52+P52</f>
        <v>657.46296000000007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 t="s">
        <v>137</v>
      </c>
      <c r="AE52" s="38">
        <v>2079</v>
      </c>
      <c r="AF52" s="34">
        <v>125.45</v>
      </c>
      <c r="AG52" s="33">
        <f>(AF52*0.8)*0.85</f>
        <v>85.306000000000012</v>
      </c>
      <c r="AH52" s="33">
        <f>(AF52*0.8)*0.15</f>
        <v>15.054000000000002</v>
      </c>
      <c r="AI52" s="33">
        <f>AF52*0.2</f>
        <v>25.090000000000003</v>
      </c>
      <c r="AJ52" s="34"/>
      <c r="AK52" s="33">
        <f>(C52-AF52-AJ52)/1.12</f>
        <v>3825.8928571428569</v>
      </c>
      <c r="AL52" s="33">
        <f>AK52-SUM(Y52:AC52)</f>
        <v>3825.8928571428569</v>
      </c>
      <c r="AM52" s="33">
        <f>+AL52*0.12</f>
        <v>459.10714285714283</v>
      </c>
      <c r="AN52" s="33">
        <f t="shared" ref="AN52" si="75">+AM52+AL52+AJ52</f>
        <v>4285</v>
      </c>
      <c r="AO52" s="39"/>
      <c r="AP52" s="40">
        <v>415</v>
      </c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415</v>
      </c>
      <c r="BA52" s="38"/>
      <c r="BB52" s="38"/>
      <c r="BC52" s="33"/>
      <c r="BD52" s="33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415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" thickBot="1">
      <c r="A53" s="42"/>
      <c r="B53" s="43"/>
      <c r="C53" s="44">
        <f>SUBTOTAL(9,C51:C52)</f>
        <v>4410.45</v>
      </c>
      <c r="D53" s="45">
        <f>SUBTOTAL(9,D51:D52)</f>
        <v>1425.09</v>
      </c>
      <c r="E53" s="45">
        <f>SUBTOTAL(9,E51:E52)</f>
        <v>1420</v>
      </c>
      <c r="F53" s="47"/>
      <c r="G53" s="45">
        <f t="shared" ref="G53:P53" si="76">SUBTOTAL(9,G51:G52)</f>
        <v>5.0899999999999181</v>
      </c>
      <c r="H53" s="45">
        <f t="shared" si="76"/>
        <v>0</v>
      </c>
      <c r="I53" s="160">
        <f t="shared" si="76"/>
        <v>0</v>
      </c>
      <c r="J53" s="160">
        <f t="shared" si="76"/>
        <v>0</v>
      </c>
      <c r="K53" s="160">
        <f t="shared" si="76"/>
        <v>675.36</v>
      </c>
      <c r="L53" s="160">
        <f t="shared" si="76"/>
        <v>0</v>
      </c>
      <c r="M53" s="46">
        <f t="shared" si="76"/>
        <v>14.520239999999999</v>
      </c>
      <c r="N53" s="46">
        <f t="shared" si="76"/>
        <v>3.3768000000000002</v>
      </c>
      <c r="O53" s="46">
        <f t="shared" si="76"/>
        <v>657.46296000000007</v>
      </c>
      <c r="P53" s="46">
        <f t="shared" si="76"/>
        <v>0</v>
      </c>
      <c r="Q53" s="47"/>
      <c r="R53" s="45">
        <f t="shared" ref="R53:BQ53" si="77">SUBTOTAL(9,R51:R52)</f>
        <v>0</v>
      </c>
      <c r="S53" s="45">
        <f t="shared" si="77"/>
        <v>0</v>
      </c>
      <c r="T53" s="46">
        <f t="shared" si="77"/>
        <v>0</v>
      </c>
      <c r="U53" s="46">
        <f t="shared" si="77"/>
        <v>0</v>
      </c>
      <c r="V53" s="46">
        <f t="shared" si="77"/>
        <v>0</v>
      </c>
      <c r="W53" s="46">
        <f t="shared" si="77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77"/>
        <v>85.306000000000012</v>
      </c>
      <c r="AH53" s="44">
        <f t="shared" si="77"/>
        <v>15.054000000000002</v>
      </c>
      <c r="AI53" s="44">
        <f t="shared" si="77"/>
        <v>25.090000000000003</v>
      </c>
      <c r="AJ53" s="45">
        <f t="shared" si="77"/>
        <v>0</v>
      </c>
      <c r="AK53" s="44">
        <f t="shared" si="77"/>
        <v>3825.8928571428569</v>
      </c>
      <c r="AL53" s="44">
        <f t="shared" si="77"/>
        <v>3825.8928571428569</v>
      </c>
      <c r="AM53" s="44">
        <f t="shared" si="77"/>
        <v>459.10714285714283</v>
      </c>
      <c r="AN53" s="44">
        <f t="shared" si="62"/>
        <v>4285</v>
      </c>
      <c r="AO53" s="49">
        <f t="shared" si="77"/>
        <v>0</v>
      </c>
      <c r="AP53" s="49">
        <f t="shared" si="77"/>
        <v>415</v>
      </c>
      <c r="AQ53" s="49">
        <f t="shared" si="77"/>
        <v>0</v>
      </c>
      <c r="AR53" s="49">
        <f t="shared" si="77"/>
        <v>0</v>
      </c>
      <c r="AS53" s="49">
        <f t="shared" si="77"/>
        <v>0</v>
      </c>
      <c r="AT53" s="49">
        <f t="shared" si="77"/>
        <v>0</v>
      </c>
      <c r="AU53" s="49">
        <f>SUBTOTAL(9,AU51:AU52)</f>
        <v>0</v>
      </c>
      <c r="AV53" s="49">
        <f t="shared" si="77"/>
        <v>0</v>
      </c>
      <c r="AW53" s="49">
        <f t="shared" si="77"/>
        <v>0</v>
      </c>
      <c r="AX53" s="49">
        <f t="shared" si="77"/>
        <v>0</v>
      </c>
      <c r="AY53" s="49">
        <f t="shared" si="77"/>
        <v>0</v>
      </c>
      <c r="AZ53" s="44">
        <f t="shared" si="77"/>
        <v>415</v>
      </c>
      <c r="BA53" s="48">
        <f t="shared" si="77"/>
        <v>0</v>
      </c>
      <c r="BB53" s="48">
        <f t="shared" si="77"/>
        <v>0</v>
      </c>
      <c r="BC53" s="44">
        <f t="shared" si="77"/>
        <v>0</v>
      </c>
      <c r="BD53" s="44">
        <f t="shared" si="77"/>
        <v>0</v>
      </c>
      <c r="BE53" s="49">
        <f t="shared" si="77"/>
        <v>0</v>
      </c>
      <c r="BF53" s="49">
        <f>SUBTOTAL(9,BF51:BF52)</f>
        <v>0</v>
      </c>
      <c r="BG53" s="49">
        <f t="shared" si="77"/>
        <v>0</v>
      </c>
      <c r="BH53" s="49">
        <f t="shared" si="77"/>
        <v>0</v>
      </c>
      <c r="BI53" s="49">
        <f t="shared" si="77"/>
        <v>0</v>
      </c>
      <c r="BJ53" s="49">
        <f t="shared" si="77"/>
        <v>0</v>
      </c>
      <c r="BK53" s="49">
        <f t="shared" si="77"/>
        <v>0</v>
      </c>
      <c r="BL53" s="49">
        <f t="shared" si="77"/>
        <v>0</v>
      </c>
      <c r="BM53" s="49">
        <f t="shared" si="77"/>
        <v>0</v>
      </c>
      <c r="BN53" s="49">
        <f t="shared" si="77"/>
        <v>0</v>
      </c>
      <c r="BO53" s="49">
        <f t="shared" si="77"/>
        <v>0</v>
      </c>
      <c r="BP53" s="49">
        <f t="shared" si="77"/>
        <v>0</v>
      </c>
      <c r="BQ53" s="49">
        <f t="shared" si="77"/>
        <v>0</v>
      </c>
      <c r="BR53" s="44">
        <f>SUBTOTAL(9,BR51:BR52)</f>
        <v>415</v>
      </c>
    </row>
    <row r="54" spans="1:97">
      <c r="A54" s="209">
        <f>+A51+1</f>
        <v>43359</v>
      </c>
      <c r="B54" s="16" t="s">
        <v>43</v>
      </c>
      <c r="C54" s="33" t="s">
        <v>138</v>
      </c>
      <c r="D54" s="34"/>
      <c r="E54" s="34"/>
      <c r="F54" s="35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v>0</v>
      </c>
      <c r="AL54" s="33">
        <f>AK54-SUM(Y54:AC54)</f>
        <v>0</v>
      </c>
      <c r="AM54" s="33">
        <f>+AL54*0.12</f>
        <v>0</v>
      </c>
      <c r="AN54" s="33">
        <f t="shared" si="62"/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" thickBot="1">
      <c r="A55" s="210"/>
      <c r="B55" s="16" t="s">
        <v>44</v>
      </c>
      <c r="C55" s="33"/>
      <c r="D55" s="34"/>
      <c r="E55" s="34"/>
      <c r="F55" s="35"/>
      <c r="G55" s="33">
        <f>IF(E55-D55&lt;0,E55-D55,0)*-1</f>
        <v>0</v>
      </c>
      <c r="H55" s="33">
        <f>IF(E55-D55&gt;0,E55-D55,0)</f>
        <v>0</v>
      </c>
      <c r="I55" s="34"/>
      <c r="J55" s="34"/>
      <c r="K55" s="34"/>
      <c r="L55" s="34"/>
      <c r="M55" s="36">
        <f>(+K55)*M$5</f>
        <v>0</v>
      </c>
      <c r="N55" s="36">
        <f>(+K55)*N$5</f>
        <v>0</v>
      </c>
      <c r="O55" s="36">
        <f>+K55-M55-N55+P55</f>
        <v>0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/>
      <c r="AD55" s="38"/>
      <c r="AE55" s="38"/>
      <c r="AF55" s="34"/>
      <c r="AG55" s="33">
        <f>(AF55*0.8)*0.85</f>
        <v>0</v>
      </c>
      <c r="AH55" s="33">
        <f>(AF55*0.8)*0.15</f>
        <v>0</v>
      </c>
      <c r="AI55" s="33">
        <f>AF55*0.2</f>
        <v>0</v>
      </c>
      <c r="AJ55" s="34"/>
      <c r="AK55" s="33">
        <f>(C55-AF55-AJ55)/1.12</f>
        <v>0</v>
      </c>
      <c r="AL55" s="33">
        <f>AK55-SUM(Y55:AC55)</f>
        <v>0</v>
      </c>
      <c r="AM55" s="33">
        <f>+AL55*0.12</f>
        <v>0</v>
      </c>
      <c r="AN55" s="33">
        <f t="shared" si="62"/>
        <v>0</v>
      </c>
      <c r="AO55" s="39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0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" thickBot="1">
      <c r="A56" s="42"/>
      <c r="B56" s="43"/>
      <c r="C56" s="44">
        <f>SUBTOTAL(9,C54:C55)</f>
        <v>0</v>
      </c>
      <c r="D56" s="45">
        <f>SUBTOTAL(9,D54:D55)</f>
        <v>0</v>
      </c>
      <c r="E56" s="45">
        <f>SUBTOTAL(9,E54:E55)</f>
        <v>0</v>
      </c>
      <c r="F56" s="47"/>
      <c r="G56" s="45">
        <f t="shared" ref="G56:P56" si="78">SUBTOTAL(9,G54:G55)</f>
        <v>0</v>
      </c>
      <c r="H56" s="45">
        <f t="shared" si="78"/>
        <v>0</v>
      </c>
      <c r="I56" s="160">
        <f t="shared" si="78"/>
        <v>0</v>
      </c>
      <c r="J56" s="160">
        <f t="shared" si="78"/>
        <v>0</v>
      </c>
      <c r="K56" s="160">
        <f t="shared" si="78"/>
        <v>0</v>
      </c>
      <c r="L56" s="160">
        <f t="shared" si="78"/>
        <v>0</v>
      </c>
      <c r="M56" s="46">
        <f t="shared" si="78"/>
        <v>0</v>
      </c>
      <c r="N56" s="46">
        <f t="shared" si="78"/>
        <v>0</v>
      </c>
      <c r="O56" s="46">
        <f t="shared" si="78"/>
        <v>0</v>
      </c>
      <c r="P56" s="46">
        <f t="shared" si="78"/>
        <v>0</v>
      </c>
      <c r="Q56" s="47"/>
      <c r="R56" s="45">
        <f t="shared" ref="R56:BQ56" si="79">SUBTOTAL(9,R54:R55)</f>
        <v>0</v>
      </c>
      <c r="S56" s="45">
        <f t="shared" si="79"/>
        <v>0</v>
      </c>
      <c r="T56" s="46">
        <f t="shared" si="79"/>
        <v>0</v>
      </c>
      <c r="U56" s="46">
        <f t="shared" si="79"/>
        <v>0</v>
      </c>
      <c r="V56" s="46">
        <f t="shared" si="79"/>
        <v>0</v>
      </c>
      <c r="W56" s="46">
        <f t="shared" si="79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79"/>
        <v>0</v>
      </c>
      <c r="AH56" s="44">
        <f t="shared" si="79"/>
        <v>0</v>
      </c>
      <c r="AI56" s="44">
        <f t="shared" si="79"/>
        <v>0</v>
      </c>
      <c r="AJ56" s="45">
        <f t="shared" si="79"/>
        <v>0</v>
      </c>
      <c r="AK56" s="44">
        <f t="shared" si="79"/>
        <v>0</v>
      </c>
      <c r="AL56" s="44">
        <f t="shared" si="79"/>
        <v>0</v>
      </c>
      <c r="AM56" s="44">
        <f t="shared" si="79"/>
        <v>0</v>
      </c>
      <c r="AN56" s="44">
        <f t="shared" si="62"/>
        <v>0</v>
      </c>
      <c r="AO56" s="49">
        <f t="shared" si="79"/>
        <v>0</v>
      </c>
      <c r="AP56" s="49">
        <f t="shared" si="79"/>
        <v>0</v>
      </c>
      <c r="AQ56" s="49">
        <f t="shared" si="79"/>
        <v>0</v>
      </c>
      <c r="AR56" s="49">
        <f t="shared" si="79"/>
        <v>0</v>
      </c>
      <c r="AS56" s="49">
        <f t="shared" si="79"/>
        <v>0</v>
      </c>
      <c r="AT56" s="49">
        <f t="shared" si="79"/>
        <v>0</v>
      </c>
      <c r="AU56" s="49">
        <f>SUBTOTAL(9,AU54:AU55)</f>
        <v>0</v>
      </c>
      <c r="AV56" s="49">
        <f t="shared" si="79"/>
        <v>0</v>
      </c>
      <c r="AW56" s="49">
        <f t="shared" si="79"/>
        <v>0</v>
      </c>
      <c r="AX56" s="49">
        <f t="shared" si="79"/>
        <v>0</v>
      </c>
      <c r="AY56" s="49">
        <f t="shared" si="79"/>
        <v>0</v>
      </c>
      <c r="AZ56" s="44">
        <f t="shared" si="79"/>
        <v>0</v>
      </c>
      <c r="BA56" s="48">
        <f t="shared" si="79"/>
        <v>0</v>
      </c>
      <c r="BB56" s="48">
        <f t="shared" si="79"/>
        <v>0</v>
      </c>
      <c r="BC56" s="44">
        <f t="shared" si="79"/>
        <v>0</v>
      </c>
      <c r="BD56" s="44">
        <f t="shared" si="79"/>
        <v>0</v>
      </c>
      <c r="BE56" s="49">
        <f t="shared" si="79"/>
        <v>0</v>
      </c>
      <c r="BF56" s="49">
        <f>SUBTOTAL(9,BF54:BF55)</f>
        <v>0</v>
      </c>
      <c r="BG56" s="49">
        <f t="shared" si="79"/>
        <v>0</v>
      </c>
      <c r="BH56" s="49">
        <f t="shared" si="79"/>
        <v>0</v>
      </c>
      <c r="BI56" s="49">
        <f t="shared" si="79"/>
        <v>0</v>
      </c>
      <c r="BJ56" s="49">
        <f t="shared" si="79"/>
        <v>0</v>
      </c>
      <c r="BK56" s="49">
        <f t="shared" si="79"/>
        <v>0</v>
      </c>
      <c r="BL56" s="49">
        <f t="shared" si="79"/>
        <v>0</v>
      </c>
      <c r="BM56" s="49">
        <f t="shared" si="79"/>
        <v>0</v>
      </c>
      <c r="BN56" s="49">
        <f t="shared" si="79"/>
        <v>0</v>
      </c>
      <c r="BO56" s="49">
        <f t="shared" si="79"/>
        <v>0</v>
      </c>
      <c r="BP56" s="49">
        <f t="shared" si="79"/>
        <v>0</v>
      </c>
      <c r="BQ56" s="49">
        <f t="shared" si="79"/>
        <v>0</v>
      </c>
      <c r="BR56" s="44">
        <f>SUBTOTAL(9,BR54:BR55)</f>
        <v>0</v>
      </c>
    </row>
    <row r="57" spans="1:97">
      <c r="A57" s="209">
        <f>+A54+1</f>
        <v>43360</v>
      </c>
      <c r="B57" s="16" t="s">
        <v>43</v>
      </c>
      <c r="C57" s="33">
        <v>9413.32</v>
      </c>
      <c r="D57" s="34">
        <v>8039.05</v>
      </c>
      <c r="E57" s="34">
        <v>8040</v>
      </c>
      <c r="F57" s="35">
        <v>43360</v>
      </c>
      <c r="G57" s="33"/>
      <c r="H57" s="33">
        <f>IF(E57-D57&gt;0,E57-D57,0)</f>
        <v>0.9499999999998181</v>
      </c>
      <c r="I57" s="34"/>
      <c r="J57" s="34"/>
      <c r="K57" s="34">
        <v>553.63</v>
      </c>
      <c r="L57" s="34"/>
      <c r="M57" s="36">
        <f>(+K57)*M$5</f>
        <v>11.903044999999999</v>
      </c>
      <c r="N57" s="36">
        <f>(+K57)*N$5</f>
        <v>2.7681499999999999</v>
      </c>
      <c r="O57" s="36">
        <f>+K57-M57-N57+P57</f>
        <v>538.95880499999998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>
        <f>40.5+67.3</f>
        <v>107.8</v>
      </c>
      <c r="AA57" s="34"/>
      <c r="AB57" s="34"/>
      <c r="AC57" s="34">
        <v>107.14</v>
      </c>
      <c r="AD57" s="38" t="s">
        <v>139</v>
      </c>
      <c r="AE57" s="38">
        <v>605.70000000000005</v>
      </c>
      <c r="AF57" s="34">
        <v>684.61</v>
      </c>
      <c r="AG57" s="33">
        <f>(AF57*0.8)*0.85</f>
        <v>465.53479999999996</v>
      </c>
      <c r="AH57" s="33">
        <f>(AF57*0.8)*0.15</f>
        <v>82.153199999999998</v>
      </c>
      <c r="AI57" s="33">
        <f>AF57*0.2</f>
        <v>136.922</v>
      </c>
      <c r="AJ57" s="34"/>
      <c r="AK57" s="33">
        <f>(C57-AF57-AJ57)/1.12</f>
        <v>7793.4910714285697</v>
      </c>
      <c r="AL57" s="33">
        <f>AK57-SUM(Y57:AC57)</f>
        <v>7578.5510714285701</v>
      </c>
      <c r="AM57" s="33">
        <f>+AL57*0.12</f>
        <v>909.42612857142842</v>
      </c>
      <c r="AN57" s="33">
        <f t="shared" ref="AN57:AN58" si="80">+AM57+AL57+AJ57</f>
        <v>8487.9771999999994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" thickBot="1">
      <c r="A58" s="210"/>
      <c r="B58" s="16" t="s">
        <v>44</v>
      </c>
      <c r="C58" s="167">
        <v>16070.71</v>
      </c>
      <c r="D58" s="34">
        <v>8302.07</v>
      </c>
      <c r="E58" s="34">
        <v>8310</v>
      </c>
      <c r="F58" s="35">
        <v>43361</v>
      </c>
      <c r="G58" s="33"/>
      <c r="H58" s="33">
        <f>IF(E58-D58&gt;0,E58-D58,0)</f>
        <v>7.930000000000291</v>
      </c>
      <c r="I58" s="34"/>
      <c r="J58" s="34"/>
      <c r="K58" s="34">
        <v>3931</v>
      </c>
      <c r="L58" s="34"/>
      <c r="M58" s="36">
        <f>(+K58)*M$5</f>
        <v>84.516499999999994</v>
      </c>
      <c r="N58" s="36">
        <f>(+K58)*N$5</f>
        <v>19.655000000000001</v>
      </c>
      <c r="O58" s="36">
        <f>+K58-M58-N58+P58</f>
        <v>3826.8284999999996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v>330</v>
      </c>
      <c r="AA58" s="34"/>
      <c r="AB58" s="34"/>
      <c r="AC58" s="34">
        <v>69.64</v>
      </c>
      <c r="AD58" s="38" t="s">
        <v>137</v>
      </c>
      <c r="AE58" s="38">
        <v>3438</v>
      </c>
      <c r="AF58" s="34">
        <v>832.5</v>
      </c>
      <c r="AG58" s="33">
        <f>(AF58*0.8)*0.85</f>
        <v>566.1</v>
      </c>
      <c r="AH58" s="33">
        <f>(AF58*0.8)*0.15</f>
        <v>99.899999999999991</v>
      </c>
      <c r="AI58" s="33">
        <f>AF58*0.2</f>
        <v>166.5</v>
      </c>
      <c r="AJ58" s="34"/>
      <c r="AK58" s="33">
        <f>(C58-AF58-AJ58)/1.12</f>
        <v>13605.544642857141</v>
      </c>
      <c r="AL58" s="33">
        <f>AK58-SUM(Y58:AC58)</f>
        <v>13205.904642857142</v>
      </c>
      <c r="AM58" s="33">
        <f>+AL58*0.12</f>
        <v>1584.708557142857</v>
      </c>
      <c r="AN58" s="33">
        <f t="shared" si="80"/>
        <v>14790.6132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" thickBot="1">
      <c r="A59" s="42"/>
      <c r="B59" s="43"/>
      <c r="C59" s="44">
        <f>SUBTOTAL(9,C57:C58)</f>
        <v>25484.03</v>
      </c>
      <c r="D59" s="45">
        <f>SUBTOTAL(9,D57:D58)</f>
        <v>16341.119999999999</v>
      </c>
      <c r="E59" s="45">
        <f>SUBTOTAL(9,E57:E58)</f>
        <v>16350</v>
      </c>
      <c r="F59" s="47"/>
      <c r="G59" s="45">
        <f t="shared" ref="G59:P59" si="81">SUBTOTAL(9,G57:G58)</f>
        <v>0</v>
      </c>
      <c r="H59" s="45">
        <f t="shared" si="81"/>
        <v>8.8800000000001091</v>
      </c>
      <c r="I59" s="160">
        <f t="shared" si="81"/>
        <v>0</v>
      </c>
      <c r="J59" s="160">
        <f t="shared" si="81"/>
        <v>0</v>
      </c>
      <c r="K59" s="160">
        <f t="shared" si="81"/>
        <v>4484.63</v>
      </c>
      <c r="L59" s="160">
        <f t="shared" si="81"/>
        <v>0</v>
      </c>
      <c r="M59" s="46">
        <f t="shared" si="81"/>
        <v>96.419544999999999</v>
      </c>
      <c r="N59" s="46">
        <f t="shared" si="81"/>
        <v>22.42315</v>
      </c>
      <c r="O59" s="46">
        <f t="shared" si="81"/>
        <v>4365.7873049999998</v>
      </c>
      <c r="P59" s="46">
        <f t="shared" si="81"/>
        <v>0</v>
      </c>
      <c r="Q59" s="47"/>
      <c r="R59" s="45">
        <f t="shared" ref="R59:BQ59" si="82">SUBTOTAL(9,R57:R58)</f>
        <v>0</v>
      </c>
      <c r="S59" s="45">
        <f t="shared" si="82"/>
        <v>0</v>
      </c>
      <c r="T59" s="46">
        <f t="shared" si="82"/>
        <v>0</v>
      </c>
      <c r="U59" s="46">
        <f t="shared" si="82"/>
        <v>0</v>
      </c>
      <c r="V59" s="46">
        <f t="shared" si="82"/>
        <v>0</v>
      </c>
      <c r="W59" s="46">
        <f t="shared" si="82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82"/>
        <v>1031.6348</v>
      </c>
      <c r="AH59" s="44">
        <f t="shared" si="82"/>
        <v>182.0532</v>
      </c>
      <c r="AI59" s="44">
        <f t="shared" si="82"/>
        <v>303.42200000000003</v>
      </c>
      <c r="AJ59" s="45">
        <f t="shared" si="82"/>
        <v>0</v>
      </c>
      <c r="AK59" s="44">
        <f t="shared" si="82"/>
        <v>21399.03571428571</v>
      </c>
      <c r="AL59" s="44">
        <f t="shared" si="82"/>
        <v>20784.455714285712</v>
      </c>
      <c r="AM59" s="44">
        <f t="shared" si="82"/>
        <v>2494.1346857142853</v>
      </c>
      <c r="AN59" s="44">
        <f t="shared" si="62"/>
        <v>23278.590399999997</v>
      </c>
      <c r="AO59" s="49">
        <f t="shared" si="82"/>
        <v>0</v>
      </c>
      <c r="AP59" s="49">
        <f t="shared" si="82"/>
        <v>0</v>
      </c>
      <c r="AQ59" s="49">
        <f t="shared" si="82"/>
        <v>0</v>
      </c>
      <c r="AR59" s="49">
        <f t="shared" si="82"/>
        <v>0</v>
      </c>
      <c r="AS59" s="49">
        <f t="shared" si="82"/>
        <v>0</v>
      </c>
      <c r="AT59" s="49">
        <f t="shared" si="82"/>
        <v>0</v>
      </c>
      <c r="AU59" s="49">
        <f>SUBTOTAL(9,AU57:AU58)</f>
        <v>0</v>
      </c>
      <c r="AV59" s="49">
        <f t="shared" si="82"/>
        <v>0</v>
      </c>
      <c r="AW59" s="49">
        <f t="shared" si="82"/>
        <v>0</v>
      </c>
      <c r="AX59" s="49">
        <f t="shared" si="82"/>
        <v>0</v>
      </c>
      <c r="AY59" s="49">
        <f t="shared" si="82"/>
        <v>0</v>
      </c>
      <c r="AZ59" s="44">
        <f t="shared" si="82"/>
        <v>0</v>
      </c>
      <c r="BA59" s="48">
        <f t="shared" si="82"/>
        <v>0</v>
      </c>
      <c r="BB59" s="48">
        <f t="shared" si="82"/>
        <v>0</v>
      </c>
      <c r="BC59" s="44">
        <f t="shared" si="82"/>
        <v>0</v>
      </c>
      <c r="BD59" s="44">
        <f t="shared" si="82"/>
        <v>0</v>
      </c>
      <c r="BE59" s="49">
        <f t="shared" si="82"/>
        <v>0</v>
      </c>
      <c r="BF59" s="49">
        <f>SUBTOTAL(9,BF57:BF58)</f>
        <v>0</v>
      </c>
      <c r="BG59" s="49">
        <f t="shared" si="82"/>
        <v>0</v>
      </c>
      <c r="BH59" s="49">
        <f t="shared" si="82"/>
        <v>0</v>
      </c>
      <c r="BI59" s="49">
        <f t="shared" si="82"/>
        <v>0</v>
      </c>
      <c r="BJ59" s="49">
        <f t="shared" si="82"/>
        <v>0</v>
      </c>
      <c r="BK59" s="49">
        <f t="shared" si="82"/>
        <v>0</v>
      </c>
      <c r="BL59" s="49">
        <f t="shared" si="82"/>
        <v>0</v>
      </c>
      <c r="BM59" s="49">
        <f t="shared" si="82"/>
        <v>0</v>
      </c>
      <c r="BN59" s="49">
        <f t="shared" si="82"/>
        <v>0</v>
      </c>
      <c r="BO59" s="49">
        <f t="shared" si="82"/>
        <v>0</v>
      </c>
      <c r="BP59" s="49">
        <f t="shared" si="82"/>
        <v>0</v>
      </c>
      <c r="BQ59" s="49">
        <f t="shared" si="82"/>
        <v>0</v>
      </c>
      <c r="BR59" s="44">
        <f>SUBTOTAL(9,BR57:BR58)</f>
        <v>0</v>
      </c>
    </row>
    <row r="60" spans="1:97">
      <c r="A60" s="209">
        <f>A57+1</f>
        <v>43361</v>
      </c>
      <c r="B60" s="16" t="s">
        <v>43</v>
      </c>
      <c r="C60" s="33">
        <v>18176.53</v>
      </c>
      <c r="D60" s="34">
        <v>11971.88</v>
      </c>
      <c r="E60" s="34">
        <v>11972</v>
      </c>
      <c r="F60" s="35">
        <v>43361</v>
      </c>
      <c r="G60" s="33"/>
      <c r="H60" s="33">
        <f>IF(E60-D60&gt;0,E60-D60,0)</f>
        <v>0.12000000000080036</v>
      </c>
      <c r="I60" s="34"/>
      <c r="J60" s="34"/>
      <c r="K60" s="34">
        <v>5599.02</v>
      </c>
      <c r="L60" s="34"/>
      <c r="M60" s="36">
        <f>(+K60)*M$5</f>
        <v>120.37893</v>
      </c>
      <c r="N60" s="36">
        <f>(+K60)*N$5</f>
        <v>27.995100000000004</v>
      </c>
      <c r="O60" s="36">
        <f>+K60-M60-N60+P60</f>
        <v>5450.6459700000005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v>140.5</v>
      </c>
      <c r="AA60" s="34"/>
      <c r="AB60" s="34"/>
      <c r="AC60" s="34">
        <v>465.13</v>
      </c>
      <c r="AD60" s="38"/>
      <c r="AE60" s="38"/>
      <c r="AF60" s="34">
        <v>1385.61</v>
      </c>
      <c r="AG60" s="33">
        <f>(AF60*0.8)*0.85</f>
        <v>942.21479999999997</v>
      </c>
      <c r="AH60" s="33">
        <f>(AF60*0.8)*0.15</f>
        <v>166.2732</v>
      </c>
      <c r="AI60" s="33">
        <f>AF60*0.2</f>
        <v>277.12200000000001</v>
      </c>
      <c r="AJ60" s="34"/>
      <c r="AK60" s="33">
        <f>(C60-AF60-AJ60)/1.12</f>
        <v>14991.892857142855</v>
      </c>
      <c r="AL60" s="33">
        <f>AK60-SUM(Y60:AC60)</f>
        <v>14386.262857142856</v>
      </c>
      <c r="AM60" s="33">
        <f>+AL60*0.12</f>
        <v>1726.3515428571427</v>
      </c>
      <c r="AN60" s="33">
        <f t="shared" si="62"/>
        <v>16112.614399999999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" thickBot="1">
      <c r="A61" s="210"/>
      <c r="B61" s="16" t="s">
        <v>44</v>
      </c>
      <c r="C61" s="33">
        <v>17958.09</v>
      </c>
      <c r="D61" s="34">
        <v>12322.68</v>
      </c>
      <c r="E61" s="34">
        <v>12325</v>
      </c>
      <c r="F61" s="35">
        <v>43362</v>
      </c>
      <c r="G61" s="33"/>
      <c r="H61" s="33">
        <f>IF(E61-D61&gt;0,E61-D61,0)</f>
        <v>2.319999999999709</v>
      </c>
      <c r="I61" s="34"/>
      <c r="J61" s="34"/>
      <c r="K61" s="34">
        <v>3676.34</v>
      </c>
      <c r="L61" s="34"/>
      <c r="M61" s="36">
        <f>(+K61)*M$5</f>
        <v>79.041309999999996</v>
      </c>
      <c r="N61" s="36">
        <f>(+K61)*N$5</f>
        <v>18.381700000000002</v>
      </c>
      <c r="O61" s="36">
        <f>+K61-M61-N61+P61</f>
        <v>3578.9169900000002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f>174.5+53</f>
        <v>227.5</v>
      </c>
      <c r="AA61" s="34"/>
      <c r="AB61" s="34"/>
      <c r="AC61" s="34">
        <v>161.07</v>
      </c>
      <c r="AD61" s="38" t="s">
        <v>139</v>
      </c>
      <c r="AE61" s="38">
        <v>3676.34</v>
      </c>
      <c r="AF61" s="34">
        <v>1317.73</v>
      </c>
      <c r="AG61" s="33">
        <f>(AF61*0.8)*0.85</f>
        <v>896.05639999999994</v>
      </c>
      <c r="AH61" s="33">
        <f>(AF61*0.8)*0.15</f>
        <v>158.1276</v>
      </c>
      <c r="AI61" s="33">
        <f>AF61*0.2</f>
        <v>263.54599999999999</v>
      </c>
      <c r="AJ61" s="34"/>
      <c r="AK61" s="33">
        <f>(C61-AF61-AJ61)/1.12</f>
        <v>14857.464285714284</v>
      </c>
      <c r="AL61" s="33">
        <f>AK61-SUM(Y61:AC61)</f>
        <v>14468.894285714285</v>
      </c>
      <c r="AM61" s="33">
        <f>+AL61*0.12</f>
        <v>1736.2673142857141</v>
      </c>
      <c r="AN61" s="33">
        <f t="shared" si="62"/>
        <v>16205.161599999999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" thickBot="1">
      <c r="A62" s="42"/>
      <c r="B62" s="43"/>
      <c r="C62" s="44">
        <f>SUBTOTAL(9,C60:C61)</f>
        <v>36134.619999999995</v>
      </c>
      <c r="D62" s="45">
        <f>SUBTOTAL(9,D60:D61)</f>
        <v>24294.559999999998</v>
      </c>
      <c r="E62" s="45">
        <f>SUBTOTAL(9,E60:E61)</f>
        <v>24297</v>
      </c>
      <c r="F62" s="47"/>
      <c r="G62" s="45">
        <f t="shared" ref="G62:P62" si="83">SUBTOTAL(9,G60:G61)</f>
        <v>0</v>
      </c>
      <c r="H62" s="45">
        <f t="shared" si="83"/>
        <v>2.4400000000005093</v>
      </c>
      <c r="I62" s="160">
        <f t="shared" si="83"/>
        <v>0</v>
      </c>
      <c r="J62" s="160">
        <f t="shared" si="83"/>
        <v>0</v>
      </c>
      <c r="K62" s="160">
        <f t="shared" si="83"/>
        <v>9275.36</v>
      </c>
      <c r="L62" s="160">
        <f t="shared" si="83"/>
        <v>0</v>
      </c>
      <c r="M62" s="46">
        <f t="shared" si="83"/>
        <v>199.42023999999998</v>
      </c>
      <c r="N62" s="46">
        <f t="shared" si="83"/>
        <v>46.376800000000003</v>
      </c>
      <c r="O62" s="46">
        <f t="shared" si="83"/>
        <v>9029.5629600000011</v>
      </c>
      <c r="P62" s="46">
        <f t="shared" si="83"/>
        <v>0</v>
      </c>
      <c r="Q62" s="47"/>
      <c r="R62" s="45">
        <f t="shared" ref="R62:BQ62" si="84">SUBTOTAL(9,R60:R61)</f>
        <v>0</v>
      </c>
      <c r="S62" s="45">
        <f t="shared" si="84"/>
        <v>0</v>
      </c>
      <c r="T62" s="46">
        <f t="shared" si="84"/>
        <v>0</v>
      </c>
      <c r="U62" s="46">
        <f t="shared" si="84"/>
        <v>0</v>
      </c>
      <c r="V62" s="46">
        <f t="shared" si="84"/>
        <v>0</v>
      </c>
      <c r="W62" s="46">
        <f t="shared" si="84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84"/>
        <v>1838.2711999999999</v>
      </c>
      <c r="AH62" s="44">
        <f t="shared" si="84"/>
        <v>324.4008</v>
      </c>
      <c r="AI62" s="44">
        <f t="shared" si="84"/>
        <v>540.66800000000001</v>
      </c>
      <c r="AJ62" s="45">
        <f t="shared" si="84"/>
        <v>0</v>
      </c>
      <c r="AK62" s="44">
        <f t="shared" si="84"/>
        <v>29849.357142857138</v>
      </c>
      <c r="AL62" s="44">
        <f t="shared" si="84"/>
        <v>28855.157142857141</v>
      </c>
      <c r="AM62" s="44">
        <f t="shared" si="84"/>
        <v>3462.6188571428565</v>
      </c>
      <c r="AN62" s="44">
        <f t="shared" si="62"/>
        <v>32317.775999999998</v>
      </c>
      <c r="AO62" s="49">
        <f t="shared" si="84"/>
        <v>0</v>
      </c>
      <c r="AP62" s="49">
        <f t="shared" si="84"/>
        <v>0</v>
      </c>
      <c r="AQ62" s="49">
        <f t="shared" si="84"/>
        <v>0</v>
      </c>
      <c r="AR62" s="49">
        <f t="shared" si="84"/>
        <v>0</v>
      </c>
      <c r="AS62" s="49">
        <f t="shared" si="84"/>
        <v>0</v>
      </c>
      <c r="AT62" s="49">
        <f t="shared" si="84"/>
        <v>0</v>
      </c>
      <c r="AU62" s="49">
        <f>SUBTOTAL(9,AU60:AU61)</f>
        <v>0</v>
      </c>
      <c r="AV62" s="49">
        <f t="shared" si="84"/>
        <v>0</v>
      </c>
      <c r="AW62" s="49">
        <f t="shared" si="84"/>
        <v>0</v>
      </c>
      <c r="AX62" s="49">
        <f t="shared" si="84"/>
        <v>0</v>
      </c>
      <c r="AY62" s="49">
        <f t="shared" si="84"/>
        <v>0</v>
      </c>
      <c r="AZ62" s="44">
        <f t="shared" si="84"/>
        <v>0</v>
      </c>
      <c r="BA62" s="48">
        <f t="shared" si="84"/>
        <v>0</v>
      </c>
      <c r="BB62" s="48">
        <f t="shared" si="84"/>
        <v>0</v>
      </c>
      <c r="BC62" s="44">
        <f t="shared" si="84"/>
        <v>0</v>
      </c>
      <c r="BD62" s="44">
        <f t="shared" si="84"/>
        <v>0</v>
      </c>
      <c r="BE62" s="49">
        <f t="shared" si="84"/>
        <v>0</v>
      </c>
      <c r="BF62" s="49">
        <f>SUBTOTAL(9,BF60:BF61)</f>
        <v>0</v>
      </c>
      <c r="BG62" s="49">
        <f t="shared" si="84"/>
        <v>0</v>
      </c>
      <c r="BH62" s="49">
        <f t="shared" si="84"/>
        <v>0</v>
      </c>
      <c r="BI62" s="49">
        <f t="shared" si="84"/>
        <v>0</v>
      </c>
      <c r="BJ62" s="49">
        <f t="shared" si="84"/>
        <v>0</v>
      </c>
      <c r="BK62" s="49">
        <f t="shared" si="84"/>
        <v>0</v>
      </c>
      <c r="BL62" s="49">
        <f t="shared" si="84"/>
        <v>0</v>
      </c>
      <c r="BM62" s="49">
        <f t="shared" si="84"/>
        <v>0</v>
      </c>
      <c r="BN62" s="49">
        <f t="shared" si="84"/>
        <v>0</v>
      </c>
      <c r="BO62" s="49">
        <f t="shared" si="84"/>
        <v>0</v>
      </c>
      <c r="BP62" s="49">
        <f t="shared" si="84"/>
        <v>0</v>
      </c>
      <c r="BQ62" s="49">
        <f t="shared" si="84"/>
        <v>0</v>
      </c>
      <c r="BR62" s="44">
        <f>SUBTOTAL(9,BR60:BR61)</f>
        <v>0</v>
      </c>
    </row>
    <row r="63" spans="1:97">
      <c r="A63" s="209">
        <f>+A60+1</f>
        <v>43362</v>
      </c>
      <c r="B63" s="16" t="s">
        <v>43</v>
      </c>
      <c r="C63" s="33">
        <v>18324.849999999999</v>
      </c>
      <c r="D63" s="34">
        <v>13536.94</v>
      </c>
      <c r="E63" s="34">
        <v>13540</v>
      </c>
      <c r="F63" s="35">
        <v>43362</v>
      </c>
      <c r="G63" s="33">
        <f>IF(E63-D63&lt;0,E63-D63,0)*-1</f>
        <v>0</v>
      </c>
      <c r="H63" s="33">
        <f>IF(E63-D63&gt;0,E63-D63,0)</f>
        <v>3.0599999999994907</v>
      </c>
      <c r="I63" s="34"/>
      <c r="J63" s="34"/>
      <c r="K63" s="34">
        <v>3768.94</v>
      </c>
      <c r="L63" s="34"/>
      <c r="M63" s="36">
        <f>(+K63)*M$5</f>
        <v>81.032209999999992</v>
      </c>
      <c r="N63" s="36">
        <f>(+K63)*N$5</f>
        <v>18.8447</v>
      </c>
      <c r="O63" s="36">
        <f>+K63-M63-N63+P63</f>
        <v>3669.0630900000001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>
        <f>10.75+50.5</f>
        <v>61.25</v>
      </c>
      <c r="AA63" s="34"/>
      <c r="AB63" s="34"/>
      <c r="AC63" s="34">
        <v>98.22</v>
      </c>
      <c r="AD63" s="38" t="s">
        <v>137</v>
      </c>
      <c r="AE63" s="38">
        <v>859.5</v>
      </c>
      <c r="AF63" s="34">
        <v>1253.78</v>
      </c>
      <c r="AG63" s="33">
        <f>(AF63*0.8)*0.85</f>
        <v>852.57039999999995</v>
      </c>
      <c r="AH63" s="33">
        <f>(AF63*0.8)*0.15</f>
        <v>150.45359999999999</v>
      </c>
      <c r="AI63" s="33">
        <f>AF63*0.2</f>
        <v>250.756</v>
      </c>
      <c r="AJ63" s="34"/>
      <c r="AK63" s="33">
        <f>(C63-AF63-AJ63)/1.12</f>
        <v>15242.026785714284</v>
      </c>
      <c r="AL63" s="33">
        <f>AK63-SUM(Y63:AC63)</f>
        <v>15082.556785714285</v>
      </c>
      <c r="AM63" s="33">
        <f>+AL63*0.12</f>
        <v>1809.9068142857141</v>
      </c>
      <c r="AN63" s="33">
        <f t="shared" ref="AN63:AN64" si="85">+AM63+AL63+AJ63</f>
        <v>16892.463599999999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" thickBot="1">
      <c r="A64" s="210"/>
      <c r="B64" s="16" t="s">
        <v>44</v>
      </c>
      <c r="C64" s="33">
        <v>18785.25</v>
      </c>
      <c r="D64" s="34">
        <v>11048.94</v>
      </c>
      <c r="E64" s="34">
        <v>11050</v>
      </c>
      <c r="F64" s="35">
        <v>43363</v>
      </c>
      <c r="G64" s="33">
        <f>IF(E64-D64&lt;0,E64-D64,0)*-1</f>
        <v>0</v>
      </c>
      <c r="H64" s="33">
        <f>IF(E64-D64&gt;0,E64-D64,0)</f>
        <v>1.0599999999994907</v>
      </c>
      <c r="I64" s="34"/>
      <c r="J64" s="34"/>
      <c r="K64" s="34">
        <v>7672.92</v>
      </c>
      <c r="L64" s="34"/>
      <c r="M64" s="36">
        <f>(+K64)*M$5</f>
        <v>164.96777999999998</v>
      </c>
      <c r="N64" s="36">
        <f>(+K64)*N$5</f>
        <v>38.364600000000003</v>
      </c>
      <c r="O64" s="36">
        <f>+K64-M64-N64+P64</f>
        <v>7469.5876200000002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>
        <v>63.39</v>
      </c>
      <c r="AD64" s="38"/>
      <c r="AE64" s="38"/>
      <c r="AF64" s="34">
        <v>1459.29</v>
      </c>
      <c r="AG64" s="33">
        <f>(AF64*0.8)*0.85</f>
        <v>992.31719999999996</v>
      </c>
      <c r="AH64" s="33">
        <f>(AF64*0.8)*0.15</f>
        <v>175.1148</v>
      </c>
      <c r="AI64" s="33">
        <f>AF64*0.2</f>
        <v>291.858</v>
      </c>
      <c r="AJ64" s="34"/>
      <c r="AK64" s="33">
        <f>(C64-AF64-AJ64)/1.12</f>
        <v>15469.607142857141</v>
      </c>
      <c r="AL64" s="33">
        <f>AK64-SUM(Y64:AC64)</f>
        <v>15406.217142857142</v>
      </c>
      <c r="AM64" s="33">
        <f>+AL64*0.12</f>
        <v>1848.7460571428569</v>
      </c>
      <c r="AN64" s="33">
        <f t="shared" si="85"/>
        <v>17254.963199999998</v>
      </c>
      <c r="AO64" s="39">
        <v>1295</v>
      </c>
      <c r="AP64" s="40"/>
      <c r="AQ64" s="40"/>
      <c r="AR64" s="40">
        <f>180+970</f>
        <v>1150</v>
      </c>
      <c r="AS64" s="40"/>
      <c r="AT64" s="40"/>
      <c r="AU64" s="40"/>
      <c r="AV64" s="40"/>
      <c r="AW64" s="40"/>
      <c r="AX64" s="40"/>
      <c r="AY64" s="40"/>
      <c r="AZ64" s="33">
        <f>SUM(AO64:AY64)</f>
        <v>2445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2445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" thickBot="1">
      <c r="A65" s="42"/>
      <c r="B65" s="43"/>
      <c r="C65" s="44">
        <f>SUBTOTAL(9,C63:C64)</f>
        <v>37110.1</v>
      </c>
      <c r="D65" s="45">
        <f>SUBTOTAL(9,D63:D64)</f>
        <v>24585.88</v>
      </c>
      <c r="E65" s="45">
        <f>SUBTOTAL(9,E63:E64)</f>
        <v>24590</v>
      </c>
      <c r="F65" s="47"/>
      <c r="G65" s="45">
        <f t="shared" ref="G65:P65" si="86">SUBTOTAL(9,G63:G64)</f>
        <v>0</v>
      </c>
      <c r="H65" s="45">
        <f t="shared" si="86"/>
        <v>4.1199999999989814</v>
      </c>
      <c r="I65" s="160">
        <f t="shared" si="86"/>
        <v>0</v>
      </c>
      <c r="J65" s="160">
        <f t="shared" si="86"/>
        <v>0</v>
      </c>
      <c r="K65" s="160">
        <f t="shared" si="86"/>
        <v>11441.86</v>
      </c>
      <c r="L65" s="160">
        <f t="shared" si="86"/>
        <v>0</v>
      </c>
      <c r="M65" s="46">
        <f t="shared" si="86"/>
        <v>245.99998999999997</v>
      </c>
      <c r="N65" s="46">
        <f t="shared" si="86"/>
        <v>57.209299999999999</v>
      </c>
      <c r="O65" s="46">
        <f t="shared" si="86"/>
        <v>11138.65071</v>
      </c>
      <c r="P65" s="46">
        <f t="shared" si="86"/>
        <v>0</v>
      </c>
      <c r="Q65" s="47"/>
      <c r="R65" s="45">
        <f t="shared" ref="R65:BQ65" si="87">SUBTOTAL(9,R63:R64)</f>
        <v>0</v>
      </c>
      <c r="S65" s="45">
        <f t="shared" si="87"/>
        <v>0</v>
      </c>
      <c r="T65" s="46">
        <f t="shared" si="87"/>
        <v>0</v>
      </c>
      <c r="U65" s="46">
        <f t="shared" si="87"/>
        <v>0</v>
      </c>
      <c r="V65" s="46">
        <f t="shared" si="87"/>
        <v>0</v>
      </c>
      <c r="W65" s="46">
        <f t="shared" si="87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87"/>
        <v>1844.8876</v>
      </c>
      <c r="AH65" s="44">
        <f t="shared" si="87"/>
        <v>325.5684</v>
      </c>
      <c r="AI65" s="44">
        <f t="shared" si="87"/>
        <v>542.61400000000003</v>
      </c>
      <c r="AJ65" s="45">
        <f t="shared" si="87"/>
        <v>0</v>
      </c>
      <c r="AK65" s="44">
        <f t="shared" si="87"/>
        <v>30711.633928571428</v>
      </c>
      <c r="AL65" s="44">
        <f t="shared" si="87"/>
        <v>30488.773928571427</v>
      </c>
      <c r="AM65" s="44">
        <f t="shared" si="87"/>
        <v>3658.652871428571</v>
      </c>
      <c r="AN65" s="44">
        <f t="shared" si="62"/>
        <v>34147.426800000001</v>
      </c>
      <c r="AO65" s="49">
        <f t="shared" si="87"/>
        <v>1295</v>
      </c>
      <c r="AP65" s="49">
        <f t="shared" si="87"/>
        <v>0</v>
      </c>
      <c r="AQ65" s="49">
        <f t="shared" si="87"/>
        <v>0</v>
      </c>
      <c r="AR65" s="49">
        <f t="shared" si="87"/>
        <v>1150</v>
      </c>
      <c r="AS65" s="49">
        <f t="shared" si="87"/>
        <v>0</v>
      </c>
      <c r="AT65" s="49">
        <f t="shared" si="87"/>
        <v>0</v>
      </c>
      <c r="AU65" s="49">
        <f>SUBTOTAL(9,AU63:AU64)</f>
        <v>0</v>
      </c>
      <c r="AV65" s="49">
        <f t="shared" si="87"/>
        <v>0</v>
      </c>
      <c r="AW65" s="49">
        <f t="shared" si="87"/>
        <v>0</v>
      </c>
      <c r="AX65" s="49">
        <f t="shared" si="87"/>
        <v>0</v>
      </c>
      <c r="AY65" s="49">
        <f t="shared" si="87"/>
        <v>0</v>
      </c>
      <c r="AZ65" s="44">
        <f t="shared" si="87"/>
        <v>2445</v>
      </c>
      <c r="BA65" s="48">
        <f t="shared" si="87"/>
        <v>0</v>
      </c>
      <c r="BB65" s="48">
        <f t="shared" si="87"/>
        <v>0</v>
      </c>
      <c r="BC65" s="44">
        <f t="shared" si="87"/>
        <v>0</v>
      </c>
      <c r="BD65" s="44">
        <f t="shared" si="87"/>
        <v>0</v>
      </c>
      <c r="BE65" s="49">
        <f t="shared" si="87"/>
        <v>0</v>
      </c>
      <c r="BF65" s="49">
        <f>SUBTOTAL(9,BF63:BF64)</f>
        <v>0</v>
      </c>
      <c r="BG65" s="49">
        <f t="shared" si="87"/>
        <v>0</v>
      </c>
      <c r="BH65" s="49" t="s">
        <v>1</v>
      </c>
      <c r="BI65" s="49">
        <f t="shared" si="87"/>
        <v>0</v>
      </c>
      <c r="BJ65" s="49">
        <f t="shared" si="87"/>
        <v>0</v>
      </c>
      <c r="BK65" s="49">
        <f t="shared" si="87"/>
        <v>0</v>
      </c>
      <c r="BL65" s="49">
        <f t="shared" si="87"/>
        <v>0</v>
      </c>
      <c r="BM65" s="49">
        <f t="shared" si="87"/>
        <v>0</v>
      </c>
      <c r="BN65" s="49">
        <f t="shared" si="87"/>
        <v>0</v>
      </c>
      <c r="BO65" s="49">
        <f t="shared" si="87"/>
        <v>0</v>
      </c>
      <c r="BP65" s="49">
        <f t="shared" si="87"/>
        <v>0</v>
      </c>
      <c r="BQ65" s="49">
        <f t="shared" si="87"/>
        <v>0</v>
      </c>
      <c r="BR65" s="44">
        <f>SUBTOTAL(9,BR63:BR64)</f>
        <v>2445</v>
      </c>
    </row>
    <row r="66" spans="1:97">
      <c r="A66" s="209">
        <f>A63+1</f>
        <v>43363</v>
      </c>
      <c r="B66" s="16" t="s">
        <v>43</v>
      </c>
      <c r="C66" s="33">
        <v>37168.21</v>
      </c>
      <c r="D66" s="34">
        <v>30627.8</v>
      </c>
      <c r="E66" s="34">
        <v>30630</v>
      </c>
      <c r="F66" s="35">
        <v>43363</v>
      </c>
      <c r="G66" s="33">
        <f>IF(E66-D66&lt;0,E66-D66,0)*-1</f>
        <v>0</v>
      </c>
      <c r="H66" s="33">
        <f>IF(E66-D66&gt;0,E66-D66,0)</f>
        <v>2.2000000000007276</v>
      </c>
      <c r="I66" s="34"/>
      <c r="J66" s="34"/>
      <c r="K66" s="34">
        <v>5325.09</v>
      </c>
      <c r="L66" s="34"/>
      <c r="M66" s="36">
        <f>(+K66)*M$5</f>
        <v>114.489435</v>
      </c>
      <c r="N66" s="36">
        <f>(+K66)*N$5</f>
        <v>26.625450000000001</v>
      </c>
      <c r="O66" s="36">
        <f>+K66-M66-N66+P66</f>
        <v>5183.9751149999993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f>43+90</f>
        <v>133</v>
      </c>
      <c r="AA66" s="34"/>
      <c r="AB66" s="34"/>
      <c r="AC66" s="34">
        <v>272.32</v>
      </c>
      <c r="AD66" s="38" t="s">
        <v>139</v>
      </c>
      <c r="AE66" s="38">
        <v>810</v>
      </c>
      <c r="AF66" s="34">
        <v>2796.61</v>
      </c>
      <c r="AG66" s="33">
        <f>(AF66*0.8)*0.85</f>
        <v>1901.6948</v>
      </c>
      <c r="AH66" s="33">
        <f>(AF66*0.8)*0.15</f>
        <v>335.59319999999997</v>
      </c>
      <c r="AI66" s="33">
        <f>AF66*0.2</f>
        <v>559.322</v>
      </c>
      <c r="AJ66" s="34"/>
      <c r="AK66" s="33">
        <f t="shared" ref="AK66" si="88">(C66-AF66-AJ66)/1.12</f>
        <v>30688.928571428569</v>
      </c>
      <c r="AL66" s="33">
        <f t="shared" ref="AL66" si="89">AK66-SUM(Y66:AC66)</f>
        <v>30283.608571428569</v>
      </c>
      <c r="AM66" s="33">
        <f t="shared" ref="AM66" si="90">+AL66*0.12</f>
        <v>3634.0330285714281</v>
      </c>
      <c r="AN66" s="33">
        <f t="shared" si="62"/>
        <v>33917.641599999995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" thickBot="1">
      <c r="A67" s="210"/>
      <c r="B67" s="16" t="s">
        <v>44</v>
      </c>
      <c r="C67" s="33">
        <v>22665.68</v>
      </c>
      <c r="D67" s="34">
        <v>14514.14</v>
      </c>
      <c r="E67" s="34">
        <v>14515</v>
      </c>
      <c r="F67" s="35">
        <v>43364</v>
      </c>
      <c r="G67" s="33">
        <f>IF(E67-D67&lt;0,E67-D67,0)*-1</f>
        <v>0</v>
      </c>
      <c r="H67" s="33">
        <f>IF(E67-D67&gt;0,E67-D67,0)</f>
        <v>0.86000000000058208</v>
      </c>
      <c r="I67" s="34"/>
      <c r="J67" s="34"/>
      <c r="K67" s="34">
        <v>5638.36</v>
      </c>
      <c r="L67" s="34"/>
      <c r="M67" s="36">
        <f>(+K67)*M$5</f>
        <v>121.22473999999998</v>
      </c>
      <c r="N67" s="36">
        <f>(+K67)*N$5</f>
        <v>28.191800000000001</v>
      </c>
      <c r="O67" s="36">
        <f>+K67-M67-N67+P67</f>
        <v>5488.9434600000004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>
        <v>185.3</v>
      </c>
      <c r="AA67" s="34"/>
      <c r="AB67" s="34"/>
      <c r="AC67" s="34">
        <v>40.18</v>
      </c>
      <c r="AD67" s="38" t="s">
        <v>137</v>
      </c>
      <c r="AE67" s="38">
        <v>2287.6999999999998</v>
      </c>
      <c r="AF67" s="34">
        <v>1576.79</v>
      </c>
      <c r="AG67" s="33">
        <f>(AF67*0.8)*0.85</f>
        <v>1072.2172</v>
      </c>
      <c r="AH67" s="33">
        <f>(AF67*0.8)*0.15</f>
        <v>189.2148</v>
      </c>
      <c r="AI67" s="33">
        <f>AF67*0.2</f>
        <v>315.358</v>
      </c>
      <c r="AJ67" s="34"/>
      <c r="AK67" s="33">
        <f t="shared" ref="AK67" si="91">(C67-AF67-AJ67)/1.12</f>
        <v>18829.366071428569</v>
      </c>
      <c r="AL67" s="33">
        <f t="shared" ref="AL67" si="92">AK67-SUM(Y67:AC67)</f>
        <v>18603.886071428569</v>
      </c>
      <c r="AM67" s="33">
        <f t="shared" ref="AM67" si="93">+AL67*0.12</f>
        <v>2232.4663285714282</v>
      </c>
      <c r="AN67" s="33">
        <f t="shared" ref="AN67" si="94">+AM67+AL67+AJ67</f>
        <v>20836.352399999996</v>
      </c>
      <c r="AO67" s="39">
        <v>370</v>
      </c>
      <c r="AP67" s="40"/>
      <c r="AQ67" s="40"/>
      <c r="AR67" s="40">
        <v>390</v>
      </c>
      <c r="AS67" s="40"/>
      <c r="AT67" s="40"/>
      <c r="AU67" s="40"/>
      <c r="AV67" s="40"/>
      <c r="AW67" s="40"/>
      <c r="AX67" s="40"/>
      <c r="AY67" s="40"/>
      <c r="AZ67" s="33">
        <f>SUM(AO67:AY67)</f>
        <v>760</v>
      </c>
      <c r="BA67" s="38">
        <f>710+535</f>
        <v>1245</v>
      </c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70"/>
      <c r="BO67" s="39"/>
      <c r="BP67" s="39"/>
      <c r="BQ67" s="39"/>
      <c r="BR67" s="41">
        <f>AZ67+BA67+BB67+BD67-BC67</f>
        <v>2005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" thickBot="1">
      <c r="A68" s="42"/>
      <c r="B68" s="43"/>
      <c r="C68" s="44">
        <f>SUBTOTAL(9,C66:C67)</f>
        <v>59833.89</v>
      </c>
      <c r="D68" s="45">
        <f>SUBTOTAL(9,D66:D67)</f>
        <v>45141.94</v>
      </c>
      <c r="E68" s="45">
        <f>SUBTOTAL(9,E66:E67)</f>
        <v>45145</v>
      </c>
      <c r="F68" s="47"/>
      <c r="G68" s="45">
        <f t="shared" ref="G68:P68" si="95">SUBTOTAL(9,G66:G67)</f>
        <v>0</v>
      </c>
      <c r="H68" s="45">
        <f t="shared" si="95"/>
        <v>3.0600000000013097</v>
      </c>
      <c r="I68" s="160">
        <f t="shared" si="95"/>
        <v>0</v>
      </c>
      <c r="J68" s="160">
        <f t="shared" si="95"/>
        <v>0</v>
      </c>
      <c r="K68" s="160">
        <f t="shared" si="95"/>
        <v>10963.45</v>
      </c>
      <c r="L68" s="160">
        <f t="shared" si="95"/>
        <v>0</v>
      </c>
      <c r="M68" s="46">
        <f t="shared" si="95"/>
        <v>235.71417499999998</v>
      </c>
      <c r="N68" s="46">
        <f t="shared" si="95"/>
        <v>54.817250000000001</v>
      </c>
      <c r="O68" s="46">
        <f t="shared" si="95"/>
        <v>10672.918575</v>
      </c>
      <c r="P68" s="46">
        <f t="shared" si="95"/>
        <v>0</v>
      </c>
      <c r="Q68" s="47"/>
      <c r="R68" s="45">
        <f t="shared" ref="R68:BQ68" si="96">SUBTOTAL(9,R66:R67)</f>
        <v>0</v>
      </c>
      <c r="S68" s="45">
        <f t="shared" si="96"/>
        <v>0</v>
      </c>
      <c r="T68" s="46">
        <f t="shared" si="96"/>
        <v>0</v>
      </c>
      <c r="U68" s="46">
        <f t="shared" si="96"/>
        <v>0</v>
      </c>
      <c r="V68" s="46">
        <f t="shared" si="96"/>
        <v>0</v>
      </c>
      <c r="W68" s="46">
        <f t="shared" si="96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96"/>
        <v>2973.9120000000003</v>
      </c>
      <c r="AH68" s="44">
        <f t="shared" si="96"/>
        <v>524.80799999999999</v>
      </c>
      <c r="AI68" s="44">
        <f t="shared" si="96"/>
        <v>874.68000000000006</v>
      </c>
      <c r="AJ68" s="45">
        <f t="shared" si="96"/>
        <v>0</v>
      </c>
      <c r="AK68" s="44">
        <f t="shared" si="96"/>
        <v>49518.294642857138</v>
      </c>
      <c r="AL68" s="44">
        <f t="shared" si="96"/>
        <v>48887.494642857142</v>
      </c>
      <c r="AM68" s="44">
        <f t="shared" si="96"/>
        <v>5866.4993571428568</v>
      </c>
      <c r="AN68" s="44">
        <f t="shared" si="62"/>
        <v>54753.993999999999</v>
      </c>
      <c r="AO68" s="49">
        <f t="shared" si="96"/>
        <v>370</v>
      </c>
      <c r="AP68" s="49">
        <f t="shared" si="96"/>
        <v>0</v>
      </c>
      <c r="AQ68" s="49">
        <f t="shared" si="96"/>
        <v>0</v>
      </c>
      <c r="AR68" s="49">
        <f t="shared" si="96"/>
        <v>390</v>
      </c>
      <c r="AS68" s="49">
        <f t="shared" si="96"/>
        <v>0</v>
      </c>
      <c r="AT68" s="49">
        <f t="shared" si="96"/>
        <v>0</v>
      </c>
      <c r="AU68" s="49">
        <f>SUBTOTAL(9,AU66:AU67)</f>
        <v>0</v>
      </c>
      <c r="AV68" s="49">
        <f t="shared" si="96"/>
        <v>0</v>
      </c>
      <c r="AW68" s="49">
        <f t="shared" si="96"/>
        <v>0</v>
      </c>
      <c r="AX68" s="49">
        <f t="shared" si="96"/>
        <v>0</v>
      </c>
      <c r="AY68" s="49">
        <f t="shared" si="96"/>
        <v>0</v>
      </c>
      <c r="AZ68" s="44">
        <f t="shared" si="96"/>
        <v>760</v>
      </c>
      <c r="BA68" s="48">
        <f t="shared" si="96"/>
        <v>1245</v>
      </c>
      <c r="BB68" s="48">
        <f t="shared" si="96"/>
        <v>0</v>
      </c>
      <c r="BC68" s="44">
        <f t="shared" si="96"/>
        <v>0</v>
      </c>
      <c r="BD68" s="44">
        <f t="shared" si="96"/>
        <v>0</v>
      </c>
      <c r="BE68" s="49">
        <f t="shared" si="96"/>
        <v>0</v>
      </c>
      <c r="BF68" s="49">
        <f>SUBTOTAL(9,BF66:BF67)</f>
        <v>0</v>
      </c>
      <c r="BG68" s="49">
        <f t="shared" si="96"/>
        <v>0</v>
      </c>
      <c r="BH68" s="49">
        <f t="shared" si="96"/>
        <v>0</v>
      </c>
      <c r="BI68" s="49">
        <f t="shared" si="96"/>
        <v>0</v>
      </c>
      <c r="BJ68" s="49">
        <f t="shared" si="96"/>
        <v>0</v>
      </c>
      <c r="BK68" s="49">
        <f t="shared" si="96"/>
        <v>0</v>
      </c>
      <c r="BL68" s="49">
        <f t="shared" si="96"/>
        <v>0</v>
      </c>
      <c r="BM68" s="49">
        <f t="shared" si="96"/>
        <v>0</v>
      </c>
      <c r="BN68" s="49">
        <f t="shared" si="96"/>
        <v>0</v>
      </c>
      <c r="BO68" s="49">
        <f t="shared" si="96"/>
        <v>0</v>
      </c>
      <c r="BP68" s="49">
        <f t="shared" si="96"/>
        <v>0</v>
      </c>
      <c r="BQ68" s="49">
        <f t="shared" si="96"/>
        <v>0</v>
      </c>
      <c r="BR68" s="44">
        <f>SUBTOTAL(9,BR66:BR67)</f>
        <v>2005</v>
      </c>
    </row>
    <row r="69" spans="1:97">
      <c r="A69" s="209">
        <f>+A66+1</f>
        <v>43364</v>
      </c>
      <c r="B69" s="16" t="s">
        <v>43</v>
      </c>
      <c r="C69" s="33">
        <v>25571.34</v>
      </c>
      <c r="D69" s="34">
        <v>14420.69</v>
      </c>
      <c r="E69" s="34">
        <v>14421</v>
      </c>
      <c r="F69" s="35">
        <v>43364</v>
      </c>
      <c r="G69" s="33">
        <f>IF(E69-D69&lt;0,E69-D69,0)*-1</f>
        <v>0</v>
      </c>
      <c r="H69" s="33">
        <f>IF(E69-D69&gt;0,E69-D69,0)</f>
        <v>0.30999999999949068</v>
      </c>
      <c r="I69" s="34"/>
      <c r="J69" s="34"/>
      <c r="K69" s="34">
        <v>7391.9</v>
      </c>
      <c r="L69" s="34"/>
      <c r="M69" s="36">
        <f>(+K69)*M$5</f>
        <v>158.92584999999997</v>
      </c>
      <c r="N69" s="36">
        <f>(+K69)*N$5</f>
        <v>36.959499999999998</v>
      </c>
      <c r="O69" s="36">
        <f>+K69-M69-N69+P69</f>
        <v>7196.0146500000001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>
        <v>355</v>
      </c>
      <c r="AA69" s="34"/>
      <c r="AB69" s="34"/>
      <c r="AC69" s="34">
        <v>208.75</v>
      </c>
      <c r="AD69" s="38" t="s">
        <v>139</v>
      </c>
      <c r="AE69" s="38">
        <v>3195</v>
      </c>
      <c r="AF69" s="34">
        <v>1675.59</v>
      </c>
      <c r="AG69" s="33">
        <f>(AF69*0.8)*0.85</f>
        <v>1139.4012</v>
      </c>
      <c r="AH69" s="33">
        <f>(AF69*0.8)*0.15</f>
        <v>201.07079999999999</v>
      </c>
      <c r="AI69" s="33">
        <f>AF69*0.2</f>
        <v>335.11799999999999</v>
      </c>
      <c r="AJ69" s="34"/>
      <c r="AK69" s="33">
        <f t="shared" ref="AK69:AK70" si="97">(C69-AF69-AJ69)/1.12</f>
        <v>21335.491071428569</v>
      </c>
      <c r="AL69" s="33">
        <f t="shared" ref="AL69:AL70" si="98">AK69-SUM(Y69:AC69)</f>
        <v>20771.741071428569</v>
      </c>
      <c r="AM69" s="33">
        <f t="shared" ref="AM69:AM70" si="99">+AL69*0.12</f>
        <v>2492.6089285714284</v>
      </c>
      <c r="AN69" s="33">
        <f t="shared" ref="AN69:AN70" si="100">+AM69+AL69+AJ69</f>
        <v>23264.35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" thickBot="1">
      <c r="A70" s="210"/>
      <c r="B70" s="16" t="s">
        <v>44</v>
      </c>
      <c r="C70" s="33">
        <v>24677.27</v>
      </c>
      <c r="D70" s="34">
        <v>15671.64</v>
      </c>
      <c r="E70" s="34">
        <v>15671</v>
      </c>
      <c r="F70" s="35">
        <v>43365</v>
      </c>
      <c r="G70" s="33">
        <f>IF(E70-D70&lt;0,E70-D70,0)*-1</f>
        <v>0.63999999999941792</v>
      </c>
      <c r="H70" s="33">
        <f>IF(E70-D70&gt;0,E70-D70,0)</f>
        <v>0</v>
      </c>
      <c r="I70" s="34"/>
      <c r="J70" s="34"/>
      <c r="K70" s="34">
        <v>5056.87</v>
      </c>
      <c r="L70" s="34"/>
      <c r="M70" s="36">
        <f>(+K70)*M$5</f>
        <v>108.72270499999999</v>
      </c>
      <c r="N70" s="36">
        <f>(+K70)*N$5</f>
        <v>25.28435</v>
      </c>
      <c r="O70" s="36">
        <f>+K70-M70-N70+P70</f>
        <v>4922.8629449999999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f>180+287.5+138.15</f>
        <v>605.65</v>
      </c>
      <c r="AA70" s="34"/>
      <c r="AB70" s="34"/>
      <c r="AC70" s="34">
        <v>161.61000000000001</v>
      </c>
      <c r="AD70" s="38" t="s">
        <v>137</v>
      </c>
      <c r="AE70" s="38">
        <v>3181.5</v>
      </c>
      <c r="AF70" s="34">
        <v>1622.23</v>
      </c>
      <c r="AG70" s="33">
        <f>(AF70*0.8)*0.85</f>
        <v>1103.1164000000001</v>
      </c>
      <c r="AH70" s="33">
        <f>(AF70*0.8)*0.15</f>
        <v>194.66760000000002</v>
      </c>
      <c r="AI70" s="33">
        <f>AF70*0.2</f>
        <v>324.44600000000003</v>
      </c>
      <c r="AJ70" s="34"/>
      <c r="AK70" s="33">
        <f t="shared" si="97"/>
        <v>20584.857142857141</v>
      </c>
      <c r="AL70" s="33">
        <f t="shared" si="98"/>
        <v>19817.597142857143</v>
      </c>
      <c r="AM70" s="33">
        <f t="shared" si="99"/>
        <v>2378.111657142857</v>
      </c>
      <c r="AN70" s="33">
        <f t="shared" si="100"/>
        <v>22195.7088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" thickBot="1">
      <c r="A71" s="42"/>
      <c r="B71" s="43"/>
      <c r="C71" s="44">
        <f>SUBTOTAL(9,C69:C70)</f>
        <v>50248.61</v>
      </c>
      <c r="D71" s="45">
        <f>SUBTOTAL(9,D69:D70)</f>
        <v>30092.33</v>
      </c>
      <c r="E71" s="45">
        <f>SUBTOTAL(9,E69:E70)</f>
        <v>30092</v>
      </c>
      <c r="F71" s="47"/>
      <c r="G71" s="45">
        <f t="shared" ref="G71:P71" si="101">SUBTOTAL(9,G69:G70)</f>
        <v>0.63999999999941792</v>
      </c>
      <c r="H71" s="45">
        <f t="shared" si="101"/>
        <v>0.30999999999949068</v>
      </c>
      <c r="I71" s="160">
        <f t="shared" si="101"/>
        <v>0</v>
      </c>
      <c r="J71" s="160">
        <f t="shared" si="101"/>
        <v>0</v>
      </c>
      <c r="K71" s="160">
        <f t="shared" si="101"/>
        <v>12448.77</v>
      </c>
      <c r="L71" s="160">
        <f t="shared" si="101"/>
        <v>0</v>
      </c>
      <c r="M71" s="46">
        <f t="shared" si="101"/>
        <v>267.64855499999999</v>
      </c>
      <c r="N71" s="46">
        <f t="shared" si="101"/>
        <v>62.243849999999995</v>
      </c>
      <c r="O71" s="46">
        <f t="shared" si="101"/>
        <v>12118.877595</v>
      </c>
      <c r="P71" s="46">
        <f t="shared" si="101"/>
        <v>0</v>
      </c>
      <c r="Q71" s="47"/>
      <c r="R71" s="45">
        <f t="shared" ref="R71:BQ71" si="102">SUBTOTAL(9,R69:R70)</f>
        <v>0</v>
      </c>
      <c r="S71" s="45">
        <f t="shared" si="102"/>
        <v>0</v>
      </c>
      <c r="T71" s="46">
        <f t="shared" si="102"/>
        <v>0</v>
      </c>
      <c r="U71" s="46">
        <f t="shared" si="102"/>
        <v>0</v>
      </c>
      <c r="V71" s="46">
        <f t="shared" si="102"/>
        <v>0</v>
      </c>
      <c r="W71" s="46">
        <f t="shared" si="102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02"/>
        <v>2242.5176000000001</v>
      </c>
      <c r="AH71" s="44">
        <f t="shared" si="102"/>
        <v>395.73840000000001</v>
      </c>
      <c r="AI71" s="44">
        <f t="shared" si="102"/>
        <v>659.56400000000008</v>
      </c>
      <c r="AJ71" s="45">
        <f t="shared" si="102"/>
        <v>0</v>
      </c>
      <c r="AK71" s="44">
        <f t="shared" si="102"/>
        <v>41920.34821428571</v>
      </c>
      <c r="AL71" s="44">
        <f t="shared" si="102"/>
        <v>40589.338214285715</v>
      </c>
      <c r="AM71" s="44">
        <f t="shared" si="102"/>
        <v>4870.7205857142853</v>
      </c>
      <c r="AN71" s="44">
        <f t="shared" si="62"/>
        <v>45460.058799999999</v>
      </c>
      <c r="AO71" s="49">
        <f t="shared" si="102"/>
        <v>0</v>
      </c>
      <c r="AP71" s="49">
        <f t="shared" si="102"/>
        <v>0</v>
      </c>
      <c r="AQ71" s="49">
        <f t="shared" si="102"/>
        <v>0</v>
      </c>
      <c r="AR71" s="49">
        <f t="shared" si="102"/>
        <v>0</v>
      </c>
      <c r="AS71" s="49">
        <f t="shared" si="102"/>
        <v>0</v>
      </c>
      <c r="AT71" s="49">
        <f t="shared" si="102"/>
        <v>0</v>
      </c>
      <c r="AU71" s="49">
        <f>SUBTOTAL(9,AU69:AU70)</f>
        <v>0</v>
      </c>
      <c r="AV71" s="49">
        <f t="shared" si="102"/>
        <v>0</v>
      </c>
      <c r="AW71" s="49">
        <f t="shared" si="102"/>
        <v>0</v>
      </c>
      <c r="AX71" s="49">
        <f t="shared" si="102"/>
        <v>0</v>
      </c>
      <c r="AY71" s="49">
        <f t="shared" si="102"/>
        <v>0</v>
      </c>
      <c r="AZ71" s="44">
        <f t="shared" si="102"/>
        <v>0</v>
      </c>
      <c r="BA71" s="48">
        <f t="shared" si="102"/>
        <v>0</v>
      </c>
      <c r="BB71" s="48">
        <f t="shared" si="102"/>
        <v>0</v>
      </c>
      <c r="BC71" s="44">
        <f t="shared" si="102"/>
        <v>0</v>
      </c>
      <c r="BD71" s="44">
        <f t="shared" si="102"/>
        <v>0</v>
      </c>
      <c r="BE71" s="49">
        <f t="shared" si="102"/>
        <v>0</v>
      </c>
      <c r="BF71" s="49">
        <f>SUBTOTAL(9,BF69:BF70)</f>
        <v>0</v>
      </c>
      <c r="BG71" s="49">
        <f t="shared" si="102"/>
        <v>0</v>
      </c>
      <c r="BH71" s="49">
        <f t="shared" si="102"/>
        <v>0</v>
      </c>
      <c r="BI71" s="49">
        <f t="shared" si="102"/>
        <v>0</v>
      </c>
      <c r="BJ71" s="49">
        <f t="shared" si="102"/>
        <v>0</v>
      </c>
      <c r="BK71" s="49">
        <f t="shared" si="102"/>
        <v>0</v>
      </c>
      <c r="BL71" s="49">
        <f t="shared" si="102"/>
        <v>0</v>
      </c>
      <c r="BM71" s="49">
        <f t="shared" si="102"/>
        <v>0</v>
      </c>
      <c r="BN71" s="49">
        <f t="shared" si="102"/>
        <v>0</v>
      </c>
      <c r="BO71" s="49">
        <f t="shared" si="102"/>
        <v>0</v>
      </c>
      <c r="BP71" s="49">
        <f t="shared" si="102"/>
        <v>0</v>
      </c>
      <c r="BQ71" s="49">
        <f t="shared" si="102"/>
        <v>0</v>
      </c>
      <c r="BR71" s="44">
        <f>SUBTOTAL(9,BR69:BR70)</f>
        <v>0</v>
      </c>
    </row>
    <row r="72" spans="1:97">
      <c r="A72" s="209">
        <f>+A69+1</f>
        <v>43365</v>
      </c>
      <c r="B72" s="16" t="s">
        <v>43</v>
      </c>
      <c r="C72" s="33" t="s">
        <v>135</v>
      </c>
      <c r="D72" s="34"/>
      <c r="E72" s="34"/>
      <c r="F72" s="35"/>
      <c r="G72" s="33">
        <f>IF(E72-D72&lt;0,E72-D72,0)*-1</f>
        <v>0</v>
      </c>
      <c r="H72" s="33">
        <f>IF(E72-D72&gt;0,E72-D72,0)</f>
        <v>0</v>
      </c>
      <c r="I72" s="34"/>
      <c r="J72" s="34"/>
      <c r="K72" s="34"/>
      <c r="L72" s="34"/>
      <c r="M72" s="36">
        <f>(+K72)*M$5</f>
        <v>0</v>
      </c>
      <c r="N72" s="36">
        <f>(+K72)*N$5</f>
        <v>0</v>
      </c>
      <c r="O72" s="36">
        <f>+K72-M72-N72+P72</f>
        <v>0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/>
      <c r="AA72" s="34"/>
      <c r="AB72" s="34"/>
      <c r="AC72" s="34"/>
      <c r="AD72" s="38"/>
      <c r="AE72" s="38"/>
      <c r="AF72" s="34"/>
      <c r="AG72" s="33">
        <f>(AF72*0.8)*0.85</f>
        <v>0</v>
      </c>
      <c r="AH72" s="33">
        <f>(AF72*0.8)*0.15</f>
        <v>0</v>
      </c>
      <c r="AI72" s="33">
        <f>AF72*0.2</f>
        <v>0</v>
      </c>
      <c r="AJ72" s="34"/>
      <c r="AK72" s="33">
        <v>0</v>
      </c>
      <c r="AL72" s="33">
        <f t="shared" ref="AL72:AL73" si="103">AK72-SUM(Y72:AC72)</f>
        <v>0</v>
      </c>
      <c r="AM72" s="33">
        <f t="shared" ref="AM72:AM73" si="104">+AL72*0.12</f>
        <v>0</v>
      </c>
      <c r="AN72" s="33">
        <f t="shared" si="62"/>
        <v>0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" thickBot="1">
      <c r="A73" s="210"/>
      <c r="B73" s="16" t="s">
        <v>44</v>
      </c>
      <c r="C73" s="33">
        <v>10379.02</v>
      </c>
      <c r="D73" s="34">
        <v>6109.77</v>
      </c>
      <c r="E73" s="34">
        <v>6110</v>
      </c>
      <c r="F73" s="35">
        <v>43365</v>
      </c>
      <c r="G73" s="33">
        <f>IF(E73-D73&lt;0,E73-D73,0)*-1</f>
        <v>0</v>
      </c>
      <c r="H73" s="33">
        <f>IF(E73-D73&gt;0,E73-D73,0)</f>
        <v>0.22999999999956344</v>
      </c>
      <c r="I73" s="34"/>
      <c r="J73" s="34"/>
      <c r="K73" s="34">
        <v>2518.14</v>
      </c>
      <c r="L73" s="34"/>
      <c r="M73" s="36">
        <f>(+K73)*M$5</f>
        <v>54.14000999999999</v>
      </c>
      <c r="N73" s="36">
        <f>(+K73)*N$5</f>
        <v>12.5907</v>
      </c>
      <c r="O73" s="36">
        <f>+K73-M73-N73+P73</f>
        <v>2451.4092899999996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f>103+39.25</f>
        <v>142.25</v>
      </c>
      <c r="AA73" s="34"/>
      <c r="AB73" s="34"/>
      <c r="AC73" s="34">
        <v>167.86</v>
      </c>
      <c r="AD73" s="38" t="s">
        <v>137</v>
      </c>
      <c r="AE73" s="38">
        <v>1441</v>
      </c>
      <c r="AF73" s="34">
        <v>568.73</v>
      </c>
      <c r="AG73" s="33">
        <f>(AF73*0.8)*0.85</f>
        <v>386.7364</v>
      </c>
      <c r="AH73" s="33">
        <f>(AF73*0.8)*0.15</f>
        <v>68.247600000000006</v>
      </c>
      <c r="AI73" s="33">
        <f>AF73*0.2</f>
        <v>113.74600000000001</v>
      </c>
      <c r="AJ73" s="34"/>
      <c r="AK73" s="33">
        <f t="shared" ref="AK73" si="105">(C73-AF73-AJ73)/1.12</f>
        <v>8759.1875</v>
      </c>
      <c r="AL73" s="33">
        <f t="shared" si="103"/>
        <v>8449.0774999999994</v>
      </c>
      <c r="AM73" s="33">
        <f t="shared" si="104"/>
        <v>1013.8892999999999</v>
      </c>
      <c r="AN73" s="33">
        <f t="shared" si="62"/>
        <v>9462.9668000000001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>
        <v>575</v>
      </c>
      <c r="BB73" s="38"/>
      <c r="BC73" s="33">
        <f>SUM(BE73:BM73)*0.1+(BN73*0.5)</f>
        <v>21.5</v>
      </c>
      <c r="BD73" s="33">
        <f>SUM(BE73:BM73)+(BN73*0.5)</f>
        <v>215</v>
      </c>
      <c r="BE73" s="39"/>
      <c r="BF73" s="39"/>
      <c r="BG73" s="39">
        <v>215</v>
      </c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768.5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" thickBot="1">
      <c r="A74" s="42"/>
      <c r="B74" s="43"/>
      <c r="C74" s="44">
        <f>SUBTOTAL(9,C72:C73)</f>
        <v>10379.02</v>
      </c>
      <c r="D74" s="45">
        <f>SUBTOTAL(9,D72:D73)</f>
        <v>6109.77</v>
      </c>
      <c r="E74" s="45">
        <f>SUBTOTAL(9,E72:E73)</f>
        <v>6110</v>
      </c>
      <c r="F74" s="47"/>
      <c r="G74" s="45">
        <f t="shared" ref="G74:P74" si="106">SUBTOTAL(9,G72:G73)</f>
        <v>0</v>
      </c>
      <c r="H74" s="45">
        <f t="shared" si="106"/>
        <v>0.22999999999956344</v>
      </c>
      <c r="I74" s="160">
        <f t="shared" si="106"/>
        <v>0</v>
      </c>
      <c r="J74" s="160">
        <f t="shared" si="106"/>
        <v>0</v>
      </c>
      <c r="K74" s="160">
        <f t="shared" si="106"/>
        <v>2518.14</v>
      </c>
      <c r="L74" s="160">
        <f t="shared" si="106"/>
        <v>0</v>
      </c>
      <c r="M74" s="46">
        <f t="shared" si="106"/>
        <v>54.14000999999999</v>
      </c>
      <c r="N74" s="46">
        <f t="shared" si="106"/>
        <v>12.5907</v>
      </c>
      <c r="O74" s="46">
        <f t="shared" si="106"/>
        <v>2451.4092899999996</v>
      </c>
      <c r="P74" s="46">
        <f t="shared" si="106"/>
        <v>0</v>
      </c>
      <c r="Q74" s="47"/>
      <c r="R74" s="45">
        <f t="shared" ref="R74:BQ74" si="107">SUBTOTAL(9,R72:R73)</f>
        <v>0</v>
      </c>
      <c r="S74" s="45">
        <f t="shared" si="107"/>
        <v>0</v>
      </c>
      <c r="T74" s="46">
        <f t="shared" si="107"/>
        <v>0</v>
      </c>
      <c r="U74" s="46">
        <f t="shared" si="107"/>
        <v>0</v>
      </c>
      <c r="V74" s="46">
        <f t="shared" si="107"/>
        <v>0</v>
      </c>
      <c r="W74" s="46">
        <f t="shared" si="107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07"/>
        <v>386.7364</v>
      </c>
      <c r="AH74" s="44">
        <f t="shared" si="107"/>
        <v>68.247600000000006</v>
      </c>
      <c r="AI74" s="44">
        <f t="shared" si="107"/>
        <v>113.74600000000001</v>
      </c>
      <c r="AJ74" s="45">
        <f t="shared" si="107"/>
        <v>0</v>
      </c>
      <c r="AK74" s="44">
        <f t="shared" si="107"/>
        <v>8759.1875</v>
      </c>
      <c r="AL74" s="44">
        <f t="shared" si="107"/>
        <v>8449.0774999999994</v>
      </c>
      <c r="AM74" s="44">
        <f t="shared" si="107"/>
        <v>1013.8892999999999</v>
      </c>
      <c r="AN74" s="44">
        <f t="shared" si="62"/>
        <v>9462.9668000000001</v>
      </c>
      <c r="AO74" s="49">
        <f t="shared" si="107"/>
        <v>0</v>
      </c>
      <c r="AP74" s="49">
        <f t="shared" si="107"/>
        <v>0</v>
      </c>
      <c r="AQ74" s="49">
        <f t="shared" si="107"/>
        <v>0</v>
      </c>
      <c r="AR74" s="49">
        <f t="shared" si="107"/>
        <v>0</v>
      </c>
      <c r="AS74" s="49">
        <f t="shared" si="107"/>
        <v>0</v>
      </c>
      <c r="AT74" s="49">
        <f t="shared" si="107"/>
        <v>0</v>
      </c>
      <c r="AU74" s="49">
        <f>SUBTOTAL(9,AU72:AU73)</f>
        <v>0</v>
      </c>
      <c r="AV74" s="49">
        <f t="shared" si="107"/>
        <v>0</v>
      </c>
      <c r="AW74" s="49">
        <f t="shared" si="107"/>
        <v>0</v>
      </c>
      <c r="AX74" s="49">
        <f t="shared" si="107"/>
        <v>0</v>
      </c>
      <c r="AY74" s="49">
        <f t="shared" si="107"/>
        <v>0</v>
      </c>
      <c r="AZ74" s="44">
        <f t="shared" si="107"/>
        <v>0</v>
      </c>
      <c r="BA74" s="48">
        <f t="shared" si="107"/>
        <v>575</v>
      </c>
      <c r="BB74" s="48">
        <f t="shared" si="107"/>
        <v>0</v>
      </c>
      <c r="BC74" s="44">
        <f t="shared" si="107"/>
        <v>21.5</v>
      </c>
      <c r="BD74" s="44">
        <f t="shared" si="107"/>
        <v>215</v>
      </c>
      <c r="BE74" s="49">
        <f t="shared" si="107"/>
        <v>0</v>
      </c>
      <c r="BF74" s="49">
        <f>SUBTOTAL(9,BF72:BF73)</f>
        <v>0</v>
      </c>
      <c r="BG74" s="49">
        <f t="shared" si="107"/>
        <v>215</v>
      </c>
      <c r="BH74" s="49">
        <f t="shared" si="107"/>
        <v>0</v>
      </c>
      <c r="BI74" s="49">
        <f t="shared" si="107"/>
        <v>0</v>
      </c>
      <c r="BJ74" s="49">
        <f t="shared" si="107"/>
        <v>0</v>
      </c>
      <c r="BK74" s="49">
        <f t="shared" si="107"/>
        <v>0</v>
      </c>
      <c r="BL74" s="49">
        <f t="shared" si="107"/>
        <v>0</v>
      </c>
      <c r="BM74" s="49">
        <f t="shared" si="107"/>
        <v>0</v>
      </c>
      <c r="BN74" s="49">
        <f t="shared" si="107"/>
        <v>0</v>
      </c>
      <c r="BO74" s="49">
        <f t="shared" si="107"/>
        <v>0</v>
      </c>
      <c r="BP74" s="49">
        <f t="shared" si="107"/>
        <v>0</v>
      </c>
      <c r="BQ74" s="49">
        <f t="shared" si="107"/>
        <v>0</v>
      </c>
      <c r="BR74" s="44">
        <f>SUBTOTAL(9,BR72:BR73)</f>
        <v>768.5</v>
      </c>
    </row>
    <row r="75" spans="1:97">
      <c r="A75" s="209">
        <f>+A72+1</f>
        <v>43366</v>
      </c>
      <c r="B75" s="16" t="s">
        <v>43</v>
      </c>
      <c r="C75" s="33" t="s">
        <v>138</v>
      </c>
      <c r="D75" s="34"/>
      <c r="E75" s="34"/>
      <c r="F75" s="35"/>
      <c r="G75" s="33"/>
      <c r="H75" s="33">
        <f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v>0</v>
      </c>
      <c r="AL75" s="33">
        <f t="shared" ref="AL75" si="108">AK75-SUM(Y75:AC75)</f>
        <v>0</v>
      </c>
      <c r="AM75" s="33">
        <f t="shared" ref="AM75" si="109">+AL75*0.12</f>
        <v>0</v>
      </c>
      <c r="AN75" s="33">
        <f t="shared" ref="AN75" si="110">+AM75+AL75+AJ75</f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" thickBot="1">
      <c r="A76" s="210"/>
      <c r="B76" s="16" t="s">
        <v>44</v>
      </c>
      <c r="C76" s="33"/>
      <c r="D76" s="34"/>
      <c r="E76" s="34"/>
      <c r="F76" s="35"/>
      <c r="G76" s="33"/>
      <c r="H76" s="33">
        <f>IF(E76-D76&gt;0,E76-D76,0)</f>
        <v>0</v>
      </c>
      <c r="I76" s="34"/>
      <c r="J76" s="34"/>
      <c r="K76" s="34"/>
      <c r="L76" s="34"/>
      <c r="M76" s="36">
        <f>(+K76)*M$5</f>
        <v>0</v>
      </c>
      <c r="N76" s="36">
        <f>(+K76)*N$5</f>
        <v>0</v>
      </c>
      <c r="O76" s="36">
        <f>+K76-M76-N76+P76</f>
        <v>0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/>
      <c r="AA76" s="34"/>
      <c r="AB76" s="34"/>
      <c r="AC76" s="34"/>
      <c r="AD76" s="38"/>
      <c r="AE76" s="38"/>
      <c r="AF76" s="34"/>
      <c r="AG76" s="33">
        <f>(AF76*0.8)*0.85</f>
        <v>0</v>
      </c>
      <c r="AH76" s="33">
        <f>(AF76*0.8)*0.15</f>
        <v>0</v>
      </c>
      <c r="AI76" s="33">
        <f>AF76*0.2</f>
        <v>0</v>
      </c>
      <c r="AJ76" s="34"/>
      <c r="AK76" s="33">
        <f>(C76-AF76-AJ76)/1.12</f>
        <v>0</v>
      </c>
      <c r="AL76" s="33">
        <f>AK76-SUM(Y76:AC76)</f>
        <v>0</v>
      </c>
      <c r="AM76" s="33">
        <f>+AL76*0.12</f>
        <v>0</v>
      </c>
      <c r="AN76" s="33">
        <f t="shared" si="62"/>
        <v>0</v>
      </c>
      <c r="AO76" s="39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0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0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" thickBot="1">
      <c r="A77" s="42"/>
      <c r="B77" s="43"/>
      <c r="C77" s="44">
        <f>SUBTOTAL(9,C75:C76)</f>
        <v>0</v>
      </c>
      <c r="D77" s="45">
        <f>SUBTOTAL(9,D75:D76)</f>
        <v>0</v>
      </c>
      <c r="E77" s="45">
        <f>SUBTOTAL(9,E75:E76)</f>
        <v>0</v>
      </c>
      <c r="F77" s="47"/>
      <c r="G77" s="45">
        <f t="shared" ref="G77:P77" si="111">SUBTOTAL(9,G75:G76)</f>
        <v>0</v>
      </c>
      <c r="H77" s="45">
        <f t="shared" si="111"/>
        <v>0</v>
      </c>
      <c r="I77" s="45">
        <f t="shared" si="111"/>
        <v>0</v>
      </c>
      <c r="J77" s="45">
        <f t="shared" si="111"/>
        <v>0</v>
      </c>
      <c r="K77" s="45"/>
      <c r="L77" s="45">
        <f t="shared" si="111"/>
        <v>0</v>
      </c>
      <c r="M77" s="46">
        <f t="shared" si="111"/>
        <v>0</v>
      </c>
      <c r="N77" s="46">
        <f t="shared" si="111"/>
        <v>0</v>
      </c>
      <c r="O77" s="46">
        <f t="shared" si="111"/>
        <v>0</v>
      </c>
      <c r="P77" s="46">
        <f t="shared" si="111"/>
        <v>0</v>
      </c>
      <c r="Q77" s="116"/>
      <c r="R77" s="45">
        <f t="shared" ref="R77:BQ77" si="112">SUBTOTAL(9,R75:R76)</f>
        <v>0</v>
      </c>
      <c r="S77" s="45">
        <f t="shared" si="112"/>
        <v>0</v>
      </c>
      <c r="T77" s="46">
        <f t="shared" si="112"/>
        <v>0</v>
      </c>
      <c r="U77" s="46">
        <f t="shared" si="112"/>
        <v>0</v>
      </c>
      <c r="V77" s="46">
        <f t="shared" si="112"/>
        <v>0</v>
      </c>
      <c r="W77" s="46">
        <f t="shared" si="112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12"/>
        <v>0</v>
      </c>
      <c r="AH77" s="44">
        <f t="shared" si="112"/>
        <v>0</v>
      </c>
      <c r="AI77" s="44">
        <f t="shared" si="112"/>
        <v>0</v>
      </c>
      <c r="AJ77" s="45">
        <f t="shared" si="112"/>
        <v>0</v>
      </c>
      <c r="AK77" s="44">
        <f t="shared" si="112"/>
        <v>0</v>
      </c>
      <c r="AL77" s="44">
        <f t="shared" si="112"/>
        <v>0</v>
      </c>
      <c r="AM77" s="44">
        <f t="shared" si="112"/>
        <v>0</v>
      </c>
      <c r="AN77" s="44">
        <f t="shared" ref="AN77:AN102" si="113">+AM77+AL77+AJ77</f>
        <v>0</v>
      </c>
      <c r="AO77" s="49">
        <f t="shared" si="112"/>
        <v>0</v>
      </c>
      <c r="AP77" s="49">
        <f t="shared" si="112"/>
        <v>0</v>
      </c>
      <c r="AQ77" s="49">
        <f t="shared" si="112"/>
        <v>0</v>
      </c>
      <c r="AR77" s="49">
        <f t="shared" si="112"/>
        <v>0</v>
      </c>
      <c r="AS77" s="49">
        <f t="shared" si="112"/>
        <v>0</v>
      </c>
      <c r="AT77" s="49">
        <f t="shared" si="112"/>
        <v>0</v>
      </c>
      <c r="AU77" s="49">
        <f>SUBTOTAL(9,AU75:AU76)</f>
        <v>0</v>
      </c>
      <c r="AV77" s="49">
        <f t="shared" si="112"/>
        <v>0</v>
      </c>
      <c r="AW77" s="49">
        <f t="shared" si="112"/>
        <v>0</v>
      </c>
      <c r="AX77" s="49">
        <f t="shared" si="112"/>
        <v>0</v>
      </c>
      <c r="AY77" s="49">
        <f t="shared" si="112"/>
        <v>0</v>
      </c>
      <c r="AZ77" s="44">
        <f t="shared" si="112"/>
        <v>0</v>
      </c>
      <c r="BA77" s="48">
        <f t="shared" si="112"/>
        <v>0</v>
      </c>
      <c r="BB77" s="48">
        <f t="shared" si="112"/>
        <v>0</v>
      </c>
      <c r="BC77" s="44">
        <f t="shared" si="112"/>
        <v>0</v>
      </c>
      <c r="BD77" s="44">
        <f t="shared" si="112"/>
        <v>0</v>
      </c>
      <c r="BE77" s="49">
        <f t="shared" si="112"/>
        <v>0</v>
      </c>
      <c r="BF77" s="49">
        <f>SUBTOTAL(9,BF75:BF76)</f>
        <v>0</v>
      </c>
      <c r="BG77" s="49">
        <f t="shared" si="112"/>
        <v>0</v>
      </c>
      <c r="BH77" s="49">
        <f t="shared" si="112"/>
        <v>0</v>
      </c>
      <c r="BI77" s="49">
        <f t="shared" si="112"/>
        <v>0</v>
      </c>
      <c r="BJ77" s="49">
        <f t="shared" si="112"/>
        <v>0</v>
      </c>
      <c r="BK77" s="49">
        <f t="shared" si="112"/>
        <v>0</v>
      </c>
      <c r="BL77" s="49">
        <f t="shared" si="112"/>
        <v>0</v>
      </c>
      <c r="BM77" s="49">
        <f t="shared" si="112"/>
        <v>0</v>
      </c>
      <c r="BN77" s="49">
        <f t="shared" si="112"/>
        <v>0</v>
      </c>
      <c r="BO77" s="49">
        <f t="shared" si="112"/>
        <v>0</v>
      </c>
      <c r="BP77" s="49">
        <f t="shared" si="112"/>
        <v>0</v>
      </c>
      <c r="BQ77" s="49">
        <f t="shared" si="112"/>
        <v>0</v>
      </c>
      <c r="BR77" s="44">
        <f>SUBTOTAL(9,BR75:BR76)</f>
        <v>0</v>
      </c>
    </row>
    <row r="78" spans="1:97">
      <c r="A78" s="209">
        <f>+A75+1</f>
        <v>43367</v>
      </c>
      <c r="B78" s="16" t="s">
        <v>43</v>
      </c>
      <c r="C78" s="33">
        <v>22358.27</v>
      </c>
      <c r="D78" s="34">
        <v>13749</v>
      </c>
      <c r="E78" s="34">
        <v>13750</v>
      </c>
      <c r="F78" s="35">
        <v>43367</v>
      </c>
      <c r="G78" s="33"/>
      <c r="H78" s="33">
        <f>IF(E78-D78&gt;0,E78-D78,0)</f>
        <v>1</v>
      </c>
      <c r="I78" s="34"/>
      <c r="J78" s="34"/>
      <c r="K78" s="34">
        <v>6161</v>
      </c>
      <c r="L78" s="34"/>
      <c r="M78" s="36">
        <f>(+K78)*M$5</f>
        <v>132.4615</v>
      </c>
      <c r="N78" s="36">
        <f>(+K78)*N$5</f>
        <v>30.805</v>
      </c>
      <c r="O78" s="36">
        <f>+K78-M78-N78+P78</f>
        <v>5997.7334999999994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>
        <f>330+23.75+165</f>
        <v>518.75</v>
      </c>
      <c r="AA78" s="34"/>
      <c r="AB78" s="34"/>
      <c r="AC78" s="34">
        <v>444.52</v>
      </c>
      <c r="AD78" s="38" t="s">
        <v>139</v>
      </c>
      <c r="AE78" s="38">
        <v>1485</v>
      </c>
      <c r="AF78" s="34">
        <v>1553.98</v>
      </c>
      <c r="AG78" s="33">
        <f>(AF78*0.8)*0.85</f>
        <v>1056.7064</v>
      </c>
      <c r="AH78" s="33">
        <f>(AF78*0.8)*0.15</f>
        <v>186.47760000000002</v>
      </c>
      <c r="AI78" s="33">
        <f>AF78*0.2</f>
        <v>310.79600000000005</v>
      </c>
      <c r="AJ78" s="34"/>
      <c r="AK78" s="33">
        <f>(C78-AF78-AJ78)/1.12</f>
        <v>18575.258928571428</v>
      </c>
      <c r="AL78" s="33">
        <f>AK78-SUM(Y78:AC78)</f>
        <v>17611.988928571427</v>
      </c>
      <c r="AM78" s="33">
        <f>+AL78*0.12</f>
        <v>2113.4386714285711</v>
      </c>
      <c r="AN78" s="33">
        <f t="shared" si="113"/>
        <v>19725.427599999999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" thickBot="1">
      <c r="A79" s="210"/>
      <c r="B79" s="16" t="s">
        <v>44</v>
      </c>
      <c r="C79" s="33">
        <v>12526.68</v>
      </c>
      <c r="D79" s="34">
        <v>10049.379999999999</v>
      </c>
      <c r="E79" s="34">
        <v>10052</v>
      </c>
      <c r="F79" s="35">
        <v>43368</v>
      </c>
      <c r="G79" s="33"/>
      <c r="H79" s="33">
        <f>IF(E79-D79&gt;0,E79-D79,0)</f>
        <v>2.6200000000008004</v>
      </c>
      <c r="I79" s="34">
        <v>500</v>
      </c>
      <c r="J79" s="34"/>
      <c r="K79" s="34">
        <v>1782.28</v>
      </c>
      <c r="L79" s="34"/>
      <c r="M79" s="36">
        <f>(+K79)*M$5</f>
        <v>38.319019999999995</v>
      </c>
      <c r="N79" s="36">
        <f>(+K79)*N$5</f>
        <v>8.9114000000000004</v>
      </c>
      <c r="O79" s="36">
        <f>+K79-M79-N79+P79</f>
        <v>1735.0495800000001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v>16.5</v>
      </c>
      <c r="AA79" s="34">
        <v>7</v>
      </c>
      <c r="AB79" s="34"/>
      <c r="AC79" s="34">
        <v>66.52</v>
      </c>
      <c r="AD79" s="38" t="s">
        <v>140</v>
      </c>
      <c r="AE79" s="38">
        <v>105</v>
      </c>
      <c r="AF79" s="34">
        <v>832.59</v>
      </c>
      <c r="AG79" s="33">
        <f>(AF79*0.8)*0.85</f>
        <v>566.16120000000012</v>
      </c>
      <c r="AH79" s="33">
        <f>(AF79*0.8)*0.15</f>
        <v>99.910800000000009</v>
      </c>
      <c r="AI79" s="33">
        <f>AF79*0.2</f>
        <v>166.51800000000003</v>
      </c>
      <c r="AJ79" s="34"/>
      <c r="AK79" s="33">
        <f>(C79-AF79-AJ79)/1.12</f>
        <v>10441.151785714284</v>
      </c>
      <c r="AL79" s="33">
        <f>AK79-SUM(Y79:AC79)</f>
        <v>10351.131785714284</v>
      </c>
      <c r="AM79" s="33">
        <f>+AL79*0.12</f>
        <v>1242.1358142857141</v>
      </c>
      <c r="AN79" s="33">
        <f t="shared" si="113"/>
        <v>11593.267599999997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>
        <v>135</v>
      </c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135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" thickBot="1">
      <c r="A80" s="42"/>
      <c r="B80" s="43"/>
      <c r="C80" s="44">
        <f>SUBTOTAL(9,C78:C79)</f>
        <v>34884.949999999997</v>
      </c>
      <c r="D80" s="45">
        <f>SUBTOTAL(9,D78:D79)</f>
        <v>23798.379999999997</v>
      </c>
      <c r="E80" s="45">
        <f>SUBTOTAL(9,E78:E79)</f>
        <v>23802</v>
      </c>
      <c r="F80" s="47"/>
      <c r="G80" s="45">
        <f t="shared" ref="G80:P80" si="114">SUBTOTAL(9,G78:G79)</f>
        <v>0</v>
      </c>
      <c r="H80" s="45">
        <f t="shared" si="114"/>
        <v>3.6200000000008004</v>
      </c>
      <c r="I80" s="45"/>
      <c r="J80" s="45">
        <f t="shared" si="114"/>
        <v>0</v>
      </c>
      <c r="K80" s="45"/>
      <c r="L80" s="45">
        <f t="shared" si="114"/>
        <v>0</v>
      </c>
      <c r="M80" s="46">
        <f t="shared" si="114"/>
        <v>170.78052</v>
      </c>
      <c r="N80" s="46">
        <f t="shared" si="114"/>
        <v>39.7164</v>
      </c>
      <c r="O80" s="46">
        <f t="shared" si="114"/>
        <v>7732.7830799999992</v>
      </c>
      <c r="P80" s="46">
        <f t="shared" si="114"/>
        <v>0</v>
      </c>
      <c r="Q80" s="47"/>
      <c r="R80" s="45">
        <f t="shared" ref="R80:BQ80" si="115">SUBTOTAL(9,R78:R79)</f>
        <v>0</v>
      </c>
      <c r="S80" s="45">
        <f t="shared" si="115"/>
        <v>0</v>
      </c>
      <c r="T80" s="46">
        <f t="shared" si="115"/>
        <v>0</v>
      </c>
      <c r="U80" s="46">
        <f t="shared" si="115"/>
        <v>0</v>
      </c>
      <c r="V80" s="46">
        <f t="shared" si="115"/>
        <v>0</v>
      </c>
      <c r="W80" s="46">
        <f t="shared" si="115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15"/>
        <v>1622.8676</v>
      </c>
      <c r="AH80" s="44">
        <f t="shared" si="115"/>
        <v>286.38840000000005</v>
      </c>
      <c r="AI80" s="44">
        <f t="shared" si="115"/>
        <v>477.31400000000008</v>
      </c>
      <c r="AJ80" s="45">
        <f t="shared" si="115"/>
        <v>0</v>
      </c>
      <c r="AK80" s="44">
        <f t="shared" si="115"/>
        <v>29016.41071428571</v>
      </c>
      <c r="AL80" s="44">
        <f t="shared" si="115"/>
        <v>27963.120714285709</v>
      </c>
      <c r="AM80" s="44">
        <f t="shared" si="115"/>
        <v>3355.5744857142854</v>
      </c>
      <c r="AN80" s="44">
        <f t="shared" si="113"/>
        <v>31318.695199999995</v>
      </c>
      <c r="AO80" s="49">
        <f t="shared" si="115"/>
        <v>0</v>
      </c>
      <c r="AP80" s="49">
        <f t="shared" si="115"/>
        <v>0</v>
      </c>
      <c r="AQ80" s="49">
        <f t="shared" si="115"/>
        <v>0</v>
      </c>
      <c r="AR80" s="49">
        <f t="shared" si="115"/>
        <v>0</v>
      </c>
      <c r="AS80" s="49">
        <f t="shared" si="115"/>
        <v>0</v>
      </c>
      <c r="AT80" s="49">
        <f t="shared" si="115"/>
        <v>0</v>
      </c>
      <c r="AU80" s="49">
        <f>SUBTOTAL(9,AU78:AU79)</f>
        <v>0</v>
      </c>
      <c r="AV80" s="49">
        <f t="shared" si="115"/>
        <v>0</v>
      </c>
      <c r="AW80" s="49">
        <f t="shared" si="115"/>
        <v>0</v>
      </c>
      <c r="AX80" s="49">
        <f t="shared" si="115"/>
        <v>0</v>
      </c>
      <c r="AY80" s="49">
        <f t="shared" si="115"/>
        <v>0</v>
      </c>
      <c r="AZ80" s="44">
        <f t="shared" si="115"/>
        <v>0</v>
      </c>
      <c r="BA80" s="48">
        <f t="shared" si="115"/>
        <v>135</v>
      </c>
      <c r="BB80" s="48">
        <f t="shared" si="115"/>
        <v>0</v>
      </c>
      <c r="BC80" s="44">
        <f t="shared" si="115"/>
        <v>0</v>
      </c>
      <c r="BD80" s="44">
        <f t="shared" si="115"/>
        <v>0</v>
      </c>
      <c r="BE80" s="49">
        <f t="shared" si="115"/>
        <v>0</v>
      </c>
      <c r="BF80" s="49">
        <f>SUBTOTAL(9,BF78:BF79)</f>
        <v>0</v>
      </c>
      <c r="BG80" s="49">
        <f t="shared" si="115"/>
        <v>0</v>
      </c>
      <c r="BH80" s="49">
        <f t="shared" si="115"/>
        <v>0</v>
      </c>
      <c r="BI80" s="49">
        <f t="shared" si="115"/>
        <v>0</v>
      </c>
      <c r="BJ80" s="49">
        <f t="shared" si="115"/>
        <v>0</v>
      </c>
      <c r="BK80" s="49">
        <f t="shared" si="115"/>
        <v>0</v>
      </c>
      <c r="BL80" s="49">
        <f t="shared" si="115"/>
        <v>0</v>
      </c>
      <c r="BM80" s="49">
        <f t="shared" si="115"/>
        <v>0</v>
      </c>
      <c r="BN80" s="49">
        <f t="shared" si="115"/>
        <v>0</v>
      </c>
      <c r="BO80" s="49">
        <f t="shared" si="115"/>
        <v>0</v>
      </c>
      <c r="BP80" s="49">
        <f t="shared" si="115"/>
        <v>0</v>
      </c>
      <c r="BQ80" s="49">
        <f t="shared" si="115"/>
        <v>0</v>
      </c>
      <c r="BR80" s="44">
        <f>SUBTOTAL(9,BR78:BR79)</f>
        <v>135</v>
      </c>
    </row>
    <row r="81" spans="1:97">
      <c r="A81" s="209">
        <f>+A78+1</f>
        <v>43368</v>
      </c>
      <c r="B81" s="16" t="s">
        <v>43</v>
      </c>
      <c r="C81" s="33">
        <v>30184.68</v>
      </c>
      <c r="D81" s="34">
        <v>14485.42</v>
      </c>
      <c r="E81" s="34">
        <v>14486</v>
      </c>
      <c r="F81" s="35">
        <v>43368</v>
      </c>
      <c r="G81" s="33"/>
      <c r="H81" s="33">
        <f>IF(E81-D81&gt;0,E81-D81,0)</f>
        <v>0.57999999999992724</v>
      </c>
      <c r="I81" s="34"/>
      <c r="J81" s="34"/>
      <c r="K81" s="34">
        <v>12573.09</v>
      </c>
      <c r="L81" s="34"/>
      <c r="M81" s="36">
        <f>(+K81)*M$5</f>
        <v>270.32143500000001</v>
      </c>
      <c r="N81" s="36">
        <f>(+K81)*N$5</f>
        <v>62.865450000000003</v>
      </c>
      <c r="O81" s="36">
        <f>+K81-M81-N81+P81</f>
        <v>12239.903115000001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>
        <f>485.5+82.5</f>
        <v>568</v>
      </c>
      <c r="AA81" s="34"/>
      <c r="AB81" s="34"/>
      <c r="AC81" s="34">
        <v>427.67</v>
      </c>
      <c r="AD81" s="38" t="s">
        <v>137</v>
      </c>
      <c r="AE81" s="38">
        <v>2130.5</v>
      </c>
      <c r="AF81" s="34">
        <v>2098.29</v>
      </c>
      <c r="AG81" s="33">
        <f>(AF81*0.8)*0.85</f>
        <v>1426.8371999999999</v>
      </c>
      <c r="AH81" s="33">
        <f>(AF81*0.8)*0.15</f>
        <v>251.79480000000001</v>
      </c>
      <c r="AI81" s="33">
        <f>AF81*0.2</f>
        <v>419.65800000000002</v>
      </c>
      <c r="AJ81" s="34"/>
      <c r="AK81" s="33">
        <f>(C81-AF81-AJ81)/1.12</f>
        <v>25077.133928571424</v>
      </c>
      <c r="AL81" s="33">
        <f>AK81-SUM(Y81:AC81)</f>
        <v>24081.463928571422</v>
      </c>
      <c r="AM81" s="33">
        <f>+AL81*0.12</f>
        <v>2889.7756714285706</v>
      </c>
      <c r="AN81" s="33">
        <f t="shared" ref="AN81:AN82" si="116">+AM81+AL81+AJ81</f>
        <v>26971.239599999994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" thickBot="1">
      <c r="A82" s="210"/>
      <c r="B82" s="16" t="s">
        <v>44</v>
      </c>
      <c r="C82" s="33">
        <v>18835.37</v>
      </c>
      <c r="D82" s="34">
        <v>13370.4</v>
      </c>
      <c r="E82" s="34">
        <v>13370</v>
      </c>
      <c r="F82" s="35">
        <v>43369</v>
      </c>
      <c r="G82" s="33"/>
      <c r="H82" s="33">
        <f>IF(E82-D82&gt;0,E82-D82,0)</f>
        <v>0</v>
      </c>
      <c r="I82" s="34"/>
      <c r="J82" s="34"/>
      <c r="K82" s="34">
        <v>5099.79</v>
      </c>
      <c r="L82" s="34"/>
      <c r="M82" s="36">
        <f>(+K82)*M$5</f>
        <v>109.64548499999999</v>
      </c>
      <c r="N82" s="36">
        <f>(+K82)*N$5</f>
        <v>25.498950000000001</v>
      </c>
      <c r="O82" s="36">
        <f>+K82-M82-N82+P82</f>
        <v>4964.6455649999998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v>31.5</v>
      </c>
      <c r="AA82" s="34"/>
      <c r="AB82" s="34"/>
      <c r="AC82" s="34">
        <v>50.18</v>
      </c>
      <c r="AD82" s="38" t="s">
        <v>139</v>
      </c>
      <c r="AE82" s="38">
        <v>283.5</v>
      </c>
      <c r="AF82" s="34">
        <v>1415.48</v>
      </c>
      <c r="AG82" s="33">
        <f>(AF82*0.8)*0.85</f>
        <v>962.52639999999997</v>
      </c>
      <c r="AH82" s="33">
        <f>(AF82*0.8)*0.15</f>
        <v>169.85759999999999</v>
      </c>
      <c r="AI82" s="33">
        <f>AF82*0.2</f>
        <v>283.096</v>
      </c>
      <c r="AJ82" s="34"/>
      <c r="AK82" s="33">
        <f>(C82-AF82-AJ82)/1.12</f>
        <v>15553.473214285712</v>
      </c>
      <c r="AL82" s="33">
        <f>AK82-SUM(Y82:AC82)</f>
        <v>15471.793214285712</v>
      </c>
      <c r="AM82" s="33">
        <f>+AL82*0.12</f>
        <v>1856.6151857142854</v>
      </c>
      <c r="AN82" s="33">
        <f t="shared" si="116"/>
        <v>17328.408399999997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" thickBot="1">
      <c r="A83" s="42"/>
      <c r="B83" s="43"/>
      <c r="C83" s="44">
        <f>SUBTOTAL(9,C81:C82)</f>
        <v>49020.05</v>
      </c>
      <c r="D83" s="45">
        <f>SUBTOTAL(9,D81:D82)</f>
        <v>27855.82</v>
      </c>
      <c r="E83" s="45">
        <f>SUBTOTAL(9,E81:E82)</f>
        <v>27856</v>
      </c>
      <c r="F83" s="47"/>
      <c r="G83" s="45">
        <f t="shared" ref="G83:P83" si="117">SUBTOTAL(9,G81:G82)</f>
        <v>0</v>
      </c>
      <c r="H83" s="45">
        <f t="shared" si="117"/>
        <v>0.57999999999992724</v>
      </c>
      <c r="I83" s="45">
        <f t="shared" si="117"/>
        <v>0</v>
      </c>
      <c r="J83" s="45">
        <f t="shared" si="117"/>
        <v>0</v>
      </c>
      <c r="K83" s="45"/>
      <c r="L83" s="45">
        <f t="shared" si="117"/>
        <v>0</v>
      </c>
      <c r="M83" s="46">
        <f t="shared" si="117"/>
        <v>379.96692000000002</v>
      </c>
      <c r="N83" s="46">
        <f t="shared" si="117"/>
        <v>88.364400000000003</v>
      </c>
      <c r="O83" s="46">
        <f t="shared" si="117"/>
        <v>17204.54868</v>
      </c>
      <c r="P83" s="46">
        <f t="shared" si="117"/>
        <v>0</v>
      </c>
      <c r="Q83" s="47"/>
      <c r="R83" s="45">
        <f t="shared" ref="R83:BQ83" si="118">SUBTOTAL(9,R81:R82)</f>
        <v>0</v>
      </c>
      <c r="S83" s="45">
        <f t="shared" si="118"/>
        <v>0</v>
      </c>
      <c r="T83" s="46">
        <f t="shared" si="118"/>
        <v>0</v>
      </c>
      <c r="U83" s="46">
        <f t="shared" si="118"/>
        <v>0</v>
      </c>
      <c r="V83" s="46">
        <f t="shared" si="118"/>
        <v>0</v>
      </c>
      <c r="W83" s="46">
        <f t="shared" si="118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18"/>
        <v>2389.3635999999997</v>
      </c>
      <c r="AH83" s="44">
        <f t="shared" si="118"/>
        <v>421.6524</v>
      </c>
      <c r="AI83" s="44">
        <f t="shared" si="118"/>
        <v>702.75400000000002</v>
      </c>
      <c r="AJ83" s="45">
        <f t="shared" si="118"/>
        <v>0</v>
      </c>
      <c r="AK83" s="44">
        <f t="shared" si="118"/>
        <v>40630.607142857138</v>
      </c>
      <c r="AL83" s="44">
        <f t="shared" si="118"/>
        <v>39553.257142857132</v>
      </c>
      <c r="AM83" s="44">
        <f t="shared" si="118"/>
        <v>4746.3908571428565</v>
      </c>
      <c r="AN83" s="44">
        <f t="shared" si="113"/>
        <v>44299.647999999986</v>
      </c>
      <c r="AO83" s="49">
        <f t="shared" si="118"/>
        <v>0</v>
      </c>
      <c r="AP83" s="49">
        <f t="shared" si="118"/>
        <v>0</v>
      </c>
      <c r="AQ83" s="49">
        <f t="shared" si="118"/>
        <v>0</v>
      </c>
      <c r="AR83" s="49">
        <f t="shared" si="118"/>
        <v>0</v>
      </c>
      <c r="AS83" s="49">
        <f t="shared" si="118"/>
        <v>0</v>
      </c>
      <c r="AT83" s="49">
        <f t="shared" si="118"/>
        <v>0</v>
      </c>
      <c r="AU83" s="49">
        <f>SUBTOTAL(9,AU81:AU82)</f>
        <v>0</v>
      </c>
      <c r="AV83" s="49">
        <f t="shared" si="118"/>
        <v>0</v>
      </c>
      <c r="AW83" s="49">
        <f t="shared" si="118"/>
        <v>0</v>
      </c>
      <c r="AX83" s="49">
        <f t="shared" si="118"/>
        <v>0</v>
      </c>
      <c r="AY83" s="49">
        <f t="shared" si="118"/>
        <v>0</v>
      </c>
      <c r="AZ83" s="44">
        <f t="shared" si="118"/>
        <v>0</v>
      </c>
      <c r="BA83" s="48" t="s">
        <v>1</v>
      </c>
      <c r="BB83" s="48">
        <f t="shared" si="118"/>
        <v>0</v>
      </c>
      <c r="BC83" s="44">
        <f t="shared" si="118"/>
        <v>0</v>
      </c>
      <c r="BD83" s="44">
        <f t="shared" si="118"/>
        <v>0</v>
      </c>
      <c r="BE83" s="49">
        <f t="shared" si="118"/>
        <v>0</v>
      </c>
      <c r="BF83" s="49">
        <f>SUBTOTAL(9,BF81:BF82)</f>
        <v>0</v>
      </c>
      <c r="BG83" s="49"/>
      <c r="BH83" s="49">
        <f t="shared" si="118"/>
        <v>0</v>
      </c>
      <c r="BI83" s="49">
        <f t="shared" si="118"/>
        <v>0</v>
      </c>
      <c r="BJ83" s="49">
        <f t="shared" si="118"/>
        <v>0</v>
      </c>
      <c r="BK83" s="49">
        <f t="shared" si="118"/>
        <v>0</v>
      </c>
      <c r="BL83" s="49">
        <f t="shared" si="118"/>
        <v>0</v>
      </c>
      <c r="BM83" s="49">
        <f t="shared" si="118"/>
        <v>0</v>
      </c>
      <c r="BN83" s="49">
        <f t="shared" si="118"/>
        <v>0</v>
      </c>
      <c r="BO83" s="49">
        <f t="shared" si="118"/>
        <v>0</v>
      </c>
      <c r="BP83" s="49">
        <f t="shared" si="118"/>
        <v>0</v>
      </c>
      <c r="BQ83" s="49">
        <f t="shared" si="118"/>
        <v>0</v>
      </c>
      <c r="BR83" s="44">
        <f>SUBTOTAL(9,BR81:BR82)</f>
        <v>0</v>
      </c>
    </row>
    <row r="84" spans="1:97">
      <c r="A84" s="209">
        <f>+A81+1</f>
        <v>43369</v>
      </c>
      <c r="B84" s="32" t="s">
        <v>43</v>
      </c>
      <c r="C84" s="33">
        <v>34342.47</v>
      </c>
      <c r="D84" s="34">
        <v>18368.84</v>
      </c>
      <c r="E84" s="34">
        <v>18370</v>
      </c>
      <c r="F84" s="35">
        <v>43369</v>
      </c>
      <c r="G84" s="33">
        <f>IF(E84-D84&lt;0,E84-D84,0)*-1</f>
        <v>0</v>
      </c>
      <c r="H84" s="33">
        <f>IF(E84-D84&gt;0,E84-D84,0)</f>
        <v>1.1599999999998545</v>
      </c>
      <c r="I84" s="34"/>
      <c r="J84" s="34"/>
      <c r="K84" s="34">
        <v>14458.1</v>
      </c>
      <c r="L84" s="34"/>
      <c r="M84" s="36">
        <f>(+K84)*M$5</f>
        <v>310.84915000000001</v>
      </c>
      <c r="N84" s="36">
        <f>(+K84)*N$5</f>
        <v>72.290500000000009</v>
      </c>
      <c r="O84" s="36">
        <f>+K84-M84-N84+P84</f>
        <v>14074.960350000001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>
        <v>129.5</v>
      </c>
      <c r="AA84" s="34"/>
      <c r="AB84" s="34"/>
      <c r="AC84" s="34">
        <v>220.53</v>
      </c>
      <c r="AD84" s="38" t="s">
        <v>139</v>
      </c>
      <c r="AE84" s="38">
        <v>1165.5</v>
      </c>
      <c r="AF84" s="34">
        <v>2166.8000000000002</v>
      </c>
      <c r="AG84" s="33">
        <f>(AF84*0.8)*0.85</f>
        <v>1473.4240000000002</v>
      </c>
      <c r="AH84" s="33">
        <f>(AF84*0.8)*0.15</f>
        <v>260.01600000000002</v>
      </c>
      <c r="AI84" s="33">
        <f>AF84*0.2</f>
        <v>433.36000000000007</v>
      </c>
      <c r="AJ84" s="34"/>
      <c r="AK84" s="33">
        <f>(C84-AF84-AJ84)/1.12</f>
        <v>28728.276785714286</v>
      </c>
      <c r="AL84" s="33">
        <f>AK84-SUM(Y84:AC84)</f>
        <v>28378.246785714287</v>
      </c>
      <c r="AM84" s="33">
        <f>+AL84*0.12</f>
        <v>3405.3896142857143</v>
      </c>
      <c r="AN84" s="33">
        <f t="shared" si="113"/>
        <v>31783.636400000003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" thickBot="1">
      <c r="A85" s="210"/>
      <c r="B85" s="15" t="s">
        <v>44</v>
      </c>
      <c r="C85" s="33">
        <v>18039.25</v>
      </c>
      <c r="D85" s="34">
        <v>14215.19</v>
      </c>
      <c r="E85" s="34">
        <v>14220</v>
      </c>
      <c r="F85" s="35">
        <v>43370</v>
      </c>
      <c r="G85" s="33">
        <f>IF(E85-D85&lt;0,E85-D85,0)*-1</f>
        <v>0</v>
      </c>
      <c r="H85" s="33">
        <f>IF(E85-D85&gt;0,E85-D85,0)</f>
        <v>4.8099999999994907</v>
      </c>
      <c r="I85" s="34"/>
      <c r="J85" s="34"/>
      <c r="K85" s="34">
        <v>2250.09</v>
      </c>
      <c r="L85" s="34"/>
      <c r="M85" s="36">
        <f>(+K85)*M$5</f>
        <v>48.376934999999996</v>
      </c>
      <c r="N85" s="36">
        <f>(+K85)*N$5</f>
        <v>11.250450000000001</v>
      </c>
      <c r="O85" s="36">
        <f>+K85-M85-N85+P85</f>
        <v>2190.4626150000004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55</v>
      </c>
      <c r="AA85" s="34"/>
      <c r="AB85" s="34"/>
      <c r="AC85" s="34">
        <v>66.97</v>
      </c>
      <c r="AD85" s="38" t="s">
        <v>137</v>
      </c>
      <c r="AE85" s="38">
        <v>1452</v>
      </c>
      <c r="AF85" s="34">
        <v>1300.43</v>
      </c>
      <c r="AG85" s="33">
        <f>(AF85*0.8)*0.85</f>
        <v>884.29240000000004</v>
      </c>
      <c r="AH85" s="33">
        <f>(AF85*0.8)*0.15</f>
        <v>156.05160000000001</v>
      </c>
      <c r="AI85" s="33">
        <f>AF85*0.2</f>
        <v>260.08600000000001</v>
      </c>
      <c r="AJ85" s="34"/>
      <c r="AK85" s="33">
        <f>(C85-AF85-AJ85)/1.12</f>
        <v>14945.374999999998</v>
      </c>
      <c r="AL85" s="33">
        <f>AK85-SUM(Y85:AC85)</f>
        <v>14823.404999999999</v>
      </c>
      <c r="AM85" s="33">
        <f>+AL85*0.12</f>
        <v>1778.8085999999998</v>
      </c>
      <c r="AN85" s="33">
        <f t="shared" si="113"/>
        <v>16602.213599999999</v>
      </c>
      <c r="AO85" s="39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0</v>
      </c>
      <c r="BA85" s="38">
        <v>6310</v>
      </c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6310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" thickBot="1">
      <c r="A86" s="42"/>
      <c r="B86" s="43"/>
      <c r="C86" s="44">
        <f>SUBTOTAL(9,C84:C85)</f>
        <v>52381.72</v>
      </c>
      <c r="D86" s="45">
        <f>SUBTOTAL(9,D84:D85)</f>
        <v>32584.03</v>
      </c>
      <c r="E86" s="45">
        <f>SUBTOTAL(9,E84:E85)</f>
        <v>32590</v>
      </c>
      <c r="F86" s="47"/>
      <c r="G86" s="45">
        <f t="shared" ref="G86:P86" si="119">SUBTOTAL(9,G84:G85)</f>
        <v>0</v>
      </c>
      <c r="H86" s="45">
        <f t="shared" si="119"/>
        <v>5.9699999999993452</v>
      </c>
      <c r="I86" s="45">
        <f t="shared" si="119"/>
        <v>0</v>
      </c>
      <c r="J86" s="45">
        <f t="shared" si="119"/>
        <v>0</v>
      </c>
      <c r="K86" s="45"/>
      <c r="L86" s="45">
        <f t="shared" si="119"/>
        <v>0</v>
      </c>
      <c r="M86" s="46">
        <f t="shared" si="119"/>
        <v>359.22608500000001</v>
      </c>
      <c r="N86" s="46">
        <f t="shared" si="119"/>
        <v>83.540950000000009</v>
      </c>
      <c r="O86" s="46">
        <f t="shared" si="119"/>
        <v>16265.422965000002</v>
      </c>
      <c r="P86" s="46">
        <f t="shared" si="119"/>
        <v>0</v>
      </c>
      <c r="Q86" s="47"/>
      <c r="R86" s="45">
        <f t="shared" ref="R86:BQ86" si="120">SUBTOTAL(9,R84:R85)</f>
        <v>0</v>
      </c>
      <c r="S86" s="45">
        <f t="shared" si="120"/>
        <v>0</v>
      </c>
      <c r="T86" s="46">
        <f t="shared" si="120"/>
        <v>0</v>
      </c>
      <c r="U86" s="46">
        <f t="shared" si="120"/>
        <v>0</v>
      </c>
      <c r="V86" s="46">
        <f t="shared" si="120"/>
        <v>0</v>
      </c>
      <c r="W86" s="46">
        <f t="shared" si="120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20"/>
        <v>2357.7164000000002</v>
      </c>
      <c r="AH86" s="44">
        <f t="shared" si="120"/>
        <v>416.06760000000003</v>
      </c>
      <c r="AI86" s="44">
        <f t="shared" si="120"/>
        <v>693.44600000000014</v>
      </c>
      <c r="AJ86" s="45">
        <f t="shared" si="120"/>
        <v>0</v>
      </c>
      <c r="AK86" s="44">
        <f t="shared" si="120"/>
        <v>43673.651785714283</v>
      </c>
      <c r="AL86" s="44">
        <f t="shared" si="120"/>
        <v>43201.65178571429</v>
      </c>
      <c r="AM86" s="44">
        <f t="shared" si="120"/>
        <v>5184.1982142857141</v>
      </c>
      <c r="AN86" s="44">
        <f t="shared" si="113"/>
        <v>48385.850000000006</v>
      </c>
      <c r="AO86" s="49">
        <f t="shared" si="120"/>
        <v>0</v>
      </c>
      <c r="AP86" s="49">
        <f t="shared" si="120"/>
        <v>0</v>
      </c>
      <c r="AQ86" s="49">
        <f t="shared" si="120"/>
        <v>0</v>
      </c>
      <c r="AR86" s="49">
        <f t="shared" si="120"/>
        <v>0</v>
      </c>
      <c r="AS86" s="49">
        <f t="shared" si="120"/>
        <v>0</v>
      </c>
      <c r="AT86" s="49">
        <f t="shared" si="120"/>
        <v>0</v>
      </c>
      <c r="AU86" s="49">
        <f>SUBTOTAL(9,AU84:AU85)</f>
        <v>0</v>
      </c>
      <c r="AV86" s="49">
        <f t="shared" si="120"/>
        <v>0</v>
      </c>
      <c r="AW86" s="49">
        <f t="shared" si="120"/>
        <v>0</v>
      </c>
      <c r="AX86" s="49">
        <f t="shared" si="120"/>
        <v>0</v>
      </c>
      <c r="AY86" s="49">
        <f t="shared" si="120"/>
        <v>0</v>
      </c>
      <c r="AZ86" s="44">
        <f t="shared" si="120"/>
        <v>0</v>
      </c>
      <c r="BA86" s="48">
        <f t="shared" si="120"/>
        <v>6310</v>
      </c>
      <c r="BB86" s="48">
        <f t="shared" si="120"/>
        <v>0</v>
      </c>
      <c r="BC86" s="44">
        <f t="shared" si="120"/>
        <v>0</v>
      </c>
      <c r="BD86" s="44">
        <f t="shared" si="120"/>
        <v>0</v>
      </c>
      <c r="BE86" s="49">
        <f t="shared" si="120"/>
        <v>0</v>
      </c>
      <c r="BF86" s="49">
        <f>SUBTOTAL(9,BF84:BF85)</f>
        <v>0</v>
      </c>
      <c r="BG86" s="49">
        <f t="shared" si="120"/>
        <v>0</v>
      </c>
      <c r="BH86" s="49">
        <f t="shared" si="120"/>
        <v>0</v>
      </c>
      <c r="BI86" s="49">
        <f t="shared" si="120"/>
        <v>0</v>
      </c>
      <c r="BJ86" s="49">
        <f t="shared" si="120"/>
        <v>0</v>
      </c>
      <c r="BK86" s="49">
        <f t="shared" si="120"/>
        <v>0</v>
      </c>
      <c r="BL86" s="49">
        <f t="shared" si="120"/>
        <v>0</v>
      </c>
      <c r="BM86" s="49">
        <f t="shared" si="120"/>
        <v>0</v>
      </c>
      <c r="BN86" s="49">
        <f t="shared" si="120"/>
        <v>0</v>
      </c>
      <c r="BO86" s="49">
        <f t="shared" si="120"/>
        <v>0</v>
      </c>
      <c r="BP86" s="49">
        <f t="shared" si="120"/>
        <v>0</v>
      </c>
      <c r="BQ86" s="49">
        <f t="shared" si="120"/>
        <v>0</v>
      </c>
      <c r="BR86" s="44">
        <f>SUBTOTAL(9,BR84:BR85)</f>
        <v>6310</v>
      </c>
    </row>
    <row r="87" spans="1:97">
      <c r="A87" s="209">
        <f>+A84+1</f>
        <v>43370</v>
      </c>
      <c r="B87" s="15" t="s">
        <v>43</v>
      </c>
      <c r="C87" s="33">
        <v>36052.639999999999</v>
      </c>
      <c r="D87" s="34">
        <v>33343.07</v>
      </c>
      <c r="E87" s="34">
        <v>33345</v>
      </c>
      <c r="F87" s="35">
        <v>43370</v>
      </c>
      <c r="G87" s="33">
        <f>IF(E87-D87&lt;0,E87-D87,0)*-1</f>
        <v>0</v>
      </c>
      <c r="H87" s="33">
        <f>IF(E87-D87&gt;0,E87-D87,0)</f>
        <v>1.930000000000291</v>
      </c>
      <c r="I87" s="34"/>
      <c r="J87" s="34"/>
      <c r="K87" s="34">
        <v>2483.5700000000002</v>
      </c>
      <c r="L87" s="34"/>
      <c r="M87" s="36">
        <f>(+K87)*M$5</f>
        <v>53.396754999999999</v>
      </c>
      <c r="N87" s="36">
        <f>(+K87)*N$5</f>
        <v>12.417850000000001</v>
      </c>
      <c r="O87" s="36">
        <f>+K87-M87-N87+P87</f>
        <v>2417.7553950000001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 t="s">
        <v>140</v>
      </c>
      <c r="AE87" s="38">
        <v>226</v>
      </c>
      <c r="AF87" s="34">
        <v>2936.64</v>
      </c>
      <c r="AG87" s="33">
        <f>(AF87*0.8)*0.85</f>
        <v>1996.9151999999999</v>
      </c>
      <c r="AH87" s="33">
        <f>(AF87*0.8)*0.15</f>
        <v>352.39679999999998</v>
      </c>
      <c r="AI87" s="33">
        <f>AF87*0.2</f>
        <v>587.32799999999997</v>
      </c>
      <c r="AJ87" s="34"/>
      <c r="AK87" s="33">
        <f>(C87-AF87-AJ87)/1.12</f>
        <v>29567.857142857141</v>
      </c>
      <c r="AL87" s="33">
        <f>AK87-SUM(Y87:AC87)</f>
        <v>29567.857142857141</v>
      </c>
      <c r="AM87" s="33">
        <f>+AL87*0.12</f>
        <v>3548.1428571428569</v>
      </c>
      <c r="AN87" s="33">
        <f t="shared" ref="AN87:AN88" si="121">+AM87+AL87+AJ87</f>
        <v>33116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" thickBot="1">
      <c r="A88" s="210"/>
      <c r="B88" s="15" t="s">
        <v>44</v>
      </c>
      <c r="C88" s="33">
        <v>33514.800000000003</v>
      </c>
      <c r="D88" s="34">
        <v>11919.27</v>
      </c>
      <c r="E88" s="34">
        <v>11920</v>
      </c>
      <c r="F88" s="35">
        <v>43371</v>
      </c>
      <c r="G88" s="33">
        <f>IF(E88-D88&lt;0,E88-D88,0)*-1</f>
        <v>0</v>
      </c>
      <c r="H88" s="33">
        <f>IF(E88-D88&gt;0,E88-D88,0)</f>
        <v>0.72999999999956344</v>
      </c>
      <c r="I88" s="34"/>
      <c r="J88" s="34"/>
      <c r="K88" s="34">
        <v>18688.990000000002</v>
      </c>
      <c r="L88" s="34"/>
      <c r="M88" s="36">
        <f>(+K88)*M$5</f>
        <v>401.81328500000001</v>
      </c>
      <c r="N88" s="36">
        <f>(+K88)*N$5</f>
        <v>93.444950000000006</v>
      </c>
      <c r="O88" s="36">
        <f>+K88-M88-N88+P88</f>
        <v>18193.731765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f>11.5+146.5</f>
        <v>158</v>
      </c>
      <c r="AA88" s="34">
        <v>78.900000000000006</v>
      </c>
      <c r="AB88" s="34"/>
      <c r="AC88" s="34">
        <v>62.14</v>
      </c>
      <c r="AD88" s="38" t="s">
        <v>137</v>
      </c>
      <c r="AE88" s="38">
        <v>2607.5</v>
      </c>
      <c r="AF88" s="34">
        <v>2419.09</v>
      </c>
      <c r="AG88" s="33">
        <f>(AF88*0.8)*0.85</f>
        <v>1644.9812000000002</v>
      </c>
      <c r="AH88" s="33">
        <f>(AF88*0.8)*0.15</f>
        <v>290.29079999999999</v>
      </c>
      <c r="AI88" s="33">
        <f>AF88*0.2</f>
        <v>483.81800000000004</v>
      </c>
      <c r="AJ88" s="34"/>
      <c r="AK88" s="33">
        <f>(C88-AF88-AJ88)/1.12</f>
        <v>27764.026785714286</v>
      </c>
      <c r="AL88" s="33">
        <f>AK88-SUM(Y88:AC88)</f>
        <v>27464.986785714285</v>
      </c>
      <c r="AM88" s="33">
        <f>+AL88*0.12</f>
        <v>3295.798414285714</v>
      </c>
      <c r="AN88" s="33">
        <f t="shared" si="121"/>
        <v>30760.785199999998</v>
      </c>
      <c r="AO88" s="39"/>
      <c r="AP88" s="40"/>
      <c r="AQ88" s="40"/>
      <c r="AR88" s="40">
        <v>185</v>
      </c>
      <c r="AS88" s="40"/>
      <c r="AT88" s="40"/>
      <c r="AU88" s="40"/>
      <c r="AV88" s="40"/>
      <c r="AW88" s="40"/>
      <c r="AX88" s="40"/>
      <c r="AY88" s="40"/>
      <c r="AZ88" s="33">
        <f>SUM(AO88:AY88)</f>
        <v>185</v>
      </c>
      <c r="BA88" s="38">
        <f>255+185+185</f>
        <v>625</v>
      </c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810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" thickBot="1">
      <c r="A89" s="42"/>
      <c r="B89" s="43"/>
      <c r="C89" s="44">
        <f>SUBTOTAL(9,C87:C88)</f>
        <v>69567.44</v>
      </c>
      <c r="D89" s="45">
        <f>SUBTOTAL(9,D87:D88)</f>
        <v>45262.34</v>
      </c>
      <c r="E89" s="45">
        <f>SUBTOTAL(9,E87:E88)</f>
        <v>45265</v>
      </c>
      <c r="F89" s="47"/>
      <c r="G89" s="45">
        <f t="shared" ref="G89:P89" si="122">SUBTOTAL(9,G87:G88)</f>
        <v>0</v>
      </c>
      <c r="H89" s="45">
        <f t="shared" si="122"/>
        <v>2.6599999999998545</v>
      </c>
      <c r="I89" s="45">
        <f t="shared" si="122"/>
        <v>0</v>
      </c>
      <c r="J89" s="45">
        <f t="shared" si="122"/>
        <v>0</v>
      </c>
      <c r="K89" s="45"/>
      <c r="L89" s="45">
        <f t="shared" si="122"/>
        <v>0</v>
      </c>
      <c r="M89" s="46">
        <f t="shared" si="122"/>
        <v>455.21003999999999</v>
      </c>
      <c r="N89" s="46">
        <f t="shared" si="122"/>
        <v>105.86280000000001</v>
      </c>
      <c r="O89" s="46">
        <f t="shared" si="122"/>
        <v>20611.487160000001</v>
      </c>
      <c r="P89" s="46">
        <f t="shared" si="122"/>
        <v>0</v>
      </c>
      <c r="Q89" s="47"/>
      <c r="R89" s="45">
        <f t="shared" ref="R89:BQ89" si="123">SUBTOTAL(9,R87:R88)</f>
        <v>0</v>
      </c>
      <c r="S89" s="45">
        <f t="shared" si="123"/>
        <v>0</v>
      </c>
      <c r="T89" s="46">
        <f t="shared" si="123"/>
        <v>0</v>
      </c>
      <c r="U89" s="46">
        <f t="shared" si="123"/>
        <v>0</v>
      </c>
      <c r="V89" s="46">
        <f t="shared" si="123"/>
        <v>0</v>
      </c>
      <c r="W89" s="46">
        <f t="shared" si="123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23"/>
        <v>3641.8964000000001</v>
      </c>
      <c r="AH89" s="44">
        <f t="shared" si="123"/>
        <v>642.68759999999997</v>
      </c>
      <c r="AI89" s="44">
        <f t="shared" si="123"/>
        <v>1071.146</v>
      </c>
      <c r="AJ89" s="45">
        <f t="shared" si="123"/>
        <v>0</v>
      </c>
      <c r="AK89" s="44">
        <f t="shared" si="123"/>
        <v>57331.883928571428</v>
      </c>
      <c r="AL89" s="44">
        <f t="shared" si="123"/>
        <v>57032.843928571427</v>
      </c>
      <c r="AM89" s="44">
        <f t="shared" si="123"/>
        <v>6843.9412714285709</v>
      </c>
      <c r="AN89" s="44">
        <f t="shared" si="113"/>
        <v>63876.785199999998</v>
      </c>
      <c r="AO89" s="49">
        <f t="shared" si="123"/>
        <v>0</v>
      </c>
      <c r="AP89" s="49">
        <f t="shared" si="123"/>
        <v>0</v>
      </c>
      <c r="AQ89" s="49">
        <f t="shared" si="123"/>
        <v>0</v>
      </c>
      <c r="AR89" s="49">
        <f t="shared" si="123"/>
        <v>185</v>
      </c>
      <c r="AS89" s="49">
        <f t="shared" si="123"/>
        <v>0</v>
      </c>
      <c r="AT89" s="49">
        <f t="shared" si="123"/>
        <v>0</v>
      </c>
      <c r="AU89" s="49">
        <f>SUBTOTAL(9,AU87:AU88)</f>
        <v>0</v>
      </c>
      <c r="AV89" s="49">
        <f t="shared" si="123"/>
        <v>0</v>
      </c>
      <c r="AW89" s="49">
        <f t="shared" si="123"/>
        <v>0</v>
      </c>
      <c r="AX89" s="49">
        <f t="shared" si="123"/>
        <v>0</v>
      </c>
      <c r="AY89" s="49">
        <f t="shared" si="123"/>
        <v>0</v>
      </c>
      <c r="AZ89" s="44">
        <f t="shared" si="123"/>
        <v>185</v>
      </c>
      <c r="BA89" s="48">
        <f t="shared" si="123"/>
        <v>625</v>
      </c>
      <c r="BB89" s="48">
        <f t="shared" si="123"/>
        <v>0</v>
      </c>
      <c r="BC89" s="44">
        <f t="shared" si="123"/>
        <v>0</v>
      </c>
      <c r="BD89" s="44">
        <f t="shared" si="123"/>
        <v>0</v>
      </c>
      <c r="BE89" s="49">
        <f t="shared" si="123"/>
        <v>0</v>
      </c>
      <c r="BF89" s="49">
        <f>SUBTOTAL(9,BF87:BF88)</f>
        <v>0</v>
      </c>
      <c r="BG89" s="49">
        <f t="shared" si="123"/>
        <v>0</v>
      </c>
      <c r="BH89" s="49">
        <f t="shared" si="123"/>
        <v>0</v>
      </c>
      <c r="BI89" s="49">
        <f t="shared" si="123"/>
        <v>0</v>
      </c>
      <c r="BJ89" s="49">
        <f t="shared" si="123"/>
        <v>0</v>
      </c>
      <c r="BK89" s="49">
        <f t="shared" si="123"/>
        <v>0</v>
      </c>
      <c r="BL89" s="49">
        <f t="shared" si="123"/>
        <v>0</v>
      </c>
      <c r="BM89" s="49">
        <f t="shared" si="123"/>
        <v>0</v>
      </c>
      <c r="BN89" s="49">
        <f t="shared" si="123"/>
        <v>0</v>
      </c>
      <c r="BO89" s="49">
        <f t="shared" si="123"/>
        <v>0</v>
      </c>
      <c r="BP89" s="49">
        <f t="shared" si="123"/>
        <v>0</v>
      </c>
      <c r="BQ89" s="49">
        <f t="shared" si="123"/>
        <v>0</v>
      </c>
      <c r="BR89" s="44">
        <f>SUBTOTAL(9,BR87:BR88)</f>
        <v>810</v>
      </c>
    </row>
    <row r="90" spans="1:97">
      <c r="A90" s="209">
        <f>+A87+1</f>
        <v>43371</v>
      </c>
      <c r="B90" s="16" t="s">
        <v>43</v>
      </c>
      <c r="C90" s="33">
        <v>40315.99</v>
      </c>
      <c r="D90" s="34">
        <v>24413.91</v>
      </c>
      <c r="E90" s="34">
        <v>24145</v>
      </c>
      <c r="F90" s="35">
        <v>43371</v>
      </c>
      <c r="G90" s="33">
        <f>IF(E90-D90&lt;0,E90-D90,0)*-1</f>
        <v>268.90999999999985</v>
      </c>
      <c r="H90" s="33">
        <f>IF(E90-D90&gt;0,E90-D90,0)</f>
        <v>0</v>
      </c>
      <c r="I90" s="34"/>
      <c r="J90" s="34"/>
      <c r="K90" s="34">
        <v>13256.61</v>
      </c>
      <c r="L90" s="34"/>
      <c r="M90" s="36">
        <f>(+K90)*M$5</f>
        <v>285.01711499999999</v>
      </c>
      <c r="N90" s="36">
        <f>(+K90)*N$5</f>
        <v>66.283050000000003</v>
      </c>
      <c r="O90" s="36">
        <f>+K90-M90-N90+P90</f>
        <v>12905.309835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f>104.5+21.5</f>
        <v>126</v>
      </c>
      <c r="AA90" s="34"/>
      <c r="AB90" s="34"/>
      <c r="AC90" s="34">
        <v>416.97</v>
      </c>
      <c r="AD90" s="38" t="s">
        <v>137</v>
      </c>
      <c r="AE90" s="38">
        <v>2372.5</v>
      </c>
      <c r="AF90" s="34">
        <v>2922.17</v>
      </c>
      <c r="AG90" s="33">
        <f>(AF90*0.8)*0.85</f>
        <v>1987.0756000000001</v>
      </c>
      <c r="AH90" s="33">
        <f>(AF90*0.8)*0.15</f>
        <v>350.66040000000004</v>
      </c>
      <c r="AI90" s="33">
        <f>AF90*0.2</f>
        <v>584.43400000000008</v>
      </c>
      <c r="AJ90" s="34"/>
      <c r="AK90" s="33">
        <f t="shared" ref="AK90:AK91" si="124">(C90-AF90-AJ90)/1.12</f>
        <v>33387.339285714283</v>
      </c>
      <c r="AL90" s="33">
        <f t="shared" ref="AL90:AL91" si="125">AK90-SUM(Y90:AC90)</f>
        <v>32844.369285714281</v>
      </c>
      <c r="AM90" s="33">
        <f t="shared" ref="AM90:AM91" si="126">+AL90*0.12</f>
        <v>3941.3243142857136</v>
      </c>
      <c r="AN90" s="33">
        <f t="shared" si="113"/>
        <v>36785.693599999999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" thickBot="1">
      <c r="A91" s="210"/>
      <c r="B91" s="16" t="s">
        <v>44</v>
      </c>
      <c r="C91" s="33">
        <v>27133.7</v>
      </c>
      <c r="D91" s="34">
        <v>14252.42</v>
      </c>
      <c r="E91" s="34">
        <v>14253</v>
      </c>
      <c r="F91" s="35">
        <v>43374</v>
      </c>
      <c r="G91" s="33">
        <f>IF(E91-D91&lt;0,E91-D91,0)*-1</f>
        <v>0</v>
      </c>
      <c r="H91" s="33">
        <f>IF(E91-D91&gt;0,E91-D91,0)</f>
        <v>0.57999999999992724</v>
      </c>
      <c r="I91" s="34"/>
      <c r="J91" s="34"/>
      <c r="K91" s="34">
        <v>9527.2000000000007</v>
      </c>
      <c r="L91" s="34"/>
      <c r="M91" s="36">
        <f>(+K91)*M$5</f>
        <v>204.8348</v>
      </c>
      <c r="N91" s="36">
        <f>(+K91)*N$5</f>
        <v>47.636000000000003</v>
      </c>
      <c r="O91" s="36">
        <f>+K91-M91-N91+P91</f>
        <v>9274.7291999999998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f>148.5+43.5</f>
        <v>192</v>
      </c>
      <c r="AA91" s="34"/>
      <c r="AB91" s="34"/>
      <c r="AC91" s="34">
        <v>178.58</v>
      </c>
      <c r="AD91" s="38" t="s">
        <v>137</v>
      </c>
      <c r="AE91" s="38">
        <v>2983.5</v>
      </c>
      <c r="AF91" s="34">
        <v>1787.84</v>
      </c>
      <c r="AG91" s="33">
        <f>(AF91*0.8)*0.85</f>
        <v>1215.7311999999999</v>
      </c>
      <c r="AH91" s="33">
        <f>(AF91*0.8)*0.15</f>
        <v>214.54079999999999</v>
      </c>
      <c r="AI91" s="33">
        <f>AF91*0.2</f>
        <v>357.56799999999998</v>
      </c>
      <c r="AJ91" s="34"/>
      <c r="AK91" s="33">
        <f t="shared" si="124"/>
        <v>22630.232142857141</v>
      </c>
      <c r="AL91" s="33">
        <f t="shared" si="125"/>
        <v>22259.65214285714</v>
      </c>
      <c r="AM91" s="33">
        <f t="shared" si="126"/>
        <v>2671.1582571428567</v>
      </c>
      <c r="AN91" s="33">
        <f t="shared" si="113"/>
        <v>24930.810399999995</v>
      </c>
      <c r="AO91" s="39">
        <v>245</v>
      </c>
      <c r="AP91" s="40">
        <f>70+220</f>
        <v>290</v>
      </c>
      <c r="AQ91" s="40"/>
      <c r="AR91" s="40">
        <v>135</v>
      </c>
      <c r="AS91" s="40"/>
      <c r="AT91" s="40"/>
      <c r="AU91" s="40"/>
      <c r="AV91" s="40"/>
      <c r="AW91" s="40"/>
      <c r="AX91" s="40"/>
      <c r="AY91" s="40"/>
      <c r="AZ91" s="33">
        <f>SUM(AO91:AY91)</f>
        <v>670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670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" thickBot="1">
      <c r="A92" s="42"/>
      <c r="B92" s="43"/>
      <c r="C92" s="44">
        <f>SUBTOTAL(9,C90:C91)</f>
        <v>67449.69</v>
      </c>
      <c r="D92" s="45">
        <f>SUBTOTAL(9,D90:D91)</f>
        <v>38666.33</v>
      </c>
      <c r="E92" s="45">
        <f>SUBTOTAL(9,E90:E91)</f>
        <v>38398</v>
      </c>
      <c r="F92" s="47"/>
      <c r="G92" s="45">
        <f t="shared" ref="G92:P92" si="127">SUBTOTAL(9,G90:G91)</f>
        <v>268.90999999999985</v>
      </c>
      <c r="H92" s="45">
        <f t="shared" si="127"/>
        <v>0.57999999999992724</v>
      </c>
      <c r="I92" s="45">
        <f t="shared" si="127"/>
        <v>0</v>
      </c>
      <c r="J92" s="45">
        <f t="shared" si="127"/>
        <v>0</v>
      </c>
      <c r="K92" s="45"/>
      <c r="L92" s="45">
        <f t="shared" si="127"/>
        <v>0</v>
      </c>
      <c r="M92" s="46">
        <f t="shared" si="127"/>
        <v>489.85191499999996</v>
      </c>
      <c r="N92" s="46">
        <f t="shared" si="127"/>
        <v>113.91905</v>
      </c>
      <c r="O92" s="46">
        <f t="shared" si="127"/>
        <v>22180.039035000002</v>
      </c>
      <c r="P92" s="46">
        <f t="shared" si="127"/>
        <v>0</v>
      </c>
      <c r="Q92" s="47"/>
      <c r="R92" s="45">
        <f t="shared" ref="R92:BQ92" si="128">SUBTOTAL(9,R90:R91)</f>
        <v>0</v>
      </c>
      <c r="S92" s="45">
        <f t="shared" si="128"/>
        <v>0</v>
      </c>
      <c r="T92" s="46">
        <f t="shared" si="128"/>
        <v>0</v>
      </c>
      <c r="U92" s="46">
        <f t="shared" si="128"/>
        <v>0</v>
      </c>
      <c r="V92" s="46">
        <f t="shared" si="128"/>
        <v>0</v>
      </c>
      <c r="W92" s="46">
        <f t="shared" si="128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28"/>
        <v>3202.8068000000003</v>
      </c>
      <c r="AH92" s="44">
        <f t="shared" si="128"/>
        <v>565.20119999999997</v>
      </c>
      <c r="AI92" s="44">
        <f t="shared" si="128"/>
        <v>942.00200000000007</v>
      </c>
      <c r="AJ92" s="45">
        <f t="shared" si="128"/>
        <v>0</v>
      </c>
      <c r="AK92" s="44">
        <f t="shared" si="128"/>
        <v>56017.57142857142</v>
      </c>
      <c r="AL92" s="44">
        <f t="shared" si="128"/>
        <v>55104.021428571417</v>
      </c>
      <c r="AM92" s="44">
        <f t="shared" si="128"/>
        <v>6612.4825714285707</v>
      </c>
      <c r="AN92" s="44">
        <f t="shared" si="113"/>
        <v>61716.503999999986</v>
      </c>
      <c r="AO92" s="49">
        <f t="shared" si="128"/>
        <v>245</v>
      </c>
      <c r="AP92" s="49">
        <f t="shared" si="128"/>
        <v>290</v>
      </c>
      <c r="AQ92" s="49">
        <f t="shared" si="128"/>
        <v>0</v>
      </c>
      <c r="AR92" s="49">
        <f t="shared" si="128"/>
        <v>135</v>
      </c>
      <c r="AS92" s="49">
        <f t="shared" si="128"/>
        <v>0</v>
      </c>
      <c r="AT92" s="49">
        <f t="shared" si="128"/>
        <v>0</v>
      </c>
      <c r="AU92" s="49">
        <f>SUBTOTAL(9,AU90:AU91)</f>
        <v>0</v>
      </c>
      <c r="AV92" s="49">
        <f t="shared" si="128"/>
        <v>0</v>
      </c>
      <c r="AW92" s="49">
        <f t="shared" si="128"/>
        <v>0</v>
      </c>
      <c r="AX92" s="49">
        <f t="shared" si="128"/>
        <v>0</v>
      </c>
      <c r="AY92" s="49">
        <f t="shared" si="128"/>
        <v>0</v>
      </c>
      <c r="AZ92" s="44">
        <f t="shared" si="128"/>
        <v>670</v>
      </c>
      <c r="BA92" s="48">
        <f t="shared" si="128"/>
        <v>0</v>
      </c>
      <c r="BB92" s="48">
        <f t="shared" si="128"/>
        <v>0</v>
      </c>
      <c r="BC92" s="44">
        <f t="shared" si="128"/>
        <v>0</v>
      </c>
      <c r="BD92" s="44">
        <f t="shared" si="128"/>
        <v>0</v>
      </c>
      <c r="BE92" s="49">
        <f t="shared" si="128"/>
        <v>0</v>
      </c>
      <c r="BF92" s="49">
        <f>SUBTOTAL(9,BF90:BF91)</f>
        <v>0</v>
      </c>
      <c r="BG92" s="49">
        <f t="shared" si="128"/>
        <v>0</v>
      </c>
      <c r="BH92" s="49">
        <f t="shared" si="128"/>
        <v>0</v>
      </c>
      <c r="BI92" s="49">
        <f t="shared" si="128"/>
        <v>0</v>
      </c>
      <c r="BJ92" s="49">
        <f t="shared" si="128"/>
        <v>0</v>
      </c>
      <c r="BK92" s="49">
        <f t="shared" si="128"/>
        <v>0</v>
      </c>
      <c r="BL92" s="49">
        <f t="shared" si="128"/>
        <v>0</v>
      </c>
      <c r="BM92" s="49">
        <f t="shared" si="128"/>
        <v>0</v>
      </c>
      <c r="BN92" s="49">
        <f t="shared" si="128"/>
        <v>0</v>
      </c>
      <c r="BO92" s="49">
        <f t="shared" si="128"/>
        <v>0</v>
      </c>
      <c r="BP92" s="49">
        <f t="shared" si="128"/>
        <v>0</v>
      </c>
      <c r="BQ92" s="49">
        <f t="shared" si="128"/>
        <v>0</v>
      </c>
      <c r="BR92" s="44">
        <f>SUBTOTAL(9,BR90:BR91)</f>
        <v>670</v>
      </c>
    </row>
    <row r="93" spans="1:97">
      <c r="A93" s="209">
        <f>+A90+1</f>
        <v>43372</v>
      </c>
      <c r="B93" s="16" t="s">
        <v>43</v>
      </c>
      <c r="C93" s="33" t="s">
        <v>135</v>
      </c>
      <c r="D93" s="34"/>
      <c r="E93" s="34"/>
      <c r="F93" s="35"/>
      <c r="G93" s="33">
        <f>IF(E93-D93&lt;0,E93-D93,0)*-1</f>
        <v>0</v>
      </c>
      <c r="H93" s="33">
        <f>IF(E93-D93&gt;0,E93-D93,0)</f>
        <v>0</v>
      </c>
      <c r="I93" s="34"/>
      <c r="J93" s="34"/>
      <c r="K93" s="34"/>
      <c r="L93" s="34"/>
      <c r="M93" s="36">
        <f>(+K93)*M$5</f>
        <v>0</v>
      </c>
      <c r="N93" s="36">
        <f>(+K93)*N$5</f>
        <v>0</v>
      </c>
      <c r="O93" s="36">
        <f>+K93-M93-N93+P93</f>
        <v>0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/>
      <c r="AA93" s="34"/>
      <c r="AB93" s="34"/>
      <c r="AC93" s="34"/>
      <c r="AD93" s="38"/>
      <c r="AE93" s="38"/>
      <c r="AF93" s="34"/>
      <c r="AG93" s="33">
        <f>(AF93*0.8)*0.85</f>
        <v>0</v>
      </c>
      <c r="AH93" s="33">
        <f>(AF93*0.8)*0.15</f>
        <v>0</v>
      </c>
      <c r="AI93" s="33">
        <f>AF93*0.2</f>
        <v>0</v>
      </c>
      <c r="AJ93" s="34"/>
      <c r="AK93" s="33">
        <v>0</v>
      </c>
      <c r="AL93" s="33">
        <f t="shared" ref="AL93:AL94" si="129">AK93-SUM(Y93:AC93)</f>
        <v>0</v>
      </c>
      <c r="AM93" s="33">
        <f t="shared" ref="AM93:AM94" si="130">+AL93*0.12</f>
        <v>0</v>
      </c>
      <c r="AN93" s="33">
        <f t="shared" ref="AN93:AN94" si="131">+AM93+AL93+AJ93</f>
        <v>0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" thickBot="1">
      <c r="A94" s="210"/>
      <c r="B94" s="16" t="s">
        <v>44</v>
      </c>
      <c r="C94" s="33">
        <v>11485.3</v>
      </c>
      <c r="D94" s="34">
        <v>5731.09</v>
      </c>
      <c r="E94" s="34">
        <v>5725</v>
      </c>
      <c r="F94" s="35">
        <v>43374</v>
      </c>
      <c r="G94" s="33">
        <f>IF(E94-D94&lt;0,E94-D94,0)*-1</f>
        <v>6.0900000000001455</v>
      </c>
      <c r="H94" s="33">
        <f>IF(E94-D94&gt;0,E94-D94,0)</f>
        <v>0</v>
      </c>
      <c r="I94" s="34"/>
      <c r="J94" s="34"/>
      <c r="K94" s="34">
        <v>2723.21</v>
      </c>
      <c r="L94" s="34"/>
      <c r="M94" s="36">
        <f>(+K94)*M$5</f>
        <v>58.549014999999997</v>
      </c>
      <c r="N94" s="36">
        <f>(+K94)*N$5</f>
        <v>13.616050000000001</v>
      </c>
      <c r="O94" s="36">
        <f>+K94-M94-N94+P94</f>
        <v>2651.0449349999999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>
        <f>229+63</f>
        <v>292</v>
      </c>
      <c r="AA94" s="34"/>
      <c r="AB94" s="34"/>
      <c r="AC94" s="34">
        <v>120</v>
      </c>
      <c r="AD94" s="38" t="s">
        <v>137</v>
      </c>
      <c r="AE94" s="38">
        <v>2619</v>
      </c>
      <c r="AF94" s="34">
        <v>681.3</v>
      </c>
      <c r="AG94" s="33">
        <f>(AF94*0.8)*0.85</f>
        <v>463.28399999999993</v>
      </c>
      <c r="AH94" s="33">
        <f>(AF94*0.8)*0.15</f>
        <v>81.755999999999986</v>
      </c>
      <c r="AI94" s="33">
        <f>AF94*0.2</f>
        <v>136.26</v>
      </c>
      <c r="AJ94" s="34"/>
      <c r="AK94" s="33">
        <f t="shared" ref="AK94" si="132">(C94-AF94-AJ94)/1.12</f>
        <v>9646.4285714285706</v>
      </c>
      <c r="AL94" s="33">
        <f t="shared" si="129"/>
        <v>9234.4285714285706</v>
      </c>
      <c r="AM94" s="33">
        <f t="shared" si="130"/>
        <v>1108.1314285714284</v>
      </c>
      <c r="AN94" s="33">
        <f t="shared" si="131"/>
        <v>10342.56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8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" thickBot="1">
      <c r="A95" s="42"/>
      <c r="B95" s="43"/>
      <c r="C95" s="44">
        <f>SUBTOTAL(9,C93:C94)</f>
        <v>11485.3</v>
      </c>
      <c r="D95" s="160">
        <f>SUBTOTAL(9,D93:D94)</f>
        <v>5731.09</v>
      </c>
      <c r="E95" s="45">
        <f>SUBTOTAL(9,E93:E94)</f>
        <v>5725</v>
      </c>
      <c r="F95" s="47"/>
      <c r="G95" s="45">
        <f t="shared" ref="G95:P95" si="133">SUBTOTAL(9,G93:G94)</f>
        <v>6.0900000000001455</v>
      </c>
      <c r="H95" s="45">
        <f t="shared" si="133"/>
        <v>0</v>
      </c>
      <c r="I95" s="45">
        <f t="shared" si="133"/>
        <v>0</v>
      </c>
      <c r="J95" s="45">
        <f t="shared" si="133"/>
        <v>0</v>
      </c>
      <c r="K95" s="45"/>
      <c r="L95" s="45">
        <f t="shared" si="133"/>
        <v>0</v>
      </c>
      <c r="M95" s="46">
        <f t="shared" si="133"/>
        <v>58.549014999999997</v>
      </c>
      <c r="N95" s="46">
        <f t="shared" si="133"/>
        <v>13.616050000000001</v>
      </c>
      <c r="O95" s="46">
        <f t="shared" si="133"/>
        <v>2651.0449349999999</v>
      </c>
      <c r="P95" s="46">
        <f t="shared" si="133"/>
        <v>0</v>
      </c>
      <c r="Q95" s="47"/>
      <c r="R95" s="45">
        <f t="shared" ref="R95:BQ95" si="134">SUBTOTAL(9,R93:R94)</f>
        <v>0</v>
      </c>
      <c r="S95" s="45">
        <f t="shared" si="134"/>
        <v>0</v>
      </c>
      <c r="T95" s="46">
        <f t="shared" si="134"/>
        <v>0</v>
      </c>
      <c r="U95" s="46">
        <f t="shared" si="134"/>
        <v>0</v>
      </c>
      <c r="V95" s="46">
        <f t="shared" si="134"/>
        <v>0</v>
      </c>
      <c r="W95" s="46">
        <f t="shared" si="134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34"/>
        <v>463.28399999999993</v>
      </c>
      <c r="AH95" s="44">
        <f t="shared" si="134"/>
        <v>81.755999999999986</v>
      </c>
      <c r="AI95" s="44">
        <f t="shared" si="134"/>
        <v>136.26</v>
      </c>
      <c r="AJ95" s="45">
        <f t="shared" si="134"/>
        <v>0</v>
      </c>
      <c r="AK95" s="44">
        <f t="shared" si="134"/>
        <v>9646.4285714285706</v>
      </c>
      <c r="AL95" s="44">
        <f t="shared" si="134"/>
        <v>9234.4285714285706</v>
      </c>
      <c r="AM95" s="44">
        <f t="shared" si="134"/>
        <v>1108.1314285714284</v>
      </c>
      <c r="AN95" s="44">
        <f t="shared" si="113"/>
        <v>10342.56</v>
      </c>
      <c r="AO95" s="49">
        <f t="shared" si="134"/>
        <v>0</v>
      </c>
      <c r="AP95" s="49">
        <f t="shared" si="134"/>
        <v>0</v>
      </c>
      <c r="AQ95" s="49">
        <f t="shared" si="134"/>
        <v>0</v>
      </c>
      <c r="AR95" s="49">
        <f t="shared" si="134"/>
        <v>0</v>
      </c>
      <c r="AS95" s="49">
        <f t="shared" si="134"/>
        <v>0</v>
      </c>
      <c r="AT95" s="49">
        <f t="shared" si="134"/>
        <v>0</v>
      </c>
      <c r="AU95" s="49">
        <f>SUBTOTAL(9,AU93:AU94)</f>
        <v>0</v>
      </c>
      <c r="AV95" s="49">
        <f t="shared" si="134"/>
        <v>0</v>
      </c>
      <c r="AW95" s="49">
        <f t="shared" si="134"/>
        <v>0</v>
      </c>
      <c r="AX95" s="49">
        <f t="shared" si="134"/>
        <v>0</v>
      </c>
      <c r="AY95" s="49">
        <f t="shared" si="134"/>
        <v>0</v>
      </c>
      <c r="AZ95" s="44">
        <f t="shared" si="134"/>
        <v>0</v>
      </c>
      <c r="BA95" s="48">
        <f t="shared" si="134"/>
        <v>0</v>
      </c>
      <c r="BB95" s="48">
        <f t="shared" si="134"/>
        <v>0</v>
      </c>
      <c r="BC95" s="44">
        <f t="shared" si="134"/>
        <v>0</v>
      </c>
      <c r="BD95" s="44">
        <f t="shared" si="134"/>
        <v>0</v>
      </c>
      <c r="BE95" s="49">
        <f t="shared" si="134"/>
        <v>0</v>
      </c>
      <c r="BF95" s="49">
        <f>SUBTOTAL(9,BF93:BF94)</f>
        <v>0</v>
      </c>
      <c r="BG95" s="49">
        <f t="shared" si="134"/>
        <v>0</v>
      </c>
      <c r="BH95" s="49">
        <f t="shared" si="134"/>
        <v>0</v>
      </c>
      <c r="BI95" s="49">
        <f t="shared" si="134"/>
        <v>0</v>
      </c>
      <c r="BJ95" s="49">
        <f t="shared" si="134"/>
        <v>0</v>
      </c>
      <c r="BK95" s="49">
        <f t="shared" si="134"/>
        <v>0</v>
      </c>
      <c r="BL95" s="49">
        <f t="shared" si="134"/>
        <v>0</v>
      </c>
      <c r="BM95" s="49">
        <f t="shared" si="134"/>
        <v>0</v>
      </c>
      <c r="BN95" s="49">
        <f t="shared" si="134"/>
        <v>0</v>
      </c>
      <c r="BO95" s="49">
        <f t="shared" si="134"/>
        <v>0</v>
      </c>
      <c r="BP95" s="49">
        <f t="shared" si="134"/>
        <v>0</v>
      </c>
      <c r="BQ95" s="49">
        <f t="shared" si="134"/>
        <v>0</v>
      </c>
      <c r="BR95" s="44">
        <f>SUBTOTAL(9,BR93:BR94)</f>
        <v>0</v>
      </c>
    </row>
    <row r="96" spans="1:97">
      <c r="A96" s="215">
        <f>+A93+1</f>
        <v>43373</v>
      </c>
      <c r="B96" s="16" t="s">
        <v>43</v>
      </c>
      <c r="C96" s="33" t="s">
        <v>138</v>
      </c>
      <c r="D96" s="34"/>
      <c r="E96" s="34"/>
      <c r="F96" s="35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v>0</v>
      </c>
      <c r="AL96" s="33">
        <f t="shared" ref="AL96" si="135">AK96-SUM(Y96:AC96)</f>
        <v>0</v>
      </c>
      <c r="AM96" s="33">
        <f t="shared" ref="AM96" si="136">+AL96*0.12</f>
        <v>0</v>
      </c>
      <c r="AN96" s="33">
        <f t="shared" ref="AN96" si="137">+AM96+AL96+AJ96</f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SUM(BE96:BM96)*0.1+(BN96*0.5)</f>
        <v>0</v>
      </c>
      <c r="BD96" s="33">
        <f>SUM(BE96:BM96)+(BN96*0.5)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5" thickBot="1">
      <c r="A97" s="209"/>
      <c r="B97" s="16" t="s">
        <v>44</v>
      </c>
      <c r="C97" s="33"/>
      <c r="D97" s="34"/>
      <c r="E97" s="34"/>
      <c r="F97" s="35"/>
      <c r="G97" s="33">
        <f>IF(E97-D97&lt;0,E97-D97,0)*-1</f>
        <v>0</v>
      </c>
      <c r="H97" s="33">
        <f>IF(E97-D97&gt;0,E97-D97,0)</f>
        <v>0</v>
      </c>
      <c r="I97" s="34"/>
      <c r="J97" s="34"/>
      <c r="K97" s="34"/>
      <c r="L97" s="34"/>
      <c r="M97" s="36">
        <f>(+K97)*M$5</f>
        <v>0</v>
      </c>
      <c r="N97" s="36">
        <f>(+K97)*N$5</f>
        <v>0</v>
      </c>
      <c r="O97" s="36">
        <f>+K97-M97-N97+P97</f>
        <v>0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/>
      <c r="AA97" s="34"/>
      <c r="AB97" s="34"/>
      <c r="AC97" s="34"/>
      <c r="AD97" s="38"/>
      <c r="AE97" s="168"/>
      <c r="AF97" s="34"/>
      <c r="AG97" s="33">
        <f>(AF97*0.8)*0.85</f>
        <v>0</v>
      </c>
      <c r="AH97" s="33">
        <f>(AF97*0.8)*0.15</f>
        <v>0</v>
      </c>
      <c r="AI97" s="33">
        <f>AF97*0.2</f>
        <v>0</v>
      </c>
      <c r="AJ97" s="34"/>
      <c r="AK97" s="33">
        <f>(C97-AF97-AJ97)/1.12</f>
        <v>0</v>
      </c>
      <c r="AL97" s="33">
        <f>AK97-SUM(Y97:AC97)</f>
        <v>0</v>
      </c>
      <c r="AM97" s="33">
        <f>+AL97*0.12</f>
        <v>0</v>
      </c>
      <c r="AN97" s="33">
        <f>+AM97+AL97+AJ97</f>
        <v>0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/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" thickBot="1">
      <c r="A98" s="158"/>
      <c r="B98" s="43"/>
      <c r="C98" s="44">
        <f>SUBTOTAL(9,C96:C97)</f>
        <v>0</v>
      </c>
      <c r="D98" s="45">
        <f>SUBTOTAL(9,D96:D97)</f>
        <v>0</v>
      </c>
      <c r="E98" s="45">
        <f>SUBTOTAL(9,E96:E97)</f>
        <v>0</v>
      </c>
      <c r="F98" s="47"/>
      <c r="G98" s="45">
        <f t="shared" ref="G98:P98" si="138">SUBTOTAL(9,G96:G97)</f>
        <v>0</v>
      </c>
      <c r="H98" s="45">
        <f t="shared" si="138"/>
        <v>0</v>
      </c>
      <c r="I98" s="45">
        <f t="shared" si="138"/>
        <v>0</v>
      </c>
      <c r="J98" s="45">
        <f t="shared" si="138"/>
        <v>0</v>
      </c>
      <c r="K98" s="45"/>
      <c r="L98" s="45">
        <f t="shared" si="138"/>
        <v>0</v>
      </c>
      <c r="M98" s="46">
        <f t="shared" si="138"/>
        <v>0</v>
      </c>
      <c r="N98" s="46">
        <f t="shared" si="138"/>
        <v>0</v>
      </c>
      <c r="O98" s="46">
        <f t="shared" si="138"/>
        <v>0</v>
      </c>
      <c r="P98" s="46">
        <f t="shared" si="138"/>
        <v>0</v>
      </c>
      <c r="Q98" s="47"/>
      <c r="R98" s="45">
        <f t="shared" ref="R98:BQ98" si="139">SUBTOTAL(9,R96:R97)</f>
        <v>0</v>
      </c>
      <c r="S98" s="45">
        <f t="shared" si="139"/>
        <v>0</v>
      </c>
      <c r="T98" s="46">
        <f t="shared" si="139"/>
        <v>0</v>
      </c>
      <c r="U98" s="46">
        <f t="shared" si="139"/>
        <v>0</v>
      </c>
      <c r="V98" s="46">
        <f t="shared" si="139"/>
        <v>0</v>
      </c>
      <c r="W98" s="46">
        <f t="shared" si="139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39"/>
        <v>0</v>
      </c>
      <c r="AH98" s="44">
        <f t="shared" si="139"/>
        <v>0</v>
      </c>
      <c r="AI98" s="44">
        <f t="shared" si="139"/>
        <v>0</v>
      </c>
      <c r="AJ98" s="45">
        <f t="shared" si="139"/>
        <v>0</v>
      </c>
      <c r="AK98" s="44">
        <f t="shared" si="139"/>
        <v>0</v>
      </c>
      <c r="AL98" s="44">
        <f t="shared" si="139"/>
        <v>0</v>
      </c>
      <c r="AM98" s="44">
        <f t="shared" si="139"/>
        <v>0</v>
      </c>
      <c r="AN98" s="44">
        <f t="shared" si="113"/>
        <v>0</v>
      </c>
      <c r="AO98" s="49">
        <f t="shared" si="139"/>
        <v>0</v>
      </c>
      <c r="AP98" s="49">
        <f t="shared" si="139"/>
        <v>0</v>
      </c>
      <c r="AQ98" s="49">
        <f t="shared" si="139"/>
        <v>0</v>
      </c>
      <c r="AR98" s="49">
        <f t="shared" si="139"/>
        <v>0</v>
      </c>
      <c r="AS98" s="49">
        <f t="shared" si="139"/>
        <v>0</v>
      </c>
      <c r="AT98" s="49">
        <f t="shared" si="139"/>
        <v>0</v>
      </c>
      <c r="AU98" s="49">
        <f>SUBTOTAL(9,AU96:AU97)</f>
        <v>0</v>
      </c>
      <c r="AV98" s="49">
        <f t="shared" si="139"/>
        <v>0</v>
      </c>
      <c r="AW98" s="49">
        <f t="shared" si="139"/>
        <v>0</v>
      </c>
      <c r="AX98" s="49">
        <f t="shared" si="139"/>
        <v>0</v>
      </c>
      <c r="AY98" s="49">
        <f t="shared" si="139"/>
        <v>0</v>
      </c>
      <c r="AZ98" s="44">
        <f t="shared" si="139"/>
        <v>0</v>
      </c>
      <c r="BA98" s="48">
        <f t="shared" si="139"/>
        <v>0</v>
      </c>
      <c r="BB98" s="48">
        <f t="shared" si="139"/>
        <v>0</v>
      </c>
      <c r="BC98" s="44">
        <f t="shared" si="139"/>
        <v>0</v>
      </c>
      <c r="BD98" s="44">
        <f t="shared" si="139"/>
        <v>0</v>
      </c>
      <c r="BE98" s="49">
        <f t="shared" si="139"/>
        <v>0</v>
      </c>
      <c r="BF98" s="49">
        <f>SUBTOTAL(9,BF96:BF97)</f>
        <v>0</v>
      </c>
      <c r="BG98" s="49">
        <f t="shared" si="139"/>
        <v>0</v>
      </c>
      <c r="BH98" s="49">
        <f t="shared" si="139"/>
        <v>0</v>
      </c>
      <c r="BI98" s="49">
        <f t="shared" si="139"/>
        <v>0</v>
      </c>
      <c r="BJ98" s="49">
        <f t="shared" si="139"/>
        <v>0</v>
      </c>
      <c r="BK98" s="49">
        <f t="shared" si="139"/>
        <v>0</v>
      </c>
      <c r="BL98" s="49">
        <f t="shared" si="139"/>
        <v>0</v>
      </c>
      <c r="BM98" s="49">
        <f t="shared" si="139"/>
        <v>0</v>
      </c>
      <c r="BN98" s="49">
        <f t="shared" si="139"/>
        <v>0</v>
      </c>
      <c r="BO98" s="49">
        <f t="shared" si="139"/>
        <v>0</v>
      </c>
      <c r="BP98" s="49">
        <f t="shared" si="139"/>
        <v>0</v>
      </c>
      <c r="BQ98" s="49">
        <f t="shared" si="139"/>
        <v>0</v>
      </c>
      <c r="BR98" s="159">
        <f>SUBTOTAL(9,BR96:BR97)</f>
        <v>0</v>
      </c>
    </row>
    <row r="99" spans="1:97" ht="15" customHeight="1">
      <c r="A99" s="216">
        <v>43312</v>
      </c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>(C99-AF99-AJ99)/1.12</f>
        <v>0</v>
      </c>
      <c r="AL99" s="33">
        <f>AK99-SUM(Y99:AC99)</f>
        <v>0</v>
      </c>
      <c r="AM99" s="33">
        <f>+AL99*0.12</f>
        <v>0</v>
      </c>
      <c r="AN99" s="33">
        <f t="shared" si="113"/>
        <v>0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SUM(BE99:BM99)*0.1+(BN99*0.5)</f>
        <v>0</v>
      </c>
      <c r="BD99" s="33">
        <f>SUM(BE99:BM99)+(BN99*0.5)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157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customHeight="1" thickBot="1">
      <c r="A100" s="216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>(C100-AF100-AJ100)/1.12</f>
        <v>0</v>
      </c>
      <c r="AL100" s="33">
        <f>AK100-SUM(Y100:AC100)</f>
        <v>0</v>
      </c>
      <c r="AM100" s="33">
        <f>+AL100*0.12</f>
        <v>0</v>
      </c>
      <c r="AN100" s="33">
        <f t="shared" si="113"/>
        <v>0</v>
      </c>
      <c r="AO100" s="39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>
        <v>0</v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157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5" hidden="1" thickBot="1">
      <c r="A101" s="215">
        <f>A96+1</f>
        <v>43374</v>
      </c>
      <c r="B101" s="16" t="s">
        <v>43</v>
      </c>
      <c r="C101" s="33"/>
      <c r="D101" s="34"/>
      <c r="E101" s="34"/>
      <c r="F101" s="35"/>
      <c r="G101" s="33">
        <f>IF(E101-D101&lt;0,E101-D101,0)*-1</f>
        <v>0</v>
      </c>
      <c r="H101" s="33">
        <f>IF(E101-D101&gt;0,E101-D101,0)</f>
        <v>0</v>
      </c>
      <c r="I101" s="34"/>
      <c r="J101" s="34"/>
      <c r="K101" s="34"/>
      <c r="L101" s="34"/>
      <c r="M101" s="36">
        <f>(+K101)*M$5</f>
        <v>0</v>
      </c>
      <c r="N101" s="36">
        <f>(+K101)*N$5</f>
        <v>0</v>
      </c>
      <c r="O101" s="36">
        <f>+K101-M101-N101+P101</f>
        <v>0</v>
      </c>
      <c r="P101" s="36">
        <f>L101-(L101*(M$5+N$5))</f>
        <v>0</v>
      </c>
      <c r="Q101" s="37"/>
      <c r="R101" s="34"/>
      <c r="S101" s="34"/>
      <c r="T101" s="36">
        <f>+R101*T$5</f>
        <v>0</v>
      </c>
      <c r="U101" s="36">
        <f>+R101*U$5</f>
        <v>0</v>
      </c>
      <c r="V101" s="36">
        <f>+R101-T101-U101+W101</f>
        <v>0</v>
      </c>
      <c r="W101" s="36">
        <f>+S101-(S101*(T$5+U$5))</f>
        <v>0</v>
      </c>
      <c r="X101" s="37"/>
      <c r="Y101" s="34"/>
      <c r="Z101" s="34"/>
      <c r="AA101" s="34"/>
      <c r="AB101" s="34"/>
      <c r="AC101" s="34"/>
      <c r="AD101" s="38"/>
      <c r="AE101" s="38"/>
      <c r="AF101" s="34"/>
      <c r="AG101" s="33">
        <f>(AF101*0.8)*0.85</f>
        <v>0</v>
      </c>
      <c r="AH101" s="33">
        <f>(AF101*0.8)*0.15</f>
        <v>0</v>
      </c>
      <c r="AI101" s="33">
        <f>AF101*0.2</f>
        <v>0</v>
      </c>
      <c r="AJ101" s="34"/>
      <c r="AK101" s="33">
        <v>0</v>
      </c>
      <c r="AL101" s="33">
        <f>AK101-SUM(Y101:AC101)</f>
        <v>0</v>
      </c>
      <c r="AM101" s="33">
        <f>+AL101*0.12</f>
        <v>0</v>
      </c>
      <c r="AN101" s="33">
        <f t="shared" si="113"/>
        <v>0</v>
      </c>
      <c r="AO101" s="39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33">
        <f>SUM(AO101:AY101)</f>
        <v>0</v>
      </c>
      <c r="BA101" s="38"/>
      <c r="BB101" s="38"/>
      <c r="BC101" s="33">
        <f>SUM(BE101:BM101)*0.1+(BN101*0.5)</f>
        <v>0</v>
      </c>
      <c r="BD101" s="33">
        <f>SUM(BE101:BM101)+(BN101*0.5)</f>
        <v>0</v>
      </c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41">
        <f>AZ101+BA101+BB101+BD101-BC101</f>
        <v>0</v>
      </c>
      <c r="BT101" s="146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 ht="15" hidden="1" thickBot="1">
      <c r="A102" s="209"/>
      <c r="B102" s="16" t="s">
        <v>44</v>
      </c>
      <c r="C102" s="33"/>
      <c r="D102" s="34"/>
      <c r="E102" s="34"/>
      <c r="F102" s="35"/>
      <c r="G102" s="33">
        <f>IF(E102-D102&lt;0,E102-D102,0)*-1</f>
        <v>0</v>
      </c>
      <c r="H102" s="33">
        <f>IF(E102-D102&gt;0,E102-D102,0)</f>
        <v>0</v>
      </c>
      <c r="I102" s="34"/>
      <c r="J102" s="34"/>
      <c r="K102" s="34"/>
      <c r="L102" s="34"/>
      <c r="M102" s="36">
        <f>(+K102)*M$5</f>
        <v>0</v>
      </c>
      <c r="N102" s="36">
        <f>(+K102)*N$5</f>
        <v>0</v>
      </c>
      <c r="O102" s="36">
        <f>+K102-M102-N102+P102</f>
        <v>0</v>
      </c>
      <c r="P102" s="36">
        <f>L102-(L102*(M$5+N$5))</f>
        <v>0</v>
      </c>
      <c r="Q102" s="37"/>
      <c r="R102" s="34"/>
      <c r="S102" s="34"/>
      <c r="T102" s="36">
        <f>+R102*T$5</f>
        <v>0</v>
      </c>
      <c r="U102" s="36">
        <f>+R102*U$5</f>
        <v>0</v>
      </c>
      <c r="V102" s="36">
        <f>+R102-T102-U102+W102</f>
        <v>0</v>
      </c>
      <c r="W102" s="36">
        <f>+S102-(S102*(T$5+U$5))</f>
        <v>0</v>
      </c>
      <c r="X102" s="37"/>
      <c r="Y102" s="34"/>
      <c r="Z102" s="34"/>
      <c r="AA102" s="34"/>
      <c r="AB102" s="34"/>
      <c r="AC102" s="34"/>
      <c r="AD102" s="38"/>
      <c r="AE102" s="38"/>
      <c r="AF102" s="34"/>
      <c r="AG102" s="33">
        <f>(AF102*0.8)*0.85</f>
        <v>0</v>
      </c>
      <c r="AH102" s="33">
        <f>(AF102*0.8)*0.15</f>
        <v>0</v>
      </c>
      <c r="AI102" s="33">
        <f>AF102*0.2</f>
        <v>0</v>
      </c>
      <c r="AJ102" s="34"/>
      <c r="AK102" s="33">
        <f>(C102-AF102-AJ102)/1.12</f>
        <v>0</v>
      </c>
      <c r="AL102" s="33">
        <f>AK102-SUM(Y102:AC102)</f>
        <v>0</v>
      </c>
      <c r="AM102" s="33">
        <f>+AL102*0.12</f>
        <v>0</v>
      </c>
      <c r="AN102" s="33">
        <f t="shared" si="113"/>
        <v>0</v>
      </c>
      <c r="AO102" s="39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33">
        <f>SUM(AO102:AY102)</f>
        <v>0</v>
      </c>
      <c r="BA102" s="38"/>
      <c r="BB102" s="38"/>
      <c r="BC102" s="33"/>
      <c r="BD102" s="33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41">
        <f>AZ102+BA102+BB102+BD102-BC102</f>
        <v>0</v>
      </c>
      <c r="BT102" s="146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 ht="15" thickBot="1">
      <c r="A103" s="42"/>
      <c r="B103" s="43"/>
      <c r="C103" s="44">
        <f>SUBTOTAL(9,C101:C102)</f>
        <v>0</v>
      </c>
      <c r="D103" s="45">
        <f>SUBTOTAL(9,D101:D102)</f>
        <v>0</v>
      </c>
      <c r="E103" s="45">
        <f>SUBTOTAL(9,E101:E102)</f>
        <v>0</v>
      </c>
      <c r="F103" s="47"/>
      <c r="G103" s="45">
        <f>SUBTOTAL(9,G101:G102)</f>
        <v>0</v>
      </c>
      <c r="H103" s="45">
        <f>SUBTOTAL(9,H101:H102)</f>
        <v>0</v>
      </c>
      <c r="I103" s="45">
        <f>SUBTOTAL(9,I101:I102)</f>
        <v>0</v>
      </c>
      <c r="J103" s="45">
        <f>SUBTOTAL(9,J101:J102)</f>
        <v>0</v>
      </c>
      <c r="K103" s="45"/>
      <c r="L103" s="45">
        <f>SUBTOTAL(9,L101:L102)</f>
        <v>0</v>
      </c>
      <c r="M103" s="46">
        <f>SUBTOTAL(9,M101:M102)</f>
        <v>0</v>
      </c>
      <c r="N103" s="46">
        <f>SUBTOTAL(9,N101:N102)</f>
        <v>0</v>
      </c>
      <c r="O103" s="46">
        <f>SUBTOTAL(9,O101:O102)</f>
        <v>0</v>
      </c>
      <c r="P103" s="46">
        <f>SUBTOTAL(9,P101:P102)</f>
        <v>0</v>
      </c>
      <c r="Q103" s="47"/>
      <c r="R103" s="45">
        <f t="shared" ref="R103:W103" si="140">SUBTOTAL(9,R101:R102)</f>
        <v>0</v>
      </c>
      <c r="S103" s="45">
        <f t="shared" si="140"/>
        <v>0</v>
      </c>
      <c r="T103" s="46">
        <f t="shared" si="140"/>
        <v>0</v>
      </c>
      <c r="U103" s="46">
        <f t="shared" si="140"/>
        <v>0</v>
      </c>
      <c r="V103" s="46">
        <f t="shared" si="140"/>
        <v>0</v>
      </c>
      <c r="W103" s="46">
        <f t="shared" si="140"/>
        <v>0</v>
      </c>
      <c r="X103" s="47"/>
      <c r="Y103" s="45">
        <f>SUBTOTAL(9,Y101:Y102)</f>
        <v>0</v>
      </c>
      <c r="Z103" s="45">
        <v>0</v>
      </c>
      <c r="AA103" s="45"/>
      <c r="AB103" s="45"/>
      <c r="AC103" s="45"/>
      <c r="AD103" s="48"/>
      <c r="AE103" s="48"/>
      <c r="AF103" s="45"/>
      <c r="AG103" s="44">
        <f t="shared" ref="AG103:AM103" si="141">SUBTOTAL(9,AG101:AG102)</f>
        <v>0</v>
      </c>
      <c r="AH103" s="44">
        <f t="shared" si="141"/>
        <v>0</v>
      </c>
      <c r="AI103" s="44">
        <f t="shared" si="141"/>
        <v>0</v>
      </c>
      <c r="AJ103" s="45">
        <f t="shared" si="141"/>
        <v>0</v>
      </c>
      <c r="AK103" s="44">
        <f t="shared" si="141"/>
        <v>0</v>
      </c>
      <c r="AL103" s="44">
        <f t="shared" si="141"/>
        <v>0</v>
      </c>
      <c r="AM103" s="44">
        <f t="shared" si="141"/>
        <v>0</v>
      </c>
      <c r="AN103" s="44">
        <f>+AM103+AL103+AJ103</f>
        <v>0</v>
      </c>
      <c r="AO103" s="49">
        <f t="shared" ref="AO103:AZ103" si="142">SUBTOTAL(9,AO101:AO102)</f>
        <v>0</v>
      </c>
      <c r="AP103" s="49">
        <f t="shared" si="142"/>
        <v>0</v>
      </c>
      <c r="AQ103" s="49">
        <f t="shared" si="142"/>
        <v>0</v>
      </c>
      <c r="AR103" s="49">
        <f t="shared" si="142"/>
        <v>0</v>
      </c>
      <c r="AS103" s="49">
        <f t="shared" si="142"/>
        <v>0</v>
      </c>
      <c r="AT103" s="49">
        <f t="shared" si="142"/>
        <v>0</v>
      </c>
      <c r="AU103" s="49">
        <f t="shared" si="142"/>
        <v>0</v>
      </c>
      <c r="AV103" s="49">
        <f t="shared" si="142"/>
        <v>0</v>
      </c>
      <c r="AW103" s="49">
        <f t="shared" si="142"/>
        <v>0</v>
      </c>
      <c r="AX103" s="49">
        <f t="shared" si="142"/>
        <v>0</v>
      </c>
      <c r="AY103" s="49">
        <f t="shared" si="142"/>
        <v>0</v>
      </c>
      <c r="AZ103" s="44">
        <f t="shared" si="142"/>
        <v>0</v>
      </c>
      <c r="BA103" s="48"/>
      <c r="BB103" s="48">
        <f t="shared" ref="BB103:BR103" si="143">SUBTOTAL(9,BB101:BB102)</f>
        <v>0</v>
      </c>
      <c r="BC103" s="44">
        <f t="shared" si="143"/>
        <v>0</v>
      </c>
      <c r="BD103" s="44">
        <f t="shared" si="143"/>
        <v>0</v>
      </c>
      <c r="BE103" s="49">
        <f t="shared" si="143"/>
        <v>0</v>
      </c>
      <c r="BF103" s="49">
        <f t="shared" si="143"/>
        <v>0</v>
      </c>
      <c r="BG103" s="49">
        <f t="shared" si="143"/>
        <v>0</v>
      </c>
      <c r="BH103" s="49">
        <f t="shared" si="143"/>
        <v>0</v>
      </c>
      <c r="BI103" s="49">
        <f t="shared" si="143"/>
        <v>0</v>
      </c>
      <c r="BJ103" s="49">
        <f t="shared" si="143"/>
        <v>0</v>
      </c>
      <c r="BK103" s="49">
        <f t="shared" si="143"/>
        <v>0</v>
      </c>
      <c r="BL103" s="49">
        <f t="shared" si="143"/>
        <v>0</v>
      </c>
      <c r="BM103" s="49">
        <f t="shared" si="143"/>
        <v>0</v>
      </c>
      <c r="BN103" s="49">
        <f t="shared" si="143"/>
        <v>0</v>
      </c>
      <c r="BO103" s="49">
        <f t="shared" si="143"/>
        <v>0</v>
      </c>
      <c r="BP103" s="49">
        <f t="shared" si="143"/>
        <v>0</v>
      </c>
      <c r="BQ103" s="49">
        <f t="shared" si="143"/>
        <v>0</v>
      </c>
      <c r="BR103" s="44">
        <f t="shared" si="143"/>
        <v>0</v>
      </c>
    </row>
    <row r="104" spans="1:97" ht="15" thickBot="1">
      <c r="A104" s="155"/>
      <c r="B104" s="4"/>
      <c r="C104" s="50"/>
      <c r="D104" s="51"/>
      <c r="E104" s="51"/>
      <c r="F104" s="52"/>
      <c r="G104" s="50"/>
      <c r="H104" s="50"/>
      <c r="I104" s="51"/>
      <c r="J104" s="51"/>
      <c r="K104" s="51"/>
      <c r="L104" s="51"/>
      <c r="M104" s="53"/>
      <c r="N104" s="53"/>
      <c r="O104" s="53"/>
      <c r="P104" s="53"/>
      <c r="Q104" s="52"/>
      <c r="R104" s="51"/>
      <c r="S104" s="51"/>
      <c r="T104" s="53"/>
      <c r="U104" s="53"/>
      <c r="V104" s="53"/>
      <c r="W104" s="53"/>
      <c r="X104" s="52"/>
      <c r="Y104" s="51"/>
      <c r="Z104" s="51"/>
      <c r="AA104" s="51"/>
      <c r="AB104" s="51"/>
      <c r="AC104" s="51"/>
      <c r="AD104" s="54"/>
      <c r="AE104" s="54"/>
      <c r="AF104" s="51"/>
      <c r="AG104" s="50"/>
      <c r="AH104" s="50"/>
      <c r="AI104" s="50"/>
      <c r="AJ104" s="51"/>
      <c r="AK104" s="50"/>
      <c r="AL104" s="50"/>
      <c r="AM104" s="50"/>
      <c r="AN104" s="50"/>
      <c r="AO104" s="156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0"/>
      <c r="BA104" s="54"/>
      <c r="BB104" s="54"/>
      <c r="BC104" s="50"/>
      <c r="BD104" s="50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0"/>
    </row>
    <row r="105" spans="1:97" ht="15.6" thickTop="1" thickBot="1">
      <c r="A105" s="56" t="s">
        <v>45</v>
      </c>
      <c r="B105" s="56"/>
      <c r="C105" s="57">
        <f>SUBTOTAL(9,C8:C104)</f>
        <v>1011462.5200000001</v>
      </c>
      <c r="D105" s="57">
        <f>SUBTOTAL(9,D8:D104)</f>
        <v>621694.33000000007</v>
      </c>
      <c r="E105" s="57">
        <f>SUBTOTAL(9,E8:E104)</f>
        <v>621508</v>
      </c>
      <c r="F105" s="57"/>
      <c r="G105" s="57">
        <f t="shared" ref="G105:O105" si="144">SUBTOTAL(9,G8:G104)</f>
        <v>280.72999999999934</v>
      </c>
      <c r="H105" s="57">
        <f t="shared" si="144"/>
        <v>94.799999999997908</v>
      </c>
      <c r="I105" s="57">
        <f t="shared" si="144"/>
        <v>2300</v>
      </c>
      <c r="J105" s="57">
        <f t="shared" si="144"/>
        <v>0</v>
      </c>
      <c r="K105" s="57">
        <f t="shared" si="144"/>
        <v>269061.23000000004</v>
      </c>
      <c r="L105" s="57">
        <f t="shared" si="144"/>
        <v>0</v>
      </c>
      <c r="M105" s="57">
        <f t="shared" si="144"/>
        <v>6249.9809849999992</v>
      </c>
      <c r="N105" s="57">
        <f t="shared" si="144"/>
        <v>1453.4839500000003</v>
      </c>
      <c r="O105" s="57">
        <f t="shared" si="144"/>
        <v>282993.3250650001</v>
      </c>
      <c r="P105" s="57"/>
      <c r="Q105" s="57"/>
      <c r="R105" s="57">
        <f t="shared" ref="R105:W105" si="145">SUBTOTAL(9,R8:R104)</f>
        <v>0</v>
      </c>
      <c r="S105" s="57">
        <f t="shared" si="145"/>
        <v>0</v>
      </c>
      <c r="T105" s="57">
        <f t="shared" si="145"/>
        <v>0</v>
      </c>
      <c r="U105" s="57">
        <f t="shared" si="145"/>
        <v>0</v>
      </c>
      <c r="V105" s="57">
        <f t="shared" si="145"/>
        <v>0</v>
      </c>
      <c r="W105" s="57">
        <f t="shared" si="145"/>
        <v>0</v>
      </c>
      <c r="X105" s="57"/>
      <c r="Y105" s="57">
        <f>SUBTOTAL(9,Y8:Y104)</f>
        <v>0</v>
      </c>
      <c r="Z105" s="57">
        <f>SUBTOTAL(9,Z8:Z104)</f>
        <v>8957.1</v>
      </c>
      <c r="AA105" s="57">
        <f>SUBTOTAL(9,AA8:AA104)</f>
        <v>126.4</v>
      </c>
      <c r="AB105" s="57">
        <f>SUBTOTAL(9,AB8:AB104)</f>
        <v>0</v>
      </c>
      <c r="AC105" s="57">
        <f>SUBTOTAL(9,AC8:AC104)</f>
        <v>7184.26</v>
      </c>
      <c r="AD105" s="57"/>
      <c r="AE105" s="57">
        <f t="shared" ref="AE105:AK105" si="146">SUBTOTAL(9,AE8:AE104)</f>
        <v>104044.04</v>
      </c>
      <c r="AF105" s="57">
        <f t="shared" si="146"/>
        <v>69778.280000000013</v>
      </c>
      <c r="AG105" s="57">
        <f t="shared" si="146"/>
        <v>47449.230400000022</v>
      </c>
      <c r="AH105" s="57">
        <f t="shared" si="146"/>
        <v>8373.3935999999976</v>
      </c>
      <c r="AI105" s="57">
        <f t="shared" si="146"/>
        <v>13955.655999999997</v>
      </c>
      <c r="AJ105" s="57">
        <f t="shared" si="146"/>
        <v>0</v>
      </c>
      <c r="AK105" s="57">
        <f t="shared" si="146"/>
        <v>824975.80681428558</v>
      </c>
      <c r="AL105" s="57">
        <f>+AL11+AL14+AL17+AL20+AL23+AL26+AL29+AL32+AL35+AL38+AL41+AL44+AL47+AL50+AL53+AL56+AL59+AL62+AL65+AL68+AL71+AL74+AL77+AL80+AL83+AL86+AL89+AL92+AL95+AL98+AL102</f>
        <v>808708.04681428568</v>
      </c>
      <c r="AM105" s="57">
        <f>+AM11+AM14+AM17+AM20+AM23+AM26+AM29+AM32+AM35+AM38+AM41+AM44+AM47+AM50+AM53+AM56+AM59+AM62+AM65+AM68+AM71+AM74+AM77+AM80+AM83+AM86+AM89+AM92+AM95+AM98+AM102</f>
        <v>97044.96561771429</v>
      </c>
      <c r="AN105" s="57">
        <f>+AN11+AN14+AN17+AN20+AN23+AN26+AN29+AN32+AN35+AN38+AN41+AN44+AN47+AN50+AN53+AN56+AN59+AN62+AN65+AN68+AN71+AN74+AN77+AN80+AN83+AN86+AN89+AN92+AN95+AN98+AN102</f>
        <v>905753.01243200002</v>
      </c>
      <c r="AO105" s="120">
        <f t="shared" ref="AO105:BR105" si="147">SUBTOTAL(9,AO8:AO104)</f>
        <v>3843</v>
      </c>
      <c r="AP105" s="120">
        <f t="shared" si="147"/>
        <v>2111</v>
      </c>
      <c r="AQ105" s="120">
        <f t="shared" si="147"/>
        <v>1780</v>
      </c>
      <c r="AR105" s="120">
        <f t="shared" si="147"/>
        <v>2220</v>
      </c>
      <c r="AS105" s="120">
        <f t="shared" si="147"/>
        <v>0</v>
      </c>
      <c r="AT105" s="120">
        <f t="shared" si="147"/>
        <v>0</v>
      </c>
      <c r="AU105" s="135">
        <f t="shared" si="147"/>
        <v>0</v>
      </c>
      <c r="AV105" s="135">
        <f t="shared" si="147"/>
        <v>0</v>
      </c>
      <c r="AW105" s="135">
        <f t="shared" si="147"/>
        <v>0</v>
      </c>
      <c r="AX105" s="135">
        <f t="shared" si="147"/>
        <v>0</v>
      </c>
      <c r="AY105" s="57">
        <f t="shared" si="147"/>
        <v>0</v>
      </c>
      <c r="AZ105" s="57">
        <f t="shared" si="147"/>
        <v>9954</v>
      </c>
      <c r="BA105" s="135">
        <f t="shared" si="147"/>
        <v>9075</v>
      </c>
      <c r="BB105" s="57">
        <f t="shared" si="147"/>
        <v>0</v>
      </c>
      <c r="BC105" s="57">
        <f t="shared" si="147"/>
        <v>21.5</v>
      </c>
      <c r="BD105" s="57">
        <f t="shared" si="147"/>
        <v>215</v>
      </c>
      <c r="BE105" s="134">
        <f t="shared" si="147"/>
        <v>0</v>
      </c>
      <c r="BF105" s="134">
        <f t="shared" si="147"/>
        <v>0</v>
      </c>
      <c r="BG105" s="57">
        <f t="shared" si="147"/>
        <v>215</v>
      </c>
      <c r="BH105" s="57">
        <f t="shared" si="147"/>
        <v>0</v>
      </c>
      <c r="BI105" s="57">
        <f t="shared" si="147"/>
        <v>0</v>
      </c>
      <c r="BJ105" s="57">
        <f t="shared" si="147"/>
        <v>0</v>
      </c>
      <c r="BK105" s="57">
        <f t="shared" si="147"/>
        <v>0</v>
      </c>
      <c r="BL105" s="57">
        <f t="shared" si="147"/>
        <v>0</v>
      </c>
      <c r="BM105" s="57">
        <f t="shared" si="147"/>
        <v>0</v>
      </c>
      <c r="BN105" s="57">
        <f t="shared" si="147"/>
        <v>0</v>
      </c>
      <c r="BO105" s="57">
        <f t="shared" si="147"/>
        <v>0</v>
      </c>
      <c r="BP105" s="57">
        <f t="shared" si="147"/>
        <v>0</v>
      </c>
      <c r="BQ105" s="57">
        <f t="shared" si="147"/>
        <v>0</v>
      </c>
      <c r="BR105" s="57">
        <f t="shared" si="147"/>
        <v>19222.5</v>
      </c>
    </row>
    <row r="106" spans="1:97" ht="15" thickTop="1">
      <c r="A106" s="4" t="s">
        <v>100</v>
      </c>
      <c r="B106" s="4"/>
      <c r="C106" s="13">
        <f>+AZ105</f>
        <v>9954</v>
      </c>
      <c r="D106" s="147"/>
      <c r="G106" s="147"/>
      <c r="AK106" s="154" t="s">
        <v>120</v>
      </c>
      <c r="AL106" s="154"/>
      <c r="AM106" s="148"/>
      <c r="AN106" s="149"/>
      <c r="AO106" s="150">
        <v>3800</v>
      </c>
      <c r="AP106" s="150">
        <v>2100</v>
      </c>
      <c r="AQ106" s="150">
        <v>2100</v>
      </c>
      <c r="AR106" s="150">
        <v>2100</v>
      </c>
      <c r="AS106" s="150">
        <v>1000</v>
      </c>
      <c r="AT106" s="150">
        <v>1500</v>
      </c>
      <c r="AW106" s="150">
        <v>1500</v>
      </c>
      <c r="AX106" s="150">
        <v>1500</v>
      </c>
      <c r="BD106" s="137" t="s">
        <v>68</v>
      </c>
      <c r="BE106" s="151">
        <f t="shared" ref="BE106:BK106" si="148">+BE11+BE14+BE17+BE20+BE23+BE26+BE29+BE32+BE35+BE38+BE41+BE44+BE47+BE50+BE53</f>
        <v>0</v>
      </c>
      <c r="BF106" s="151">
        <f t="shared" si="148"/>
        <v>0</v>
      </c>
      <c r="BG106" s="151">
        <f t="shared" si="148"/>
        <v>0</v>
      </c>
      <c r="BH106" s="151">
        <f t="shared" si="148"/>
        <v>0</v>
      </c>
      <c r="BI106" s="151">
        <f t="shared" si="148"/>
        <v>0</v>
      </c>
      <c r="BJ106" s="151">
        <f t="shared" si="148"/>
        <v>0</v>
      </c>
      <c r="BK106" s="151">
        <f t="shared" si="148"/>
        <v>0</v>
      </c>
      <c r="BL106" s="138"/>
      <c r="BM106" s="138"/>
      <c r="BN106" s="138"/>
      <c r="BO106" s="138"/>
      <c r="BP106" s="138"/>
      <c r="BQ106" s="138"/>
      <c r="BR106" s="147">
        <f>SUM(BE106:BQ106)</f>
        <v>0</v>
      </c>
    </row>
    <row r="107" spans="1:97">
      <c r="A107" s="4" t="s">
        <v>101</v>
      </c>
      <c r="B107" s="4"/>
      <c r="C107" s="13">
        <f>+BD105</f>
        <v>215</v>
      </c>
      <c r="D107" s="147"/>
      <c r="E107" s="147"/>
      <c r="AK107" s="154" t="s">
        <v>121</v>
      </c>
      <c r="AL107" s="154">
        <f>+AL105</f>
        <v>808708.04681428568</v>
      </c>
      <c r="AM107" s="147"/>
      <c r="AN107" s="149"/>
      <c r="AO107" s="150">
        <f t="shared" ref="AO107:AX107" si="149">+AO106-AO105</f>
        <v>-43</v>
      </c>
      <c r="AP107" s="150">
        <f t="shared" si="149"/>
        <v>-11</v>
      </c>
      <c r="AQ107" s="150">
        <f t="shared" si="149"/>
        <v>320</v>
      </c>
      <c r="AR107" s="150">
        <f t="shared" si="149"/>
        <v>-120</v>
      </c>
      <c r="AS107" s="150">
        <f t="shared" si="149"/>
        <v>1000</v>
      </c>
      <c r="AT107" s="150">
        <f t="shared" si="149"/>
        <v>1500</v>
      </c>
      <c r="AU107" s="150">
        <f>+AU106-AU105</f>
        <v>0</v>
      </c>
      <c r="AV107" s="150">
        <f t="shared" si="149"/>
        <v>0</v>
      </c>
      <c r="AW107" s="150">
        <f t="shared" si="149"/>
        <v>1500</v>
      </c>
      <c r="AX107" s="150">
        <f t="shared" si="149"/>
        <v>1500</v>
      </c>
      <c r="BD107" s="138" t="s">
        <v>104</v>
      </c>
      <c r="BE107" s="151">
        <f>BE106*0.9</f>
        <v>0</v>
      </c>
      <c r="BF107" s="151">
        <f>BF106*0.9</f>
        <v>0</v>
      </c>
      <c r="BG107" s="151">
        <f>BG106*0.9</f>
        <v>0</v>
      </c>
      <c r="BH107" s="151">
        <f t="shared" ref="BH107:BQ107" si="150">BH106*0.9</f>
        <v>0</v>
      </c>
      <c r="BI107" s="151">
        <f t="shared" si="150"/>
        <v>0</v>
      </c>
      <c r="BJ107" s="151">
        <f t="shared" si="150"/>
        <v>0</v>
      </c>
      <c r="BK107" s="151">
        <f t="shared" si="150"/>
        <v>0</v>
      </c>
      <c r="BL107" s="151">
        <f t="shared" si="150"/>
        <v>0</v>
      </c>
      <c r="BM107" s="151">
        <f t="shared" si="150"/>
        <v>0</v>
      </c>
      <c r="BN107" s="151">
        <f t="shared" si="150"/>
        <v>0</v>
      </c>
      <c r="BO107" s="151">
        <f t="shared" si="150"/>
        <v>0</v>
      </c>
      <c r="BP107" s="151">
        <f t="shared" si="150"/>
        <v>0</v>
      </c>
      <c r="BQ107" s="151">
        <f t="shared" si="150"/>
        <v>0</v>
      </c>
      <c r="BR107" s="147">
        <f>SUM(BE107:BQ107)</f>
        <v>0</v>
      </c>
    </row>
    <row r="108" spans="1:97">
      <c r="A108" s="4" t="s">
        <v>102</v>
      </c>
      <c r="B108" s="4"/>
      <c r="C108" s="13">
        <f>+BC105</f>
        <v>21.5</v>
      </c>
      <c r="D108" s="147"/>
      <c r="AK108" s="154" t="s">
        <v>122</v>
      </c>
      <c r="AL108" s="154">
        <f>+AJ105</f>
        <v>0</v>
      </c>
      <c r="AM108" s="148"/>
      <c r="AN108" s="149"/>
      <c r="AO108" s="150">
        <f t="shared" ref="AO108:AX108" si="151">+AO107*0.9</f>
        <v>-38.700000000000003</v>
      </c>
      <c r="AP108" s="150">
        <f t="shared" si="151"/>
        <v>-9.9</v>
      </c>
      <c r="AQ108" s="150">
        <f t="shared" si="151"/>
        <v>288</v>
      </c>
      <c r="AR108" s="150">
        <f t="shared" si="151"/>
        <v>-108</v>
      </c>
      <c r="AS108" s="150">
        <f t="shared" si="151"/>
        <v>900</v>
      </c>
      <c r="AT108" s="150">
        <f t="shared" si="151"/>
        <v>1350</v>
      </c>
      <c r="AU108" s="150">
        <f>+AU107*0.9</f>
        <v>0</v>
      </c>
      <c r="AV108" s="150">
        <f t="shared" si="151"/>
        <v>0</v>
      </c>
      <c r="AW108" s="150">
        <f t="shared" si="151"/>
        <v>1350</v>
      </c>
      <c r="AX108" s="150">
        <f t="shared" si="151"/>
        <v>1350</v>
      </c>
      <c r="BD108" s="139"/>
      <c r="BE108" s="13"/>
      <c r="BF108" s="13"/>
      <c r="BG108" s="13"/>
      <c r="BH108" s="13"/>
      <c r="BI108" s="13"/>
      <c r="BJ108" s="13"/>
      <c r="BK108" s="4"/>
      <c r="BL108" s="4"/>
      <c r="BM108" s="4"/>
      <c r="BN108" s="4"/>
      <c r="BO108" s="4"/>
      <c r="BP108" s="4"/>
      <c r="BQ108" s="4"/>
    </row>
    <row r="109" spans="1:97" ht="15" thickBot="1">
      <c r="A109" s="4" t="s">
        <v>34</v>
      </c>
      <c r="B109" s="4"/>
      <c r="C109" s="152">
        <f>+BA105</f>
        <v>9075</v>
      </c>
      <c r="D109" s="147"/>
      <c r="E109" s="147"/>
      <c r="AK109" s="154" t="s">
        <v>123</v>
      </c>
      <c r="AL109" s="154">
        <f>+AL107+AL108</f>
        <v>808708.04681428568</v>
      </c>
      <c r="AM109" s="148"/>
      <c r="AN109" s="149"/>
      <c r="BD109" s="140" t="s">
        <v>69</v>
      </c>
      <c r="BE109" s="153">
        <f t="shared" ref="BE109:BQ109" si="152">BE56+BE59+BE62+BE65+BE68+BE71+BE74+BE77+BE80+BE83+BE86+BE89+BE92+BE95+BE98+BE102</f>
        <v>0</v>
      </c>
      <c r="BF109" s="153">
        <f t="shared" si="152"/>
        <v>0</v>
      </c>
      <c r="BG109" s="153">
        <f t="shared" si="152"/>
        <v>215</v>
      </c>
      <c r="BH109" s="153" t="e">
        <f t="shared" si="152"/>
        <v>#VALUE!</v>
      </c>
      <c r="BI109" s="153">
        <f t="shared" si="152"/>
        <v>0</v>
      </c>
      <c r="BJ109" s="153">
        <f t="shared" si="152"/>
        <v>0</v>
      </c>
      <c r="BK109" s="153">
        <f t="shared" si="152"/>
        <v>0</v>
      </c>
      <c r="BL109" s="153">
        <f t="shared" si="152"/>
        <v>0</v>
      </c>
      <c r="BM109" s="153">
        <f t="shared" si="152"/>
        <v>0</v>
      </c>
      <c r="BN109" s="153">
        <f t="shared" si="152"/>
        <v>0</v>
      </c>
      <c r="BO109" s="153">
        <f t="shared" si="152"/>
        <v>0</v>
      </c>
      <c r="BP109" s="153">
        <f t="shared" si="152"/>
        <v>0</v>
      </c>
      <c r="BQ109" s="153">
        <f t="shared" si="152"/>
        <v>0</v>
      </c>
      <c r="BR109" s="147" t="e">
        <f>SUM(BE109:BQ109)</f>
        <v>#VALUE!</v>
      </c>
    </row>
    <row r="110" spans="1:97" ht="15" thickTop="1">
      <c r="C110" s="3">
        <f>+C109+C108+C107+C106+C105</f>
        <v>1030728.0200000001</v>
      </c>
      <c r="D110" s="147"/>
      <c r="AM110" s="148"/>
      <c r="AN110" s="149"/>
      <c r="AO110" s="147">
        <f>-AO108</f>
        <v>38.700000000000003</v>
      </c>
      <c r="AP110" s="147">
        <f>-AP108</f>
        <v>9.9</v>
      </c>
      <c r="AR110" s="147">
        <f>-AR108</f>
        <v>108</v>
      </c>
      <c r="BD110" s="141" t="s">
        <v>104</v>
      </c>
      <c r="BE110" s="153">
        <f>+BE109*0.9</f>
        <v>0</v>
      </c>
      <c r="BF110" s="153">
        <f>+BF109*0.9</f>
        <v>0</v>
      </c>
      <c r="BG110" s="153">
        <f t="shared" ref="BG110:BQ110" si="153">+BG109*0.9</f>
        <v>193.5</v>
      </c>
      <c r="BH110" s="153" t="e">
        <f t="shared" si="153"/>
        <v>#VALUE!</v>
      </c>
      <c r="BI110" s="153">
        <f t="shared" si="153"/>
        <v>0</v>
      </c>
      <c r="BJ110" s="153">
        <f t="shared" si="153"/>
        <v>0</v>
      </c>
      <c r="BK110" s="153">
        <f t="shared" si="153"/>
        <v>0</v>
      </c>
      <c r="BL110" s="153">
        <f t="shared" si="153"/>
        <v>0</v>
      </c>
      <c r="BM110" s="153">
        <f t="shared" si="153"/>
        <v>0</v>
      </c>
      <c r="BN110" s="153">
        <f t="shared" si="153"/>
        <v>0</v>
      </c>
      <c r="BO110" s="153">
        <f t="shared" si="153"/>
        <v>0</v>
      </c>
      <c r="BP110" s="153">
        <f t="shared" si="153"/>
        <v>0</v>
      </c>
      <c r="BQ110" s="153">
        <f t="shared" si="153"/>
        <v>0</v>
      </c>
      <c r="BR110" s="147" t="e">
        <f>SUM(BE110:BQ110)</f>
        <v>#VALUE!</v>
      </c>
    </row>
    <row r="111" spans="1:97">
      <c r="D111" s="147"/>
      <c r="AM111" s="148"/>
      <c r="AN111" s="149"/>
      <c r="BD111" s="142"/>
      <c r="BE111" s="147"/>
      <c r="BF111" s="147"/>
      <c r="BG111" s="147"/>
      <c r="BH111" s="147"/>
      <c r="BI111" s="147"/>
      <c r="BJ111" s="147"/>
    </row>
    <row r="112" spans="1:97">
      <c r="A112" s="1" t="s">
        <v>117</v>
      </c>
      <c r="C112" s="147"/>
      <c r="D112" s="147"/>
      <c r="AL112" s="172">
        <f>SUM(AL9:AL103)/2</f>
        <v>808708.04681428534</v>
      </c>
      <c r="AM112" s="172">
        <f>SUM(AM9:AM103)/2</f>
        <v>97044.965617714275</v>
      </c>
      <c r="AN112" s="149"/>
      <c r="AR112" s="147">
        <f>+AO110+AP110+AR110</f>
        <v>156.6</v>
      </c>
      <c r="BD112" s="142"/>
      <c r="BE112" s="147"/>
      <c r="BF112" s="147"/>
      <c r="BG112" s="147"/>
      <c r="BH112" s="147"/>
      <c r="BI112" s="147"/>
      <c r="BJ112" s="147"/>
    </row>
    <row r="113" spans="1:69">
      <c r="D113" s="214" t="s">
        <v>108</v>
      </c>
      <c r="E113" s="214"/>
      <c r="F113" s="214"/>
      <c r="K113" s="4"/>
      <c r="X113" s="4"/>
      <c r="Y113" s="4"/>
      <c r="Z113" s="4"/>
      <c r="AA113" s="4"/>
      <c r="AB113" s="4"/>
      <c r="AC113" s="4"/>
      <c r="AD113" s="4"/>
      <c r="AE113" s="4"/>
      <c r="AF113" s="4"/>
      <c r="AJ113" s="4"/>
      <c r="AM113" s="147">
        <f>+AL112*0.12</f>
        <v>97044.965617714231</v>
      </c>
      <c r="AN113" s="147"/>
      <c r="AO113" s="13">
        <f>+AO106</f>
        <v>3800</v>
      </c>
      <c r="AP113" s="13">
        <f>+AP106</f>
        <v>2100</v>
      </c>
      <c r="AQ113" s="13">
        <f>+AQ105</f>
        <v>1780</v>
      </c>
      <c r="AR113" s="13">
        <f>+AR106</f>
        <v>2100</v>
      </c>
      <c r="AS113" s="13">
        <f>+AO113+AP113+AQ113+AR113</f>
        <v>9780</v>
      </c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139"/>
      <c r="BE113" s="53"/>
      <c r="BF113" s="53"/>
      <c r="BG113" s="53"/>
      <c r="BH113" s="53"/>
      <c r="BI113" s="53"/>
      <c r="BJ113" s="53"/>
      <c r="BK113" s="4"/>
      <c r="BL113" s="4"/>
      <c r="BM113" s="4"/>
      <c r="BN113" s="4"/>
      <c r="BO113" s="4"/>
      <c r="BP113" s="4"/>
      <c r="BQ113" s="4"/>
    </row>
    <row r="114" spans="1:69">
      <c r="A114" s="136" t="s">
        <v>96</v>
      </c>
      <c r="C114" s="150"/>
      <c r="D114" s="147" t="s">
        <v>109</v>
      </c>
      <c r="E114" s="136" t="s">
        <v>110</v>
      </c>
      <c r="F114" s="136" t="s">
        <v>2</v>
      </c>
      <c r="AI114" s="147"/>
      <c r="BD114" s="142" t="s">
        <v>99</v>
      </c>
      <c r="BE114" s="150"/>
      <c r="BF114" s="150"/>
      <c r="BG114" s="150"/>
      <c r="BH114" s="150"/>
    </row>
    <row r="115" spans="1:69">
      <c r="A115" s="136" t="s">
        <v>126</v>
      </c>
      <c r="C115" s="150"/>
      <c r="D115" s="147"/>
      <c r="E115" s="147"/>
      <c r="AM115" s="147"/>
      <c r="AN115" s="147"/>
      <c r="BE115" s="150"/>
      <c r="BF115" s="150"/>
      <c r="BG115" s="150"/>
      <c r="BH115" s="150"/>
    </row>
    <row r="116" spans="1:69">
      <c r="D116" s="147"/>
      <c r="E116" s="147"/>
      <c r="AM116" s="147"/>
      <c r="AN116" s="147"/>
      <c r="BE116" s="150"/>
      <c r="BF116" s="150"/>
      <c r="BG116" s="150"/>
      <c r="BH116" s="150"/>
    </row>
    <row r="117" spans="1:69">
      <c r="D117" s="147"/>
      <c r="E117" s="147"/>
      <c r="BD117" s="142"/>
      <c r="BE117" s="150"/>
      <c r="BF117" s="150"/>
      <c r="BG117" s="150"/>
      <c r="BH117" s="150"/>
    </row>
    <row r="118" spans="1:69">
      <c r="D118" s="147"/>
      <c r="E118" s="147"/>
      <c r="BE118" s="150"/>
      <c r="BF118" s="150"/>
      <c r="BG118" s="150"/>
      <c r="BH118" s="150"/>
    </row>
    <row r="119" spans="1:69">
      <c r="D119" s="147"/>
      <c r="E119" s="147"/>
      <c r="BE119" s="150"/>
      <c r="BF119" s="150"/>
      <c r="BG119" s="150"/>
      <c r="BH119" s="150"/>
    </row>
    <row r="120" spans="1:69">
      <c r="D120" s="147"/>
      <c r="E120" s="147"/>
      <c r="BE120" s="150"/>
      <c r="BF120" s="150"/>
      <c r="BG120" s="150"/>
      <c r="BH120" s="150"/>
    </row>
    <row r="121" spans="1:69">
      <c r="C121" s="147"/>
      <c r="D121" s="147"/>
      <c r="E121" s="147"/>
      <c r="F121" s="147"/>
      <c r="G121" s="147"/>
    </row>
    <row r="122" spans="1:69">
      <c r="C122" s="147"/>
      <c r="D122" s="147"/>
      <c r="E122" s="147"/>
      <c r="F122" s="147"/>
      <c r="G122" s="147"/>
    </row>
    <row r="123" spans="1:69">
      <c r="C123" s="147"/>
      <c r="D123" s="147"/>
      <c r="E123" s="147"/>
      <c r="F123" s="147"/>
      <c r="G123" s="147"/>
    </row>
    <row r="124" spans="1:69">
      <c r="C124" s="147"/>
      <c r="D124" s="147"/>
      <c r="E124" s="147"/>
      <c r="F124" s="147"/>
      <c r="G124" s="147"/>
    </row>
    <row r="125" spans="1:69">
      <c r="C125" s="147"/>
      <c r="D125" s="147"/>
      <c r="E125" s="147"/>
      <c r="F125" s="147"/>
      <c r="G125" s="147"/>
    </row>
    <row r="126" spans="1:69">
      <c r="C126" s="147"/>
      <c r="D126" s="147"/>
      <c r="E126" s="147"/>
      <c r="F126" s="147"/>
      <c r="G126" s="147"/>
    </row>
    <row r="127" spans="1:69">
      <c r="C127" s="147"/>
      <c r="D127" s="147"/>
      <c r="E127" s="147"/>
      <c r="F127" s="147"/>
      <c r="G127" s="147"/>
    </row>
    <row r="128" spans="1:69">
      <c r="C128" s="147"/>
      <c r="D128" s="147"/>
      <c r="E128" s="147"/>
      <c r="F128" s="147"/>
      <c r="G128" s="147"/>
    </row>
    <row r="129" spans="3:7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  <row r="189" spans="3:7">
      <c r="C189" s="147"/>
      <c r="D189" s="147"/>
      <c r="E189" s="147"/>
      <c r="F189" s="147"/>
      <c r="G189" s="147"/>
    </row>
    <row r="190" spans="3:7">
      <c r="C190" s="147"/>
      <c r="D190" s="147"/>
      <c r="E190" s="147"/>
      <c r="F190" s="147"/>
      <c r="G190" s="147"/>
    </row>
  </sheetData>
  <mergeCells count="92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3:F113"/>
    <mergeCell ref="A96:A97"/>
    <mergeCell ref="A99:A100"/>
    <mergeCell ref="A87:A88"/>
    <mergeCell ref="A101:A102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4.4"/>
  <cols>
    <col min="1" max="1" width="22.5546875" bestFit="1" customWidth="1"/>
    <col min="11" max="11" width="10" customWidth="1"/>
    <col min="12" max="12" width="10.109375" customWidth="1"/>
    <col min="13" max="13" width="9.5546875" customWidth="1"/>
    <col min="14" max="14" width="11.33203125" customWidth="1"/>
    <col min="15" max="15" width="11.44140625" customWidth="1"/>
  </cols>
  <sheetData>
    <row r="2" spans="1:32">
      <c r="B2" s="60">
        <f>'SALES SUMMARY'!A9</f>
        <v>43344</v>
      </c>
      <c r="C2" s="60">
        <f>'SALES SUMMARY'!A12</f>
        <v>43345</v>
      </c>
      <c r="D2" s="60">
        <f>'SALES SUMMARY'!A15</f>
        <v>43346</v>
      </c>
      <c r="E2" s="60">
        <f>'SALES SUMMARY'!A18</f>
        <v>43347</v>
      </c>
      <c r="F2" s="60">
        <f>'SALES SUMMARY'!A21</f>
        <v>43348</v>
      </c>
      <c r="G2" s="60">
        <f>'SALES SUMMARY'!A24</f>
        <v>43349</v>
      </c>
      <c r="H2" s="60">
        <f>'SALES SUMMARY'!A27</f>
        <v>43350</v>
      </c>
      <c r="I2" s="60">
        <f>'SALES SUMMARY'!A30</f>
        <v>43351</v>
      </c>
      <c r="J2" s="60">
        <f>'SALES SUMMARY'!A33</f>
        <v>43352</v>
      </c>
      <c r="K2" s="60">
        <f>'SALES SUMMARY'!A36</f>
        <v>43353</v>
      </c>
      <c r="L2" s="60">
        <f>'SALES SUMMARY'!A39</f>
        <v>43354</v>
      </c>
      <c r="M2" s="60">
        <f>'SALES SUMMARY'!A42</f>
        <v>43355</v>
      </c>
      <c r="N2" s="60">
        <f>'SALES SUMMARY'!A45</f>
        <v>43356</v>
      </c>
      <c r="O2" s="60">
        <f>'SALES SUMMARY'!A48</f>
        <v>43357</v>
      </c>
      <c r="P2" s="60">
        <f>'SALES SUMMARY'!A51</f>
        <v>43358</v>
      </c>
      <c r="Q2" s="60">
        <f>'SALES SUMMARY'!A54</f>
        <v>43359</v>
      </c>
      <c r="R2" s="60">
        <f>'SALES SUMMARY'!A57</f>
        <v>43360</v>
      </c>
      <c r="S2" s="60">
        <f>'SALES SUMMARY'!A60</f>
        <v>43361</v>
      </c>
      <c r="T2" s="60">
        <f>'SALES SUMMARY'!A63</f>
        <v>43362</v>
      </c>
      <c r="U2" s="60">
        <f>'SALES SUMMARY'!A66</f>
        <v>43363</v>
      </c>
      <c r="V2" s="60">
        <f>'SALES SUMMARY'!A69</f>
        <v>43364</v>
      </c>
      <c r="W2" s="60">
        <f>'SALES SUMMARY'!A72</f>
        <v>43365</v>
      </c>
      <c r="X2" s="60">
        <f>'SALES SUMMARY'!A75</f>
        <v>43366</v>
      </c>
      <c r="Y2" s="60">
        <f>'SALES SUMMARY'!A78</f>
        <v>43367</v>
      </c>
      <c r="Z2" s="60">
        <f>'SALES SUMMARY'!A81</f>
        <v>43368</v>
      </c>
      <c r="AA2" s="60">
        <f>'SALES SUMMARY'!A84</f>
        <v>43369</v>
      </c>
      <c r="AB2" s="60">
        <f>'SALES SUMMARY'!A87</f>
        <v>43370</v>
      </c>
      <c r="AC2" s="60">
        <f>'SALES SUMMARY'!A90</f>
        <v>43371</v>
      </c>
      <c r="AD2" s="60">
        <f>'SALES SUMMARY'!A93</f>
        <v>43372</v>
      </c>
      <c r="AE2" s="60">
        <f>'SALES SUMMARY'!A96</f>
        <v>43373</v>
      </c>
      <c r="AF2" s="60">
        <f>'SALES SUMMARY'!A99</f>
        <v>43312</v>
      </c>
    </row>
    <row r="3" spans="1:32">
      <c r="A3" s="59" t="s">
        <v>6</v>
      </c>
      <c r="B3" s="61">
        <f>'SALES SUMMARY'!E11</f>
        <v>4000</v>
      </c>
      <c r="C3" s="61">
        <f>'SALES SUMMARY'!E14</f>
        <v>0</v>
      </c>
      <c r="D3" s="61">
        <f>'SALES SUMMARY'!E17</f>
        <v>23100</v>
      </c>
      <c r="E3" s="61">
        <f>'SALES SUMMARY'!E20</f>
        <v>24215</v>
      </c>
      <c r="F3" s="61">
        <f>'SALES SUMMARY'!E23</f>
        <v>24445</v>
      </c>
      <c r="G3" s="61">
        <f>'SALES SUMMARY'!E26</f>
        <v>42933</v>
      </c>
      <c r="H3" s="61">
        <f>'SALES SUMMARY'!E29</f>
        <v>26680</v>
      </c>
      <c r="I3" s="61">
        <f>'SALES SUMMARY'!E32</f>
        <v>8540</v>
      </c>
      <c r="J3" s="61">
        <f>'SALES SUMMARY'!E35</f>
        <v>0</v>
      </c>
      <c r="K3" s="61">
        <f>'SALES SUMMARY'!E38</f>
        <v>19350</v>
      </c>
      <c r="L3" s="61">
        <f>'SALES SUMMARY'!E41</f>
        <v>29280</v>
      </c>
      <c r="M3" s="61">
        <f>'SALES SUMMARY'!E44</f>
        <v>26850</v>
      </c>
      <c r="N3" s="61">
        <f>'SALES SUMMARY'!E47</f>
        <v>29840</v>
      </c>
      <c r="O3" s="61">
        <f>'SALES SUMMARY'!E50</f>
        <v>40635</v>
      </c>
      <c r="P3" s="61">
        <f>'SALES SUMMARY'!E53</f>
        <v>1420</v>
      </c>
      <c r="Q3" s="61">
        <f>'SALES SUMMARY'!E56</f>
        <v>0</v>
      </c>
      <c r="R3" s="61">
        <f>'SALES SUMMARY'!E59</f>
        <v>16350</v>
      </c>
      <c r="S3" s="61">
        <f>'SALES SUMMARY'!E62</f>
        <v>24297</v>
      </c>
      <c r="T3" s="61">
        <f>'SALES SUMMARY'!E65</f>
        <v>24590</v>
      </c>
      <c r="U3" s="61">
        <f>'SALES SUMMARY'!E68</f>
        <v>45145</v>
      </c>
      <c r="V3" s="61">
        <f>'SALES SUMMARY'!E71</f>
        <v>30092</v>
      </c>
      <c r="W3" s="61">
        <f>'SALES SUMMARY'!E74</f>
        <v>6110</v>
      </c>
      <c r="X3" s="61">
        <f>'SALES SUMMARY'!E77</f>
        <v>0</v>
      </c>
      <c r="Y3" s="61">
        <f>'SALES SUMMARY'!E80</f>
        <v>23802</v>
      </c>
      <c r="Z3" s="61">
        <f>'SALES SUMMARY'!E83</f>
        <v>27856</v>
      </c>
      <c r="AA3" s="61">
        <f>'SALES SUMMARY'!E86</f>
        <v>32590</v>
      </c>
      <c r="AB3" s="61">
        <f>'SALES SUMMARY'!E89</f>
        <v>45265</v>
      </c>
      <c r="AC3" s="61">
        <f>'SALES SUMMARY'!E92</f>
        <v>38398</v>
      </c>
      <c r="AD3" s="61">
        <f>'SALES SUMMARY'!E95</f>
        <v>5725</v>
      </c>
      <c r="AE3" s="61">
        <f>'SALES SUMMARY'!E98</f>
        <v>0</v>
      </c>
      <c r="AF3" s="61">
        <f>'SALES SUMMARY'!E102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0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-5.0899999999999181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-0.63999999999941792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0</v>
      </c>
      <c r="AB5" s="61">
        <f>-'SALES SUMMARY'!G89</f>
        <v>0</v>
      </c>
      <c r="AC5" s="61">
        <f>-'SALES SUMMARY'!G92</f>
        <v>-268.90999999999985</v>
      </c>
      <c r="AD5" s="61">
        <f>-'SALES SUMMARY'!G95</f>
        <v>-6.0900000000001455</v>
      </c>
      <c r="AE5" s="61">
        <f>-'SALES SUMMARY'!G98</f>
        <v>0</v>
      </c>
      <c r="AF5" s="61">
        <f>-'SALES SUMMARY'!G102</f>
        <v>0</v>
      </c>
    </row>
    <row r="6" spans="1:32">
      <c r="A6" s="59" t="s">
        <v>9</v>
      </c>
      <c r="B6" s="61">
        <f>'SALES SUMMARY'!H11</f>
        <v>7.8600000000001273</v>
      </c>
      <c r="C6" s="61">
        <f>'SALES SUMMARY'!H14</f>
        <v>0</v>
      </c>
      <c r="D6" s="61">
        <f>'SALES SUMMARY'!H17</f>
        <v>5.5299999999988358</v>
      </c>
      <c r="E6" s="61">
        <f>'SALES SUMMARY'!H20</f>
        <v>4.5</v>
      </c>
      <c r="F6" s="61">
        <f>'SALES SUMMARY'!H23</f>
        <v>3.4499999999989086</v>
      </c>
      <c r="G6" s="61">
        <f>'SALES SUMMARY'!H26</f>
        <v>2.1399999999994179</v>
      </c>
      <c r="H6" s="61">
        <f>'SALES SUMMARY'!H29</f>
        <v>17.850000000000364</v>
      </c>
      <c r="I6" s="61">
        <f>'SALES SUMMARY'!H32</f>
        <v>0.7999999999992724</v>
      </c>
      <c r="J6" s="61">
        <f>'SALES SUMMARY'!H35</f>
        <v>0</v>
      </c>
      <c r="K6" s="61">
        <f>'SALES SUMMARY'!H38</f>
        <v>3.6299999999991996</v>
      </c>
      <c r="L6" s="61">
        <f>'SALES SUMMARY'!H41</f>
        <v>1.7700000000004366</v>
      </c>
      <c r="M6" s="61">
        <f>'SALES SUMMARY'!H44</f>
        <v>3.569999999999709</v>
      </c>
      <c r="N6" s="61">
        <f>'SALES SUMMARY'!H47</f>
        <v>8.0599999999994907</v>
      </c>
      <c r="O6" s="61">
        <f>'SALES SUMMARY'!H50</f>
        <v>3.1900000000023283</v>
      </c>
      <c r="P6" s="61">
        <f>'SALES SUMMARY'!H53</f>
        <v>0</v>
      </c>
      <c r="Q6" s="61">
        <f>'SALES SUMMARY'!H56</f>
        <v>0</v>
      </c>
      <c r="R6" s="61">
        <f>'SALES SUMMARY'!H59</f>
        <v>8.8800000000001091</v>
      </c>
      <c r="S6" s="61">
        <f>'SALES SUMMARY'!H62</f>
        <v>2.4400000000005093</v>
      </c>
      <c r="T6" s="61">
        <f>'SALES SUMMARY'!H65</f>
        <v>4.1199999999989814</v>
      </c>
      <c r="U6" s="61">
        <f>'SALES SUMMARY'!H68</f>
        <v>3.0600000000013097</v>
      </c>
      <c r="V6" s="61">
        <f>'SALES SUMMARY'!H71</f>
        <v>0.30999999999949068</v>
      </c>
      <c r="W6" s="61">
        <f>'SALES SUMMARY'!H74</f>
        <v>0.22999999999956344</v>
      </c>
      <c r="X6" s="61">
        <f>'SALES SUMMARY'!H77</f>
        <v>0</v>
      </c>
      <c r="Y6" s="61">
        <f>'SALES SUMMARY'!H80</f>
        <v>3.6200000000008004</v>
      </c>
      <c r="Z6" s="61">
        <f>'SALES SUMMARY'!H83</f>
        <v>0.57999999999992724</v>
      </c>
      <c r="AA6" s="61">
        <f>'SALES SUMMARY'!H86</f>
        <v>5.9699999999993452</v>
      </c>
      <c r="AB6" s="61">
        <f>'SALES SUMMARY'!H89</f>
        <v>2.6599999999998545</v>
      </c>
      <c r="AC6" s="61">
        <f>'SALES SUMMARY'!H92</f>
        <v>0.57999999999992724</v>
      </c>
      <c r="AD6" s="61">
        <f>'SALES SUMMARY'!H95</f>
        <v>0</v>
      </c>
      <c r="AE6" s="61">
        <f>'SALES SUMMARY'!H98</f>
        <v>0</v>
      </c>
      <c r="AF6" s="61">
        <f>'SALES SUMMARY'!H102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-1800</v>
      </c>
      <c r="J7" s="61">
        <f>-'SALES SUMMARY'!I35</f>
        <v>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SUMMARY'!I102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SUMMARY'!J102</f>
        <v>0</v>
      </c>
    </row>
    <row r="9" spans="1:32">
      <c r="A9" s="59" t="s">
        <v>14</v>
      </c>
      <c r="B9" s="61">
        <f>-'SALES SUMMARY'!M11</f>
        <v>0</v>
      </c>
      <c r="C9" s="61">
        <f>-'SALES SUMMARY'!M14</f>
        <v>0</v>
      </c>
      <c r="D9" s="61">
        <f>-'SALES SUMMARY'!M17</f>
        <v>-138.90203999999997</v>
      </c>
      <c r="E9" s="61">
        <f>-'SALES SUMMARY'!M20</f>
        <v>-326.26249999999999</v>
      </c>
      <c r="F9" s="61">
        <f>-'SALES SUMMARY'!M23</f>
        <v>-220.63858999999997</v>
      </c>
      <c r="G9" s="61">
        <f>-'SALES SUMMARY'!M26</f>
        <v>-336.82802999999996</v>
      </c>
      <c r="H9" s="61">
        <f>-'SALES SUMMARY'!M29</f>
        <v>-340.73243000000002</v>
      </c>
      <c r="I9" s="61">
        <f>-'SALES SUMMARY'!M32</f>
        <v>-68.970709999999997</v>
      </c>
      <c r="J9" s="61">
        <f>-'SALES SUMMARY'!M35</f>
        <v>0</v>
      </c>
      <c r="K9" s="61">
        <f>-'SALES SUMMARY'!M38</f>
        <v>-141.92085499999999</v>
      </c>
      <c r="L9" s="61">
        <f>-'SALES SUMMARY'!M41</f>
        <v>-400.56671499999999</v>
      </c>
      <c r="M9" s="61">
        <f>-'SALES SUMMARY'!M44</f>
        <v>-329.01901499999997</v>
      </c>
      <c r="N9" s="61">
        <f>-'SALES SUMMARY'!M47</f>
        <v>-110.3595</v>
      </c>
      <c r="O9" s="61">
        <f>-'SALES SUMMARY'!M50</f>
        <v>-343.16881000000001</v>
      </c>
      <c r="P9" s="61">
        <f>-'SALES SUMMARY'!M53</f>
        <v>-14.520239999999999</v>
      </c>
      <c r="Q9" s="61">
        <f>-'SALES SUMMARY'!M56</f>
        <v>0</v>
      </c>
      <c r="R9" s="61">
        <f>-'SALES SUMMARY'!M59</f>
        <v>-96.419544999999999</v>
      </c>
      <c r="S9" s="61">
        <f>-'SALES SUMMARY'!M62</f>
        <v>-199.42023999999998</v>
      </c>
      <c r="T9" s="61">
        <f>-'SALES SUMMARY'!M65</f>
        <v>-245.99998999999997</v>
      </c>
      <c r="U9" s="61">
        <f>-'SALES SUMMARY'!M68</f>
        <v>-235.71417499999998</v>
      </c>
      <c r="V9" s="61">
        <f>-'SALES SUMMARY'!M71</f>
        <v>-267.64855499999999</v>
      </c>
      <c r="W9" s="61">
        <f>-'SALES SUMMARY'!M74</f>
        <v>-54.14000999999999</v>
      </c>
      <c r="X9" s="61">
        <f>-'SALES SUMMARY'!M77</f>
        <v>0</v>
      </c>
      <c r="Y9" s="61">
        <f>-'SALES SUMMARY'!M80</f>
        <v>-170.78052</v>
      </c>
      <c r="Z9" s="61">
        <f>-'SALES SUMMARY'!M83</f>
        <v>-379.96692000000002</v>
      </c>
      <c r="AA9" s="61">
        <f>-'SALES SUMMARY'!M86</f>
        <v>-359.22608500000001</v>
      </c>
      <c r="AB9" s="61">
        <f>-'SALES SUMMARY'!M89</f>
        <v>-455.21003999999999</v>
      </c>
      <c r="AC9" s="61">
        <f>-'SALES SUMMARY'!M92</f>
        <v>-489.85191499999996</v>
      </c>
      <c r="AD9" s="61">
        <f>-'SALES SUMMARY'!M95</f>
        <v>-58.549014999999997</v>
      </c>
      <c r="AE9" s="61">
        <f>-'SALES SUMMARY'!M98</f>
        <v>0</v>
      </c>
      <c r="AF9" s="61">
        <f>-'SALES SUMMARY'!M102</f>
        <v>0</v>
      </c>
    </row>
    <row r="10" spans="1:32">
      <c r="A10" s="59" t="s">
        <v>15</v>
      </c>
      <c r="B10" s="61">
        <f>-'SALES SUMMARY'!N11</f>
        <v>0</v>
      </c>
      <c r="C10" s="61">
        <f>-'SALES SUMMARY'!N14</f>
        <v>0</v>
      </c>
      <c r="D10" s="61">
        <f>-'SALES SUMMARY'!N17</f>
        <v>-32.302799999999998</v>
      </c>
      <c r="E10" s="61">
        <f>-'SALES SUMMARY'!N20</f>
        <v>-75.875</v>
      </c>
      <c r="F10" s="61">
        <f>-'SALES SUMMARY'!N23</f>
        <v>-51.311300000000003</v>
      </c>
      <c r="G10" s="61">
        <f>-'SALES SUMMARY'!N26</f>
        <v>-78.332099999999997</v>
      </c>
      <c r="H10" s="61">
        <f>-'SALES SUMMARY'!N29</f>
        <v>-79.240100000000012</v>
      </c>
      <c r="I10" s="61">
        <f>-'SALES SUMMARY'!N32</f>
        <v>-16.0397</v>
      </c>
      <c r="J10" s="61">
        <f>-'SALES SUMMARY'!N35</f>
        <v>0</v>
      </c>
      <c r="K10" s="61">
        <f>-'SALES SUMMARY'!N38</f>
        <v>-33.004850000000005</v>
      </c>
      <c r="L10" s="61">
        <f>-'SALES SUMMARY'!N41</f>
        <v>-93.155050000000003</v>
      </c>
      <c r="M10" s="61">
        <f>-'SALES SUMMARY'!N44</f>
        <v>-76.516050000000007</v>
      </c>
      <c r="N10" s="61">
        <f>-'SALES SUMMARY'!N47</f>
        <v>-25.664999999999999</v>
      </c>
      <c r="O10" s="61">
        <f>-'SALES SUMMARY'!N50</f>
        <v>-79.806700000000006</v>
      </c>
      <c r="P10" s="61">
        <f>-'SALES SUMMARY'!N53</f>
        <v>-3.3768000000000002</v>
      </c>
      <c r="Q10" s="61">
        <f>-'SALES SUMMARY'!N56</f>
        <v>0</v>
      </c>
      <c r="R10" s="61">
        <f>-'SALES SUMMARY'!N59</f>
        <v>-22.42315</v>
      </c>
      <c r="S10" s="61">
        <f>-'SALES SUMMARY'!N62</f>
        <v>-46.376800000000003</v>
      </c>
      <c r="T10" s="61">
        <f>-'SALES SUMMARY'!N65</f>
        <v>-57.209299999999999</v>
      </c>
      <c r="U10" s="61">
        <f>-'SALES SUMMARY'!N68</f>
        <v>-54.817250000000001</v>
      </c>
      <c r="V10" s="61">
        <f>-'SALES SUMMARY'!N71</f>
        <v>-62.243849999999995</v>
      </c>
      <c r="W10" s="61">
        <f>-'SALES SUMMARY'!N74</f>
        <v>-12.5907</v>
      </c>
      <c r="X10" s="61">
        <f>-'SALES SUMMARY'!N77</f>
        <v>0</v>
      </c>
      <c r="Y10" s="61">
        <f>-'SALES SUMMARY'!N80</f>
        <v>-39.7164</v>
      </c>
      <c r="Z10" s="61">
        <f>-'SALES SUMMARY'!N83</f>
        <v>-88.364400000000003</v>
      </c>
      <c r="AA10" s="61">
        <f>-'SALES SUMMARY'!N86</f>
        <v>-83.540950000000009</v>
      </c>
      <c r="AB10" s="61">
        <f>-'SALES SUMMARY'!N89</f>
        <v>-105.86280000000001</v>
      </c>
      <c r="AC10" s="61">
        <f>-'SALES SUMMARY'!N92</f>
        <v>-113.91905</v>
      </c>
      <c r="AD10" s="61">
        <f>-'SALES SUMMARY'!N95</f>
        <v>-13.616050000000001</v>
      </c>
      <c r="AE10" s="61">
        <f>-'SALES SUMMARY'!N98</f>
        <v>0</v>
      </c>
      <c r="AF10" s="61">
        <f>-'SALES SUMMARY'!N102</f>
        <v>0</v>
      </c>
    </row>
    <row r="11" spans="1:32">
      <c r="A11" s="59" t="s">
        <v>16</v>
      </c>
      <c r="B11" s="61">
        <f>-'SALES SUMMARY'!O11</f>
        <v>0</v>
      </c>
      <c r="C11" s="61">
        <f>-'SALES SUMMARY'!O14</f>
        <v>0</v>
      </c>
      <c r="D11" s="61">
        <f>-'SALES SUMMARY'!O17</f>
        <v>-6289.3551599999992</v>
      </c>
      <c r="E11" s="61">
        <f>-'SALES SUMMARY'!O20</f>
        <v>-14772.862499999999</v>
      </c>
      <c r="F11" s="61">
        <f>-'SALES SUMMARY'!O23</f>
        <v>-9990.3101100000003</v>
      </c>
      <c r="G11" s="61">
        <f>-'SALES SUMMARY'!O26</f>
        <v>-15251.25987</v>
      </c>
      <c r="H11" s="61">
        <f>-'SALES SUMMARY'!O29</f>
        <v>-15428.047470000001</v>
      </c>
      <c r="I11" s="61">
        <f>-'SALES SUMMARY'!O32</f>
        <v>-3122.9295900000002</v>
      </c>
      <c r="J11" s="61">
        <f>-'SALES SUMMARY'!O35</f>
        <v>0</v>
      </c>
      <c r="K11" s="61">
        <f>-'SALES SUMMARY'!O38</f>
        <v>-6426.0442950000006</v>
      </c>
      <c r="L11" s="61">
        <f>-'SALES SUMMARY'!O41</f>
        <v>-18137.288235</v>
      </c>
      <c r="M11" s="61">
        <f>-'SALES SUMMARY'!O44</f>
        <v>-14897.674934999999</v>
      </c>
      <c r="N11" s="61">
        <f>-'SALES SUMMARY'!O47</f>
        <v>-4996.9755000000005</v>
      </c>
      <c r="O11" s="61">
        <f>-'SALES SUMMARY'!O50</f>
        <v>-15538.364490000002</v>
      </c>
      <c r="P11" s="61">
        <f>-'SALES SUMMARY'!O53</f>
        <v>-657.46296000000007</v>
      </c>
      <c r="Q11" s="61">
        <f>-'SALES SUMMARY'!O56</f>
        <v>0</v>
      </c>
      <c r="R11" s="61">
        <f>-'SALES SUMMARY'!O59</f>
        <v>-4365.7873049999998</v>
      </c>
      <c r="S11" s="61">
        <f>-'SALES SUMMARY'!O62</f>
        <v>-9029.5629600000011</v>
      </c>
      <c r="T11" s="61">
        <f>-'SALES SUMMARY'!O65</f>
        <v>-11138.65071</v>
      </c>
      <c r="U11" s="61">
        <f>-'SALES SUMMARY'!O68</f>
        <v>-10672.918575</v>
      </c>
      <c r="V11" s="61">
        <f>-'SALES SUMMARY'!O71</f>
        <v>-12118.877595</v>
      </c>
      <c r="W11" s="61">
        <f>-'SALES SUMMARY'!O74</f>
        <v>-2451.4092899999996</v>
      </c>
      <c r="X11" s="61">
        <f>-'SALES SUMMARY'!O77</f>
        <v>0</v>
      </c>
      <c r="Y11" s="61">
        <f>-'SALES SUMMARY'!O80</f>
        <v>-7732.7830799999992</v>
      </c>
      <c r="Z11" s="61">
        <f>-'SALES SUMMARY'!O83</f>
        <v>-17204.54868</v>
      </c>
      <c r="AA11" s="61">
        <f>-'SALES SUMMARY'!O86</f>
        <v>-16265.422965000002</v>
      </c>
      <c r="AB11" s="61">
        <f>-'SALES SUMMARY'!O89</f>
        <v>-20611.487160000001</v>
      </c>
      <c r="AC11" s="61">
        <f>-'SALES SUMMARY'!O92</f>
        <v>-22180.039035000002</v>
      </c>
      <c r="AD11" s="61">
        <f>-'SALES SUMMARY'!O95</f>
        <v>-2651.0449349999999</v>
      </c>
      <c r="AE11" s="61">
        <f>-'SALES SUMMARY'!O98</f>
        <v>0</v>
      </c>
      <c r="AF11" s="61">
        <f>-'SALES SUMMARY'!O102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SUMMARY'!P102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SUMMARY'!T102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SUMMARY'!U102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SUMMARY'!V102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SUMMARY'!W102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SUMMARY'!Y102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SUMMARY'!Z102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SUMMARY'!AA102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SUMMARY'!AB102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SUMMARY'!AC102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SUMMARY'!AE102</f>
        <v>0</v>
      </c>
    </row>
    <row r="23" spans="1:32">
      <c r="A23" s="59" t="s">
        <v>52</v>
      </c>
      <c r="B23" s="61">
        <f>'SALES SUMMARY'!AG11</f>
        <v>208.8552</v>
      </c>
      <c r="C23" s="61">
        <f>'SALES SUMMARY'!AG14</f>
        <v>0</v>
      </c>
      <c r="D23" s="61">
        <f>'SALES SUMMARY'!AG17</f>
        <v>1474.1788000000001</v>
      </c>
      <c r="E23" s="61">
        <f>'SALES SUMMARY'!AG20</f>
        <v>2089.8168000000001</v>
      </c>
      <c r="F23" s="61">
        <f>'SALES SUMMARY'!AG23</f>
        <v>1803.6048000000001</v>
      </c>
      <c r="G23" s="61">
        <f>'SALES SUMMARY'!AG26</f>
        <v>3135.9492</v>
      </c>
      <c r="H23" s="61">
        <f>'SALES SUMMARY'!AG29</f>
        <v>2239.0156000000002</v>
      </c>
      <c r="I23" s="61">
        <f>'SALES SUMMARY'!AG32</f>
        <v>633.85519999999997</v>
      </c>
      <c r="J23" s="61">
        <f>'SALES SUMMARY'!AG35</f>
        <v>0</v>
      </c>
      <c r="K23" s="61">
        <f>'SALES SUMMARY'!AG38</f>
        <v>1342.9796000000001</v>
      </c>
      <c r="L23" s="61">
        <f>'SALES SUMMARY'!AG41</f>
        <v>2486.7532000000001</v>
      </c>
      <c r="M23" s="61">
        <f>'SALES SUMMARY'!AG44</f>
        <v>2245.768</v>
      </c>
      <c r="N23" s="61">
        <f>'SALES SUMMARY'!AG47</f>
        <v>1893.7660000000001</v>
      </c>
      <c r="O23" s="61">
        <f>'SALES SUMMARY'!AG50</f>
        <v>3813.4876000000004</v>
      </c>
      <c r="P23" s="61">
        <f>'SALES SUMMARY'!AG53</f>
        <v>85.306000000000012</v>
      </c>
      <c r="Q23" s="61">
        <f>'SALES SUMMARY'!AG56</f>
        <v>0</v>
      </c>
      <c r="R23" s="61">
        <f>'SALES SUMMARY'!AG59</f>
        <v>1031.6348</v>
      </c>
      <c r="S23" s="61">
        <f>'SALES SUMMARY'!AG62</f>
        <v>1838.2711999999999</v>
      </c>
      <c r="T23" s="61">
        <f>'SALES SUMMARY'!AG65</f>
        <v>1844.8876</v>
      </c>
      <c r="U23" s="61">
        <f>'SALES SUMMARY'!AG68</f>
        <v>2973.9120000000003</v>
      </c>
      <c r="V23" s="61">
        <f>'SALES SUMMARY'!AG71</f>
        <v>2242.5176000000001</v>
      </c>
      <c r="W23" s="61">
        <f>'SALES SUMMARY'!AG74</f>
        <v>386.7364</v>
      </c>
      <c r="X23" s="61">
        <f>'SALES SUMMARY'!AG77</f>
        <v>0</v>
      </c>
      <c r="Y23" s="61">
        <f>'SALES SUMMARY'!AG80</f>
        <v>1622.8676</v>
      </c>
      <c r="Z23" s="61">
        <f>'SALES SUMMARY'!AG83</f>
        <v>2389.3635999999997</v>
      </c>
      <c r="AA23" s="61">
        <f>'SALES SUMMARY'!AG86</f>
        <v>2357.7164000000002</v>
      </c>
      <c r="AB23" s="61">
        <f>'SALES SUMMARY'!AG89</f>
        <v>3641.8964000000001</v>
      </c>
      <c r="AC23" s="61">
        <f>'SALES SUMMARY'!AG92</f>
        <v>3202.8068000000003</v>
      </c>
      <c r="AD23" s="61">
        <f>'SALES SUMMARY'!AG95</f>
        <v>463.28399999999993</v>
      </c>
      <c r="AE23" s="61">
        <f>'SALES SUMMARY'!AG98</f>
        <v>0</v>
      </c>
      <c r="AF23" s="61">
        <f>'SALES SUMMARY'!AG102</f>
        <v>0</v>
      </c>
    </row>
    <row r="24" spans="1:32">
      <c r="A24" s="59" t="s">
        <v>53</v>
      </c>
      <c r="B24" s="61">
        <f>'SALES SUMMARY'!AH11</f>
        <v>36.8568</v>
      </c>
      <c r="C24" s="61">
        <f>'SALES SUMMARY'!AH14</f>
        <v>0</v>
      </c>
      <c r="D24" s="61">
        <f>'SALES SUMMARY'!AH17</f>
        <v>260.14920000000001</v>
      </c>
      <c r="E24" s="61">
        <f>'SALES SUMMARY'!AH20</f>
        <v>368.7912</v>
      </c>
      <c r="F24" s="61">
        <f>'SALES SUMMARY'!AH23</f>
        <v>318.28320000000002</v>
      </c>
      <c r="G24" s="61">
        <f>'SALES SUMMARY'!AH26</f>
        <v>553.40280000000007</v>
      </c>
      <c r="H24" s="61">
        <f>'SALES SUMMARY'!AH29</f>
        <v>395.12040000000002</v>
      </c>
      <c r="I24" s="61">
        <f>'SALES SUMMARY'!AH32</f>
        <v>111.85679999999999</v>
      </c>
      <c r="J24" s="61">
        <f>'SALES SUMMARY'!AH35</f>
        <v>0</v>
      </c>
      <c r="K24" s="61">
        <f>'SALES SUMMARY'!AH38</f>
        <v>236.99639999999999</v>
      </c>
      <c r="L24" s="61">
        <f>'SALES SUMMARY'!AH41</f>
        <v>438.83879999999999</v>
      </c>
      <c r="M24" s="61">
        <f>'SALES SUMMARY'!AH44</f>
        <v>396.31200000000001</v>
      </c>
      <c r="N24" s="61">
        <f>'SALES SUMMARY'!AH47</f>
        <v>334.19399999999996</v>
      </c>
      <c r="O24" s="61">
        <f>'SALES SUMMARY'!AH50</f>
        <v>672.96839999999997</v>
      </c>
      <c r="P24" s="61">
        <f>'SALES SUMMARY'!AH53</f>
        <v>15.054000000000002</v>
      </c>
      <c r="Q24" s="61">
        <f>'SALES SUMMARY'!AH56</f>
        <v>0</v>
      </c>
      <c r="R24" s="61">
        <f>'SALES SUMMARY'!AH59</f>
        <v>182.0532</v>
      </c>
      <c r="S24" s="61">
        <f>'SALES SUMMARY'!AH62</f>
        <v>324.4008</v>
      </c>
      <c r="T24" s="61">
        <f>'SALES SUMMARY'!AH65</f>
        <v>325.5684</v>
      </c>
      <c r="U24" s="61">
        <f>'SALES SUMMARY'!AH68</f>
        <v>524.80799999999999</v>
      </c>
      <c r="V24" s="61">
        <f>'SALES SUMMARY'!AH71</f>
        <v>395.73840000000001</v>
      </c>
      <c r="W24" s="61">
        <f>'SALES SUMMARY'!AH74</f>
        <v>68.247600000000006</v>
      </c>
      <c r="X24" s="61">
        <f>'SALES SUMMARY'!AH77</f>
        <v>0</v>
      </c>
      <c r="Y24" s="61">
        <f>'SALES SUMMARY'!AH80</f>
        <v>286.38840000000005</v>
      </c>
      <c r="Z24" s="61">
        <f>'SALES SUMMARY'!AH83</f>
        <v>421.6524</v>
      </c>
      <c r="AA24" s="61">
        <f>'SALES SUMMARY'!AH86</f>
        <v>416.06760000000003</v>
      </c>
      <c r="AB24" s="61">
        <f>'SALES SUMMARY'!AH89</f>
        <v>642.68759999999997</v>
      </c>
      <c r="AC24" s="61">
        <f>'SALES SUMMARY'!AH92</f>
        <v>565.20119999999997</v>
      </c>
      <c r="AD24" s="61">
        <f>'SALES SUMMARY'!AH95</f>
        <v>81.755999999999986</v>
      </c>
      <c r="AE24" s="61">
        <f>'SALES SUMMARY'!AH98</f>
        <v>0</v>
      </c>
      <c r="AF24" s="61">
        <f>'SALES SUMMARY'!AH102</f>
        <v>0</v>
      </c>
    </row>
    <row r="25" spans="1:32">
      <c r="A25" s="59" t="s">
        <v>54</v>
      </c>
      <c r="B25" s="61">
        <f>'SALES SUMMARY'!AI11</f>
        <v>61.427999999999997</v>
      </c>
      <c r="C25" s="61">
        <f>'SALES SUMMARY'!AI14</f>
        <v>0</v>
      </c>
      <c r="D25" s="61">
        <f>'SALES SUMMARY'!AI17</f>
        <v>433.58199999999999</v>
      </c>
      <c r="E25" s="61">
        <f>'SALES SUMMARY'!AI20</f>
        <v>614.65200000000004</v>
      </c>
      <c r="F25" s="61">
        <f>'SALES SUMMARY'!AI23</f>
        <v>530.47199999999998</v>
      </c>
      <c r="G25" s="61">
        <f>'SALES SUMMARY'!AI26</f>
        <v>922.33800000000008</v>
      </c>
      <c r="H25" s="61">
        <f>'SALES SUMMARY'!AI29</f>
        <v>658.53399999999999</v>
      </c>
      <c r="I25" s="61">
        <f>'SALES SUMMARY'!AI32</f>
        <v>186.428</v>
      </c>
      <c r="J25" s="61">
        <f>'SALES SUMMARY'!AI35</f>
        <v>0</v>
      </c>
      <c r="K25" s="61">
        <f>'SALES SUMMARY'!AI38</f>
        <v>394.99400000000003</v>
      </c>
      <c r="L25" s="61">
        <f>'SALES SUMMARY'!AI41</f>
        <v>731.39800000000014</v>
      </c>
      <c r="M25" s="61">
        <f>'SALES SUMMARY'!AI44</f>
        <v>660.52</v>
      </c>
      <c r="N25" s="61">
        <f>'SALES SUMMARY'!AI47</f>
        <v>556.99</v>
      </c>
      <c r="O25" s="61">
        <f>'SALES SUMMARY'!AI50</f>
        <v>1121.614</v>
      </c>
      <c r="P25" s="61">
        <f>'SALES SUMMARY'!AI53</f>
        <v>25.090000000000003</v>
      </c>
      <c r="Q25" s="61">
        <f>'SALES SUMMARY'!AI56</f>
        <v>0</v>
      </c>
      <c r="R25" s="61">
        <f>'SALES SUMMARY'!AI59</f>
        <v>303.42200000000003</v>
      </c>
      <c r="S25" s="61">
        <f>'SALES SUMMARY'!AI62</f>
        <v>540.66800000000001</v>
      </c>
      <c r="T25" s="61">
        <f>'SALES SUMMARY'!AI65</f>
        <v>542.61400000000003</v>
      </c>
      <c r="U25" s="61">
        <f>'SALES SUMMARY'!AI68</f>
        <v>874.68000000000006</v>
      </c>
      <c r="V25" s="61">
        <f>'SALES SUMMARY'!AI71</f>
        <v>659.56400000000008</v>
      </c>
      <c r="W25" s="61">
        <f>'SALES SUMMARY'!AI74</f>
        <v>113.74600000000001</v>
      </c>
      <c r="X25" s="61">
        <f>'SALES SUMMARY'!AI77</f>
        <v>0</v>
      </c>
      <c r="Y25" s="61">
        <f>'SALES SUMMARY'!AI80</f>
        <v>477.31400000000008</v>
      </c>
      <c r="Z25" s="61">
        <f>'SALES SUMMARY'!AI83</f>
        <v>702.75400000000002</v>
      </c>
      <c r="AA25" s="61">
        <f>'SALES SUMMARY'!AI86</f>
        <v>693.44600000000014</v>
      </c>
      <c r="AB25" s="61">
        <f>'SALES SUMMARY'!AI89</f>
        <v>1071.146</v>
      </c>
      <c r="AC25" s="61">
        <f>'SALES SUMMARY'!AI92</f>
        <v>942.00200000000007</v>
      </c>
      <c r="AD25" s="61">
        <f>'SALES SUMMARY'!AI95</f>
        <v>136.26</v>
      </c>
      <c r="AE25" s="61">
        <f>'SALES SUMMARY'!AI98</f>
        <v>0</v>
      </c>
      <c r="AF25" s="61">
        <f>'SALES SUMMARY'!AI102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SUMMARY'!AJ102</f>
        <v>0</v>
      </c>
    </row>
    <row r="27" spans="1:32">
      <c r="A27" s="59" t="s">
        <v>56</v>
      </c>
      <c r="B27" s="61">
        <f>'SALES SUMMARY'!AK11</f>
        <v>9777.6785714285706</v>
      </c>
      <c r="C27" s="61">
        <f>'SALES SUMMARY'!AK14</f>
        <v>0</v>
      </c>
      <c r="D27" s="61">
        <f>'SALES SUMMARY'!AK17</f>
        <v>15342.896099999998</v>
      </c>
      <c r="E27" s="61">
        <f>'SALES SUMMARY'!AK20</f>
        <v>36012.544642857138</v>
      </c>
      <c r="F27" s="61">
        <f>'SALES SUMMARY'!AK23</f>
        <v>35448.19642857142</v>
      </c>
      <c r="G27" s="61">
        <f>'SALES SUMMARY'!AK26</f>
        <v>51888.276785714283</v>
      </c>
      <c r="H27" s="61">
        <f>'SALES SUMMARY'!AK29</f>
        <v>38558.928571428565</v>
      </c>
      <c r="I27" s="61">
        <f>'SALES SUMMARY'!AK32</f>
        <v>11245.535714285714</v>
      </c>
      <c r="J27" s="61">
        <f>'SALES SUMMARY'!AK35</f>
        <v>0</v>
      </c>
      <c r="K27" s="61">
        <f>'SALES SUMMARY'!AK38</f>
        <v>29145.803571428569</v>
      </c>
      <c r="L27" s="61">
        <f>'SALES SUMMARY'!AK41</f>
        <v>41165.178571428565</v>
      </c>
      <c r="M27" s="61">
        <f>'SALES SUMMARY'!AK44</f>
        <v>38213.375</v>
      </c>
      <c r="N27" s="61">
        <f>'SALES SUMMARY'!AK47</f>
        <v>33200.544642857138</v>
      </c>
      <c r="O27" s="61">
        <f>'SALES SUMMARY'!AK50</f>
        <v>62676.544642857145</v>
      </c>
      <c r="P27" s="61">
        <f>'SALES SUMMARY'!AK53</f>
        <v>3825.8928571428569</v>
      </c>
      <c r="Q27" s="61">
        <f>'SALES SUMMARY'!AK56</f>
        <v>0</v>
      </c>
      <c r="R27" s="61">
        <f>'SALES SUMMARY'!AK59</f>
        <v>21399.03571428571</v>
      </c>
      <c r="S27" s="61">
        <f>'SALES SUMMARY'!AK62</f>
        <v>29849.357142857138</v>
      </c>
      <c r="T27" s="61">
        <f>'SALES SUMMARY'!AK65</f>
        <v>30711.633928571428</v>
      </c>
      <c r="U27" s="61">
        <f>'SALES SUMMARY'!AK68</f>
        <v>49518.294642857138</v>
      </c>
      <c r="V27" s="61">
        <f>'SALES SUMMARY'!AK71</f>
        <v>41920.34821428571</v>
      </c>
      <c r="W27" s="61">
        <f>'SALES SUMMARY'!AK74</f>
        <v>8759.1875</v>
      </c>
      <c r="X27" s="61">
        <f>'SALES SUMMARY'!AK77</f>
        <v>0</v>
      </c>
      <c r="Y27" s="61">
        <f>'SALES SUMMARY'!AK80</f>
        <v>29016.41071428571</v>
      </c>
      <c r="Z27" s="61">
        <f>'SALES SUMMARY'!AK83</f>
        <v>40630.607142857138</v>
      </c>
      <c r="AA27" s="61">
        <f>'SALES SUMMARY'!AK86</f>
        <v>43673.651785714283</v>
      </c>
      <c r="AB27" s="61">
        <f>'SALES SUMMARY'!AK89</f>
        <v>57331.883928571428</v>
      </c>
      <c r="AC27" s="61">
        <f>'SALES SUMMARY'!AK92</f>
        <v>56017.57142857142</v>
      </c>
      <c r="AD27" s="61">
        <f>'SALES SUMMARY'!AK95</f>
        <v>9646.4285714285706</v>
      </c>
      <c r="AE27" s="61">
        <f>'SALES SUMMARY'!AK98</f>
        <v>0</v>
      </c>
      <c r="AF27" s="61">
        <f>'SALES SUMMARY'!AK102</f>
        <v>0</v>
      </c>
    </row>
    <row r="28" spans="1:32">
      <c r="A28" s="59" t="s">
        <v>57</v>
      </c>
      <c r="B28" s="61">
        <f>'SALES SUMMARY'!AM11</f>
        <v>1173.3214285714284</v>
      </c>
      <c r="C28" s="61">
        <f>'SALES SUMMARY'!AM14</f>
        <v>0</v>
      </c>
      <c r="D28" s="61">
        <f>'SALES SUMMARY'!AM17</f>
        <v>1710.7603319999996</v>
      </c>
      <c r="E28" s="61">
        <f>'SALES SUMMARY'!AM20</f>
        <v>4247.8481571428565</v>
      </c>
      <c r="F28" s="61">
        <f>'SALES SUMMARY'!AM23</f>
        <v>4105.0039714285704</v>
      </c>
      <c r="G28" s="61">
        <f>'SALES SUMMARY'!AM26</f>
        <v>6108.3596142857132</v>
      </c>
      <c r="H28" s="61">
        <f>'SALES SUMMARY'!AM29</f>
        <v>4591.3954285714281</v>
      </c>
      <c r="I28" s="61">
        <f>'SALES SUMMARY'!AM32</f>
        <v>1349.4642857142856</v>
      </c>
      <c r="J28" s="61">
        <f>'SALES SUMMARY'!AM35</f>
        <v>0</v>
      </c>
      <c r="K28" s="61">
        <f>'SALES SUMMARY'!AM38</f>
        <v>3378.9688285714283</v>
      </c>
      <c r="L28" s="61">
        <f>'SALES SUMMARY'!AM41</f>
        <v>4898.7514285714278</v>
      </c>
      <c r="M28" s="61">
        <f>'SALES SUMMARY'!AM44</f>
        <v>4493.0321999999996</v>
      </c>
      <c r="N28" s="61">
        <f>'SALES SUMMARY'!AM47</f>
        <v>3903.4109571428571</v>
      </c>
      <c r="O28" s="61">
        <f>'SALES SUMMARY'!AM50</f>
        <v>7408.3073571428567</v>
      </c>
      <c r="P28" s="61">
        <f>'SALES SUMMARY'!AM53</f>
        <v>459.10714285714283</v>
      </c>
      <c r="Q28" s="61">
        <f>'SALES SUMMARY'!AM56</f>
        <v>0</v>
      </c>
      <c r="R28" s="61">
        <f>'SALES SUMMARY'!AM59</f>
        <v>2494.1346857142853</v>
      </c>
      <c r="S28" s="61">
        <f>'SALES SUMMARY'!AM62</f>
        <v>3462.6188571428565</v>
      </c>
      <c r="T28" s="61">
        <f>'SALES SUMMARY'!AM65</f>
        <v>3658.652871428571</v>
      </c>
      <c r="U28" s="61">
        <f>'SALES SUMMARY'!AM68</f>
        <v>5866.4993571428568</v>
      </c>
      <c r="V28" s="61">
        <f>'SALES SUMMARY'!AM71</f>
        <v>4870.7205857142853</v>
      </c>
      <c r="W28" s="61">
        <f>'SALES SUMMARY'!AM74</f>
        <v>1013.8892999999999</v>
      </c>
      <c r="X28" s="61">
        <f>'SALES SUMMARY'!AM77</f>
        <v>0</v>
      </c>
      <c r="Y28" s="61">
        <f>'SALES SUMMARY'!AM80</f>
        <v>3355.5744857142854</v>
      </c>
      <c r="Z28" s="61">
        <f>'SALES SUMMARY'!AM83</f>
        <v>4746.3908571428565</v>
      </c>
      <c r="AA28" s="61">
        <f>'SALES SUMMARY'!AM86</f>
        <v>5184.1982142857141</v>
      </c>
      <c r="AB28" s="61">
        <f>'SALES SUMMARY'!AM89</f>
        <v>6843.9412714285709</v>
      </c>
      <c r="AC28" s="61">
        <f>'SALES SUMMARY'!AM92</f>
        <v>6612.4825714285707</v>
      </c>
      <c r="AD28" s="61">
        <f>'SALES SUMMARY'!AM95</f>
        <v>1108.1314285714284</v>
      </c>
      <c r="AE28" s="61">
        <f>'SALES SUMMARY'!AM98</f>
        <v>0</v>
      </c>
      <c r="AF28" s="61">
        <f>'SALES SUMMARY'!AM102</f>
        <v>0</v>
      </c>
    </row>
    <row r="30" spans="1:32">
      <c r="A30" s="58" t="s">
        <v>58</v>
      </c>
      <c r="B30" s="63">
        <f>-'SALES SUMMARY'!AZ11</f>
        <v>-155</v>
      </c>
      <c r="C30" s="63">
        <f>-'SALES SUMMARY'!AZ14</f>
        <v>0</v>
      </c>
      <c r="D30" s="63">
        <f>-'SALES SUMMARY'!AZ17</f>
        <v>-390</v>
      </c>
      <c r="E30" s="63">
        <f>-'SALES SUMMARY'!AZ20</f>
        <v>-740</v>
      </c>
      <c r="F30" s="63">
        <f>-'SALES SUMMARY'!AZ23</f>
        <v>-310</v>
      </c>
      <c r="G30" s="63">
        <f>-'SALES SUMMARY'!AZ26</f>
        <v>0</v>
      </c>
      <c r="H30" s="63">
        <f>-'SALES SUMMARY'!AZ29</f>
        <v>-340</v>
      </c>
      <c r="I30" s="63">
        <f>-'SALES SUMMARY'!AZ32</f>
        <v>-2543</v>
      </c>
      <c r="J30" s="63">
        <f>-'SALES SUMMARY'!AZ35</f>
        <v>0</v>
      </c>
      <c r="K30" s="63">
        <f>-'SALES SUMMARY'!AZ38</f>
        <v>-130</v>
      </c>
      <c r="L30" s="63">
        <f>-'SALES SUMMARY'!AZ41</f>
        <v>-296</v>
      </c>
      <c r="M30" s="63">
        <f>-'SALES SUMMARY'!AZ44</f>
        <v>0</v>
      </c>
      <c r="N30" s="63">
        <f>-'SALES SUMMARY'!AZ47</f>
        <v>0</v>
      </c>
      <c r="O30" s="63">
        <f>-'SALES SUMMARY'!AZ50</f>
        <v>-575</v>
      </c>
      <c r="P30" s="63">
        <f>-'SALES SUMMARY'!AZ53</f>
        <v>-415</v>
      </c>
      <c r="Q30" s="63">
        <f>-'SALES SUMMARY'!AZ56</f>
        <v>0</v>
      </c>
      <c r="R30" s="63">
        <f>-'SALES SUMMARY'!AZ59</f>
        <v>0</v>
      </c>
      <c r="S30" s="63">
        <f>-'SALES SUMMARY'!AZ62</f>
        <v>0</v>
      </c>
      <c r="T30" s="63">
        <f>-'SALES SUMMARY'!AZ65</f>
        <v>-2445</v>
      </c>
      <c r="U30" s="63">
        <f>-'SALES SUMMARY'!AZ68</f>
        <v>-760</v>
      </c>
      <c r="V30" s="63">
        <f>-'SALES SUMMARY'!AZ71</f>
        <v>0</v>
      </c>
      <c r="W30" s="63">
        <f>-'SALES SUMMARY'!AZ74</f>
        <v>0</v>
      </c>
      <c r="X30" s="63">
        <f>-'SALES SUMMARY'!AZ77</f>
        <v>0</v>
      </c>
      <c r="Y30" s="63">
        <f>-'SALES SUMMARY'!AZ80</f>
        <v>0</v>
      </c>
      <c r="Z30" s="63">
        <f>-'SALES SUMMARY'!AZ83</f>
        <v>0</v>
      </c>
      <c r="AA30" s="63">
        <f>-'SALES SUMMARY'!AZ86</f>
        <v>0</v>
      </c>
      <c r="AB30" s="63">
        <f>-'SALES SUMMARY'!AZ89</f>
        <v>-185</v>
      </c>
      <c r="AC30" s="63">
        <f>-'SALES SUMMARY'!AZ92</f>
        <v>-670</v>
      </c>
      <c r="AD30" s="63">
        <f>-'SALES SUMMARY'!AZ95</f>
        <v>0</v>
      </c>
      <c r="AE30" s="63">
        <f>-'SALES SUMMARY'!AZ98</f>
        <v>0</v>
      </c>
      <c r="AF30" s="63">
        <f>-'SALES SUMMARY'!AZ102</f>
        <v>0</v>
      </c>
    </row>
    <row r="31" spans="1:32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0</v>
      </c>
      <c r="J31" s="63">
        <f>-'SALES SUMMARY'!BA35</f>
        <v>0</v>
      </c>
      <c r="K31" s="63">
        <f>-'SALES SUMMARY'!BA38</f>
        <v>-60</v>
      </c>
      <c r="L31" s="63">
        <f>-'SALES SUMMARY'!BA41</f>
        <v>-125</v>
      </c>
      <c r="M31" s="63">
        <f>-'SALES SUMMARY'!BA44</f>
        <v>0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-1245</v>
      </c>
      <c r="V31" s="63">
        <f>-'SALES SUMMARY'!BA71</f>
        <v>0</v>
      </c>
      <c r="W31" s="63">
        <f>-'SALES SUMMARY'!BA74</f>
        <v>-575</v>
      </c>
      <c r="X31" s="63">
        <f>-'SALES SUMMARY'!BA77</f>
        <v>0</v>
      </c>
      <c r="Y31" s="63">
        <f>-'SALES SUMMARY'!BA80</f>
        <v>-135</v>
      </c>
      <c r="Z31" s="63" t="e">
        <f>-'SALES SUMMARY'!BA83</f>
        <v>#VALUE!</v>
      </c>
      <c r="AA31" s="63">
        <f>-'SALES SUMMARY'!BA86</f>
        <v>-6310</v>
      </c>
      <c r="AB31" s="63">
        <f>-'SALES SUMMARY'!BA89</f>
        <v>-625</v>
      </c>
      <c r="AC31" s="63">
        <f>-'SALES SUMMARY'!BA92</f>
        <v>0</v>
      </c>
      <c r="AD31" s="63">
        <f>-'SALES SUMMARY'!BA95</f>
        <v>0</v>
      </c>
      <c r="AE31" s="63">
        <f>-'SALES SUMMARY'!BA98</f>
        <v>0</v>
      </c>
      <c r="AF31" s="63">
        <f>-'SALES SUMMARY'!BA102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SUMMARY'!BB102</f>
        <v>0</v>
      </c>
    </row>
    <row r="33" spans="1:32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-193.5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SUMMARY'!BD102-'SALES SUMMARY'!BC102)</f>
        <v>0</v>
      </c>
    </row>
    <row r="34" spans="1:32">
      <c r="A34" s="58" t="s">
        <v>36</v>
      </c>
      <c r="B34" s="63">
        <f>'SALES SUMMARY'!BR11</f>
        <v>155</v>
      </c>
      <c r="C34" s="63">
        <f>'SALES SUMMARY'!BR14</f>
        <v>0</v>
      </c>
      <c r="D34" s="63">
        <f>'SALES SUMMARY'!BR17</f>
        <v>390</v>
      </c>
      <c r="E34" s="63">
        <f>'SALES SUMMARY'!BR20</f>
        <v>740</v>
      </c>
      <c r="F34" s="63">
        <f>'SALES SUMMARY'!BR23</f>
        <v>310</v>
      </c>
      <c r="G34" s="63">
        <f>'SALES SUMMARY'!BR26</f>
        <v>0</v>
      </c>
      <c r="H34" s="63">
        <f>'SALES SUMMARY'!BR29</f>
        <v>340</v>
      </c>
      <c r="I34" s="63">
        <f>'SALES SUMMARY'!BR32</f>
        <v>2543</v>
      </c>
      <c r="J34" s="63">
        <f>'SALES SUMMARY'!BR35</f>
        <v>0</v>
      </c>
      <c r="K34" s="63">
        <f>'SALES SUMMARY'!BR38</f>
        <v>190</v>
      </c>
      <c r="L34" s="63">
        <f>'SALES SUMMARY'!BR41</f>
        <v>421</v>
      </c>
      <c r="M34" s="63">
        <f>'SALES SUMMARY'!BR44</f>
        <v>0</v>
      </c>
      <c r="N34" s="63">
        <f>'SALES SUMMARY'!BR47</f>
        <v>0</v>
      </c>
      <c r="O34" s="63">
        <f>'SALES SUMMARY'!BR50</f>
        <v>575</v>
      </c>
      <c r="P34" s="63">
        <f>'SALES SUMMARY'!BR53</f>
        <v>415</v>
      </c>
      <c r="Q34" s="63">
        <f>'SALES SUMMARY'!BR56</f>
        <v>0</v>
      </c>
      <c r="R34" s="63">
        <f>'SALES SUMMARY'!BR59</f>
        <v>0</v>
      </c>
      <c r="S34" s="63">
        <f>'SALES SUMMARY'!BR62</f>
        <v>0</v>
      </c>
      <c r="T34" s="63">
        <f>'SALES SUMMARY'!BR65</f>
        <v>2445</v>
      </c>
      <c r="U34" s="63">
        <f>'SALES SUMMARY'!BR68</f>
        <v>2005</v>
      </c>
      <c r="V34" s="63">
        <f>'SALES SUMMARY'!BR71</f>
        <v>0</v>
      </c>
      <c r="W34" s="63">
        <f>'SALES SUMMARY'!BR74</f>
        <v>768.5</v>
      </c>
      <c r="X34" s="63">
        <f>'SALES SUMMARY'!BR77</f>
        <v>0</v>
      </c>
      <c r="Y34" s="63">
        <f>'SALES SUMMARY'!BR80</f>
        <v>135</v>
      </c>
      <c r="Z34" s="63">
        <f>'SALES SUMMARY'!BR83</f>
        <v>0</v>
      </c>
      <c r="AA34" s="63">
        <f>'SALES SUMMARY'!BR86</f>
        <v>6310</v>
      </c>
      <c r="AB34" s="63">
        <f>'SALES SUMMARY'!BR89</f>
        <v>810</v>
      </c>
      <c r="AC34" s="63">
        <f>'SALES SUMMARY'!BR92</f>
        <v>670</v>
      </c>
      <c r="AD34" s="63">
        <f>'SALES SUMMARY'!BR95</f>
        <v>0</v>
      </c>
      <c r="AE34" s="63">
        <f>'SALES SUMMARY'!BR98</f>
        <v>0</v>
      </c>
      <c r="AF34" s="63">
        <f>'SALES SUMMARY'!BR102</f>
        <v>0</v>
      </c>
    </row>
    <row r="36" spans="1:32">
      <c r="A36" s="58" t="s">
        <v>62</v>
      </c>
      <c r="B36" s="62">
        <f>SUM(B5:B35)-B3</f>
        <v>7266</v>
      </c>
      <c r="C36" s="62">
        <f t="shared" ref="C36:AF36" si="0">SUM(C5:C35)-C3</f>
        <v>0</v>
      </c>
      <c r="D36" s="62">
        <f t="shared" si="0"/>
        <v>-10333.463568000003</v>
      </c>
      <c r="E36" s="62">
        <f t="shared" si="0"/>
        <v>3948.1527999999962</v>
      </c>
      <c r="F36" s="62">
        <f t="shared" si="0"/>
        <v>7501.7503999999899</v>
      </c>
      <c r="G36" s="62">
        <f t="shared" si="0"/>
        <v>4011.046399999992</v>
      </c>
      <c r="H36" s="62">
        <f t="shared" si="0"/>
        <v>3932.8239999999932</v>
      </c>
      <c r="I36" s="62">
        <f t="shared" si="0"/>
        <v>-20.000000000001819</v>
      </c>
      <c r="J36" s="62">
        <f t="shared" si="0"/>
        <v>0</v>
      </c>
      <c r="K36" s="62">
        <f t="shared" si="0"/>
        <v>8552.4023999999954</v>
      </c>
      <c r="L36" s="62">
        <f t="shared" si="0"/>
        <v>1811.679999999993</v>
      </c>
      <c r="M36" s="62">
        <f t="shared" si="0"/>
        <v>3859.3672000000006</v>
      </c>
      <c r="N36" s="62">
        <f t="shared" si="0"/>
        <v>4923.9655999999959</v>
      </c>
      <c r="O36" s="62">
        <f t="shared" si="0"/>
        <v>19099.771999999997</v>
      </c>
      <c r="P36" s="62">
        <f t="shared" si="0"/>
        <v>2309.9999999999995</v>
      </c>
      <c r="Q36" s="62">
        <f t="shared" si="0"/>
        <v>0</v>
      </c>
      <c r="R36" s="62">
        <f t="shared" si="0"/>
        <v>4584.530399999996</v>
      </c>
      <c r="S36" s="62">
        <f t="shared" si="0"/>
        <v>2445.3959999999934</v>
      </c>
      <c r="T36" s="62">
        <f t="shared" si="0"/>
        <v>1055.6167999999961</v>
      </c>
      <c r="U36" s="62">
        <f t="shared" si="0"/>
        <v>3652.8039999999964</v>
      </c>
      <c r="V36" s="62">
        <f t="shared" si="0"/>
        <v>7547.7887999999948</v>
      </c>
      <c r="W36" s="62">
        <f t="shared" si="0"/>
        <v>1713.8967999999995</v>
      </c>
      <c r="X36" s="62">
        <f t="shared" si="0"/>
        <v>0</v>
      </c>
      <c r="Y36" s="62">
        <f t="shared" si="0"/>
        <v>3016.895199999999</v>
      </c>
      <c r="Z36" s="62" t="e">
        <f t="shared" si="0"/>
        <v>#VALUE!</v>
      </c>
      <c r="AA36" s="62">
        <f t="shared" si="0"/>
        <v>3032.8600000000006</v>
      </c>
      <c r="AB36" s="62">
        <f t="shared" si="0"/>
        <v>3096.6552000000011</v>
      </c>
      <c r="AC36" s="62">
        <f t="shared" si="0"/>
        <v>5889.9239999999845</v>
      </c>
      <c r="AD36" s="62">
        <f t="shared" si="0"/>
        <v>2981.5599999999995</v>
      </c>
      <c r="AE36" s="62">
        <f t="shared" si="0"/>
        <v>0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7"/>
  <sheetViews>
    <sheetView tabSelected="1" topLeftCell="A49" zoomScaleSheetLayoutView="85" workbookViewId="0">
      <selection activeCell="M75" sqref="M75"/>
    </sheetView>
  </sheetViews>
  <sheetFormatPr defaultColWidth="9.109375" defaultRowHeight="13.2"/>
  <cols>
    <col min="1" max="1" width="12.88671875" style="75" customWidth="1"/>
    <col min="2" max="2" width="6.33203125" style="75" customWidth="1"/>
    <col min="3" max="4" width="13.109375" style="75" customWidth="1"/>
    <col min="5" max="5" width="13.5546875" style="75" customWidth="1"/>
    <col min="6" max="6" width="13.33203125" style="75" customWidth="1"/>
    <col min="7" max="7" width="10.33203125" style="75" bestFit="1" customWidth="1"/>
    <col min="8" max="8" width="9.33203125" style="75" bestFit="1" customWidth="1"/>
    <col min="9" max="9" width="12.88671875" style="75" customWidth="1"/>
    <col min="10" max="10" width="7.33203125" style="75" customWidth="1"/>
    <col min="11" max="11" width="15.109375" style="75" customWidth="1"/>
    <col min="12" max="12" width="16.88671875" style="75" customWidth="1"/>
    <col min="13" max="13" width="13.5546875" style="75" customWidth="1"/>
    <col min="14" max="14" width="13.33203125" style="75" customWidth="1"/>
    <col min="15" max="16384" width="9.109375" style="75"/>
  </cols>
  <sheetData>
    <row r="1" spans="1:15" ht="15.6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6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6">
      <c r="A3" s="74" t="s">
        <v>129</v>
      </c>
      <c r="B3" s="72"/>
      <c r="C3" s="72"/>
      <c r="D3" s="72"/>
      <c r="E3" s="72"/>
      <c r="F3" s="72"/>
      <c r="I3" s="74" t="s">
        <v>130</v>
      </c>
      <c r="J3" s="72"/>
      <c r="K3" s="72"/>
      <c r="L3" s="72"/>
      <c r="M3" s="72"/>
      <c r="N3" s="72"/>
    </row>
    <row r="4" spans="1:15" ht="13.8" thickBot="1"/>
    <row r="5" spans="1:15" ht="13.5" customHeight="1" thickTop="1">
      <c r="A5" s="221" t="s">
        <v>2</v>
      </c>
      <c r="B5" s="223" t="s">
        <v>3</v>
      </c>
      <c r="C5" s="223" t="s">
        <v>71</v>
      </c>
      <c r="D5" s="225" t="s">
        <v>29</v>
      </c>
      <c r="E5" s="226"/>
      <c r="F5" s="219" t="s">
        <v>72</v>
      </c>
      <c r="I5" s="221" t="s">
        <v>2</v>
      </c>
      <c r="J5" s="223" t="s">
        <v>3</v>
      </c>
      <c r="K5" s="223" t="s">
        <v>71</v>
      </c>
      <c r="L5" s="225" t="s">
        <v>29</v>
      </c>
      <c r="M5" s="226"/>
      <c r="N5" s="219" t="s">
        <v>73</v>
      </c>
    </row>
    <row r="6" spans="1:15" ht="27" thickBot="1">
      <c r="A6" s="222"/>
      <c r="B6" s="224"/>
      <c r="C6" s="224"/>
      <c r="D6" s="76" t="s">
        <v>74</v>
      </c>
      <c r="E6" s="76" t="s">
        <v>75</v>
      </c>
      <c r="F6" s="220"/>
      <c r="I6" s="222"/>
      <c r="J6" s="224"/>
      <c r="K6" s="224"/>
      <c r="L6" s="76" t="s">
        <v>74</v>
      </c>
      <c r="M6" s="76" t="s">
        <v>75</v>
      </c>
      <c r="N6" s="220"/>
    </row>
    <row r="7" spans="1:15" ht="13.8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17">
        <v>42339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17">
        <v>42354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8" thickBot="1">
      <c r="A9" s="218"/>
      <c r="B9" s="83" t="s">
        <v>44</v>
      </c>
      <c r="C9" s="80">
        <f>+'SALES SUMMARY'!AF10</f>
        <v>307.14</v>
      </c>
      <c r="D9" s="81">
        <f>(C9*0.8)*0.85</f>
        <v>208.8552</v>
      </c>
      <c r="E9" s="81">
        <f>(C9*0.8)*0.15</f>
        <v>36.8568</v>
      </c>
      <c r="F9" s="82">
        <f>C9*0.2</f>
        <v>61.427999999999997</v>
      </c>
      <c r="I9" s="218"/>
      <c r="J9" s="83" t="s">
        <v>44</v>
      </c>
      <c r="K9" s="80">
        <f>+'SALES SUMMARY'!AF55</f>
        <v>0</v>
      </c>
      <c r="L9" s="81">
        <f>(K9*0.8)*0.85</f>
        <v>0</v>
      </c>
      <c r="M9" s="81">
        <f>(K9*0.8)*0.15</f>
        <v>0</v>
      </c>
      <c r="N9" s="82">
        <f>K9*0.2</f>
        <v>0</v>
      </c>
    </row>
    <row r="10" spans="1:15" ht="13.8" thickBot="1">
      <c r="A10" s="126"/>
      <c r="B10" s="84"/>
      <c r="C10" s="85">
        <f>+C9+C8</f>
        <v>307.14</v>
      </c>
      <c r="D10" s="86">
        <f>+D9+D8</f>
        <v>208.8552</v>
      </c>
      <c r="E10" s="86">
        <f>+E9+E8</f>
        <v>36.8568</v>
      </c>
      <c r="F10" s="87">
        <f>+F9+F8</f>
        <v>61.427999999999997</v>
      </c>
      <c r="I10" s="126"/>
      <c r="J10" s="84"/>
      <c r="K10" s="85">
        <f>+K9+K8</f>
        <v>0</v>
      </c>
      <c r="L10" s="86">
        <f>+L9+L8</f>
        <v>0</v>
      </c>
      <c r="M10" s="86">
        <f>+M9+M8</f>
        <v>0</v>
      </c>
      <c r="N10" s="87">
        <f>+N9+N8</f>
        <v>0</v>
      </c>
    </row>
    <row r="11" spans="1:15">
      <c r="A11" s="217">
        <f>+A8+1</f>
        <v>42340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42355</v>
      </c>
      <c r="J11" s="83"/>
      <c r="K11" s="80">
        <f>+'SALES SUMMARY'!AF57</f>
        <v>684.61</v>
      </c>
      <c r="L11" s="81">
        <f>(K11*0.8)*0.85</f>
        <v>465.53479999999996</v>
      </c>
      <c r="M11" s="81">
        <f>(K11*0.8)*0.15</f>
        <v>82.153199999999998</v>
      </c>
      <c r="N11" s="82">
        <f>K11*0.2</f>
        <v>136.922</v>
      </c>
    </row>
    <row r="12" spans="1:15" ht="13.8" thickBot="1">
      <c r="A12" s="218"/>
      <c r="B12" s="83"/>
      <c r="C12" s="80">
        <f>+'SALES SUMMARY'!AF13</f>
        <v>0</v>
      </c>
      <c r="D12" s="81">
        <f>(C12*0.8)*0.85</f>
        <v>0</v>
      </c>
      <c r="E12" s="81">
        <f>(C12*0.8)*0.15</f>
        <v>0</v>
      </c>
      <c r="F12" s="82">
        <f>C12*0.2</f>
        <v>0</v>
      </c>
      <c r="I12" s="124"/>
      <c r="J12" s="83"/>
      <c r="K12" s="80">
        <f>+'SALES SUMMARY'!AF58</f>
        <v>832.5</v>
      </c>
      <c r="L12" s="81">
        <f>(K12*0.8)*0.85</f>
        <v>566.1</v>
      </c>
      <c r="M12" s="81">
        <f>(K12*0.8)*0.15</f>
        <v>99.899999999999991</v>
      </c>
      <c r="N12" s="82">
        <f>K12*0.2</f>
        <v>166.5</v>
      </c>
    </row>
    <row r="13" spans="1:15" ht="13.8" thickBot="1">
      <c r="A13" s="126"/>
      <c r="B13" s="84"/>
      <c r="C13" s="85">
        <f>+C12+C11</f>
        <v>0</v>
      </c>
      <c r="D13" s="86">
        <f>+D12+D11</f>
        <v>0</v>
      </c>
      <c r="E13" s="86">
        <f>+E12+E11</f>
        <v>0</v>
      </c>
      <c r="F13" s="87">
        <f>+F12+F11</f>
        <v>0</v>
      </c>
      <c r="I13" s="126"/>
      <c r="J13" s="84"/>
      <c r="K13" s="85">
        <f>+K12+K11</f>
        <v>1517.1100000000001</v>
      </c>
      <c r="L13" s="86">
        <f>+L12+L11</f>
        <v>1031.6348</v>
      </c>
      <c r="M13" s="86">
        <f>+M12+M11</f>
        <v>182.0532</v>
      </c>
      <c r="N13" s="87">
        <f>+N12+N11</f>
        <v>303.42200000000003</v>
      </c>
    </row>
    <row r="14" spans="1:15">
      <c r="A14" s="217">
        <f>+A11+1</f>
        <v>42341</v>
      </c>
      <c r="B14" s="83"/>
      <c r="C14" s="80">
        <f>+'SALES SUMMARY'!AF15</f>
        <v>1258.44</v>
      </c>
      <c r="D14" s="81">
        <f>(C14*0.8)*0.85</f>
        <v>855.73919999999998</v>
      </c>
      <c r="E14" s="81">
        <f>(C14*0.8)*0.15</f>
        <v>151.0128</v>
      </c>
      <c r="F14" s="82">
        <f>C14*0.2</f>
        <v>251.68800000000002</v>
      </c>
      <c r="I14" s="123">
        <f>+I11+1</f>
        <v>42356</v>
      </c>
      <c r="J14" s="83"/>
      <c r="K14" s="80">
        <f>+'SALES SUMMARY'!AF60</f>
        <v>1385.61</v>
      </c>
      <c r="L14" s="81">
        <f>(K14*0.8)*0.85</f>
        <v>942.21479999999997</v>
      </c>
      <c r="M14" s="81">
        <f>(K14*0.8)*0.15</f>
        <v>166.2732</v>
      </c>
      <c r="N14" s="82">
        <f>K14*0.2</f>
        <v>277.12200000000001</v>
      </c>
    </row>
    <row r="15" spans="1:15" ht="13.8" thickBot="1">
      <c r="A15" s="218"/>
      <c r="B15" s="83"/>
      <c r="C15" s="80">
        <f>+'SALES SUMMARY'!AF16</f>
        <v>909.47</v>
      </c>
      <c r="D15" s="81">
        <f>(C15*0.8)*0.85</f>
        <v>618.43960000000004</v>
      </c>
      <c r="E15" s="81">
        <f>(C15*0.8)*0.15</f>
        <v>109.13639999999999</v>
      </c>
      <c r="F15" s="82">
        <f>C15*0.2</f>
        <v>181.89400000000001</v>
      </c>
      <c r="I15" s="124"/>
      <c r="J15" s="83"/>
      <c r="K15" s="80">
        <f>+'SALES SUMMARY'!AF61</f>
        <v>1317.73</v>
      </c>
      <c r="L15" s="81">
        <f>(K15*0.8)*0.85</f>
        <v>896.05639999999994</v>
      </c>
      <c r="M15" s="81">
        <f>(K15*0.8)*0.15</f>
        <v>158.1276</v>
      </c>
      <c r="N15" s="82">
        <f>K15*0.2</f>
        <v>263.54599999999999</v>
      </c>
    </row>
    <row r="16" spans="1:15" ht="13.8" thickBot="1">
      <c r="A16" s="127"/>
      <c r="B16" s="84"/>
      <c r="C16" s="85">
        <f>+C15+C14</f>
        <v>2167.91</v>
      </c>
      <c r="D16" s="86">
        <f>+D15+D14</f>
        <v>1474.1788000000001</v>
      </c>
      <c r="E16" s="86">
        <f>+E15+E14</f>
        <v>260.14920000000001</v>
      </c>
      <c r="F16" s="87">
        <f>+F15+F14</f>
        <v>433.58199999999999</v>
      </c>
      <c r="I16" s="127"/>
      <c r="J16" s="84"/>
      <c r="K16" s="85">
        <f>+K15+K14</f>
        <v>2703.34</v>
      </c>
      <c r="L16" s="86">
        <f>+L15+L14</f>
        <v>1838.2711999999999</v>
      </c>
      <c r="M16" s="86">
        <f>+M15+M14</f>
        <v>324.4008</v>
      </c>
      <c r="N16" s="87">
        <f>+N15+N14</f>
        <v>540.66800000000001</v>
      </c>
    </row>
    <row r="17" spans="1:14">
      <c r="A17" s="217">
        <f>+A14+1</f>
        <v>42342</v>
      </c>
      <c r="B17" s="83"/>
      <c r="C17" s="80">
        <f>+'SALES SUMMARY'!AF18</f>
        <v>1569.29</v>
      </c>
      <c r="D17" s="81">
        <f>(C17*0.8)*0.85</f>
        <v>1067.1171999999999</v>
      </c>
      <c r="E17" s="81">
        <f>(C17*0.8)*0.15</f>
        <v>188.31479999999999</v>
      </c>
      <c r="F17" s="82">
        <f>C17*0.2</f>
        <v>313.858</v>
      </c>
      <c r="I17" s="123">
        <f>+I14+1</f>
        <v>42357</v>
      </c>
      <c r="J17" s="83"/>
      <c r="K17" s="80">
        <f>+'SALES SUMMARY'!AF63</f>
        <v>1253.78</v>
      </c>
      <c r="L17" s="81">
        <f>(K17*0.8)*0.85</f>
        <v>852.57039999999995</v>
      </c>
      <c r="M17" s="81">
        <f>(K17*0.8)*0.15</f>
        <v>150.45359999999999</v>
      </c>
      <c r="N17" s="82">
        <f>K17*0.2</f>
        <v>250.756</v>
      </c>
    </row>
    <row r="18" spans="1:14" ht="13.8" thickBot="1">
      <c r="A18" s="218"/>
      <c r="B18" s="83"/>
      <c r="C18" s="80">
        <f>+'SALES SUMMARY'!AF19</f>
        <v>1503.97</v>
      </c>
      <c r="D18" s="81">
        <f>(C18*0.8)*0.85</f>
        <v>1022.6996000000001</v>
      </c>
      <c r="E18" s="81">
        <f>(C18*0.8)*0.15</f>
        <v>180.47640000000001</v>
      </c>
      <c r="F18" s="82">
        <f>C18*0.2</f>
        <v>300.79400000000004</v>
      </c>
      <c r="I18" s="124"/>
      <c r="J18" s="83"/>
      <c r="K18" s="80">
        <f>+'SALES SUMMARY'!AF64</f>
        <v>1459.29</v>
      </c>
      <c r="L18" s="81">
        <f>(K18*0.8)*0.85</f>
        <v>992.31719999999996</v>
      </c>
      <c r="M18" s="81">
        <f>(K18*0.8)*0.15</f>
        <v>175.1148</v>
      </c>
      <c r="N18" s="82">
        <f>K18*0.2</f>
        <v>291.858</v>
      </c>
    </row>
    <row r="19" spans="1:14" ht="13.8" thickBot="1">
      <c r="A19" s="127"/>
      <c r="B19" s="84"/>
      <c r="C19" s="85">
        <f>+C18+C17</f>
        <v>3073.26</v>
      </c>
      <c r="D19" s="86">
        <f>+D18+D17</f>
        <v>2089.8168000000001</v>
      </c>
      <c r="E19" s="86">
        <f>+E18+E17</f>
        <v>368.7912</v>
      </c>
      <c r="F19" s="87">
        <f>+F18+F17</f>
        <v>614.65200000000004</v>
      </c>
      <c r="I19" s="127"/>
      <c r="J19" s="84"/>
      <c r="K19" s="85">
        <f>+K18+K17</f>
        <v>2713.0699999999997</v>
      </c>
      <c r="L19" s="86">
        <f>+L18+L17</f>
        <v>1844.8876</v>
      </c>
      <c r="M19" s="86">
        <f>+M18+M17</f>
        <v>325.5684</v>
      </c>
      <c r="N19" s="87">
        <f>+N18+N17</f>
        <v>542.61400000000003</v>
      </c>
    </row>
    <row r="20" spans="1:14">
      <c r="A20" s="217">
        <f>+A17+1</f>
        <v>42343</v>
      </c>
      <c r="B20" s="83"/>
      <c r="C20" s="80">
        <f>+'SALES SUMMARY'!AF21</f>
        <v>1348.54</v>
      </c>
      <c r="D20" s="81">
        <f>(C20*0.8)*0.85</f>
        <v>917.00720000000001</v>
      </c>
      <c r="E20" s="81">
        <f>(C20*0.8)*0.15</f>
        <v>161.82480000000001</v>
      </c>
      <c r="F20" s="82">
        <f>C20*0.2</f>
        <v>269.70800000000003</v>
      </c>
      <c r="I20" s="123">
        <f>+I17+1</f>
        <v>42358</v>
      </c>
      <c r="J20" s="83"/>
      <c r="K20" s="80">
        <f>+'SALES SUMMARY'!AF66</f>
        <v>2796.61</v>
      </c>
      <c r="L20" s="81">
        <f>(K20*0.8)*0.85</f>
        <v>1901.6948</v>
      </c>
      <c r="M20" s="81">
        <f>(K20*0.8)*0.15</f>
        <v>335.59319999999997</v>
      </c>
      <c r="N20" s="82">
        <f>K20*0.2</f>
        <v>559.322</v>
      </c>
    </row>
    <row r="21" spans="1:14" ht="13.8" thickBot="1">
      <c r="A21" s="218"/>
      <c r="B21" s="83"/>
      <c r="C21" s="80">
        <f>+'SALES SUMMARY'!AF22</f>
        <v>1303.82</v>
      </c>
      <c r="D21" s="81">
        <f>(C21*0.8)*0.85</f>
        <v>886.59760000000006</v>
      </c>
      <c r="E21" s="81">
        <f>(C21*0.8)*0.15</f>
        <v>156.45840000000001</v>
      </c>
      <c r="F21" s="82">
        <f>C21*0.2</f>
        <v>260.76400000000001</v>
      </c>
      <c r="I21" s="124"/>
      <c r="J21" s="83"/>
      <c r="K21" s="80">
        <f>+'SALES SUMMARY'!AF67</f>
        <v>1576.79</v>
      </c>
      <c r="L21" s="81">
        <f>(K21*0.8)*0.85</f>
        <v>1072.2172</v>
      </c>
      <c r="M21" s="81">
        <f>(K21*0.8)*0.15</f>
        <v>189.2148</v>
      </c>
      <c r="N21" s="82">
        <f>K21*0.2</f>
        <v>315.358</v>
      </c>
    </row>
    <row r="22" spans="1:14" ht="13.8" thickBot="1">
      <c r="A22" s="127"/>
      <c r="B22" s="84"/>
      <c r="C22" s="85">
        <f>+C21+C20</f>
        <v>2652.3599999999997</v>
      </c>
      <c r="D22" s="86">
        <f>+D21+D20</f>
        <v>1803.6048000000001</v>
      </c>
      <c r="E22" s="86">
        <f>+E21+E20</f>
        <v>318.28320000000002</v>
      </c>
      <c r="F22" s="87">
        <f>+F21+F20</f>
        <v>530.47199999999998</v>
      </c>
      <c r="I22" s="127"/>
      <c r="J22" s="84"/>
      <c r="K22" s="85">
        <f>+K21+K20</f>
        <v>4373.3999999999996</v>
      </c>
      <c r="L22" s="86">
        <f>+L21+L20</f>
        <v>2973.9120000000003</v>
      </c>
      <c r="M22" s="86">
        <f>+M21+M20</f>
        <v>524.80799999999999</v>
      </c>
      <c r="N22" s="87">
        <f>+N21+N20</f>
        <v>874.68000000000006</v>
      </c>
    </row>
    <row r="23" spans="1:14">
      <c r="A23" s="217">
        <f>+A20+1</f>
        <v>42344</v>
      </c>
      <c r="B23" s="83"/>
      <c r="C23" s="80">
        <f>+'SALES SUMMARY'!AF24</f>
        <v>2086.58</v>
      </c>
      <c r="D23" s="81">
        <f>(C23*0.8)*0.85</f>
        <v>1418.8744000000002</v>
      </c>
      <c r="E23" s="81">
        <f>(C23*0.8)*0.15</f>
        <v>250.3896</v>
      </c>
      <c r="F23" s="82">
        <f>C23*0.2</f>
        <v>417.31600000000003</v>
      </c>
      <c r="I23" s="123">
        <f>+I20+1</f>
        <v>42359</v>
      </c>
      <c r="J23" s="83"/>
      <c r="K23" s="80">
        <f>+'SALES SUMMARY'!AF69</f>
        <v>1675.59</v>
      </c>
      <c r="L23" s="81">
        <f>(K23*0.8)*0.85</f>
        <v>1139.4012</v>
      </c>
      <c r="M23" s="81">
        <f>(K23*0.8)*0.15</f>
        <v>201.07079999999999</v>
      </c>
      <c r="N23" s="82">
        <f>K23*0.2</f>
        <v>335.11799999999999</v>
      </c>
    </row>
    <row r="24" spans="1:14" ht="13.8" thickBot="1">
      <c r="A24" s="218"/>
      <c r="B24" s="83"/>
      <c r="C24" s="80">
        <f>+'SALES SUMMARY'!AF25</f>
        <v>2525.11</v>
      </c>
      <c r="D24" s="81">
        <f>(C24*0.8)*0.85</f>
        <v>1717.0748000000001</v>
      </c>
      <c r="E24" s="81">
        <f>(C24*0.8)*0.15</f>
        <v>303.01320000000004</v>
      </c>
      <c r="F24" s="82">
        <f>C24*0.2</f>
        <v>505.02200000000005</v>
      </c>
      <c r="I24" s="124"/>
      <c r="J24" s="83"/>
      <c r="K24" s="80">
        <f>+'SALES SUMMARY'!AF70</f>
        <v>1622.23</v>
      </c>
      <c r="L24" s="81">
        <f>(K24*0.8)*0.85</f>
        <v>1103.1164000000001</v>
      </c>
      <c r="M24" s="81">
        <f>(K24*0.8)*0.15</f>
        <v>194.66760000000002</v>
      </c>
      <c r="N24" s="82">
        <f>K24*0.2</f>
        <v>324.44600000000003</v>
      </c>
    </row>
    <row r="25" spans="1:14" ht="13.8" thickBot="1">
      <c r="A25" s="127"/>
      <c r="B25" s="84"/>
      <c r="C25" s="85">
        <f>+C24+C23</f>
        <v>4611.6900000000005</v>
      </c>
      <c r="D25" s="86">
        <f>+D24+D23</f>
        <v>3135.9492</v>
      </c>
      <c r="E25" s="86">
        <f>+E24+E23</f>
        <v>553.40280000000007</v>
      </c>
      <c r="F25" s="87">
        <f>+F24+F23</f>
        <v>922.33800000000008</v>
      </c>
      <c r="G25" s="128"/>
      <c r="I25" s="127"/>
      <c r="J25" s="84"/>
      <c r="K25" s="85">
        <f>+K24+K23</f>
        <v>3297.8199999999997</v>
      </c>
      <c r="L25" s="86">
        <f>+L24+L23</f>
        <v>2242.5176000000001</v>
      </c>
      <c r="M25" s="86">
        <f>+M24+M23</f>
        <v>395.73840000000001</v>
      </c>
      <c r="N25" s="87">
        <f>+N24+N23</f>
        <v>659.56400000000008</v>
      </c>
    </row>
    <row r="26" spans="1:14">
      <c r="A26" s="217">
        <f>+A23+1</f>
        <v>42345</v>
      </c>
      <c r="B26" s="83"/>
      <c r="C26" s="80">
        <f>+'SALES SUMMARY'!AF27</f>
        <v>1798.87</v>
      </c>
      <c r="D26" s="81">
        <f>(C26*0.8)*0.85</f>
        <v>1223.2316000000001</v>
      </c>
      <c r="E26" s="81">
        <f>(C26*0.8)*0.15</f>
        <v>215.86439999999999</v>
      </c>
      <c r="F26" s="82">
        <f>C26*0.2</f>
        <v>359.774</v>
      </c>
      <c r="I26" s="123">
        <f>+I23+1</f>
        <v>42360</v>
      </c>
      <c r="J26" s="83"/>
      <c r="K26" s="80">
        <f>+'SALES SUMMARY'!AF72</f>
        <v>0</v>
      </c>
      <c r="L26" s="81">
        <f>(K26*0.8)*0.85</f>
        <v>0</v>
      </c>
      <c r="M26" s="81">
        <f>(K26*0.8)*0.15</f>
        <v>0</v>
      </c>
      <c r="N26" s="82">
        <f>K26*0.2</f>
        <v>0</v>
      </c>
    </row>
    <row r="27" spans="1:14" ht="13.8" thickBot="1">
      <c r="A27" s="218"/>
      <c r="B27" s="83"/>
      <c r="C27" s="80">
        <f>+'SALES SUMMARY'!AF28</f>
        <v>1493.8</v>
      </c>
      <c r="D27" s="81">
        <f>(C27*0.8)*0.85</f>
        <v>1015.784</v>
      </c>
      <c r="E27" s="81">
        <f>(C27*0.8)*0.15</f>
        <v>179.256</v>
      </c>
      <c r="F27" s="82">
        <f>C27*0.2</f>
        <v>298.76</v>
      </c>
      <c r="I27" s="124"/>
      <c r="J27" s="83"/>
      <c r="K27" s="80">
        <f>+'SALES SUMMARY'!AF73</f>
        <v>568.73</v>
      </c>
      <c r="L27" s="81">
        <f>(K27*0.8)*0.85</f>
        <v>386.7364</v>
      </c>
      <c r="M27" s="81">
        <f>(K27*0.8)*0.15</f>
        <v>68.247600000000006</v>
      </c>
      <c r="N27" s="82">
        <f>K27*0.2</f>
        <v>113.74600000000001</v>
      </c>
    </row>
    <row r="28" spans="1:14" ht="13.8" thickBot="1">
      <c r="A28" s="127"/>
      <c r="B28" s="84"/>
      <c r="C28" s="85">
        <f>+C27+C26</f>
        <v>3292.67</v>
      </c>
      <c r="D28" s="86">
        <f>+D27+D26</f>
        <v>2239.0156000000002</v>
      </c>
      <c r="E28" s="86">
        <f>+E27+E26</f>
        <v>395.12040000000002</v>
      </c>
      <c r="F28" s="87">
        <f>+F27+F26</f>
        <v>658.53399999999999</v>
      </c>
      <c r="I28" s="127"/>
      <c r="J28" s="84"/>
      <c r="K28" s="85">
        <f>+K27+K26</f>
        <v>568.73</v>
      </c>
      <c r="L28" s="86">
        <f>+L27+L26</f>
        <v>386.7364</v>
      </c>
      <c r="M28" s="86">
        <f>+M27+M26</f>
        <v>68.247600000000006</v>
      </c>
      <c r="N28" s="87">
        <f>+N27+N26</f>
        <v>113.74600000000001</v>
      </c>
    </row>
    <row r="29" spans="1:14">
      <c r="A29" s="217">
        <f>+A26+1</f>
        <v>42346</v>
      </c>
      <c r="B29" s="83"/>
      <c r="C29" s="80">
        <f>+'SALES SUMMARY'!AF30</f>
        <v>0</v>
      </c>
      <c r="D29" s="81">
        <f>(C29*0.8)*0.85</f>
        <v>0</v>
      </c>
      <c r="E29" s="81">
        <f>(C29*0.8)*0.15</f>
        <v>0</v>
      </c>
      <c r="F29" s="82">
        <f>C29*0.2</f>
        <v>0</v>
      </c>
      <c r="I29" s="123">
        <f>+I26+1</f>
        <v>42361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8" thickBot="1">
      <c r="A30" s="218"/>
      <c r="B30" s="83"/>
      <c r="C30" s="80">
        <f>+'SALES SUMMARY'!AF31</f>
        <v>932.14</v>
      </c>
      <c r="D30" s="81">
        <f>(C30*0.8)*0.85</f>
        <v>633.85519999999997</v>
      </c>
      <c r="E30" s="81">
        <f>(C30*0.8)*0.15</f>
        <v>111.85679999999999</v>
      </c>
      <c r="F30" s="82">
        <f>C30*0.2</f>
        <v>186.428</v>
      </c>
      <c r="I30" s="124"/>
      <c r="J30" s="83"/>
      <c r="K30" s="80">
        <f>+'SALES SUMMARY'!AF76</f>
        <v>0</v>
      </c>
      <c r="L30" s="81">
        <f>(K30*0.8)*0.85</f>
        <v>0</v>
      </c>
      <c r="M30" s="81">
        <f>(K30*0.8)*0.15</f>
        <v>0</v>
      </c>
      <c r="N30" s="82">
        <f>K30*0.2</f>
        <v>0</v>
      </c>
    </row>
    <row r="31" spans="1:14" ht="13.8" thickBot="1">
      <c r="A31" s="127"/>
      <c r="B31" s="84"/>
      <c r="C31" s="85">
        <f>+C30+C29</f>
        <v>932.14</v>
      </c>
      <c r="D31" s="86">
        <f>+D30+D29</f>
        <v>633.85519999999997</v>
      </c>
      <c r="E31" s="86">
        <f>+E30+E29</f>
        <v>111.85679999999999</v>
      </c>
      <c r="F31" s="87">
        <f>+F30+F29</f>
        <v>186.428</v>
      </c>
      <c r="I31" s="127"/>
      <c r="J31" s="84"/>
      <c r="K31" s="85">
        <f>+K30+K29</f>
        <v>0</v>
      </c>
      <c r="L31" s="86">
        <f>+L30+L29</f>
        <v>0</v>
      </c>
      <c r="M31" s="86">
        <f>+M30+M29</f>
        <v>0</v>
      </c>
      <c r="N31" s="87">
        <f>+N30+N29</f>
        <v>0</v>
      </c>
    </row>
    <row r="32" spans="1:14">
      <c r="A32" s="217">
        <f>+A29+1</f>
        <v>42347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42362</v>
      </c>
      <c r="J32" s="83"/>
      <c r="K32" s="80">
        <f>+'SALES SUMMARY'!AF78</f>
        <v>1553.98</v>
      </c>
      <c r="L32" s="81">
        <f>(K32*0.8)*0.85</f>
        <v>1056.7064</v>
      </c>
      <c r="M32" s="81">
        <f>(K32*0.8)*0.15</f>
        <v>186.47760000000002</v>
      </c>
      <c r="N32" s="82">
        <f>K32*0.2</f>
        <v>310.79600000000005</v>
      </c>
    </row>
    <row r="33" spans="1:18" ht="13.8" thickBot="1">
      <c r="A33" s="218"/>
      <c r="B33" s="83"/>
      <c r="C33" s="80">
        <f>+'SALES SUMMARY'!AF34</f>
        <v>0</v>
      </c>
      <c r="D33" s="81">
        <f>(C33*0.8)*0.85</f>
        <v>0</v>
      </c>
      <c r="E33" s="81">
        <f>(C33*0.8)*0.15</f>
        <v>0</v>
      </c>
      <c r="F33" s="82">
        <f>C33*0.2</f>
        <v>0</v>
      </c>
      <c r="I33" s="124"/>
      <c r="J33" s="83"/>
      <c r="K33" s="80">
        <f>+'SALES SUMMARY'!AF79</f>
        <v>832.59</v>
      </c>
      <c r="L33" s="81">
        <f>(K33*0.8)*0.85</f>
        <v>566.16120000000012</v>
      </c>
      <c r="M33" s="81">
        <f>(K33*0.8)*0.15</f>
        <v>99.910800000000009</v>
      </c>
      <c r="N33" s="82">
        <f>K33*0.2</f>
        <v>166.51800000000003</v>
      </c>
    </row>
    <row r="34" spans="1:18" ht="13.8" thickBot="1">
      <c r="A34" s="127"/>
      <c r="B34" s="84"/>
      <c r="C34" s="85">
        <f>+C33+C32</f>
        <v>0</v>
      </c>
      <c r="D34" s="86">
        <f>+D33+D32</f>
        <v>0</v>
      </c>
      <c r="E34" s="86">
        <f>+E33+E32</f>
        <v>0</v>
      </c>
      <c r="F34" s="87">
        <f>+F33+F32</f>
        <v>0</v>
      </c>
      <c r="G34" s="128"/>
      <c r="I34" s="127"/>
      <c r="J34" s="84"/>
      <c r="K34" s="85">
        <f>+K33+K32</f>
        <v>2386.5700000000002</v>
      </c>
      <c r="L34" s="86">
        <f>+L33+L32</f>
        <v>1622.8676</v>
      </c>
      <c r="M34" s="86">
        <f>+M33+M32</f>
        <v>286.38840000000005</v>
      </c>
      <c r="N34" s="87">
        <f>+N33+N32</f>
        <v>477.31400000000008</v>
      </c>
    </row>
    <row r="35" spans="1:18">
      <c r="A35" s="217">
        <f>+A32+1</f>
        <v>42348</v>
      </c>
      <c r="B35" s="83"/>
      <c r="C35" s="80">
        <f>+'SALES SUMMARY'!AF36</f>
        <v>985.77</v>
      </c>
      <c r="D35" s="81">
        <f>(C35*0.8)*0.85</f>
        <v>670.32359999999994</v>
      </c>
      <c r="E35" s="81">
        <f>(C35*0.8)*0.15</f>
        <v>118.29239999999999</v>
      </c>
      <c r="F35" s="82">
        <f>C35*0.2</f>
        <v>197.154</v>
      </c>
      <c r="I35" s="123">
        <f>+I32+1</f>
        <v>42363</v>
      </c>
      <c r="J35" s="83"/>
      <c r="K35" s="80">
        <f>+'SALES SUMMARY'!AF81</f>
        <v>2098.29</v>
      </c>
      <c r="L35" s="81">
        <f>(K35*0.8)*0.85</f>
        <v>1426.8371999999999</v>
      </c>
      <c r="M35" s="81">
        <f>(K35*0.8)*0.15</f>
        <v>251.79480000000001</v>
      </c>
      <c r="N35" s="82">
        <f>K35*0.2</f>
        <v>419.65800000000002</v>
      </c>
    </row>
    <row r="36" spans="1:18" ht="13.8" thickBot="1">
      <c r="A36" s="218"/>
      <c r="B36" s="83"/>
      <c r="C36" s="80">
        <f>+'SALES SUMMARY'!AF37</f>
        <v>989.2</v>
      </c>
      <c r="D36" s="81">
        <f>(C36*0.8)*0.85</f>
        <v>672.65600000000006</v>
      </c>
      <c r="E36" s="81">
        <f>(C36*0.8)*0.15</f>
        <v>118.70400000000001</v>
      </c>
      <c r="F36" s="82">
        <f>C36*0.2</f>
        <v>197.84000000000003</v>
      </c>
      <c r="I36" s="124"/>
      <c r="J36" s="83"/>
      <c r="K36" s="80">
        <f>+'SALES SUMMARY'!AF82</f>
        <v>1415.48</v>
      </c>
      <c r="L36" s="81">
        <f>(K36*0.8)*0.85</f>
        <v>962.52639999999997</v>
      </c>
      <c r="M36" s="81">
        <f>(K36*0.8)*0.15</f>
        <v>169.85759999999999</v>
      </c>
      <c r="N36" s="82">
        <f>K36*0.2</f>
        <v>283.096</v>
      </c>
    </row>
    <row r="37" spans="1:18" ht="13.8" thickBot="1">
      <c r="A37" s="127"/>
      <c r="B37" s="84"/>
      <c r="C37" s="85">
        <f>+C36+C35</f>
        <v>1974.97</v>
      </c>
      <c r="D37" s="86">
        <f>+D36+D35</f>
        <v>1342.9796000000001</v>
      </c>
      <c r="E37" s="86">
        <f>+E36+E35</f>
        <v>236.99639999999999</v>
      </c>
      <c r="F37" s="87">
        <f>+F36+F35</f>
        <v>394.99400000000003</v>
      </c>
      <c r="G37" s="128"/>
      <c r="I37" s="127"/>
      <c r="J37" s="84"/>
      <c r="K37" s="85">
        <f>+K36+K35</f>
        <v>3513.77</v>
      </c>
      <c r="L37" s="86">
        <f>+L36+L35</f>
        <v>2389.3635999999997</v>
      </c>
      <c r="M37" s="86">
        <f>+M36+M35</f>
        <v>421.6524</v>
      </c>
      <c r="N37" s="87">
        <f>+N36+N35</f>
        <v>702.75400000000002</v>
      </c>
    </row>
    <row r="38" spans="1:18" ht="14.4">
      <c r="A38" s="217">
        <f>+A35+1</f>
        <v>42349</v>
      </c>
      <c r="B38" s="83"/>
      <c r="C38" s="80">
        <f>+'SALES SUMMARY'!AF39</f>
        <v>1257.6300000000001</v>
      </c>
      <c r="D38" s="81">
        <f>(C38*0.8)*0.85</f>
        <v>855.18840000000012</v>
      </c>
      <c r="E38" s="81">
        <f>(C38*0.8)*0.15</f>
        <v>150.91560000000001</v>
      </c>
      <c r="F38" s="82">
        <f>C38*0.2</f>
        <v>251.52600000000004</v>
      </c>
      <c r="I38" s="123">
        <f>+I35+1</f>
        <v>42364</v>
      </c>
      <c r="J38" s="83"/>
      <c r="K38" s="80">
        <f>+'SALES SUMMARY'!AF84</f>
        <v>2166.8000000000002</v>
      </c>
      <c r="L38" s="81">
        <f>(K38*0.8)*0.85</f>
        <v>1473.4240000000002</v>
      </c>
      <c r="M38" s="81">
        <f>(K38*0.8)*0.15</f>
        <v>260.01600000000002</v>
      </c>
      <c r="N38" s="82">
        <f>K38*0.2</f>
        <v>433.36000000000007</v>
      </c>
      <c r="R38" s="129"/>
    </row>
    <row r="39" spans="1:18" ht="13.8" thickBot="1">
      <c r="A39" s="218"/>
      <c r="B39" s="83"/>
      <c r="C39" s="80">
        <f>+'SALES SUMMARY'!AF40</f>
        <v>2399.36</v>
      </c>
      <c r="D39" s="81">
        <f>(C39*0.8)*0.85</f>
        <v>1631.5648000000001</v>
      </c>
      <c r="E39" s="81">
        <f>(C39*0.8)*0.15</f>
        <v>287.92320000000001</v>
      </c>
      <c r="F39" s="82">
        <f>C39*0.2</f>
        <v>479.87200000000007</v>
      </c>
      <c r="I39" s="124"/>
      <c r="J39" s="83"/>
      <c r="K39" s="80">
        <f>+'SALES SUMMARY'!AF85</f>
        <v>1300.43</v>
      </c>
      <c r="L39" s="81">
        <f>(K39*0.8)*0.85</f>
        <v>884.29240000000004</v>
      </c>
      <c r="M39" s="81">
        <f>(K39*0.8)*0.15</f>
        <v>156.05160000000001</v>
      </c>
      <c r="N39" s="82">
        <f>K39*0.2</f>
        <v>260.08600000000001</v>
      </c>
    </row>
    <row r="40" spans="1:18" ht="13.8" thickBot="1">
      <c r="A40" s="127"/>
      <c r="B40" s="84"/>
      <c r="C40" s="85">
        <f>+C39+C38</f>
        <v>3656.9900000000002</v>
      </c>
      <c r="D40" s="86">
        <f>+D39+D38</f>
        <v>2486.7532000000001</v>
      </c>
      <c r="E40" s="86">
        <f>+E39+E38</f>
        <v>438.83879999999999</v>
      </c>
      <c r="F40" s="87">
        <f>+F39+F38</f>
        <v>731.39800000000014</v>
      </c>
      <c r="I40" s="127"/>
      <c r="J40" s="84"/>
      <c r="K40" s="85">
        <f>+K39+K38</f>
        <v>3467.2300000000005</v>
      </c>
      <c r="L40" s="86">
        <f>+L39+L38</f>
        <v>2357.7164000000002</v>
      </c>
      <c r="M40" s="86">
        <f>+M39+M38</f>
        <v>416.06760000000003</v>
      </c>
      <c r="N40" s="87">
        <f>+N39+N38</f>
        <v>693.44600000000014</v>
      </c>
    </row>
    <row r="41" spans="1:18">
      <c r="A41" s="217">
        <f>+A38+1</f>
        <v>42350</v>
      </c>
      <c r="B41" s="79"/>
      <c r="C41" s="80">
        <f>+'SALES SUMMARY'!AF42</f>
        <v>1354.57</v>
      </c>
      <c r="D41" s="81">
        <f>(C41*0.8)*0.85</f>
        <v>921.10759999999993</v>
      </c>
      <c r="E41" s="81">
        <f>(C41*0.8)*0.15</f>
        <v>162.54839999999999</v>
      </c>
      <c r="F41" s="82">
        <f>C41*0.2</f>
        <v>270.91399999999999</v>
      </c>
      <c r="I41" s="123">
        <f>+I38+1</f>
        <v>42365</v>
      </c>
      <c r="J41" s="79"/>
      <c r="K41" s="80">
        <f>+'SALES SUMMARY'!AF87</f>
        <v>2936.64</v>
      </c>
      <c r="L41" s="81">
        <f>(K41*0.8)*0.85</f>
        <v>1996.9151999999999</v>
      </c>
      <c r="M41" s="81">
        <f>(K41*0.8)*0.15</f>
        <v>352.39679999999998</v>
      </c>
      <c r="N41" s="82">
        <f>K41*0.2</f>
        <v>587.32799999999997</v>
      </c>
    </row>
    <row r="42" spans="1:18" ht="13.8" thickBot="1">
      <c r="A42" s="218"/>
      <c r="B42" s="83"/>
      <c r="C42" s="80">
        <f>+'SALES SUMMARY'!AF43</f>
        <v>1948.03</v>
      </c>
      <c r="D42" s="81">
        <f>(C42*0.8)*0.85</f>
        <v>1324.6604</v>
      </c>
      <c r="E42" s="81">
        <f>(C42*0.8)*0.15</f>
        <v>233.7636</v>
      </c>
      <c r="F42" s="82">
        <f>C42*0.2</f>
        <v>389.60599999999999</v>
      </c>
      <c r="I42" s="124"/>
      <c r="J42" s="83"/>
      <c r="K42" s="80">
        <f>+'SALES SUMMARY'!AF88</f>
        <v>2419.09</v>
      </c>
      <c r="L42" s="81">
        <f>(K42*0.8)*0.85</f>
        <v>1644.9812000000002</v>
      </c>
      <c r="M42" s="81">
        <f>(K42*0.8)*0.15</f>
        <v>290.29079999999999</v>
      </c>
      <c r="N42" s="82">
        <f>K42*0.2</f>
        <v>483.81800000000004</v>
      </c>
    </row>
    <row r="43" spans="1:18" ht="13.8" thickBot="1">
      <c r="A43" s="126"/>
      <c r="B43" s="84"/>
      <c r="C43" s="85">
        <f>+C42+C41</f>
        <v>3302.6</v>
      </c>
      <c r="D43" s="86">
        <f>+D42+D41</f>
        <v>2245.768</v>
      </c>
      <c r="E43" s="86">
        <f>+E42+E41</f>
        <v>396.31200000000001</v>
      </c>
      <c r="F43" s="87">
        <f>+F42+F41</f>
        <v>660.52</v>
      </c>
      <c r="I43" s="126"/>
      <c r="J43" s="84"/>
      <c r="K43" s="85">
        <f>+K42+K41</f>
        <v>5355.73</v>
      </c>
      <c r="L43" s="86">
        <f>+L42+L41</f>
        <v>3641.8964000000001</v>
      </c>
      <c r="M43" s="86">
        <f>+M42+M41</f>
        <v>642.68759999999997</v>
      </c>
      <c r="N43" s="87">
        <f>+N42+N41</f>
        <v>1071.146</v>
      </c>
    </row>
    <row r="44" spans="1:18">
      <c r="A44" s="217">
        <f>+A41+1</f>
        <v>42351</v>
      </c>
      <c r="B44" s="83"/>
      <c r="C44" s="80">
        <f>+'SALES SUMMARY'!AF45</f>
        <v>1279.43</v>
      </c>
      <c r="D44" s="81">
        <f>(C44*0.8)*0.85</f>
        <v>870.01240000000007</v>
      </c>
      <c r="E44" s="81">
        <f>(C44*0.8)*0.15</f>
        <v>153.5316</v>
      </c>
      <c r="F44" s="82">
        <f>C44*0.2</f>
        <v>255.88600000000002</v>
      </c>
      <c r="I44" s="123">
        <f>+I41+1</f>
        <v>42366</v>
      </c>
      <c r="J44" s="83"/>
      <c r="K44" s="80">
        <f>+'SALES SUMMARY'!AF90</f>
        <v>2922.17</v>
      </c>
      <c r="L44" s="81">
        <f>(K44*0.8)*0.85</f>
        <v>1987.0756000000001</v>
      </c>
      <c r="M44" s="81">
        <f>(K44*0.8)*0.15</f>
        <v>350.66040000000004</v>
      </c>
      <c r="N44" s="82">
        <f>K44*0.2</f>
        <v>584.43400000000008</v>
      </c>
    </row>
    <row r="45" spans="1:18" ht="13.8" thickBot="1">
      <c r="A45" s="218"/>
      <c r="B45" s="83"/>
      <c r="C45" s="80">
        <f>+'SALES SUMMARY'!AF46</f>
        <v>1505.52</v>
      </c>
      <c r="D45" s="81">
        <f>(C45*0.8)*0.85</f>
        <v>1023.7535999999999</v>
      </c>
      <c r="E45" s="81">
        <f>(C45*0.8)*0.15</f>
        <v>180.66239999999999</v>
      </c>
      <c r="F45" s="82">
        <f>C45*0.2</f>
        <v>301.10399999999998</v>
      </c>
      <c r="I45" s="124"/>
      <c r="J45" s="83"/>
      <c r="K45" s="80">
        <f>+'SALES SUMMARY'!AF91</f>
        <v>1787.84</v>
      </c>
      <c r="L45" s="81">
        <f>(K45*0.8)*0.85</f>
        <v>1215.7311999999999</v>
      </c>
      <c r="M45" s="81">
        <f>(K45*0.8)*0.15</f>
        <v>214.54079999999999</v>
      </c>
      <c r="N45" s="82">
        <f>K45*0.2</f>
        <v>357.56799999999998</v>
      </c>
      <c r="R45" s="83"/>
    </row>
    <row r="46" spans="1:18" ht="13.8" thickBot="1">
      <c r="A46" s="126"/>
      <c r="B46" s="84"/>
      <c r="C46" s="85">
        <f>+C45+C44</f>
        <v>2784.95</v>
      </c>
      <c r="D46" s="86">
        <f>+D45+D44</f>
        <v>1893.7660000000001</v>
      </c>
      <c r="E46" s="86">
        <f>+E45+E44</f>
        <v>334.19399999999996</v>
      </c>
      <c r="F46" s="87">
        <f>+F45+F44</f>
        <v>556.99</v>
      </c>
      <c r="G46" s="128"/>
      <c r="I46" s="126"/>
      <c r="J46" s="84"/>
      <c r="K46" s="85">
        <f>+K45+K44</f>
        <v>4710.01</v>
      </c>
      <c r="L46" s="86">
        <f>+L45+L44</f>
        <v>3202.8068000000003</v>
      </c>
      <c r="M46" s="86">
        <f>+M45+M44</f>
        <v>565.20119999999997</v>
      </c>
      <c r="N46" s="87">
        <f>+N45+N44</f>
        <v>942.00200000000007</v>
      </c>
    </row>
    <row r="47" spans="1:18">
      <c r="A47" s="217">
        <f>+A44+1</f>
        <v>42352</v>
      </c>
      <c r="B47" s="83"/>
      <c r="C47" s="80">
        <f>+'SALES SUMMARY'!AF48</f>
        <v>3805.45</v>
      </c>
      <c r="D47" s="81">
        <f>(C47*0.8)*0.85</f>
        <v>2587.7060000000001</v>
      </c>
      <c r="E47" s="81">
        <f>(C47*0.8)*0.15</f>
        <v>456.654</v>
      </c>
      <c r="F47" s="82">
        <f>C47*0.2</f>
        <v>761.09</v>
      </c>
      <c r="I47" s="123">
        <f>+I44+1</f>
        <v>42367</v>
      </c>
      <c r="J47" s="83"/>
      <c r="K47" s="80">
        <f>+'SALES SUMMARY'!AF93</f>
        <v>0</v>
      </c>
      <c r="L47" s="81">
        <f>(K47*0.8)*0.85</f>
        <v>0</v>
      </c>
      <c r="M47" s="81">
        <f>(K47*0.8)*0.15</f>
        <v>0</v>
      </c>
      <c r="N47" s="82">
        <f>K47*0.2</f>
        <v>0</v>
      </c>
    </row>
    <row r="48" spans="1:18" ht="13.8" thickBot="1">
      <c r="A48" s="218"/>
      <c r="B48" s="83"/>
      <c r="C48" s="80">
        <f>+'SALES SUMMARY'!AF49</f>
        <v>1802.62</v>
      </c>
      <c r="D48" s="81">
        <f>(C48*0.8)*0.85</f>
        <v>1225.7816</v>
      </c>
      <c r="E48" s="81">
        <f>(C48*0.8)*0.15</f>
        <v>216.31440000000001</v>
      </c>
      <c r="F48" s="82">
        <f>C48*0.2</f>
        <v>360.524</v>
      </c>
      <c r="I48" s="124"/>
      <c r="J48" s="83"/>
      <c r="K48" s="80">
        <f>+'SALES SUMMARY'!AF94</f>
        <v>681.3</v>
      </c>
      <c r="L48" s="81">
        <f>(K48*0.8)*0.85</f>
        <v>463.28399999999993</v>
      </c>
      <c r="M48" s="81">
        <f>(K48*0.8)*0.15</f>
        <v>81.755999999999986</v>
      </c>
      <c r="N48" s="82">
        <f>K48*0.2</f>
        <v>136.26</v>
      </c>
    </row>
    <row r="49" spans="1:16" ht="13.8" thickBot="1">
      <c r="A49" s="126"/>
      <c r="B49" s="84"/>
      <c r="C49" s="85">
        <f>+C48+C47</f>
        <v>5608.07</v>
      </c>
      <c r="D49" s="86">
        <f>+D48+D47</f>
        <v>3813.4876000000004</v>
      </c>
      <c r="E49" s="86">
        <f>+E48+E47</f>
        <v>672.96839999999997</v>
      </c>
      <c r="F49" s="87">
        <f>+F48+F47</f>
        <v>1121.614</v>
      </c>
      <c r="G49" s="128"/>
      <c r="H49" s="128"/>
      <c r="I49" s="126"/>
      <c r="J49" s="84"/>
      <c r="K49" s="85">
        <f>+K48+K47</f>
        <v>681.3</v>
      </c>
      <c r="L49" s="86">
        <f>+L48+L47</f>
        <v>463.28399999999993</v>
      </c>
      <c r="M49" s="86">
        <f>+M48+M47</f>
        <v>81.755999999999986</v>
      </c>
      <c r="N49" s="87">
        <f>+N48+N47</f>
        <v>136.26</v>
      </c>
    </row>
    <row r="50" spans="1:16">
      <c r="A50" s="217">
        <f>+A47+1</f>
        <v>42353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42368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8" thickBot="1">
      <c r="A51" s="218"/>
      <c r="B51" s="83"/>
      <c r="C51" s="80">
        <f>+'SALES SUMMARY'!AF52</f>
        <v>125.45</v>
      </c>
      <c r="D51" s="81">
        <f>(C51*0.8)*0.85</f>
        <v>85.306000000000012</v>
      </c>
      <c r="E51" s="81">
        <f>(C51*0.8)*0.15</f>
        <v>15.054000000000002</v>
      </c>
      <c r="F51" s="82">
        <f>C51*0.2</f>
        <v>25.090000000000003</v>
      </c>
      <c r="I51" s="124"/>
      <c r="J51" s="83"/>
      <c r="K51" s="80">
        <f>+'SALES SUMMARY'!AF97</f>
        <v>0</v>
      </c>
      <c r="L51" s="81">
        <f>(K51*0.8)*0.85</f>
        <v>0</v>
      </c>
      <c r="M51" s="81">
        <f>(K51*0.8)*0.15</f>
        <v>0</v>
      </c>
      <c r="N51" s="82">
        <f>K51*0.2</f>
        <v>0</v>
      </c>
    </row>
    <row r="52" spans="1:16" ht="13.8" thickBot="1">
      <c r="A52" s="126"/>
      <c r="B52" s="84"/>
      <c r="C52" s="85">
        <f>+C51+C50</f>
        <v>125.45</v>
      </c>
      <c r="D52" s="86">
        <f>+D51+D50</f>
        <v>85.306000000000012</v>
      </c>
      <c r="E52" s="86">
        <f>+E51+E50</f>
        <v>15.054000000000002</v>
      </c>
      <c r="F52" s="87">
        <f>+F51+F50</f>
        <v>25.090000000000003</v>
      </c>
      <c r="G52" s="128"/>
      <c r="H52" s="128"/>
      <c r="I52" s="126"/>
      <c r="J52" s="84"/>
      <c r="K52" s="85">
        <f>+K51+K50</f>
        <v>0</v>
      </c>
      <c r="L52" s="86">
        <f>+L51+L50</f>
        <v>0</v>
      </c>
      <c r="M52" s="86">
        <f>+M51+M50</f>
        <v>0</v>
      </c>
      <c r="N52" s="87">
        <f>+N51+N50</f>
        <v>0</v>
      </c>
    </row>
    <row r="53" spans="1:16" ht="13.8" thickBot="1">
      <c r="C53" s="88"/>
      <c r="D53" s="88"/>
      <c r="E53" s="88"/>
      <c r="F53" s="82"/>
      <c r="I53" s="123">
        <f>+I50+1</f>
        <v>42369</v>
      </c>
      <c r="J53" s="83"/>
      <c r="K53" s="80">
        <f>+'SALES SUMMARY'!AF99</f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4" thickTop="1" thickBot="1">
      <c r="A54" s="89" t="s">
        <v>45</v>
      </c>
      <c r="B54" s="89"/>
      <c r="C54" s="90">
        <f>C10+C13+C16+C19+C22+C25+C28+C31+C34+C37+C40+C43+C46+C49+C52</f>
        <v>34490.199999999997</v>
      </c>
      <c r="D54" s="90">
        <f>D10+D13+D16+D19+D22+D25+D28+D31+D34+D37+D40+D43+D46+D49+D52</f>
        <v>23453.336000000003</v>
      </c>
      <c r="E54" s="90">
        <f>E10+E13+E16+E19+E22+E25+E28+E31+E34+E37+E40+E43+E46+E49+E52</f>
        <v>4138.8239999999996</v>
      </c>
      <c r="F54" s="90">
        <f>F10+F13+F16+F19+F22+F25+F28+F31+F34+F37+F40+F43+F46+F49+F52</f>
        <v>6898.0400000000009</v>
      </c>
      <c r="I54" s="124"/>
      <c r="J54" s="83"/>
      <c r="K54" s="80">
        <f>+'SALES SUMMARY'!AF100</f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4" thickTop="1" thickBot="1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8" thickBot="1">
      <c r="A56" s="91"/>
      <c r="B56" s="91"/>
      <c r="C56" s="91" t="s">
        <v>70</v>
      </c>
      <c r="D56" s="91"/>
      <c r="E56" s="91"/>
      <c r="F56" s="92">
        <f>D54</f>
        <v>23453.336000000003</v>
      </c>
      <c r="K56" s="88"/>
      <c r="L56" s="88"/>
      <c r="M56" s="88"/>
      <c r="N56" s="82"/>
    </row>
    <row r="57" spans="1:16" ht="14.4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35288.080000000002</v>
      </c>
      <c r="L57" s="90">
        <f>+L10+L13+L16+L19+L22+L25+L28+L31+L34+L37+L40+L43+L46+L49+L52+L55</f>
        <v>23995.894400000005</v>
      </c>
      <c r="M57" s="90">
        <f>+M10+M13+M16+M19+M22+M25+M28+M31+M34+M37+M40+M43+M46+M49+M52+M55</f>
        <v>4234.5695999999998</v>
      </c>
      <c r="N57" s="90">
        <f>+N10+N13+N16+N19+N22+N25+N28+N31+N34+N37+N40+N43+N46+N49+N52+N55</f>
        <v>7057.6160000000009</v>
      </c>
    </row>
    <row r="58" spans="1:16" ht="14.4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4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23995.894400000005</v>
      </c>
    </row>
    <row r="60" spans="1:16" ht="14.4" thickTop="1" thickBot="1">
      <c r="A60" s="91"/>
      <c r="B60" s="91"/>
      <c r="C60" s="91" t="s">
        <v>78</v>
      </c>
      <c r="D60" s="91"/>
      <c r="E60" s="91"/>
      <c r="F60" s="93">
        <f>(F54-F59)*0.6</f>
        <v>1390.8240000000005</v>
      </c>
      <c r="I60" s="91"/>
      <c r="J60" s="91"/>
      <c r="K60" s="91"/>
      <c r="L60" s="91"/>
      <c r="M60" s="131"/>
    </row>
    <row r="61" spans="1:16" ht="14.4" thickTop="1" thickBot="1">
      <c r="A61" s="91"/>
      <c r="B61" s="91"/>
      <c r="C61" s="91" t="s">
        <v>79</v>
      </c>
      <c r="D61" s="91"/>
      <c r="E61" s="91"/>
      <c r="F61" s="94">
        <f>+F59+F60</f>
        <v>5970.8240000000005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8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8" thickBot="1">
      <c r="A63" s="91"/>
      <c r="B63" s="91"/>
      <c r="C63" s="91" t="s">
        <v>80</v>
      </c>
      <c r="D63" s="91"/>
      <c r="E63" s="91"/>
      <c r="F63" s="93">
        <f>E54</f>
        <v>4138.8239999999996</v>
      </c>
      <c r="I63" s="91"/>
      <c r="J63" s="91" t="s">
        <v>81</v>
      </c>
      <c r="K63" s="91"/>
      <c r="L63" s="91"/>
      <c r="M63" s="131"/>
      <c r="N63" s="133">
        <f>(N57-N62)*0.6</f>
        <v>1486.5696000000005</v>
      </c>
    </row>
    <row r="64" spans="1:16" ht="14.4" thickTop="1" thickBot="1">
      <c r="I64" s="91"/>
      <c r="J64" s="91" t="s">
        <v>79</v>
      </c>
      <c r="K64" s="91"/>
      <c r="L64" s="91"/>
      <c r="M64" s="130"/>
      <c r="N64" s="94">
        <f>+N62+N63</f>
        <v>6066.5696000000007</v>
      </c>
    </row>
    <row r="65" spans="3:14" ht="13.8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927.21600000000035</v>
      </c>
      <c r="I66" s="91"/>
      <c r="J66" s="91" t="s">
        <v>80</v>
      </c>
      <c r="K66" s="91"/>
      <c r="L66" s="91"/>
      <c r="M66" s="130"/>
      <c r="N66" s="93">
        <f>M57</f>
        <v>4234.5695999999998</v>
      </c>
    </row>
    <row r="67" spans="3:14">
      <c r="M67" s="83"/>
    </row>
    <row r="68" spans="3:14" ht="13.8" thickBot="1">
      <c r="C68" s="91" t="s">
        <v>84</v>
      </c>
      <c r="F68" s="95">
        <f>+F56+F59+F60+F63+F66</f>
        <v>34490.200000000004</v>
      </c>
      <c r="G68" s="128">
        <f>+F68-C54</f>
        <v>0</v>
      </c>
      <c r="J68" s="91" t="s">
        <v>82</v>
      </c>
      <c r="M68" s="83"/>
    </row>
    <row r="69" spans="3:14" ht="13.8" thickTop="1">
      <c r="J69" s="91" t="s">
        <v>83</v>
      </c>
      <c r="M69" s="83"/>
      <c r="N69" s="93">
        <f>(N57-N62)*0.4</f>
        <v>991.0464000000004</v>
      </c>
    </row>
    <row r="71" spans="3:14" ht="13.8" thickBot="1">
      <c r="J71" s="91" t="s">
        <v>84</v>
      </c>
      <c r="N71" s="95">
        <f>+N59+N62+N63+N66+N69</f>
        <v>35288.080000000002</v>
      </c>
    </row>
    <row r="72" spans="3:14" ht="13.8" thickTop="1"/>
    <row r="74" spans="3:14">
      <c r="F74" s="75" t="s">
        <v>1</v>
      </c>
    </row>
    <row r="75" spans="3:14">
      <c r="M75" s="128">
        <f>+F54+N57</f>
        <v>13955.656000000003</v>
      </c>
    </row>
    <row r="77" spans="3:14">
      <c r="L77" s="128">
        <f>+C54+K57</f>
        <v>69778.28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topLeftCell="A34" workbookViewId="0">
      <selection activeCell="J54" sqref="J54"/>
    </sheetView>
  </sheetViews>
  <sheetFormatPr defaultColWidth="9.109375" defaultRowHeight="13.2"/>
  <cols>
    <col min="1" max="1" width="31.6640625" style="73" bestFit="1" customWidth="1"/>
    <col min="2" max="2" width="9.109375" style="73"/>
    <col min="3" max="4" width="0" style="73" hidden="1" customWidth="1"/>
    <col min="5" max="5" width="9.109375" style="73"/>
    <col min="6" max="7" width="12.88671875" style="73" customWidth="1"/>
    <col min="8" max="16384" width="9.10937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 t="str">
        <f>'SALES SUMMARY'!A4</f>
        <v>FOR THE MONTH ENDED  SPETEMBER  2018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SUMMARY'!C105</f>
        <v>1011462.5200000001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SUMMARY'!AF105</f>
        <v>69778.280000000013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SUMMARY'!AM105</f>
        <v>97044.96561771429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844639.27438228577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8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16892.785487645717</v>
      </c>
    </row>
    <row r="18" spans="1:7" ht="13.8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2027.1342585174859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</f>
        <v>1689.2785487645717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8" thickBot="1">
      <c r="A23" s="104" t="s">
        <v>124</v>
      </c>
      <c r="B23" s="104"/>
      <c r="C23" s="104"/>
      <c r="D23" s="104"/>
      <c r="E23" s="104"/>
      <c r="F23" s="104"/>
      <c r="G23" s="112">
        <f>G17+G19-G21</f>
        <v>17230.641197398632</v>
      </c>
    </row>
    <row r="24" spans="1:7" ht="13.8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8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 t="str">
        <f>+A5</f>
        <v>FOR THE MONTH ENDED  SPETEMBER  2018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1011462.5200000001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69778.280000000013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97044.96561771429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844639.27438228577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8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16892.785487645717</v>
      </c>
    </row>
    <row r="52" spans="1:7" ht="13.8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2027.1342585174859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</f>
        <v>1689.2785487645717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8" thickBot="1">
      <c r="A57" s="104" t="s">
        <v>124</v>
      </c>
      <c r="B57" s="104"/>
      <c r="C57" s="104"/>
      <c r="D57" s="104"/>
      <c r="E57" s="104"/>
      <c r="F57" s="104"/>
      <c r="G57" s="112">
        <f>G51+G53-G55</f>
        <v>17230.641197398632</v>
      </c>
    </row>
    <row r="58" spans="1:7" ht="13.8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 t="str">
        <f>A5</f>
        <v>FOR THE MONTH ENDED  SPETEMBER  2018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1011462.5200000001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69778.280000000013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97044.96561771429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844639.27438228577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42231.96371911429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5067.8356462937145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</f>
        <v>4223.1963719114292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8" thickBot="1">
      <c r="A89" s="104" t="s">
        <v>124</v>
      </c>
      <c r="B89" s="104"/>
      <c r="C89" s="104"/>
      <c r="D89" s="104"/>
      <c r="E89" s="104"/>
      <c r="F89" s="104"/>
      <c r="G89" s="112">
        <f>+G83+G85-G87</f>
        <v>43076.602993496577</v>
      </c>
    </row>
    <row r="90" spans="1:7" ht="13.8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96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8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 t="str">
        <f>A5</f>
        <v>FOR THE MONTH ENDED  SPETEMBER  2018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1011462.5200000001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69778.280000000013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97044.96561771429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844639.27438228577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42231.96371911429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5067.8356462937145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</f>
        <v>4223.1963719114292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8" thickBot="1">
      <c r="A121" s="104" t="s">
        <v>124</v>
      </c>
      <c r="B121" s="104"/>
      <c r="C121" s="104"/>
      <c r="D121" s="104"/>
      <c r="E121" s="104"/>
      <c r="F121" s="104"/>
      <c r="G121" s="112">
        <f>G115+G117-G119</f>
        <v>43076.602993496577</v>
      </c>
    </row>
    <row r="122" spans="1:7" ht="13.8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C157"/>
  <sheetViews>
    <sheetView zoomScale="120" zoomScaleNormal="120" workbookViewId="0">
      <pane xSplit="2" ySplit="7" topLeftCell="W51" activePane="bottomRight" state="frozen"/>
      <selection pane="topRight" activeCell="D1" sqref="D1"/>
      <selection pane="bottomLeft" activeCell="A8" sqref="A8"/>
      <selection pane="bottomRight" activeCell="AI72" sqref="AI72"/>
    </sheetView>
  </sheetViews>
  <sheetFormatPr defaultColWidth="9.109375" defaultRowHeight="14.4"/>
  <cols>
    <col min="1" max="1" width="13" style="136" customWidth="1"/>
    <col min="2" max="2" width="5.33203125" style="136" customWidth="1"/>
    <col min="3" max="14" width="10.6640625" style="136" customWidth="1"/>
    <col min="15" max="15" width="19.33203125" style="136" customWidth="1"/>
    <col min="16" max="19" width="10.6640625" style="136" customWidth="1"/>
    <col min="20" max="21" width="11.44140625" style="136" customWidth="1"/>
    <col min="22" max="22" width="15.33203125" style="136" customWidth="1"/>
    <col min="23" max="23" width="10.6640625" style="136" customWidth="1"/>
    <col min="24" max="24" width="12" style="136" customWidth="1"/>
    <col min="25" max="39" width="10.6640625" style="136" customWidth="1"/>
    <col min="40" max="40" width="10.6640625" style="136" hidden="1" customWidth="1"/>
    <col min="41" max="41" width="10.6640625" style="136" customWidth="1"/>
    <col min="42" max="42" width="13" style="136" customWidth="1"/>
    <col min="43" max="52" width="10.6640625" style="136" customWidth="1"/>
    <col min="53" max="54" width="9.109375" style="136"/>
    <col min="55" max="107" width="12.6640625" style="4" customWidth="1"/>
    <col min="108" max="16384" width="9.109375" style="136"/>
  </cols>
  <sheetData>
    <row r="1" spans="1:107" ht="15" hidden="1" thickBot="1">
      <c r="A1" s="1" t="s">
        <v>94</v>
      </c>
      <c r="B1" s="1"/>
      <c r="C1" s="2"/>
      <c r="D1" s="2"/>
      <c r="E1" s="2"/>
      <c r="F1" s="2"/>
      <c r="G1" s="2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1"/>
      <c r="Y1" s="4"/>
      <c r="Z1" s="1"/>
      <c r="AA1" s="5"/>
      <c r="AB1" s="5"/>
      <c r="AC1" s="5"/>
      <c r="AD1" s="5"/>
      <c r="AE1" s="6"/>
      <c r="AF1" s="6"/>
      <c r="AG1" s="6"/>
      <c r="AH1" s="6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spans="1:107" ht="15" hidden="1" thickBot="1">
      <c r="A2" s="1" t="s">
        <v>67</v>
      </c>
      <c r="B2" s="1"/>
      <c r="C2" s="2"/>
      <c r="D2" s="2"/>
      <c r="E2" s="2"/>
      <c r="F2" s="2"/>
      <c r="G2" s="2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1"/>
      <c r="Y2" s="4"/>
      <c r="Z2" s="1"/>
      <c r="AA2" s="5"/>
      <c r="AB2" s="5"/>
      <c r="AC2" s="5"/>
      <c r="AD2" s="5"/>
      <c r="AE2" s="6"/>
      <c r="AF2" s="6"/>
      <c r="AG2" s="6"/>
      <c r="AH2" s="6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107" ht="15" hidden="1" thickBot="1">
      <c r="A3" s="1" t="s">
        <v>0</v>
      </c>
      <c r="B3" s="1"/>
      <c r="C3" s="7"/>
      <c r="D3" s="7"/>
      <c r="E3" s="7"/>
      <c r="F3" s="2"/>
      <c r="G3" s="2"/>
      <c r="H3" s="1"/>
      <c r="I3" s="1"/>
      <c r="J3" s="1"/>
      <c r="K3" s="2"/>
      <c r="L3" s="2"/>
      <c r="M3" s="8"/>
      <c r="N3" s="2"/>
      <c r="O3" s="2"/>
      <c r="P3" s="2"/>
      <c r="Q3" s="2"/>
      <c r="R3" s="2"/>
      <c r="S3" s="1"/>
      <c r="T3" s="2"/>
      <c r="U3" s="2"/>
      <c r="V3" s="2"/>
      <c r="W3" s="2"/>
      <c r="X3" s="1"/>
      <c r="Y3" s="4"/>
      <c r="Z3" s="1"/>
      <c r="AA3" s="5"/>
      <c r="AB3" s="5"/>
      <c r="AC3" s="5"/>
      <c r="AD3" s="5"/>
      <c r="AE3" s="6"/>
      <c r="AF3" s="6"/>
      <c r="AG3" s="6"/>
      <c r="AH3" s="6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spans="1:107" ht="22.2" hidden="1" thickBot="1">
      <c r="A4" s="9" t="s">
        <v>136</v>
      </c>
      <c r="B4" s="1"/>
      <c r="C4" s="7"/>
      <c r="D4" s="7"/>
      <c r="E4" s="7"/>
      <c r="F4" s="2"/>
      <c r="G4" s="7"/>
      <c r="H4" s="1"/>
      <c r="I4" s="1"/>
      <c r="J4" s="1"/>
      <c r="K4" s="7"/>
      <c r="L4" s="2"/>
      <c r="M4" s="7"/>
      <c r="N4" s="1"/>
      <c r="O4" s="2"/>
      <c r="P4" s="2"/>
      <c r="Q4" s="2"/>
      <c r="R4" s="2"/>
      <c r="S4" s="1"/>
      <c r="T4" s="4"/>
      <c r="U4" s="4"/>
      <c r="V4" s="4"/>
      <c r="W4" s="1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 t="s">
        <v>34</v>
      </c>
      <c r="CN4" s="144"/>
      <c r="CO4" s="144" t="s">
        <v>25</v>
      </c>
      <c r="CP4" s="144" t="s">
        <v>35</v>
      </c>
      <c r="CQ4" s="144"/>
      <c r="CR4" s="144"/>
      <c r="CS4" s="144"/>
      <c r="CT4" s="144"/>
      <c r="CU4" s="144"/>
      <c r="CV4" s="144"/>
      <c r="CW4" s="144"/>
      <c r="CX4" s="144"/>
      <c r="CY4" s="144"/>
      <c r="CZ4" s="144"/>
      <c r="DA4" s="144"/>
      <c r="DB4" s="144"/>
      <c r="DC4" s="144" t="s">
        <v>36</v>
      </c>
    </row>
    <row r="5" spans="1:107" ht="22.2" hidden="1" thickBot="1">
      <c r="A5" s="4"/>
      <c r="B5" s="4"/>
      <c r="C5" s="10"/>
      <c r="D5" s="10"/>
      <c r="E5" s="10"/>
      <c r="F5" s="10"/>
      <c r="G5" s="10"/>
      <c r="H5" s="11">
        <v>2.1499999999999998E-2</v>
      </c>
      <c r="I5" s="12">
        <v>5.0000000000000001E-3</v>
      </c>
      <c r="J5" s="13"/>
      <c r="K5" s="10"/>
      <c r="L5" s="10"/>
      <c r="M5" s="10"/>
      <c r="N5" s="10"/>
      <c r="O5" s="10"/>
      <c r="P5" s="10"/>
      <c r="Q5" s="10"/>
      <c r="R5" s="10"/>
      <c r="S5" s="4"/>
      <c r="T5" s="10"/>
      <c r="U5" s="10"/>
      <c r="V5" s="10"/>
      <c r="W5" s="10"/>
      <c r="X5" s="4"/>
      <c r="Y5" s="4"/>
      <c r="Z5" s="4"/>
      <c r="AA5" s="15"/>
      <c r="AB5" s="15"/>
      <c r="AC5" s="15"/>
      <c r="AD5" s="15"/>
      <c r="AE5" s="16"/>
      <c r="AF5" s="16"/>
      <c r="AG5" s="16"/>
      <c r="AH5" s="16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143">
        <v>0.5</v>
      </c>
      <c r="AW5" s="4"/>
      <c r="AX5" s="4"/>
      <c r="AY5" s="4"/>
      <c r="AZ5" s="4"/>
      <c r="BC5" s="144"/>
      <c r="BD5" s="144"/>
      <c r="BE5" s="144"/>
      <c r="BF5" s="14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 t="s">
        <v>41</v>
      </c>
      <c r="CM5" s="144"/>
      <c r="CN5" s="144" t="s">
        <v>42</v>
      </c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</row>
    <row r="6" spans="1:107" ht="34.5" customHeight="1" thickTop="1" thickBot="1">
      <c r="A6" s="212" t="s">
        <v>2</v>
      </c>
      <c r="B6" s="185" t="s">
        <v>3</v>
      </c>
      <c r="C6" s="189" t="s">
        <v>6</v>
      </c>
      <c r="D6" s="193" t="s">
        <v>8</v>
      </c>
      <c r="E6" s="193" t="s">
        <v>9</v>
      </c>
      <c r="F6" s="189" t="s">
        <v>11</v>
      </c>
      <c r="G6" s="189" t="s">
        <v>10</v>
      </c>
      <c r="H6" s="185" t="s">
        <v>14</v>
      </c>
      <c r="I6" s="185" t="s">
        <v>15</v>
      </c>
      <c r="J6" s="185" t="s">
        <v>16</v>
      </c>
      <c r="K6" s="189" t="s">
        <v>23</v>
      </c>
      <c r="L6" s="198" t="s">
        <v>24</v>
      </c>
      <c r="M6" s="189" t="s">
        <v>25</v>
      </c>
      <c r="N6" s="189" t="s">
        <v>26</v>
      </c>
      <c r="O6" s="177"/>
      <c r="P6" s="200" t="s">
        <v>29</v>
      </c>
      <c r="Q6" s="201"/>
      <c r="R6" s="193" t="s">
        <v>30</v>
      </c>
      <c r="S6" s="193" t="s">
        <v>31</v>
      </c>
      <c r="T6" s="196" t="s">
        <v>33</v>
      </c>
      <c r="U6" s="183"/>
      <c r="V6" s="202" t="s">
        <v>103</v>
      </c>
      <c r="W6" s="17"/>
      <c r="X6" s="187" t="s">
        <v>63</v>
      </c>
      <c r="Y6" s="187" t="s">
        <v>64</v>
      </c>
      <c r="Z6" s="187" t="s">
        <v>111</v>
      </c>
      <c r="AA6" s="187" t="s">
        <v>65</v>
      </c>
      <c r="AB6" s="187" t="s">
        <v>98</v>
      </c>
      <c r="AC6" s="187" t="s">
        <v>119</v>
      </c>
      <c r="AD6" s="187" t="s">
        <v>113</v>
      </c>
      <c r="AE6" s="187" t="s">
        <v>114</v>
      </c>
      <c r="AF6" s="187" t="s">
        <v>115</v>
      </c>
      <c r="AG6" s="173"/>
      <c r="AH6" s="175"/>
      <c r="AI6" s="207" t="s">
        <v>34</v>
      </c>
      <c r="AJ6" s="178"/>
      <c r="AK6" s="193" t="s">
        <v>25</v>
      </c>
      <c r="AL6" s="193" t="s">
        <v>35</v>
      </c>
      <c r="AM6" s="187" t="s">
        <v>134</v>
      </c>
      <c r="AN6" s="187" t="s">
        <v>125</v>
      </c>
      <c r="AO6" s="187" t="s">
        <v>112</v>
      </c>
      <c r="AP6" s="187" t="s">
        <v>128</v>
      </c>
      <c r="AQ6" s="187" t="s">
        <v>131</v>
      </c>
      <c r="AR6" s="187" t="s">
        <v>132</v>
      </c>
      <c r="AS6" s="187" t="s">
        <v>133</v>
      </c>
      <c r="AT6" s="187" t="s">
        <v>127</v>
      </c>
      <c r="AU6" s="187" t="s">
        <v>116</v>
      </c>
      <c r="AV6" s="187" t="s">
        <v>118</v>
      </c>
      <c r="AW6" s="18"/>
      <c r="AX6" s="18"/>
      <c r="AY6" s="18"/>
      <c r="AZ6" s="200" t="s">
        <v>36</v>
      </c>
    </row>
    <row r="7" spans="1:107" ht="31.8" thickTop="1" thickBot="1">
      <c r="A7" s="213"/>
      <c r="B7" s="186"/>
      <c r="C7" s="191"/>
      <c r="D7" s="195"/>
      <c r="E7" s="195"/>
      <c r="F7" s="190"/>
      <c r="G7" s="190"/>
      <c r="H7" s="186"/>
      <c r="I7" s="186"/>
      <c r="J7" s="186"/>
      <c r="K7" s="191"/>
      <c r="L7" s="199"/>
      <c r="M7" s="191"/>
      <c r="N7" s="191"/>
      <c r="O7" s="119" t="s">
        <v>97</v>
      </c>
      <c r="P7" s="20" t="s">
        <v>38</v>
      </c>
      <c r="Q7" s="20" t="s">
        <v>39</v>
      </c>
      <c r="R7" s="194"/>
      <c r="S7" s="195"/>
      <c r="T7" s="197"/>
      <c r="U7" s="184"/>
      <c r="V7" s="203"/>
      <c r="W7" s="21" t="s">
        <v>66</v>
      </c>
      <c r="X7" s="188"/>
      <c r="Y7" s="188"/>
      <c r="Z7" s="188"/>
      <c r="AA7" s="188"/>
      <c r="AB7" s="188"/>
      <c r="AC7" s="188"/>
      <c r="AD7" s="188"/>
      <c r="AE7" s="188"/>
      <c r="AF7" s="188"/>
      <c r="AG7" s="174"/>
      <c r="AH7" s="176" t="s">
        <v>41</v>
      </c>
      <c r="AI7" s="208"/>
      <c r="AJ7" s="179" t="s">
        <v>42</v>
      </c>
      <c r="AK7" s="194"/>
      <c r="AL7" s="194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22"/>
      <c r="AX7" s="22"/>
      <c r="AY7" s="22"/>
      <c r="AZ7" s="206"/>
      <c r="BC7" s="4" t="s">
        <v>58</v>
      </c>
      <c r="BD7" s="4" t="s">
        <v>59</v>
      </c>
      <c r="BE7" s="4" t="s">
        <v>60</v>
      </c>
      <c r="BF7" s="4" t="s">
        <v>61</v>
      </c>
      <c r="BG7" s="4" t="s">
        <v>36</v>
      </c>
    </row>
    <row r="8" spans="1:107" ht="15" thickTop="1">
      <c r="A8" s="23"/>
      <c r="B8" s="24"/>
      <c r="C8" s="26"/>
      <c r="D8" s="25"/>
      <c r="E8" s="25"/>
      <c r="F8" s="26"/>
      <c r="G8" s="26"/>
      <c r="H8" s="24"/>
      <c r="I8" s="24"/>
      <c r="J8" s="24"/>
      <c r="K8" s="26"/>
      <c r="L8" s="26"/>
      <c r="M8" s="26"/>
      <c r="N8" s="34"/>
      <c r="O8" s="28"/>
      <c r="P8" s="25"/>
      <c r="Q8" s="25"/>
      <c r="R8" s="25"/>
      <c r="S8" s="25"/>
      <c r="T8" s="25"/>
      <c r="U8" s="25"/>
      <c r="V8" s="25"/>
      <c r="W8" s="29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25"/>
      <c r="AI8" s="28"/>
      <c r="AJ8" s="28"/>
      <c r="AK8" s="25"/>
      <c r="AL8" s="25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31"/>
    </row>
    <row r="9" spans="1:107">
      <c r="A9" s="180">
        <v>43344</v>
      </c>
      <c r="B9" s="32" t="s">
        <v>43</v>
      </c>
      <c r="C9" s="34"/>
      <c r="D9" s="33">
        <v>0</v>
      </c>
      <c r="E9" s="33">
        <v>0</v>
      </c>
      <c r="F9" s="34"/>
      <c r="G9" s="34"/>
      <c r="H9" s="36">
        <v>0</v>
      </c>
      <c r="I9" s="36">
        <v>0</v>
      </c>
      <c r="J9" s="36">
        <v>0</v>
      </c>
      <c r="K9" s="34">
        <v>0</v>
      </c>
      <c r="L9" s="34">
        <v>0</v>
      </c>
      <c r="M9" s="34">
        <v>0</v>
      </c>
      <c r="N9" s="34">
        <v>0</v>
      </c>
      <c r="O9" s="38"/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/>
      <c r="V9" s="33">
        <v>0</v>
      </c>
      <c r="W9" s="3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33">
        <v>0</v>
      </c>
      <c r="AI9" s="38"/>
      <c r="AJ9" s="38"/>
      <c r="AK9" s="33">
        <v>0</v>
      </c>
      <c r="AL9" s="33">
        <v>0</v>
      </c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1">
        <v>0</v>
      </c>
    </row>
    <row r="10" spans="1:107">
      <c r="A10" s="180">
        <v>43344</v>
      </c>
      <c r="B10" s="15" t="s">
        <v>44</v>
      </c>
      <c r="C10" s="34">
        <v>4000</v>
      </c>
      <c r="D10" s="33">
        <v>0</v>
      </c>
      <c r="E10" s="33">
        <v>-7.8600000000001273</v>
      </c>
      <c r="F10" s="34"/>
      <c r="G10" s="34"/>
      <c r="H10" s="36">
        <v>0</v>
      </c>
      <c r="I10" s="36">
        <v>0</v>
      </c>
      <c r="J10" s="36">
        <v>0</v>
      </c>
      <c r="K10" s="34">
        <v>0</v>
      </c>
      <c r="L10" s="34">
        <v>0</v>
      </c>
      <c r="M10" s="34">
        <v>0</v>
      </c>
      <c r="N10" s="34">
        <v>0</v>
      </c>
      <c r="O10" s="38">
        <v>7266</v>
      </c>
      <c r="P10" s="33">
        <v>-208.8552</v>
      </c>
      <c r="Q10" s="33">
        <v>-36.8568</v>
      </c>
      <c r="R10" s="33">
        <v>-61.427999999999997</v>
      </c>
      <c r="S10" s="33">
        <v>-9777.6785714285706</v>
      </c>
      <c r="T10" s="33">
        <v>-1173.3214285714284</v>
      </c>
      <c r="U10" s="33"/>
      <c r="V10" s="33">
        <v>10951</v>
      </c>
      <c r="W10" s="39"/>
      <c r="X10" s="40">
        <v>155</v>
      </c>
      <c r="Y10" s="40"/>
      <c r="Z10" s="40"/>
      <c r="AA10" s="40"/>
      <c r="AB10" s="40"/>
      <c r="AC10" s="40"/>
      <c r="AD10" s="40"/>
      <c r="AE10" s="40"/>
      <c r="AF10" s="40"/>
      <c r="AG10" s="40"/>
      <c r="AH10" s="33">
        <v>155</v>
      </c>
      <c r="AI10" s="38"/>
      <c r="AJ10" s="38"/>
      <c r="AK10" s="33">
        <v>0</v>
      </c>
      <c r="AL10" s="33">
        <v>0</v>
      </c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41">
        <v>155</v>
      </c>
    </row>
    <row r="11" spans="1:107">
      <c r="A11" s="180">
        <v>43345</v>
      </c>
      <c r="B11" s="32" t="s">
        <v>43</v>
      </c>
      <c r="C11" s="34"/>
      <c r="D11" s="33">
        <v>0</v>
      </c>
      <c r="E11" s="33">
        <v>0</v>
      </c>
      <c r="F11" s="34"/>
      <c r="G11" s="34"/>
      <c r="H11" s="36">
        <v>0</v>
      </c>
      <c r="I11" s="36">
        <v>0</v>
      </c>
      <c r="J11" s="36">
        <v>0</v>
      </c>
      <c r="K11" s="34">
        <v>0</v>
      </c>
      <c r="L11" s="34">
        <v>0</v>
      </c>
      <c r="M11" s="34">
        <v>0</v>
      </c>
      <c r="N11" s="34">
        <v>0</v>
      </c>
      <c r="O11" s="38"/>
      <c r="P11" s="33">
        <v>0</v>
      </c>
      <c r="Q11" s="33">
        <v>0</v>
      </c>
      <c r="R11" s="33">
        <v>0</v>
      </c>
      <c r="S11" s="33">
        <v>0</v>
      </c>
      <c r="T11" s="33">
        <v>0</v>
      </c>
      <c r="U11" s="33"/>
      <c r="V11" s="33">
        <v>0</v>
      </c>
      <c r="W11" s="39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33">
        <v>0</v>
      </c>
      <c r="AI11" s="38"/>
      <c r="AJ11" s="38"/>
      <c r="AK11" s="33">
        <v>0</v>
      </c>
      <c r="AL11" s="33">
        <v>0</v>
      </c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41">
        <v>0</v>
      </c>
      <c r="BB11" s="146"/>
      <c r="BC11" s="145"/>
      <c r="BD11" s="145"/>
      <c r="BE11" s="145"/>
      <c r="BF11" s="145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</row>
    <row r="12" spans="1:107">
      <c r="A12" s="180">
        <v>43345</v>
      </c>
      <c r="B12" s="15" t="s">
        <v>44</v>
      </c>
      <c r="C12" s="34"/>
      <c r="D12" s="33">
        <v>0</v>
      </c>
      <c r="E12" s="33">
        <v>0</v>
      </c>
      <c r="F12" s="34"/>
      <c r="G12" s="34"/>
      <c r="H12" s="36">
        <v>0</v>
      </c>
      <c r="I12" s="36">
        <v>0</v>
      </c>
      <c r="J12" s="36">
        <v>0</v>
      </c>
      <c r="K12" s="34">
        <v>0</v>
      </c>
      <c r="L12" s="34">
        <v>0</v>
      </c>
      <c r="M12" s="34">
        <v>0</v>
      </c>
      <c r="N12" s="34">
        <v>0</v>
      </c>
      <c r="O12" s="38"/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/>
      <c r="V12" s="33">
        <v>0</v>
      </c>
      <c r="W12" s="39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33">
        <v>0</v>
      </c>
      <c r="AI12" s="38"/>
      <c r="AJ12" s="38">
        <v>0</v>
      </c>
      <c r="AK12" s="33">
        <v>0</v>
      </c>
      <c r="AL12" s="33">
        <v>0</v>
      </c>
      <c r="AM12" s="39"/>
      <c r="AN12" s="39"/>
      <c r="AO12" s="39"/>
      <c r="AP12" s="39">
        <v>0</v>
      </c>
      <c r="AQ12" s="39"/>
      <c r="AR12" s="39"/>
      <c r="AS12" s="39"/>
      <c r="AT12" s="39"/>
      <c r="AU12" s="39"/>
      <c r="AV12" s="39"/>
      <c r="AW12" s="39"/>
      <c r="AX12" s="39"/>
      <c r="AY12" s="39"/>
      <c r="AZ12" s="41">
        <v>0</v>
      </c>
      <c r="BB12" s="146"/>
      <c r="BC12" s="145"/>
      <c r="BD12" s="145"/>
      <c r="BE12" s="145"/>
      <c r="BF12" s="145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</row>
    <row r="13" spans="1:107">
      <c r="A13" s="180">
        <v>43346</v>
      </c>
      <c r="B13" s="32" t="s">
        <v>43</v>
      </c>
      <c r="C13" s="34">
        <v>13955</v>
      </c>
      <c r="D13" s="33">
        <v>0</v>
      </c>
      <c r="E13" s="33">
        <v>-2.9599999999991269</v>
      </c>
      <c r="F13" s="34"/>
      <c r="G13" s="34"/>
      <c r="H13" s="36">
        <v>62.413424999999989</v>
      </c>
      <c r="I13" s="36">
        <v>14.514749999999999</v>
      </c>
      <c r="J13" s="36">
        <v>2826.0218249999998</v>
      </c>
      <c r="K13" s="34">
        <v>46.651785714285708</v>
      </c>
      <c r="L13" s="34">
        <v>0</v>
      </c>
      <c r="M13" s="34">
        <v>0</v>
      </c>
      <c r="N13" s="34">
        <v>338.27678571428567</v>
      </c>
      <c r="O13" s="38"/>
      <c r="P13" s="33">
        <v>-855.73919999999998</v>
      </c>
      <c r="Q13" s="33">
        <v>-151.0128</v>
      </c>
      <c r="R13" s="33">
        <v>-251.68800000000002</v>
      </c>
      <c r="S13" s="33">
        <v>-14496.371071428568</v>
      </c>
      <c r="T13" s="33">
        <v>-1693.3730999999996</v>
      </c>
      <c r="U13" s="33"/>
      <c r="V13" s="33">
        <v>15804.815599999996</v>
      </c>
      <c r="W13" s="39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33">
        <v>0</v>
      </c>
      <c r="AI13" s="38"/>
      <c r="AJ13" s="38"/>
      <c r="AK13" s="33">
        <v>0</v>
      </c>
      <c r="AL13" s="33">
        <v>0</v>
      </c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1">
        <v>0</v>
      </c>
      <c r="BB13" s="146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</row>
    <row r="14" spans="1:107">
      <c r="A14" s="180">
        <v>43346</v>
      </c>
      <c r="B14" s="15" t="s">
        <v>44</v>
      </c>
      <c r="C14" s="34">
        <v>9145</v>
      </c>
      <c r="D14" s="33">
        <v>0</v>
      </c>
      <c r="E14" s="33">
        <v>-2.569999999999709</v>
      </c>
      <c r="F14" s="34"/>
      <c r="G14" s="34"/>
      <c r="H14" s="36">
        <v>76.488614999999996</v>
      </c>
      <c r="I14" s="36">
        <v>17.788050000000002</v>
      </c>
      <c r="J14" s="36">
        <v>3463.3333349999998</v>
      </c>
      <c r="K14" s="34">
        <v>556.517857142857</v>
      </c>
      <c r="L14" s="34">
        <v>0</v>
      </c>
      <c r="M14" s="34">
        <v>0</v>
      </c>
      <c r="N14" s="34">
        <v>28.696428571428569</v>
      </c>
      <c r="O14" s="38">
        <v>6161.7</v>
      </c>
      <c r="P14" s="33">
        <v>-618.43960000000004</v>
      </c>
      <c r="Q14" s="33">
        <v>-109.13639999999999</v>
      </c>
      <c r="R14" s="33">
        <v>-181.89400000000001</v>
      </c>
      <c r="S14" s="33">
        <v>-730.10788571428566</v>
      </c>
      <c r="T14" s="33">
        <v>-17.387232000000012</v>
      </c>
      <c r="U14" s="33"/>
      <c r="V14" s="33">
        <v>162.28083200000012</v>
      </c>
      <c r="W14" s="39">
        <v>390</v>
      </c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33">
        <v>390</v>
      </c>
      <c r="AI14" s="38"/>
      <c r="AJ14" s="38"/>
      <c r="AK14" s="33">
        <v>0</v>
      </c>
      <c r="AL14" s="33">
        <v>0</v>
      </c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41">
        <v>390</v>
      </c>
      <c r="BB14" s="146"/>
      <c r="BC14" s="145"/>
      <c r="BD14" s="145"/>
      <c r="BE14" s="145"/>
      <c r="BF14" s="145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</row>
    <row r="15" spans="1:107">
      <c r="A15" s="180">
        <v>43347</v>
      </c>
      <c r="B15" s="32" t="s">
        <v>43</v>
      </c>
      <c r="C15" s="34">
        <v>11355</v>
      </c>
      <c r="D15" s="33">
        <v>0</v>
      </c>
      <c r="E15" s="33">
        <v>-2.1000000000003638</v>
      </c>
      <c r="F15" s="34"/>
      <c r="G15" s="34"/>
      <c r="H15" s="36">
        <v>189.00778999999997</v>
      </c>
      <c r="I15" s="36">
        <v>43.955300000000001</v>
      </c>
      <c r="J15" s="36">
        <v>8558.0969100000002</v>
      </c>
      <c r="K15" s="34">
        <v>102.00892857142856</v>
      </c>
      <c r="L15" s="34">
        <v>0</v>
      </c>
      <c r="M15" s="34">
        <v>0</v>
      </c>
      <c r="N15" s="34">
        <v>145.68749999999997</v>
      </c>
      <c r="O15" s="38">
        <v>648</v>
      </c>
      <c r="P15" s="33">
        <v>-1067.1171999999999</v>
      </c>
      <c r="Q15" s="33">
        <v>-188.31479999999999</v>
      </c>
      <c r="R15" s="33">
        <v>-313.858</v>
      </c>
      <c r="S15" s="33">
        <v>-17381.071071428571</v>
      </c>
      <c r="T15" s="33">
        <v>-2056.0049571428572</v>
      </c>
      <c r="U15" s="33"/>
      <c r="V15" s="33">
        <v>19189.3796</v>
      </c>
      <c r="W15" s="3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33">
        <v>0</v>
      </c>
      <c r="AI15" s="38"/>
      <c r="AJ15" s="38"/>
      <c r="AK15" s="33">
        <v>0</v>
      </c>
      <c r="AL15" s="33">
        <v>0</v>
      </c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41">
        <v>0</v>
      </c>
      <c r="BB15" s="146"/>
      <c r="BC15" s="145"/>
      <c r="BD15" s="145"/>
      <c r="BE15" s="145"/>
      <c r="BF15" s="145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</row>
    <row r="16" spans="1:107">
      <c r="A16" s="180">
        <v>43347</v>
      </c>
      <c r="B16" s="15" t="s">
        <v>44</v>
      </c>
      <c r="C16" s="34">
        <v>12860</v>
      </c>
      <c r="D16" s="33">
        <v>0</v>
      </c>
      <c r="E16" s="33">
        <v>-2.3999999999996362</v>
      </c>
      <c r="F16" s="34"/>
      <c r="G16" s="34"/>
      <c r="H16" s="36">
        <v>137.25470999999999</v>
      </c>
      <c r="I16" s="36">
        <v>31.919699999999999</v>
      </c>
      <c r="J16" s="36">
        <v>6214.7655899999991</v>
      </c>
      <c r="K16" s="34">
        <v>199.10714285714283</v>
      </c>
      <c r="L16" s="34">
        <v>0</v>
      </c>
      <c r="M16" s="34">
        <v>0</v>
      </c>
      <c r="N16" s="34">
        <v>101.24107142857142</v>
      </c>
      <c r="O16" s="38">
        <v>2760</v>
      </c>
      <c r="P16" s="33">
        <v>-1022.6996000000001</v>
      </c>
      <c r="Q16" s="33">
        <v>-180.47640000000001</v>
      </c>
      <c r="R16" s="33">
        <v>-300.79400000000004</v>
      </c>
      <c r="S16" s="33">
        <v>-18565.708214285711</v>
      </c>
      <c r="T16" s="33">
        <v>-2191.8431999999993</v>
      </c>
      <c r="U16" s="33"/>
      <c r="V16" s="33">
        <v>20457.203199999996</v>
      </c>
      <c r="W16" s="39"/>
      <c r="X16" s="40">
        <v>740</v>
      </c>
      <c r="Y16" s="40"/>
      <c r="Z16" s="40"/>
      <c r="AA16" s="40"/>
      <c r="AB16" s="40"/>
      <c r="AC16" s="40"/>
      <c r="AD16" s="40"/>
      <c r="AE16" s="40"/>
      <c r="AF16" s="40"/>
      <c r="AG16" s="40"/>
      <c r="AH16" s="33">
        <v>740</v>
      </c>
      <c r="AI16" s="38"/>
      <c r="AJ16" s="38"/>
      <c r="AK16" s="33">
        <v>0</v>
      </c>
      <c r="AL16" s="33">
        <v>0</v>
      </c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41">
        <v>740</v>
      </c>
      <c r="BB16" s="146"/>
      <c r="BC16" s="145"/>
      <c r="BD16" s="145"/>
      <c r="BE16" s="145"/>
      <c r="BF16" s="145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</row>
    <row r="17" spans="1:79">
      <c r="A17" s="180">
        <v>43348</v>
      </c>
      <c r="B17" s="32" t="s">
        <v>43</v>
      </c>
      <c r="C17" s="34">
        <v>14285</v>
      </c>
      <c r="D17" s="33">
        <v>0</v>
      </c>
      <c r="E17" s="33">
        <v>-1.9899999999997817</v>
      </c>
      <c r="F17" s="34"/>
      <c r="G17" s="34"/>
      <c r="H17" s="36">
        <v>69.218819999999994</v>
      </c>
      <c r="I17" s="36">
        <v>16.0974</v>
      </c>
      <c r="J17" s="36">
        <v>3134.1637799999999</v>
      </c>
      <c r="K17" s="34">
        <v>411.42857142857139</v>
      </c>
      <c r="L17" s="34">
        <v>0</v>
      </c>
      <c r="M17" s="34">
        <v>0</v>
      </c>
      <c r="N17" s="34">
        <v>272.34821428571422</v>
      </c>
      <c r="O17" s="38">
        <v>3580.2</v>
      </c>
      <c r="P17" s="33">
        <v>-917.00720000000001</v>
      </c>
      <c r="Q17" s="33">
        <v>-161.82480000000001</v>
      </c>
      <c r="R17" s="33">
        <v>-269.70800000000003</v>
      </c>
      <c r="S17" s="33">
        <v>-18221.500357142857</v>
      </c>
      <c r="T17" s="33">
        <v>-2104.5268285714283</v>
      </c>
      <c r="U17" s="33"/>
      <c r="V17" s="33">
        <v>19642.250399999997</v>
      </c>
      <c r="W17" s="39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33">
        <v>0</v>
      </c>
      <c r="AI17" s="38"/>
      <c r="AJ17" s="38"/>
      <c r="AK17" s="33">
        <v>0</v>
      </c>
      <c r="AL17" s="33">
        <v>0</v>
      </c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41">
        <v>0</v>
      </c>
      <c r="BB17" s="146"/>
      <c r="BC17" s="145"/>
      <c r="BD17" s="145"/>
      <c r="BE17" s="145"/>
      <c r="BF17" s="145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</row>
    <row r="18" spans="1:79">
      <c r="A18" s="180">
        <v>43348</v>
      </c>
      <c r="B18" s="15" t="s">
        <v>44</v>
      </c>
      <c r="C18" s="34">
        <v>10160</v>
      </c>
      <c r="D18" s="33">
        <v>0</v>
      </c>
      <c r="E18" s="33">
        <v>-1.4599999999991269</v>
      </c>
      <c r="F18" s="34"/>
      <c r="G18" s="34"/>
      <c r="H18" s="36">
        <v>151.41976999999997</v>
      </c>
      <c r="I18" s="36">
        <v>35.213900000000002</v>
      </c>
      <c r="J18" s="36">
        <v>6856.1463300000005</v>
      </c>
      <c r="K18" s="34">
        <v>423.21428571428567</v>
      </c>
      <c r="L18" s="34">
        <v>0</v>
      </c>
      <c r="M18" s="34">
        <v>0</v>
      </c>
      <c r="N18" s="34">
        <v>0</v>
      </c>
      <c r="O18" s="38">
        <v>2830.5</v>
      </c>
      <c r="P18" s="33">
        <v>-886.59760000000006</v>
      </c>
      <c r="Q18" s="33">
        <v>-156.45840000000001</v>
      </c>
      <c r="R18" s="33">
        <v>-260.76400000000001</v>
      </c>
      <c r="S18" s="33">
        <v>-17093.857142857141</v>
      </c>
      <c r="T18" s="33">
        <v>-2000.4771428571426</v>
      </c>
      <c r="U18" s="33"/>
      <c r="V18" s="33">
        <v>18671.12</v>
      </c>
      <c r="W18" s="39">
        <v>310</v>
      </c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33">
        <v>310</v>
      </c>
      <c r="AI18" s="38"/>
      <c r="AJ18" s="38"/>
      <c r="AK18" s="33">
        <v>0</v>
      </c>
      <c r="AL18" s="33">
        <v>0</v>
      </c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41">
        <v>310</v>
      </c>
      <c r="BB18" s="146"/>
      <c r="BC18" s="145"/>
      <c r="BD18" s="145"/>
      <c r="BE18" s="145"/>
      <c r="BF18" s="145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</row>
    <row r="19" spans="1:79">
      <c r="A19" s="180">
        <v>43349</v>
      </c>
      <c r="B19" s="32" t="s">
        <v>43</v>
      </c>
      <c r="C19" s="34">
        <v>20422</v>
      </c>
      <c r="D19" s="33">
        <v>0</v>
      </c>
      <c r="E19" s="33">
        <v>-1.180000000000291</v>
      </c>
      <c r="F19" s="34"/>
      <c r="G19" s="34"/>
      <c r="H19" s="36">
        <v>151.89986499999998</v>
      </c>
      <c r="I19" s="36">
        <v>35.32555</v>
      </c>
      <c r="J19" s="36">
        <v>6877.8845849999998</v>
      </c>
      <c r="K19" s="34">
        <v>75.892857142857139</v>
      </c>
      <c r="L19" s="34">
        <v>0</v>
      </c>
      <c r="M19" s="34">
        <v>0</v>
      </c>
      <c r="N19" s="34">
        <v>232.78571428571428</v>
      </c>
      <c r="O19" s="38">
        <v>907.5</v>
      </c>
      <c r="P19" s="33">
        <v>-1418.8744000000002</v>
      </c>
      <c r="Q19" s="33">
        <v>-250.3896</v>
      </c>
      <c r="R19" s="33">
        <v>-417.31600000000003</v>
      </c>
      <c r="S19" s="33">
        <v>-23759.896071428568</v>
      </c>
      <c r="T19" s="33">
        <v>-2814.1460999999995</v>
      </c>
      <c r="U19" s="33"/>
      <c r="V19" s="33">
        <v>26265.363599999993</v>
      </c>
      <c r="W19" s="39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33">
        <v>0</v>
      </c>
      <c r="AI19" s="38"/>
      <c r="AJ19" s="38"/>
      <c r="AK19" s="33">
        <v>0</v>
      </c>
      <c r="AL19" s="33">
        <v>0</v>
      </c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41">
        <v>0</v>
      </c>
      <c r="BB19" s="146"/>
      <c r="BC19" s="145"/>
      <c r="BD19" s="145"/>
      <c r="BE19" s="145"/>
      <c r="BF19" s="145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</row>
    <row r="20" spans="1:79">
      <c r="A20" s="180">
        <v>43349</v>
      </c>
      <c r="B20" s="15" t="s">
        <v>44</v>
      </c>
      <c r="C20" s="34">
        <v>22511</v>
      </c>
      <c r="D20" s="33">
        <v>0</v>
      </c>
      <c r="E20" s="33">
        <v>-0.95999999999912689</v>
      </c>
      <c r="F20" s="34"/>
      <c r="G20" s="34"/>
      <c r="H20" s="36">
        <v>184.92816499999998</v>
      </c>
      <c r="I20" s="36">
        <v>43.006549999999997</v>
      </c>
      <c r="J20" s="36">
        <v>8373.3752850000001</v>
      </c>
      <c r="K20" s="34">
        <v>395.4464285714285</v>
      </c>
      <c r="L20" s="34">
        <v>36.160714285714285</v>
      </c>
      <c r="M20" s="34">
        <v>0</v>
      </c>
      <c r="N20" s="34">
        <v>139.42857142857142</v>
      </c>
      <c r="O20" s="38">
        <v>2236.5</v>
      </c>
      <c r="P20" s="33">
        <v>-1717.0748000000001</v>
      </c>
      <c r="Q20" s="33">
        <v>-303.01320000000004</v>
      </c>
      <c r="R20" s="33">
        <v>-505.02200000000005</v>
      </c>
      <c r="S20" s="33">
        <v>-28022.814999999999</v>
      </c>
      <c r="T20" s="33">
        <v>-3294.2135142857142</v>
      </c>
      <c r="U20" s="33"/>
      <c r="V20" s="33">
        <v>30745.9928</v>
      </c>
      <c r="W20" s="39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33"/>
      <c r="AI20" s="38"/>
      <c r="AJ20" s="38"/>
      <c r="AK20" s="33">
        <v>0</v>
      </c>
      <c r="AL20" s="33">
        <v>0</v>
      </c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41">
        <v>0</v>
      </c>
      <c r="BB20" s="146"/>
      <c r="BC20" s="145"/>
      <c r="BD20" s="145"/>
      <c r="BE20" s="145"/>
      <c r="BF20" s="145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</row>
    <row r="21" spans="1:79">
      <c r="A21" s="180">
        <v>43350</v>
      </c>
      <c r="B21" s="32" t="s">
        <v>43</v>
      </c>
      <c r="C21" s="34">
        <v>14340</v>
      </c>
      <c r="D21" s="33"/>
      <c r="E21" s="33">
        <v>-6.2900000000008731</v>
      </c>
      <c r="F21" s="34"/>
      <c r="G21" s="34"/>
      <c r="H21" s="36">
        <v>177.87208000000001</v>
      </c>
      <c r="I21" s="36">
        <v>41.365600000000008</v>
      </c>
      <c r="J21" s="36">
        <v>8053.8823200000006</v>
      </c>
      <c r="K21" s="34">
        <v>39.955357142857139</v>
      </c>
      <c r="L21" s="34">
        <v>0</v>
      </c>
      <c r="M21" s="34">
        <v>0</v>
      </c>
      <c r="N21" s="34">
        <v>58.196428571428569</v>
      </c>
      <c r="O21" s="38">
        <v>669</v>
      </c>
      <c r="P21" s="33">
        <v>-1223.2316000000001</v>
      </c>
      <c r="Q21" s="33">
        <v>-215.86439999999999</v>
      </c>
      <c r="R21" s="33">
        <v>-359.774</v>
      </c>
      <c r="S21" s="33">
        <v>-19262.230714285713</v>
      </c>
      <c r="T21" s="33">
        <v>-2299.6894714285713</v>
      </c>
      <c r="U21" s="33"/>
      <c r="V21" s="33">
        <v>21463.768399999997</v>
      </c>
      <c r="W21" s="39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33">
        <v>0</v>
      </c>
      <c r="AI21" s="38"/>
      <c r="AJ21" s="38"/>
      <c r="AK21" s="33">
        <v>0</v>
      </c>
      <c r="AL21" s="33">
        <v>0</v>
      </c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41">
        <v>0</v>
      </c>
      <c r="BB21" s="146"/>
      <c r="BC21" s="145"/>
      <c r="BD21" s="145"/>
      <c r="BE21" s="145"/>
      <c r="BF21" s="145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</row>
    <row r="22" spans="1:79">
      <c r="A22" s="180">
        <v>43350</v>
      </c>
      <c r="B22" s="15" t="s">
        <v>44</v>
      </c>
      <c r="C22" s="34">
        <v>12340</v>
      </c>
      <c r="D22" s="33"/>
      <c r="E22" s="33">
        <v>-11.559999999999491</v>
      </c>
      <c r="F22" s="34"/>
      <c r="G22" s="34"/>
      <c r="H22" s="36">
        <v>162.86034999999998</v>
      </c>
      <c r="I22" s="36">
        <v>37.874499999999998</v>
      </c>
      <c r="J22" s="36">
        <v>7374.1651499999998</v>
      </c>
      <c r="K22" s="34">
        <v>136.20535714285714</v>
      </c>
      <c r="L22" s="34">
        <v>0</v>
      </c>
      <c r="M22" s="34">
        <v>0</v>
      </c>
      <c r="N22" s="34">
        <v>31.089285714285712</v>
      </c>
      <c r="O22" s="38">
        <v>3002.2</v>
      </c>
      <c r="P22" s="33">
        <v>-1015.784</v>
      </c>
      <c r="Q22" s="33">
        <v>-179.256</v>
      </c>
      <c r="R22" s="33">
        <v>-298.76</v>
      </c>
      <c r="S22" s="33">
        <v>-19264.844285714284</v>
      </c>
      <c r="T22" s="33">
        <v>-2291.7059571428572</v>
      </c>
      <c r="U22" s="33"/>
      <c r="V22" s="33">
        <v>21389.2556</v>
      </c>
      <c r="W22" s="39">
        <v>340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33">
        <v>340</v>
      </c>
      <c r="AI22" s="38"/>
      <c r="AJ22" s="38"/>
      <c r="AK22" s="33">
        <v>0</v>
      </c>
      <c r="AL22" s="33">
        <v>0</v>
      </c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41">
        <v>340</v>
      </c>
      <c r="BB22" s="146"/>
      <c r="BC22" s="145"/>
      <c r="BD22" s="145"/>
      <c r="BE22" s="145"/>
      <c r="BF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</row>
    <row r="23" spans="1:79">
      <c r="A23" s="180">
        <v>43351</v>
      </c>
      <c r="B23" s="32" t="s">
        <v>43</v>
      </c>
      <c r="C23" s="34"/>
      <c r="D23" s="33">
        <v>0</v>
      </c>
      <c r="E23" s="33">
        <v>0</v>
      </c>
      <c r="F23" s="34"/>
      <c r="G23" s="34"/>
      <c r="H23" s="36">
        <v>0</v>
      </c>
      <c r="I23" s="36">
        <v>0</v>
      </c>
      <c r="J23" s="36">
        <v>0</v>
      </c>
      <c r="K23" s="34">
        <v>0</v>
      </c>
      <c r="L23" s="34">
        <v>0</v>
      </c>
      <c r="M23" s="34">
        <v>0</v>
      </c>
      <c r="N23" s="34">
        <v>0</v>
      </c>
      <c r="O23" s="38"/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/>
      <c r="V23" s="33">
        <v>0</v>
      </c>
      <c r="W23" s="39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33">
        <v>0</v>
      </c>
      <c r="AI23" s="38"/>
      <c r="AJ23" s="38"/>
      <c r="AK23" s="33">
        <v>0</v>
      </c>
      <c r="AL23" s="33">
        <v>0</v>
      </c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41">
        <v>0</v>
      </c>
      <c r="BB23" s="146"/>
      <c r="BC23" s="145"/>
      <c r="BD23" s="145"/>
      <c r="BE23" s="145"/>
      <c r="BF23" s="145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</row>
    <row r="24" spans="1:79">
      <c r="A24" s="180">
        <v>43351</v>
      </c>
      <c r="B24" s="15" t="s">
        <v>44</v>
      </c>
      <c r="C24" s="34">
        <v>8540</v>
      </c>
      <c r="D24" s="33">
        <v>0</v>
      </c>
      <c r="E24" s="33">
        <v>-0.7999999999992724</v>
      </c>
      <c r="F24" s="34"/>
      <c r="G24" s="34">
        <v>1800</v>
      </c>
      <c r="H24" s="36">
        <v>68.970709999999997</v>
      </c>
      <c r="I24" s="36">
        <v>16.0397</v>
      </c>
      <c r="J24" s="36">
        <v>3122.9295900000002</v>
      </c>
      <c r="K24" s="34">
        <v>0</v>
      </c>
      <c r="L24" s="34">
        <v>0</v>
      </c>
      <c r="M24" s="34">
        <v>0</v>
      </c>
      <c r="N24" s="34">
        <v>0</v>
      </c>
      <c r="O24" s="38"/>
      <c r="P24" s="33">
        <v>-633.85519999999997</v>
      </c>
      <c r="Q24" s="33">
        <v>-111.85679999999999</v>
      </c>
      <c r="R24" s="33">
        <v>-186.428</v>
      </c>
      <c r="S24" s="33">
        <v>-11245.535714285714</v>
      </c>
      <c r="T24" s="33">
        <v>-1349.4642857142856</v>
      </c>
      <c r="U24" s="33"/>
      <c r="V24" s="33">
        <v>12595</v>
      </c>
      <c r="W24" s="39">
        <v>763</v>
      </c>
      <c r="X24" s="40"/>
      <c r="Y24" s="40">
        <v>1780</v>
      </c>
      <c r="Z24" s="40"/>
      <c r="AA24" s="40"/>
      <c r="AB24" s="40"/>
      <c r="AC24" s="40"/>
      <c r="AD24" s="40"/>
      <c r="AE24" s="40"/>
      <c r="AF24" s="40"/>
      <c r="AG24" s="40"/>
      <c r="AH24" s="33">
        <v>2543</v>
      </c>
      <c r="AI24" s="38"/>
      <c r="AJ24" s="38">
        <v>0</v>
      </c>
      <c r="AK24" s="33">
        <v>0</v>
      </c>
      <c r="AL24" s="33">
        <v>0</v>
      </c>
      <c r="AM24" s="39"/>
      <c r="AN24" s="39">
        <v>0</v>
      </c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41">
        <v>2543</v>
      </c>
      <c r="BB24" s="146"/>
      <c r="BC24" s="145"/>
      <c r="BD24" s="145"/>
      <c r="BE24" s="145"/>
      <c r="BF24" s="145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</row>
    <row r="25" spans="1:79">
      <c r="A25" s="180">
        <v>43352</v>
      </c>
      <c r="B25" s="32" t="s">
        <v>43</v>
      </c>
      <c r="C25" s="34"/>
      <c r="D25" s="33">
        <v>0</v>
      </c>
      <c r="E25" s="33">
        <v>0</v>
      </c>
      <c r="F25" s="34"/>
      <c r="G25" s="34"/>
      <c r="H25" s="36">
        <v>0</v>
      </c>
      <c r="I25" s="36">
        <v>0</v>
      </c>
      <c r="J25" s="36">
        <v>0</v>
      </c>
      <c r="K25" s="34">
        <v>0</v>
      </c>
      <c r="L25" s="34">
        <v>0</v>
      </c>
      <c r="M25" s="34">
        <v>0</v>
      </c>
      <c r="N25" s="34">
        <v>0</v>
      </c>
      <c r="O25" s="38"/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/>
      <c r="V25" s="33">
        <v>0</v>
      </c>
      <c r="W25" s="39"/>
      <c r="X25" s="40">
        <v>0</v>
      </c>
      <c r="Y25" s="40"/>
      <c r="Z25" s="40"/>
      <c r="AA25" s="40"/>
      <c r="AB25" s="40"/>
      <c r="AC25" s="40"/>
      <c r="AD25" s="40"/>
      <c r="AE25" s="40"/>
      <c r="AF25" s="40"/>
      <c r="AG25" s="40"/>
      <c r="AH25" s="33">
        <v>0</v>
      </c>
      <c r="AI25" s="38"/>
      <c r="AJ25" s="38"/>
      <c r="AK25" s="33">
        <v>0</v>
      </c>
      <c r="AL25" s="33">
        <v>0</v>
      </c>
      <c r="AM25" s="39"/>
      <c r="AN25" s="39"/>
      <c r="AO25" s="39"/>
      <c r="AP25" s="39"/>
      <c r="AQ25" s="39"/>
      <c r="AR25" s="39"/>
      <c r="AS25" s="39"/>
      <c r="AT25" s="39"/>
      <c r="AU25" s="39">
        <v>0</v>
      </c>
      <c r="AV25" s="39"/>
      <c r="AW25" s="39"/>
      <c r="AX25" s="39"/>
      <c r="AY25" s="39"/>
      <c r="AZ25" s="41">
        <v>0</v>
      </c>
      <c r="BB25" s="146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</row>
    <row r="26" spans="1:79">
      <c r="A26" s="180">
        <v>43352</v>
      </c>
      <c r="B26" s="15" t="s">
        <v>44</v>
      </c>
      <c r="C26" s="34"/>
      <c r="D26" s="33">
        <v>0</v>
      </c>
      <c r="E26" s="33">
        <v>0</v>
      </c>
      <c r="F26" s="34"/>
      <c r="G26" s="34"/>
      <c r="H26" s="36">
        <v>0</v>
      </c>
      <c r="I26" s="36">
        <v>0</v>
      </c>
      <c r="J26" s="36">
        <v>0</v>
      </c>
      <c r="K26" s="34">
        <v>0</v>
      </c>
      <c r="L26" s="34">
        <v>0</v>
      </c>
      <c r="M26" s="34">
        <v>0</v>
      </c>
      <c r="N26" s="34">
        <v>0</v>
      </c>
      <c r="O26" s="38"/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/>
      <c r="V26" s="33">
        <v>0</v>
      </c>
      <c r="W26" s="39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33">
        <v>0</v>
      </c>
      <c r="AI26" s="38"/>
      <c r="AJ26" s="38"/>
      <c r="AK26" s="33">
        <v>0</v>
      </c>
      <c r="AL26" s="33">
        <v>0</v>
      </c>
      <c r="AM26" s="39"/>
      <c r="AN26" s="39"/>
      <c r="AO26" s="39"/>
      <c r="AP26" s="39"/>
      <c r="AQ26" s="39"/>
      <c r="AR26" s="39"/>
      <c r="AS26" s="39"/>
      <c r="AT26" s="39"/>
      <c r="AU26" s="39">
        <v>0</v>
      </c>
      <c r="AV26" s="39"/>
      <c r="AW26" s="39"/>
      <c r="AX26" s="39"/>
      <c r="AY26" s="39"/>
      <c r="AZ26" s="41">
        <v>0</v>
      </c>
      <c r="BB26" s="146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</row>
    <row r="27" spans="1:79">
      <c r="A27" s="180">
        <v>43353</v>
      </c>
      <c r="B27" s="15" t="s">
        <v>43</v>
      </c>
      <c r="C27" s="34">
        <v>12190</v>
      </c>
      <c r="D27" s="33">
        <v>0</v>
      </c>
      <c r="E27" s="33">
        <v>-1.4799999999995634</v>
      </c>
      <c r="F27" s="34"/>
      <c r="G27" s="34"/>
      <c r="H27" s="36">
        <v>20.960564999999999</v>
      </c>
      <c r="I27" s="36">
        <v>4.8745500000000002</v>
      </c>
      <c r="J27" s="36">
        <v>949.07488499999999</v>
      </c>
      <c r="K27" s="34">
        <v>199.77678571428569</v>
      </c>
      <c r="L27" s="34">
        <v>0</v>
      </c>
      <c r="M27" s="34">
        <v>0</v>
      </c>
      <c r="N27" s="34">
        <v>325.66964285714283</v>
      </c>
      <c r="O27" s="38">
        <v>2271</v>
      </c>
      <c r="P27" s="33">
        <v>-670.32359999999994</v>
      </c>
      <c r="Q27" s="33">
        <v>-118.29239999999999</v>
      </c>
      <c r="R27" s="33">
        <v>-197.154</v>
      </c>
      <c r="S27" s="33">
        <v>-13362.982142857143</v>
      </c>
      <c r="T27" s="33">
        <v>-1540.5042857142855</v>
      </c>
      <c r="U27" s="33"/>
      <c r="V27" s="33">
        <v>14378.039999999999</v>
      </c>
      <c r="W27" s="39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33">
        <v>0</v>
      </c>
      <c r="AI27" s="38"/>
      <c r="AJ27" s="38"/>
      <c r="AK27" s="33">
        <v>0</v>
      </c>
      <c r="AL27" s="33">
        <v>0</v>
      </c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41">
        <v>0</v>
      </c>
      <c r="BB27" s="146"/>
      <c r="BC27" s="145"/>
      <c r="BD27" s="145"/>
      <c r="BE27" s="145"/>
      <c r="BF27" s="145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</row>
    <row r="28" spans="1:79">
      <c r="A28" s="180">
        <v>43353</v>
      </c>
      <c r="B28" s="15" t="s">
        <v>44</v>
      </c>
      <c r="C28" s="34">
        <v>7160</v>
      </c>
      <c r="D28" s="33">
        <v>0</v>
      </c>
      <c r="E28" s="33">
        <v>-2.1499999999996362</v>
      </c>
      <c r="F28" s="34"/>
      <c r="G28" s="34"/>
      <c r="H28" s="36">
        <v>120.96029</v>
      </c>
      <c r="I28" s="36">
        <v>28.130300000000002</v>
      </c>
      <c r="J28" s="36">
        <v>5476.9694100000006</v>
      </c>
      <c r="K28" s="34">
        <v>315</v>
      </c>
      <c r="L28" s="34">
        <v>0</v>
      </c>
      <c r="M28" s="34">
        <v>0</v>
      </c>
      <c r="N28" s="34">
        <v>41.455357142857139</v>
      </c>
      <c r="O28" s="38">
        <v>5412.2</v>
      </c>
      <c r="P28" s="33">
        <v>-672.65600000000006</v>
      </c>
      <c r="Q28" s="33">
        <v>-118.70400000000001</v>
      </c>
      <c r="R28" s="33">
        <v>-197.84000000000003</v>
      </c>
      <c r="S28" s="33">
        <v>-15676.993214285712</v>
      </c>
      <c r="T28" s="33">
        <v>-1838.4645428571425</v>
      </c>
      <c r="U28" s="33"/>
      <c r="V28" s="33">
        <v>17159.002399999998</v>
      </c>
      <c r="W28" s="39">
        <v>130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33">
        <v>130</v>
      </c>
      <c r="AI28" s="38">
        <v>60</v>
      </c>
      <c r="AJ28" s="38">
        <v>0</v>
      </c>
      <c r="AK28" s="33">
        <v>0</v>
      </c>
      <c r="AL28" s="33">
        <v>0</v>
      </c>
      <c r="AM28" s="39"/>
      <c r="AN28" s="39"/>
      <c r="AO28" s="39"/>
      <c r="AP28" s="39"/>
      <c r="AQ28" s="39">
        <v>0</v>
      </c>
      <c r="AR28" s="39"/>
      <c r="AS28" s="39"/>
      <c r="AT28" s="39"/>
      <c r="AU28" s="39"/>
      <c r="AV28" s="39"/>
      <c r="AW28" s="39"/>
      <c r="AX28" s="39"/>
      <c r="AY28" s="39"/>
      <c r="AZ28" s="41">
        <v>190</v>
      </c>
      <c r="BB28" s="146"/>
      <c r="BC28" s="145"/>
      <c r="BD28" s="145"/>
      <c r="BE28" s="145"/>
      <c r="BF28" s="145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</row>
    <row r="29" spans="1:79">
      <c r="A29" s="180">
        <v>43354</v>
      </c>
      <c r="B29" s="16" t="s">
        <v>43</v>
      </c>
      <c r="C29" s="34">
        <v>11773</v>
      </c>
      <c r="D29" s="33">
        <v>0</v>
      </c>
      <c r="E29" s="33">
        <v>-1.4799999999995634</v>
      </c>
      <c r="F29" s="34"/>
      <c r="G29" s="34"/>
      <c r="H29" s="36">
        <v>131.15773999999999</v>
      </c>
      <c r="I29" s="36">
        <v>30.501799999999999</v>
      </c>
      <c r="J29" s="36">
        <v>5938.70046</v>
      </c>
      <c r="K29" s="34">
        <v>58.258928571428569</v>
      </c>
      <c r="L29" s="34">
        <v>0</v>
      </c>
      <c r="M29" s="34">
        <v>0</v>
      </c>
      <c r="N29" s="34">
        <v>133.92857142857142</v>
      </c>
      <c r="O29" s="38">
        <v>1084.5</v>
      </c>
      <c r="P29" s="33">
        <v>-855.18840000000012</v>
      </c>
      <c r="Q29" s="33">
        <v>-150.91560000000001</v>
      </c>
      <c r="R29" s="33">
        <v>-251.52600000000004</v>
      </c>
      <c r="S29" s="33">
        <v>-15971.580357142855</v>
      </c>
      <c r="T29" s="33">
        <v>-1893.5271428571425</v>
      </c>
      <c r="U29" s="33"/>
      <c r="V29" s="33">
        <v>17672.919999999998</v>
      </c>
      <c r="W29" s="39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33">
        <v>0</v>
      </c>
      <c r="AI29" s="38"/>
      <c r="AJ29" s="38"/>
      <c r="AK29" s="33">
        <v>0</v>
      </c>
      <c r="AL29" s="33">
        <v>0</v>
      </c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41">
        <v>0</v>
      </c>
      <c r="BB29" s="146"/>
      <c r="BC29" s="145"/>
      <c r="BD29" s="145"/>
      <c r="BE29" s="145"/>
      <c r="BF29" s="145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</row>
    <row r="30" spans="1:79">
      <c r="A30" s="180">
        <v>43354</v>
      </c>
      <c r="B30" s="16" t="s">
        <v>44</v>
      </c>
      <c r="C30" s="34">
        <v>17507</v>
      </c>
      <c r="D30" s="33">
        <v>0</v>
      </c>
      <c r="E30" s="33">
        <v>-0.29000000000087311</v>
      </c>
      <c r="F30" s="34"/>
      <c r="G30" s="34"/>
      <c r="H30" s="36">
        <v>269.408975</v>
      </c>
      <c r="I30" s="36">
        <v>62.65325</v>
      </c>
      <c r="J30" s="36">
        <v>12198.587775</v>
      </c>
      <c r="K30" s="34">
        <v>113.39285714285714</v>
      </c>
      <c r="L30" s="34">
        <v>0</v>
      </c>
      <c r="M30" s="34">
        <v>0</v>
      </c>
      <c r="N30" s="34">
        <v>0</v>
      </c>
      <c r="O30" s="38">
        <v>426</v>
      </c>
      <c r="P30" s="33">
        <v>-1631.5648000000001</v>
      </c>
      <c r="Q30" s="33">
        <v>-287.92320000000001</v>
      </c>
      <c r="R30" s="33">
        <v>-479.87200000000007</v>
      </c>
      <c r="S30" s="33">
        <v>-25156.928571428569</v>
      </c>
      <c r="T30" s="33">
        <v>-3005.2242857142851</v>
      </c>
      <c r="U30" s="33"/>
      <c r="V30" s="33">
        <v>28048.759999999995</v>
      </c>
      <c r="W30" s="39"/>
      <c r="X30" s="40">
        <v>296</v>
      </c>
      <c r="Y30" s="40"/>
      <c r="Z30" s="40"/>
      <c r="AA30" s="40"/>
      <c r="AB30" s="40"/>
      <c r="AC30" s="40"/>
      <c r="AD30" s="40"/>
      <c r="AE30" s="40"/>
      <c r="AF30" s="40"/>
      <c r="AG30" s="40"/>
      <c r="AH30" s="33">
        <v>296</v>
      </c>
      <c r="AI30" s="38">
        <v>125</v>
      </c>
      <c r="AJ30" s="38"/>
      <c r="AK30" s="33"/>
      <c r="AL30" s="33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41">
        <v>421</v>
      </c>
      <c r="BB30" s="146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</row>
    <row r="31" spans="1:79">
      <c r="A31" s="180">
        <v>43355</v>
      </c>
      <c r="B31" s="15" t="s">
        <v>43</v>
      </c>
      <c r="C31" s="34">
        <v>8200</v>
      </c>
      <c r="D31" s="33">
        <v>0</v>
      </c>
      <c r="E31" s="33">
        <v>-2.8600000000005821</v>
      </c>
      <c r="F31" s="34"/>
      <c r="G31" s="34"/>
      <c r="H31" s="36">
        <v>200.62660499999998</v>
      </c>
      <c r="I31" s="36">
        <v>46.657350000000001</v>
      </c>
      <c r="J31" s="36">
        <v>9084.1860450000004</v>
      </c>
      <c r="K31" s="34">
        <v>141.29464285714283</v>
      </c>
      <c r="L31" s="34">
        <v>0</v>
      </c>
      <c r="M31" s="34">
        <v>0</v>
      </c>
      <c r="N31" s="34">
        <v>407.75892857142856</v>
      </c>
      <c r="O31" s="38">
        <v>1369</v>
      </c>
      <c r="P31" s="33">
        <v>-921.10759999999993</v>
      </c>
      <c r="Q31" s="33">
        <v>-162.54839999999999</v>
      </c>
      <c r="R31" s="33">
        <v>-270.91399999999999</v>
      </c>
      <c r="S31" s="33">
        <v>-16146.595714285711</v>
      </c>
      <c r="T31" s="33">
        <v>-1871.7050571428567</v>
      </c>
      <c r="U31" s="33"/>
      <c r="V31" s="33">
        <v>17469.247199999998</v>
      </c>
      <c r="W31" s="39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33">
        <v>0</v>
      </c>
      <c r="AI31" s="38"/>
      <c r="AJ31" s="38"/>
      <c r="AK31" s="33">
        <v>0</v>
      </c>
      <c r="AL31" s="33">
        <v>0</v>
      </c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1">
        <v>0</v>
      </c>
      <c r="BB31" s="146"/>
      <c r="BC31" s="145"/>
      <c r="BD31" s="145"/>
      <c r="BE31" s="145"/>
      <c r="BF31" s="145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</row>
    <row r="32" spans="1:79">
      <c r="A32" s="180">
        <v>43355</v>
      </c>
      <c r="B32" s="15" t="s">
        <v>44</v>
      </c>
      <c r="C32" s="34">
        <v>18650</v>
      </c>
      <c r="D32" s="33">
        <v>0</v>
      </c>
      <c r="E32" s="33">
        <v>-0.70999999999912689</v>
      </c>
      <c r="F32" s="34"/>
      <c r="G32" s="34"/>
      <c r="H32" s="36">
        <v>128.39240999999998</v>
      </c>
      <c r="I32" s="36">
        <v>29.858699999999999</v>
      </c>
      <c r="J32" s="36">
        <v>5813.4888899999996</v>
      </c>
      <c r="K32" s="34">
        <v>139.73214285714283</v>
      </c>
      <c r="L32" s="34">
        <v>0</v>
      </c>
      <c r="M32" s="34">
        <v>0</v>
      </c>
      <c r="N32" s="34">
        <v>0</v>
      </c>
      <c r="O32" s="38">
        <v>1811.5</v>
      </c>
      <c r="P32" s="33">
        <v>-1324.6604</v>
      </c>
      <c r="Q32" s="33">
        <v>-233.7636</v>
      </c>
      <c r="R32" s="33">
        <v>-389.60599999999999</v>
      </c>
      <c r="S32" s="33">
        <v>-21984.124999999996</v>
      </c>
      <c r="T32" s="33">
        <v>-2621.3271428571425</v>
      </c>
      <c r="U32" s="33"/>
      <c r="V32" s="33">
        <v>24465.719999999998</v>
      </c>
      <c r="W32" s="39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33">
        <v>0</v>
      </c>
      <c r="AI32" s="38"/>
      <c r="AJ32" s="38"/>
      <c r="AK32" s="33"/>
      <c r="AL32" s="33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41">
        <v>0</v>
      </c>
      <c r="BB32" s="146"/>
      <c r="BC32" s="145"/>
      <c r="BD32" s="145"/>
      <c r="BE32" s="145"/>
      <c r="BF32" s="145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</row>
    <row r="33" spans="1:79">
      <c r="A33" s="180">
        <v>43356</v>
      </c>
      <c r="B33" s="15" t="s">
        <v>43</v>
      </c>
      <c r="C33" s="34">
        <v>12840</v>
      </c>
      <c r="D33" s="33">
        <v>0</v>
      </c>
      <c r="E33" s="33">
        <v>-0.17000000000007276</v>
      </c>
      <c r="F33" s="34"/>
      <c r="G33" s="34"/>
      <c r="H33" s="36">
        <v>66.628929999999997</v>
      </c>
      <c r="I33" s="36">
        <v>15.495100000000001</v>
      </c>
      <c r="J33" s="36">
        <v>3016.89597</v>
      </c>
      <c r="K33" s="34">
        <v>58.928571428571423</v>
      </c>
      <c r="L33" s="34">
        <v>0</v>
      </c>
      <c r="M33" s="34">
        <v>0</v>
      </c>
      <c r="N33" s="34">
        <v>208.46428571428569</v>
      </c>
      <c r="O33" s="38">
        <v>594</v>
      </c>
      <c r="P33" s="33">
        <v>-870.01240000000007</v>
      </c>
      <c r="Q33" s="33">
        <v>-153.5316</v>
      </c>
      <c r="R33" s="33">
        <v>-255.88600000000002</v>
      </c>
      <c r="S33" s="33">
        <v>-13854.430714285714</v>
      </c>
      <c r="T33" s="33">
        <v>-1630.4445428571428</v>
      </c>
      <c r="U33" s="33"/>
      <c r="V33" s="33">
        <v>15217.482400000001</v>
      </c>
      <c r="W33" s="39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33">
        <v>0</v>
      </c>
      <c r="AI33" s="38"/>
      <c r="AJ33" s="38"/>
      <c r="AK33" s="33">
        <v>0</v>
      </c>
      <c r="AL33" s="33">
        <v>0</v>
      </c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41">
        <v>0</v>
      </c>
      <c r="BB33" s="146"/>
      <c r="BC33" s="145"/>
      <c r="BD33" s="145"/>
      <c r="BE33" s="145"/>
      <c r="BF33" s="145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</row>
    <row r="34" spans="1:79">
      <c r="A34" s="180">
        <v>43356</v>
      </c>
      <c r="B34" s="15" t="s">
        <v>44</v>
      </c>
      <c r="C34" s="34">
        <v>17000</v>
      </c>
      <c r="D34" s="33">
        <v>0</v>
      </c>
      <c r="E34" s="33">
        <v>-7.8899999999994179</v>
      </c>
      <c r="F34" s="34"/>
      <c r="G34" s="34"/>
      <c r="H34" s="36">
        <v>43.73057</v>
      </c>
      <c r="I34" s="36">
        <v>10.1699</v>
      </c>
      <c r="J34" s="36">
        <v>1980.07953</v>
      </c>
      <c r="K34" s="34">
        <v>304.01785714285711</v>
      </c>
      <c r="L34" s="34">
        <v>0</v>
      </c>
      <c r="M34" s="34">
        <v>0</v>
      </c>
      <c r="N34" s="34">
        <v>28.696428571428569</v>
      </c>
      <c r="O34" s="38">
        <v>3738.5</v>
      </c>
      <c r="P34" s="33">
        <v>-1023.7535999999999</v>
      </c>
      <c r="Q34" s="33">
        <v>-180.66239999999999</v>
      </c>
      <c r="R34" s="33">
        <v>-301.10399999999998</v>
      </c>
      <c r="S34" s="33">
        <v>-19274.101071428569</v>
      </c>
      <c r="T34" s="33">
        <v>-2272.9664142857141</v>
      </c>
      <c r="U34" s="33"/>
      <c r="V34" s="33">
        <v>21214.353199999998</v>
      </c>
      <c r="W34" s="39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33">
        <v>0</v>
      </c>
      <c r="AI34" s="38"/>
      <c r="AJ34" s="38"/>
      <c r="AK34" s="33"/>
      <c r="AL34" s="33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41">
        <v>0</v>
      </c>
      <c r="BB34" s="146"/>
      <c r="BC34" s="145"/>
      <c r="BD34" s="145"/>
      <c r="BE34" s="145"/>
      <c r="BF34" s="145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</row>
    <row r="35" spans="1:79">
      <c r="A35" s="180">
        <v>43357</v>
      </c>
      <c r="B35" s="16" t="s">
        <v>43</v>
      </c>
      <c r="C35" s="34">
        <v>23480</v>
      </c>
      <c r="D35" s="33"/>
      <c r="E35" s="33">
        <v>-1.6100000000005821</v>
      </c>
      <c r="F35" s="34">
        <v>0</v>
      </c>
      <c r="G35" s="34"/>
      <c r="H35" s="36">
        <v>214.29049999999998</v>
      </c>
      <c r="I35" s="36">
        <v>49.835000000000001</v>
      </c>
      <c r="J35" s="36">
        <v>9702.8745000000017</v>
      </c>
      <c r="K35" s="34">
        <v>57.812499999999993</v>
      </c>
      <c r="L35" s="34">
        <v>0</v>
      </c>
      <c r="M35" s="34">
        <v>0</v>
      </c>
      <c r="N35" s="34">
        <v>347.20535714285711</v>
      </c>
      <c r="O35" s="38">
        <v>15086</v>
      </c>
      <c r="P35" s="33">
        <v>-2587.7060000000001</v>
      </c>
      <c r="Q35" s="33">
        <v>-456.654</v>
      </c>
      <c r="R35" s="33">
        <v>-761.09</v>
      </c>
      <c r="S35" s="33">
        <v>-40290.290714285708</v>
      </c>
      <c r="T35" s="33">
        <v>-4786.2327428571425</v>
      </c>
      <c r="U35" s="33"/>
      <c r="V35" s="33">
        <v>44671.505599999997</v>
      </c>
      <c r="W35" s="39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33">
        <v>0</v>
      </c>
      <c r="AI35" s="38"/>
      <c r="AJ35" s="38"/>
      <c r="AK35" s="33">
        <v>0</v>
      </c>
      <c r="AL35" s="33">
        <v>0</v>
      </c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1">
        <v>0</v>
      </c>
      <c r="BB35" s="146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</row>
    <row r="36" spans="1:79" s="4" customFormat="1">
      <c r="A36" s="180">
        <v>43357</v>
      </c>
      <c r="B36" s="16" t="s">
        <v>44</v>
      </c>
      <c r="C36" s="34">
        <v>17155</v>
      </c>
      <c r="D36" s="33"/>
      <c r="E36" s="33">
        <v>-1.5800000000017462</v>
      </c>
      <c r="F36" s="34"/>
      <c r="G36" s="34"/>
      <c r="H36" s="36">
        <v>128.87831</v>
      </c>
      <c r="I36" s="36">
        <v>29.971700000000002</v>
      </c>
      <c r="J36" s="36">
        <v>5835.48999</v>
      </c>
      <c r="K36" s="34">
        <v>316.07142857142856</v>
      </c>
      <c r="L36" s="34">
        <v>0</v>
      </c>
      <c r="M36" s="34">
        <v>0</v>
      </c>
      <c r="N36" s="34">
        <v>118.77678571428571</v>
      </c>
      <c r="O36" s="38">
        <v>3186</v>
      </c>
      <c r="P36" s="33">
        <v>-1225.7816</v>
      </c>
      <c r="Q36" s="33">
        <v>-216.31440000000001</v>
      </c>
      <c r="R36" s="33">
        <v>-360.524</v>
      </c>
      <c r="S36" s="33">
        <v>-22285.47</v>
      </c>
      <c r="T36" s="33">
        <v>-2622.0746142857142</v>
      </c>
      <c r="U36" s="33"/>
      <c r="V36" s="33">
        <v>24472.696400000001</v>
      </c>
      <c r="W36" s="39"/>
      <c r="X36" s="40">
        <v>215</v>
      </c>
      <c r="Y36" s="40"/>
      <c r="Z36" s="40">
        <v>360</v>
      </c>
      <c r="AA36" s="40"/>
      <c r="AB36" s="40"/>
      <c r="AC36" s="40"/>
      <c r="AD36" s="40"/>
      <c r="AE36" s="40"/>
      <c r="AF36" s="40"/>
      <c r="AG36" s="40"/>
      <c r="AH36" s="33">
        <v>575</v>
      </c>
      <c r="AI36" s="38"/>
      <c r="AJ36" s="38"/>
      <c r="AK36" s="33">
        <v>0</v>
      </c>
      <c r="AL36" s="33">
        <v>0</v>
      </c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41">
        <v>575</v>
      </c>
      <c r="BA36" s="136"/>
      <c r="BB36" s="146"/>
      <c r="BC36" s="145"/>
      <c r="BD36" s="145"/>
      <c r="BE36" s="145"/>
      <c r="BF36" s="145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</row>
    <row r="37" spans="1:79" s="4" customFormat="1">
      <c r="A37" s="180">
        <v>43358</v>
      </c>
      <c r="B37" s="16" t="s">
        <v>43</v>
      </c>
      <c r="C37" s="34"/>
      <c r="D37" s="33">
        <v>0</v>
      </c>
      <c r="E37" s="33">
        <v>0</v>
      </c>
      <c r="F37" s="34"/>
      <c r="G37" s="34"/>
      <c r="H37" s="36">
        <v>0</v>
      </c>
      <c r="I37" s="36">
        <v>0</v>
      </c>
      <c r="J37" s="36">
        <v>0</v>
      </c>
      <c r="K37" s="34">
        <v>0</v>
      </c>
      <c r="L37" s="34">
        <v>0</v>
      </c>
      <c r="M37" s="34">
        <v>0</v>
      </c>
      <c r="N37" s="34">
        <v>0</v>
      </c>
      <c r="O37" s="38"/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/>
      <c r="V37" s="33">
        <v>0</v>
      </c>
      <c r="W37" s="39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33">
        <v>0</v>
      </c>
      <c r="AI37" s="38"/>
      <c r="AJ37" s="38"/>
      <c r="AK37" s="33">
        <v>0</v>
      </c>
      <c r="AL37" s="33">
        <v>0</v>
      </c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41">
        <v>0</v>
      </c>
      <c r="BA37" s="136"/>
      <c r="BB37" s="146"/>
      <c r="BC37" s="145"/>
      <c r="BD37" s="145"/>
      <c r="BE37" s="145"/>
      <c r="BF37" s="145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</row>
    <row r="38" spans="1:79" s="4" customFormat="1">
      <c r="A38" s="180">
        <v>43358</v>
      </c>
      <c r="B38" s="16" t="s">
        <v>44</v>
      </c>
      <c r="C38" s="34">
        <v>1420</v>
      </c>
      <c r="D38" s="33">
        <v>5.0899999999999181</v>
      </c>
      <c r="E38" s="33">
        <v>0</v>
      </c>
      <c r="F38" s="34"/>
      <c r="G38" s="34"/>
      <c r="H38" s="36">
        <v>14.520239999999999</v>
      </c>
      <c r="I38" s="36">
        <v>3.3768000000000002</v>
      </c>
      <c r="J38" s="36">
        <v>657.46296000000007</v>
      </c>
      <c r="K38" s="34">
        <v>0</v>
      </c>
      <c r="L38" s="34">
        <v>0</v>
      </c>
      <c r="M38" s="34">
        <v>0</v>
      </c>
      <c r="N38" s="34">
        <v>0</v>
      </c>
      <c r="O38" s="38">
        <v>2079</v>
      </c>
      <c r="P38" s="33">
        <v>-85.306000000000012</v>
      </c>
      <c r="Q38" s="33">
        <v>-15.054000000000002</v>
      </c>
      <c r="R38" s="33">
        <v>-25.090000000000003</v>
      </c>
      <c r="S38" s="33">
        <v>-3825.8928571428569</v>
      </c>
      <c r="T38" s="33">
        <v>-459.10714285714283</v>
      </c>
      <c r="U38" s="33"/>
      <c r="V38" s="33">
        <v>4285</v>
      </c>
      <c r="W38" s="39"/>
      <c r="X38" s="40">
        <v>415</v>
      </c>
      <c r="Y38" s="40"/>
      <c r="Z38" s="40"/>
      <c r="AA38" s="40"/>
      <c r="AB38" s="40"/>
      <c r="AC38" s="40"/>
      <c r="AD38" s="40"/>
      <c r="AE38" s="40"/>
      <c r="AF38" s="40"/>
      <c r="AG38" s="40"/>
      <c r="AH38" s="33">
        <v>415</v>
      </c>
      <c r="AI38" s="38"/>
      <c r="AJ38" s="38"/>
      <c r="AK38" s="33"/>
      <c r="AL38" s="33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41">
        <v>415</v>
      </c>
      <c r="BA38" s="136"/>
      <c r="BB38" s="146"/>
      <c r="BC38" s="145"/>
      <c r="BD38" s="145"/>
      <c r="BE38" s="145"/>
      <c r="BF38" s="145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</row>
    <row r="39" spans="1:79" s="4" customFormat="1">
      <c r="A39" s="180">
        <v>43359</v>
      </c>
      <c r="B39" s="16" t="s">
        <v>43</v>
      </c>
      <c r="C39" s="34"/>
      <c r="D39" s="33">
        <v>0</v>
      </c>
      <c r="E39" s="33">
        <v>0</v>
      </c>
      <c r="F39" s="34"/>
      <c r="G39" s="34"/>
      <c r="H39" s="36">
        <v>0</v>
      </c>
      <c r="I39" s="36">
        <v>0</v>
      </c>
      <c r="J39" s="36">
        <v>0</v>
      </c>
      <c r="K39" s="34">
        <v>0</v>
      </c>
      <c r="L39" s="34">
        <v>0</v>
      </c>
      <c r="M39" s="34">
        <v>0</v>
      </c>
      <c r="N39" s="34">
        <v>0</v>
      </c>
      <c r="O39" s="38"/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/>
      <c r="V39" s="33">
        <v>0</v>
      </c>
      <c r="W39" s="39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33">
        <v>0</v>
      </c>
      <c r="AI39" s="38"/>
      <c r="AJ39" s="38"/>
      <c r="AK39" s="33">
        <v>0</v>
      </c>
      <c r="AL39" s="33">
        <v>0</v>
      </c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41">
        <v>0</v>
      </c>
      <c r="BA39" s="136"/>
      <c r="BB39" s="146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</row>
    <row r="40" spans="1:79" s="4" customFormat="1">
      <c r="A40" s="180">
        <v>43359</v>
      </c>
      <c r="B40" s="16" t="s">
        <v>44</v>
      </c>
      <c r="C40" s="34"/>
      <c r="D40" s="33">
        <v>0</v>
      </c>
      <c r="E40" s="33">
        <v>0</v>
      </c>
      <c r="F40" s="34"/>
      <c r="G40" s="34"/>
      <c r="H40" s="36">
        <v>0</v>
      </c>
      <c r="I40" s="36">
        <v>0</v>
      </c>
      <c r="J40" s="36">
        <v>0</v>
      </c>
      <c r="K40" s="34">
        <v>0</v>
      </c>
      <c r="L40" s="34">
        <v>0</v>
      </c>
      <c r="M40" s="34">
        <v>0</v>
      </c>
      <c r="N40" s="34">
        <v>0</v>
      </c>
      <c r="O40" s="38"/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/>
      <c r="V40" s="33">
        <v>0</v>
      </c>
      <c r="W40" s="39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33">
        <v>0</v>
      </c>
      <c r="AI40" s="38"/>
      <c r="AJ40" s="38"/>
      <c r="AK40" s="33">
        <v>0</v>
      </c>
      <c r="AL40" s="33">
        <v>0</v>
      </c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41">
        <v>0</v>
      </c>
      <c r="BA40" s="136"/>
      <c r="BB40" s="146"/>
      <c r="BC40" s="145"/>
      <c r="BD40" s="145"/>
      <c r="BE40" s="145"/>
      <c r="BF40" s="145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</row>
    <row r="41" spans="1:79" s="4" customFormat="1">
      <c r="A41" s="180">
        <v>43360</v>
      </c>
      <c r="B41" s="16" t="s">
        <v>43</v>
      </c>
      <c r="C41" s="34">
        <v>8040</v>
      </c>
      <c r="D41" s="33"/>
      <c r="E41" s="33">
        <v>-0.9499999999998181</v>
      </c>
      <c r="F41" s="34"/>
      <c r="G41" s="34"/>
      <c r="H41" s="36">
        <v>11.903044999999999</v>
      </c>
      <c r="I41" s="36">
        <v>2.7681499999999999</v>
      </c>
      <c r="J41" s="36">
        <v>538.95880499999998</v>
      </c>
      <c r="K41" s="34">
        <v>96.249999999999986</v>
      </c>
      <c r="L41" s="34">
        <v>0</v>
      </c>
      <c r="M41" s="34">
        <v>0</v>
      </c>
      <c r="N41" s="34">
        <v>95.660714285714278</v>
      </c>
      <c r="O41" s="38">
        <v>605.70000000000005</v>
      </c>
      <c r="P41" s="33">
        <v>-465.53479999999996</v>
      </c>
      <c r="Q41" s="33">
        <v>-82.153199999999998</v>
      </c>
      <c r="R41" s="33">
        <v>-136.922</v>
      </c>
      <c r="S41" s="33">
        <v>-7770.4617857142848</v>
      </c>
      <c r="T41" s="33">
        <v>-909.42612857142842</v>
      </c>
      <c r="U41" s="33"/>
      <c r="V41" s="33">
        <v>8487.9771999999994</v>
      </c>
      <c r="W41" s="39"/>
      <c r="X41" s="40">
        <v>0</v>
      </c>
      <c r="Y41" s="40"/>
      <c r="Z41" s="40"/>
      <c r="AA41" s="40"/>
      <c r="AB41" s="40"/>
      <c r="AC41" s="40"/>
      <c r="AD41" s="40"/>
      <c r="AE41" s="40"/>
      <c r="AF41" s="40"/>
      <c r="AG41" s="40"/>
      <c r="AH41" s="33">
        <v>0</v>
      </c>
      <c r="AI41" s="38"/>
      <c r="AJ41" s="38"/>
      <c r="AK41" s="33">
        <v>0</v>
      </c>
      <c r="AL41" s="33">
        <v>0</v>
      </c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41">
        <v>0</v>
      </c>
      <c r="BA41" s="136"/>
      <c r="BB41" s="146"/>
      <c r="BC41" s="145"/>
      <c r="BD41" s="145"/>
      <c r="BE41" s="145"/>
      <c r="BF41" s="145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</row>
    <row r="42" spans="1:79" s="4" customFormat="1">
      <c r="A42" s="180">
        <v>43360</v>
      </c>
      <c r="B42" s="16" t="s">
        <v>44</v>
      </c>
      <c r="C42" s="34">
        <v>8310</v>
      </c>
      <c r="D42" s="33"/>
      <c r="E42" s="33">
        <v>-7.930000000000291</v>
      </c>
      <c r="F42" s="34"/>
      <c r="G42" s="34"/>
      <c r="H42" s="36">
        <v>84.516499999999994</v>
      </c>
      <c r="I42" s="36">
        <v>19.655000000000001</v>
      </c>
      <c r="J42" s="36">
        <v>3826.8284999999996</v>
      </c>
      <c r="K42" s="34">
        <v>294.64285714285711</v>
      </c>
      <c r="L42" s="34">
        <v>0</v>
      </c>
      <c r="M42" s="34">
        <v>0</v>
      </c>
      <c r="N42" s="34">
        <v>62.178571428571423</v>
      </c>
      <c r="O42" s="38">
        <v>3438</v>
      </c>
      <c r="P42" s="33">
        <v>-566.1</v>
      </c>
      <c r="Q42" s="33">
        <v>-99.899999999999991</v>
      </c>
      <c r="R42" s="33">
        <v>-166.5</v>
      </c>
      <c r="S42" s="33">
        <v>-13562.726071428571</v>
      </c>
      <c r="T42" s="33">
        <v>-1584.708557142857</v>
      </c>
      <c r="U42" s="33"/>
      <c r="V42" s="33">
        <v>14790.6132</v>
      </c>
      <c r="W42" s="39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33">
        <v>0</v>
      </c>
      <c r="AI42" s="38"/>
      <c r="AJ42" s="38"/>
      <c r="AK42" s="33"/>
      <c r="AL42" s="33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41">
        <v>0</v>
      </c>
      <c r="BA42" s="136"/>
      <c r="BB42" s="146"/>
      <c r="BC42" s="145"/>
      <c r="BD42" s="145"/>
      <c r="BE42" s="145"/>
      <c r="BF42" s="145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</row>
    <row r="43" spans="1:79" s="4" customFormat="1">
      <c r="A43" s="180">
        <v>43361</v>
      </c>
      <c r="B43" s="16" t="s">
        <v>43</v>
      </c>
      <c r="C43" s="34">
        <v>11972</v>
      </c>
      <c r="D43" s="33"/>
      <c r="E43" s="33">
        <v>-0.12000000000080036</v>
      </c>
      <c r="F43" s="34"/>
      <c r="G43" s="34"/>
      <c r="H43" s="36">
        <v>120.37893</v>
      </c>
      <c r="I43" s="36">
        <v>27.995100000000004</v>
      </c>
      <c r="J43" s="36">
        <v>5450.6459700000005</v>
      </c>
      <c r="K43" s="34">
        <v>125.44642857142856</v>
      </c>
      <c r="L43" s="34">
        <v>0</v>
      </c>
      <c r="M43" s="34">
        <v>0</v>
      </c>
      <c r="N43" s="34">
        <v>415.29464285714283</v>
      </c>
      <c r="O43" s="38"/>
      <c r="P43" s="33">
        <v>-942.21479999999997</v>
      </c>
      <c r="Q43" s="33">
        <v>-166.2732</v>
      </c>
      <c r="R43" s="33">
        <v>-277.12200000000001</v>
      </c>
      <c r="S43" s="33">
        <v>-14927.003928571427</v>
      </c>
      <c r="T43" s="33">
        <v>-1726.3515428571427</v>
      </c>
      <c r="U43" s="33"/>
      <c r="V43" s="33">
        <v>16112.614399999999</v>
      </c>
      <c r="W43" s="39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33">
        <v>0</v>
      </c>
      <c r="AI43" s="38"/>
      <c r="AJ43" s="38"/>
      <c r="AK43" s="33">
        <v>0</v>
      </c>
      <c r="AL43" s="33">
        <v>0</v>
      </c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41">
        <v>0</v>
      </c>
      <c r="BA43" s="136"/>
      <c r="BB43" s="146"/>
      <c r="BC43" s="145"/>
      <c r="BD43" s="145"/>
      <c r="BE43" s="145"/>
      <c r="BF43" s="145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</row>
    <row r="44" spans="1:79" s="4" customFormat="1">
      <c r="A44" s="180">
        <v>43361</v>
      </c>
      <c r="B44" s="16" t="s">
        <v>44</v>
      </c>
      <c r="C44" s="34">
        <v>12325</v>
      </c>
      <c r="D44" s="33"/>
      <c r="E44" s="33">
        <v>-2.319999999999709</v>
      </c>
      <c r="F44" s="34"/>
      <c r="G44" s="34"/>
      <c r="H44" s="36">
        <v>79.041309999999996</v>
      </c>
      <c r="I44" s="36">
        <v>18.381700000000002</v>
      </c>
      <c r="J44" s="36">
        <v>3578.9169900000002</v>
      </c>
      <c r="K44" s="34">
        <v>203.12499999999997</v>
      </c>
      <c r="L44" s="34">
        <v>0</v>
      </c>
      <c r="M44" s="34">
        <v>0</v>
      </c>
      <c r="N44" s="34">
        <v>143.81249999999997</v>
      </c>
      <c r="O44" s="38">
        <v>3676.34</v>
      </c>
      <c r="P44" s="33">
        <v>-896.05639999999994</v>
      </c>
      <c r="Q44" s="33">
        <v>-158.1276</v>
      </c>
      <c r="R44" s="33">
        <v>-263.54599999999999</v>
      </c>
      <c r="S44" s="33">
        <v>-14815.831785714285</v>
      </c>
      <c r="T44" s="33">
        <v>-1736.2673142857141</v>
      </c>
      <c r="U44" s="33"/>
      <c r="V44" s="33">
        <v>16205.161599999999</v>
      </c>
      <c r="W44" s="39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33">
        <v>0</v>
      </c>
      <c r="AI44" s="38"/>
      <c r="AJ44" s="38"/>
      <c r="AK44" s="33"/>
      <c r="AL44" s="33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41">
        <v>0</v>
      </c>
      <c r="BA44" s="136"/>
      <c r="BB44" s="146"/>
      <c r="BC44" s="145"/>
      <c r="BD44" s="145"/>
      <c r="BE44" s="145"/>
      <c r="BF44" s="145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</row>
    <row r="45" spans="1:79" s="4" customFormat="1">
      <c r="A45" s="180">
        <v>43362</v>
      </c>
      <c r="B45" s="16" t="s">
        <v>43</v>
      </c>
      <c r="C45" s="34">
        <v>13540</v>
      </c>
      <c r="D45" s="33">
        <v>0</v>
      </c>
      <c r="E45" s="33">
        <v>-3.0599999999994907</v>
      </c>
      <c r="F45" s="34"/>
      <c r="G45" s="34"/>
      <c r="H45" s="36">
        <v>81.032209999999992</v>
      </c>
      <c r="I45" s="36">
        <v>18.8447</v>
      </c>
      <c r="J45" s="36">
        <v>3669.0630900000001</v>
      </c>
      <c r="K45" s="34">
        <v>54.687499999999993</v>
      </c>
      <c r="L45" s="34">
        <v>0</v>
      </c>
      <c r="M45" s="34">
        <v>0</v>
      </c>
      <c r="N45" s="34">
        <v>87.696428571428555</v>
      </c>
      <c r="O45" s="38">
        <v>859.5</v>
      </c>
      <c r="P45" s="33">
        <v>-852.57039999999995</v>
      </c>
      <c r="Q45" s="33">
        <v>-150.45359999999999</v>
      </c>
      <c r="R45" s="33">
        <v>-250.756</v>
      </c>
      <c r="S45" s="33">
        <v>-15224.940714285714</v>
      </c>
      <c r="T45" s="33">
        <v>-1809.9068142857141</v>
      </c>
      <c r="U45" s="33"/>
      <c r="V45" s="33">
        <v>16892.463599999999</v>
      </c>
      <c r="W45" s="39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33">
        <v>0</v>
      </c>
      <c r="AI45" s="38"/>
      <c r="AJ45" s="38"/>
      <c r="AK45" s="33">
        <v>0</v>
      </c>
      <c r="AL45" s="33">
        <v>0</v>
      </c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41">
        <v>0</v>
      </c>
      <c r="BA45" s="136"/>
      <c r="BB45" s="146"/>
      <c r="BC45" s="145"/>
      <c r="BD45" s="145"/>
      <c r="BE45" s="145"/>
      <c r="BF45" s="145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</row>
    <row r="46" spans="1:79" s="4" customFormat="1">
      <c r="A46" s="180">
        <v>43362</v>
      </c>
      <c r="B46" s="16" t="s">
        <v>44</v>
      </c>
      <c r="C46" s="34">
        <v>11050</v>
      </c>
      <c r="D46" s="33">
        <v>0</v>
      </c>
      <c r="E46" s="33">
        <v>-1.0599999999994907</v>
      </c>
      <c r="F46" s="34"/>
      <c r="G46" s="34"/>
      <c r="H46" s="36">
        <v>164.96777999999998</v>
      </c>
      <c r="I46" s="36">
        <v>38.364600000000003</v>
      </c>
      <c r="J46" s="36">
        <v>7469.5876200000002</v>
      </c>
      <c r="K46" s="34">
        <v>0</v>
      </c>
      <c r="L46" s="34">
        <v>0</v>
      </c>
      <c r="M46" s="34">
        <v>0</v>
      </c>
      <c r="N46" s="34">
        <v>56.598214285714278</v>
      </c>
      <c r="O46" s="38"/>
      <c r="P46" s="33">
        <v>-992.31719999999996</v>
      </c>
      <c r="Q46" s="33">
        <v>-175.1148</v>
      </c>
      <c r="R46" s="33">
        <v>-291.858</v>
      </c>
      <c r="S46" s="33">
        <v>-15462.815357142856</v>
      </c>
      <c r="T46" s="33">
        <v>-1848.7460571428569</v>
      </c>
      <c r="U46" s="33"/>
      <c r="V46" s="33">
        <v>17254.963199999998</v>
      </c>
      <c r="W46" s="39">
        <v>1295</v>
      </c>
      <c r="X46" s="40"/>
      <c r="Y46" s="40"/>
      <c r="Z46" s="40">
        <v>1150</v>
      </c>
      <c r="AA46" s="40"/>
      <c r="AB46" s="40"/>
      <c r="AC46" s="40"/>
      <c r="AD46" s="40"/>
      <c r="AE46" s="40"/>
      <c r="AF46" s="40"/>
      <c r="AG46" s="40"/>
      <c r="AH46" s="33">
        <v>2445</v>
      </c>
      <c r="AI46" s="38"/>
      <c r="AJ46" s="38"/>
      <c r="AK46" s="33">
        <v>0</v>
      </c>
      <c r="AL46" s="33">
        <v>0</v>
      </c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41">
        <v>2445</v>
      </c>
      <c r="BA46" s="136"/>
      <c r="BB46" s="146"/>
      <c r="BC46" s="145"/>
      <c r="BD46" s="145"/>
      <c r="BE46" s="145"/>
      <c r="BF46" s="145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</row>
    <row r="47" spans="1:79" s="4" customFormat="1">
      <c r="A47" s="180">
        <v>43363</v>
      </c>
      <c r="B47" s="16" t="s">
        <v>43</v>
      </c>
      <c r="C47" s="34">
        <v>30630</v>
      </c>
      <c r="D47" s="33">
        <v>0</v>
      </c>
      <c r="E47" s="33">
        <v>-2.2000000000007276</v>
      </c>
      <c r="F47" s="34"/>
      <c r="G47" s="34"/>
      <c r="H47" s="36">
        <v>114.489435</v>
      </c>
      <c r="I47" s="36">
        <v>26.625450000000001</v>
      </c>
      <c r="J47" s="36">
        <v>5183.9751149999993</v>
      </c>
      <c r="K47" s="34">
        <v>118.74999999999999</v>
      </c>
      <c r="L47" s="34">
        <v>0</v>
      </c>
      <c r="M47" s="34">
        <v>0</v>
      </c>
      <c r="N47" s="34">
        <v>243.14285714285711</v>
      </c>
      <c r="O47" s="38">
        <v>810</v>
      </c>
      <c r="P47" s="33">
        <v>-1901.6948</v>
      </c>
      <c r="Q47" s="33">
        <v>-335.59319999999997</v>
      </c>
      <c r="R47" s="33">
        <v>-559.322</v>
      </c>
      <c r="S47" s="33">
        <v>-30645.501428571428</v>
      </c>
      <c r="T47" s="33">
        <v>-3634.0330285714281</v>
      </c>
      <c r="U47" s="33"/>
      <c r="V47" s="33">
        <v>33917.641599999995</v>
      </c>
      <c r="W47" s="39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33">
        <v>0</v>
      </c>
      <c r="AI47" s="38"/>
      <c r="AJ47" s="38"/>
      <c r="AK47" s="33">
        <v>0</v>
      </c>
      <c r="AL47" s="33">
        <v>0</v>
      </c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41">
        <v>0</v>
      </c>
      <c r="BA47" s="136"/>
      <c r="BB47" s="146"/>
      <c r="BC47" s="145"/>
      <c r="BD47" s="145"/>
      <c r="BE47" s="145"/>
      <c r="BF47" s="145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</row>
    <row r="48" spans="1:79" s="4" customFormat="1">
      <c r="A48" s="180">
        <v>43363</v>
      </c>
      <c r="B48" s="16" t="s">
        <v>44</v>
      </c>
      <c r="C48" s="34">
        <v>14515</v>
      </c>
      <c r="D48" s="33">
        <v>0</v>
      </c>
      <c r="E48" s="33">
        <v>-0.86000000000058208</v>
      </c>
      <c r="F48" s="34"/>
      <c r="G48" s="34"/>
      <c r="H48" s="36">
        <v>121.22473999999998</v>
      </c>
      <c r="I48" s="36">
        <v>28.191800000000001</v>
      </c>
      <c r="J48" s="36">
        <v>5488.9434600000004</v>
      </c>
      <c r="K48" s="34">
        <v>165.44642857142856</v>
      </c>
      <c r="L48" s="34">
        <v>0</v>
      </c>
      <c r="M48" s="34">
        <v>0</v>
      </c>
      <c r="N48" s="34">
        <v>35.874999999999993</v>
      </c>
      <c r="O48" s="38">
        <v>2287.6999999999998</v>
      </c>
      <c r="P48" s="33">
        <v>-1072.2172</v>
      </c>
      <c r="Q48" s="33">
        <v>-189.2148</v>
      </c>
      <c r="R48" s="33">
        <v>-315.358</v>
      </c>
      <c r="S48" s="33">
        <v>-18805.207499999997</v>
      </c>
      <c r="T48" s="33">
        <v>-2232.4663285714282</v>
      </c>
      <c r="U48" s="33"/>
      <c r="V48" s="33">
        <v>20836.352399999996</v>
      </c>
      <c r="W48" s="39">
        <v>370</v>
      </c>
      <c r="X48" s="40"/>
      <c r="Y48" s="40"/>
      <c r="Z48" s="40">
        <v>390</v>
      </c>
      <c r="AA48" s="40"/>
      <c r="AB48" s="40"/>
      <c r="AC48" s="40"/>
      <c r="AD48" s="40"/>
      <c r="AE48" s="40"/>
      <c r="AF48" s="40"/>
      <c r="AG48" s="40"/>
      <c r="AH48" s="33">
        <v>760</v>
      </c>
      <c r="AI48" s="38">
        <v>1245</v>
      </c>
      <c r="AJ48" s="38"/>
      <c r="AK48" s="33">
        <v>0</v>
      </c>
      <c r="AL48" s="33">
        <v>0</v>
      </c>
      <c r="AM48" s="39"/>
      <c r="AN48" s="39"/>
      <c r="AO48" s="39"/>
      <c r="AP48" s="39"/>
      <c r="AQ48" s="39"/>
      <c r="AR48" s="39"/>
      <c r="AS48" s="39"/>
      <c r="AT48" s="39"/>
      <c r="AU48" s="39"/>
      <c r="AV48" s="170"/>
      <c r="AW48" s="39"/>
      <c r="AX48" s="39"/>
      <c r="AY48" s="39"/>
      <c r="AZ48" s="41">
        <v>2005</v>
      </c>
      <c r="BA48" s="136"/>
      <c r="BB48" s="146"/>
      <c r="BC48" s="145"/>
      <c r="BD48" s="145"/>
      <c r="BE48" s="145"/>
      <c r="BF48" s="145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</row>
    <row r="49" spans="1:79" s="4" customFormat="1">
      <c r="A49" s="180">
        <v>43364</v>
      </c>
      <c r="B49" s="16" t="s">
        <v>43</v>
      </c>
      <c r="C49" s="34">
        <v>14421</v>
      </c>
      <c r="D49" s="33">
        <v>0</v>
      </c>
      <c r="E49" s="33">
        <v>-0.30999999999949068</v>
      </c>
      <c r="F49" s="34"/>
      <c r="G49" s="34"/>
      <c r="H49" s="36">
        <v>158.92584999999997</v>
      </c>
      <c r="I49" s="36">
        <v>36.959499999999998</v>
      </c>
      <c r="J49" s="36">
        <v>7196.0146500000001</v>
      </c>
      <c r="K49" s="34">
        <v>316.96428571428567</v>
      </c>
      <c r="L49" s="34">
        <v>0</v>
      </c>
      <c r="M49" s="34">
        <v>0</v>
      </c>
      <c r="N49" s="34">
        <v>186.38392857142856</v>
      </c>
      <c r="O49" s="38">
        <v>3195</v>
      </c>
      <c r="P49" s="33">
        <v>-1139.4012</v>
      </c>
      <c r="Q49" s="33">
        <v>-201.07079999999999</v>
      </c>
      <c r="R49" s="33">
        <v>-335.11799999999999</v>
      </c>
      <c r="S49" s="33">
        <v>-21275.089285714283</v>
      </c>
      <c r="T49" s="33">
        <v>-2492.6089285714284</v>
      </c>
      <c r="U49" s="33"/>
      <c r="V49" s="33">
        <v>23264.35</v>
      </c>
      <c r="W49" s="39">
        <v>0</v>
      </c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33">
        <v>0</v>
      </c>
      <c r="AI49" s="38"/>
      <c r="AJ49" s="38"/>
      <c r="AK49" s="33">
        <v>0</v>
      </c>
      <c r="AL49" s="33">
        <v>0</v>
      </c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41">
        <v>0</v>
      </c>
      <c r="BA49" s="136"/>
      <c r="BB49" s="146"/>
      <c r="BC49" s="145"/>
      <c r="BD49" s="145"/>
      <c r="BE49" s="145"/>
      <c r="BF49" s="145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</row>
    <row r="50" spans="1:79" s="4" customFormat="1">
      <c r="A50" s="180">
        <v>43364</v>
      </c>
      <c r="B50" s="16" t="s">
        <v>44</v>
      </c>
      <c r="C50" s="34">
        <v>15671</v>
      </c>
      <c r="D50" s="33">
        <v>0.63999999999941792</v>
      </c>
      <c r="E50" s="33">
        <v>0</v>
      </c>
      <c r="F50" s="34"/>
      <c r="G50" s="34"/>
      <c r="H50" s="36">
        <v>108.72270499999999</v>
      </c>
      <c r="I50" s="36">
        <v>25.28435</v>
      </c>
      <c r="J50" s="36">
        <v>4922.8629449999999</v>
      </c>
      <c r="K50" s="34">
        <v>540.75892857142856</v>
      </c>
      <c r="L50" s="34">
        <v>0</v>
      </c>
      <c r="M50" s="34">
        <v>0</v>
      </c>
      <c r="N50" s="34">
        <v>144.29464285714286</v>
      </c>
      <c r="O50" s="38">
        <v>3181.5</v>
      </c>
      <c r="P50" s="33">
        <v>-1103.1164000000001</v>
      </c>
      <c r="Q50" s="33">
        <v>-194.66760000000002</v>
      </c>
      <c r="R50" s="33">
        <v>-324.44600000000003</v>
      </c>
      <c r="S50" s="33">
        <v>-20502.650714285715</v>
      </c>
      <c r="T50" s="33">
        <v>-2378.111657142857</v>
      </c>
      <c r="U50" s="33"/>
      <c r="V50" s="33">
        <v>22195.7088</v>
      </c>
      <c r="W50" s="39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33">
        <v>0</v>
      </c>
      <c r="AI50" s="38"/>
      <c r="AJ50" s="38">
        <v>0</v>
      </c>
      <c r="AK50" s="33"/>
      <c r="AL50" s="33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41">
        <v>0</v>
      </c>
      <c r="BA50" s="136"/>
      <c r="BB50" s="146"/>
      <c r="BC50" s="145"/>
      <c r="BD50" s="145"/>
      <c r="BE50" s="145"/>
      <c r="BF50" s="145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</row>
    <row r="51" spans="1:79" s="4" customFormat="1">
      <c r="A51" s="180">
        <v>43365</v>
      </c>
      <c r="B51" s="16" t="s">
        <v>43</v>
      </c>
      <c r="C51" s="34"/>
      <c r="D51" s="33">
        <v>0</v>
      </c>
      <c r="E51" s="33">
        <v>0</v>
      </c>
      <c r="F51" s="34"/>
      <c r="G51" s="34"/>
      <c r="H51" s="36">
        <v>0</v>
      </c>
      <c r="I51" s="36">
        <v>0</v>
      </c>
      <c r="J51" s="36">
        <v>0</v>
      </c>
      <c r="K51" s="34">
        <v>0</v>
      </c>
      <c r="L51" s="34">
        <v>0</v>
      </c>
      <c r="M51" s="34">
        <v>0</v>
      </c>
      <c r="N51" s="34">
        <v>0</v>
      </c>
      <c r="O51" s="38"/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/>
      <c r="V51" s="33">
        <v>0</v>
      </c>
      <c r="W51" s="39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33">
        <v>0</v>
      </c>
      <c r="AI51" s="38"/>
      <c r="AJ51" s="38"/>
      <c r="AK51" s="33">
        <v>0</v>
      </c>
      <c r="AL51" s="33">
        <v>0</v>
      </c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41">
        <v>0</v>
      </c>
      <c r="BA51" s="136"/>
      <c r="BB51" s="146"/>
      <c r="BC51" s="145"/>
      <c r="BD51" s="145"/>
      <c r="BE51" s="145"/>
      <c r="BF51" s="145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</row>
    <row r="52" spans="1:79" s="4" customFormat="1">
      <c r="A52" s="180">
        <v>43365</v>
      </c>
      <c r="B52" s="16" t="s">
        <v>44</v>
      </c>
      <c r="C52" s="34">
        <v>6110</v>
      </c>
      <c r="D52" s="33">
        <v>0</v>
      </c>
      <c r="E52" s="33">
        <v>-0.22999999999956344</v>
      </c>
      <c r="F52" s="34"/>
      <c r="G52" s="34"/>
      <c r="H52" s="36">
        <v>54.14000999999999</v>
      </c>
      <c r="I52" s="36">
        <v>12.5907</v>
      </c>
      <c r="J52" s="36">
        <v>2451.4092899999996</v>
      </c>
      <c r="K52" s="34">
        <v>127.00892857142856</v>
      </c>
      <c r="L52" s="34">
        <v>0</v>
      </c>
      <c r="M52" s="34">
        <v>0</v>
      </c>
      <c r="N52" s="34">
        <v>149.875</v>
      </c>
      <c r="O52" s="38">
        <v>1441</v>
      </c>
      <c r="P52" s="33">
        <v>-386.7364</v>
      </c>
      <c r="Q52" s="33">
        <v>-68.247600000000006</v>
      </c>
      <c r="R52" s="33">
        <v>-113.74600000000001</v>
      </c>
      <c r="S52" s="33">
        <v>-8725.9614285714288</v>
      </c>
      <c r="T52" s="33">
        <v>-1013.8892999999999</v>
      </c>
      <c r="U52" s="33"/>
      <c r="V52" s="33">
        <v>9462.9668000000001</v>
      </c>
      <c r="W52" s="39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33">
        <v>0</v>
      </c>
      <c r="AI52" s="38">
        <v>575</v>
      </c>
      <c r="AJ52" s="38"/>
      <c r="AK52" s="33">
        <v>21.5</v>
      </c>
      <c r="AL52" s="33">
        <v>215</v>
      </c>
      <c r="AM52" s="39"/>
      <c r="AN52" s="39"/>
      <c r="AO52" s="39">
        <v>215</v>
      </c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41">
        <v>768.5</v>
      </c>
      <c r="BA52" s="136"/>
      <c r="BB52" s="146"/>
      <c r="BC52" s="145"/>
      <c r="BD52" s="145"/>
      <c r="BE52" s="145"/>
      <c r="BF52" s="145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</row>
    <row r="53" spans="1:79" s="4" customFormat="1">
      <c r="A53" s="180">
        <v>43366</v>
      </c>
      <c r="B53" s="16" t="s">
        <v>43</v>
      </c>
      <c r="C53" s="34"/>
      <c r="D53" s="33"/>
      <c r="E53" s="33">
        <v>0</v>
      </c>
      <c r="F53" s="34"/>
      <c r="G53" s="34"/>
      <c r="H53" s="36">
        <v>0</v>
      </c>
      <c r="I53" s="36">
        <v>0</v>
      </c>
      <c r="J53" s="36">
        <v>0</v>
      </c>
      <c r="K53" s="34">
        <v>0</v>
      </c>
      <c r="L53" s="34">
        <v>0</v>
      </c>
      <c r="M53" s="34">
        <v>0</v>
      </c>
      <c r="N53" s="34">
        <v>0</v>
      </c>
      <c r="O53" s="38"/>
      <c r="P53" s="33">
        <v>0</v>
      </c>
      <c r="Q53" s="33">
        <v>0</v>
      </c>
      <c r="R53" s="33">
        <v>0</v>
      </c>
      <c r="S53" s="33">
        <v>0</v>
      </c>
      <c r="T53" s="33">
        <v>0</v>
      </c>
      <c r="U53" s="33"/>
      <c r="V53" s="33">
        <v>0</v>
      </c>
      <c r="W53" s="39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33">
        <v>0</v>
      </c>
      <c r="AI53" s="38"/>
      <c r="AJ53" s="38"/>
      <c r="AK53" s="33">
        <v>0</v>
      </c>
      <c r="AL53" s="33">
        <v>0</v>
      </c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41">
        <v>0</v>
      </c>
      <c r="BA53" s="136"/>
      <c r="BB53" s="146"/>
      <c r="BC53" s="145"/>
      <c r="BD53" s="145"/>
      <c r="BE53" s="145"/>
      <c r="BF53" s="145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</row>
    <row r="54" spans="1:79" s="4" customFormat="1">
      <c r="A54" s="180">
        <v>43366</v>
      </c>
      <c r="B54" s="16" t="s">
        <v>44</v>
      </c>
      <c r="C54" s="34"/>
      <c r="D54" s="33"/>
      <c r="E54" s="33">
        <v>0</v>
      </c>
      <c r="F54" s="34"/>
      <c r="G54" s="34"/>
      <c r="H54" s="36">
        <v>0</v>
      </c>
      <c r="I54" s="36">
        <v>0</v>
      </c>
      <c r="J54" s="36">
        <v>0</v>
      </c>
      <c r="K54" s="34">
        <v>0</v>
      </c>
      <c r="L54" s="34">
        <v>0</v>
      </c>
      <c r="M54" s="34">
        <v>0</v>
      </c>
      <c r="N54" s="34">
        <v>0</v>
      </c>
      <c r="O54" s="38"/>
      <c r="P54" s="33">
        <v>0</v>
      </c>
      <c r="Q54" s="33">
        <v>0</v>
      </c>
      <c r="R54" s="33">
        <v>0</v>
      </c>
      <c r="S54" s="33">
        <v>0</v>
      </c>
      <c r="T54" s="33">
        <v>0</v>
      </c>
      <c r="U54" s="33"/>
      <c r="V54" s="33">
        <v>0</v>
      </c>
      <c r="W54" s="39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33">
        <v>0</v>
      </c>
      <c r="AI54" s="38"/>
      <c r="AJ54" s="38">
        <v>0</v>
      </c>
      <c r="AK54" s="33"/>
      <c r="AL54" s="33"/>
      <c r="AM54" s="39"/>
      <c r="AN54" s="39"/>
      <c r="AO54" s="39">
        <v>0</v>
      </c>
      <c r="AP54" s="39"/>
      <c r="AQ54" s="39">
        <v>0</v>
      </c>
      <c r="AR54" s="39"/>
      <c r="AS54" s="39"/>
      <c r="AT54" s="39"/>
      <c r="AU54" s="39"/>
      <c r="AV54" s="39"/>
      <c r="AW54" s="39"/>
      <c r="AX54" s="39"/>
      <c r="AY54" s="39"/>
      <c r="AZ54" s="41">
        <v>0</v>
      </c>
      <c r="BA54" s="136"/>
      <c r="BB54" s="146"/>
      <c r="BC54" s="145"/>
      <c r="BD54" s="145"/>
      <c r="BE54" s="145"/>
      <c r="BF54" s="145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</row>
    <row r="55" spans="1:79" s="4" customFormat="1">
      <c r="A55" s="180">
        <v>43367</v>
      </c>
      <c r="B55" s="16" t="s">
        <v>43</v>
      </c>
      <c r="C55" s="34">
        <v>13750</v>
      </c>
      <c r="D55" s="33"/>
      <c r="E55" s="33">
        <v>-1</v>
      </c>
      <c r="F55" s="34"/>
      <c r="G55" s="34"/>
      <c r="H55" s="36">
        <v>132.4615</v>
      </c>
      <c r="I55" s="36">
        <v>30.805</v>
      </c>
      <c r="J55" s="36">
        <v>5997.7334999999994</v>
      </c>
      <c r="K55" s="34">
        <v>463.16964285714283</v>
      </c>
      <c r="L55" s="34">
        <v>0</v>
      </c>
      <c r="M55" s="34">
        <v>0</v>
      </c>
      <c r="N55" s="34">
        <v>396.89285714285711</v>
      </c>
      <c r="O55" s="38">
        <v>1485</v>
      </c>
      <c r="P55" s="33">
        <v>-1056.7064</v>
      </c>
      <c r="Q55" s="33">
        <v>-186.47760000000002</v>
      </c>
      <c r="R55" s="33">
        <v>-310.79600000000005</v>
      </c>
      <c r="S55" s="33">
        <v>-18472.051428571427</v>
      </c>
      <c r="T55" s="33">
        <v>-2113.4386714285711</v>
      </c>
      <c r="U55" s="33"/>
      <c r="V55" s="33">
        <v>19725.427599999999</v>
      </c>
      <c r="W55" s="39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33">
        <v>0</v>
      </c>
      <c r="AI55" s="38"/>
      <c r="AJ55" s="38"/>
      <c r="AK55" s="33">
        <v>0</v>
      </c>
      <c r="AL55" s="33">
        <v>0</v>
      </c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41">
        <v>0</v>
      </c>
      <c r="BA55" s="136"/>
      <c r="BB55" s="146"/>
      <c r="BC55" s="145"/>
      <c r="BD55" s="145"/>
      <c r="BE55" s="145"/>
      <c r="BF55" s="145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</row>
    <row r="56" spans="1:79" s="4" customFormat="1">
      <c r="A56" s="180">
        <v>43367</v>
      </c>
      <c r="B56" s="16" t="s">
        <v>44</v>
      </c>
      <c r="C56" s="34">
        <v>10052</v>
      </c>
      <c r="D56" s="33"/>
      <c r="E56" s="33">
        <v>-2.6200000000008004</v>
      </c>
      <c r="F56" s="34"/>
      <c r="G56" s="34">
        <v>500</v>
      </c>
      <c r="H56" s="36">
        <v>38.319019999999995</v>
      </c>
      <c r="I56" s="36">
        <v>8.9114000000000004</v>
      </c>
      <c r="J56" s="36">
        <v>1735.0495800000001</v>
      </c>
      <c r="K56" s="34">
        <v>14.732142857142856</v>
      </c>
      <c r="L56" s="34">
        <v>6.2499999999999991</v>
      </c>
      <c r="M56" s="34">
        <v>0</v>
      </c>
      <c r="N56" s="34">
        <v>59.392857142857132</v>
      </c>
      <c r="O56" s="38">
        <v>105</v>
      </c>
      <c r="P56" s="33">
        <v>-566.16120000000012</v>
      </c>
      <c r="Q56" s="33">
        <v>-99.910800000000009</v>
      </c>
      <c r="R56" s="33">
        <v>-166.51800000000003</v>
      </c>
      <c r="S56" s="33">
        <v>-10431.506785714284</v>
      </c>
      <c r="T56" s="33">
        <v>-1242.1358142857141</v>
      </c>
      <c r="U56" s="33"/>
      <c r="V56" s="33">
        <v>11593.267599999997</v>
      </c>
      <c r="W56" s="39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33">
        <v>0</v>
      </c>
      <c r="AI56" s="38">
        <v>135</v>
      </c>
      <c r="AJ56" s="38"/>
      <c r="AK56" s="33">
        <v>0</v>
      </c>
      <c r="AL56" s="33">
        <v>0</v>
      </c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41">
        <v>135</v>
      </c>
      <c r="BA56" s="136"/>
      <c r="BB56" s="146"/>
      <c r="BC56" s="145"/>
      <c r="BD56" s="145"/>
      <c r="BE56" s="145"/>
      <c r="BF56" s="145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</row>
    <row r="57" spans="1:79" s="4" customFormat="1">
      <c r="A57" s="180">
        <v>43368</v>
      </c>
      <c r="B57" s="16" t="s">
        <v>43</v>
      </c>
      <c r="C57" s="34">
        <v>14486</v>
      </c>
      <c r="D57" s="33"/>
      <c r="E57" s="33">
        <v>-0.57999999999992724</v>
      </c>
      <c r="F57" s="34"/>
      <c r="G57" s="34"/>
      <c r="H57" s="36">
        <v>270.32143500000001</v>
      </c>
      <c r="I57" s="36">
        <v>62.865450000000003</v>
      </c>
      <c r="J57" s="36">
        <v>12239.903115000001</v>
      </c>
      <c r="K57" s="34">
        <v>507.14285714285711</v>
      </c>
      <c r="L57" s="34">
        <v>0</v>
      </c>
      <c r="M57" s="34">
        <v>0</v>
      </c>
      <c r="N57" s="34">
        <v>381.84821428571428</v>
      </c>
      <c r="O57" s="38">
        <v>2130.5</v>
      </c>
      <c r="P57" s="33">
        <v>-1426.8371999999999</v>
      </c>
      <c r="Q57" s="33">
        <v>-251.79480000000001</v>
      </c>
      <c r="R57" s="33">
        <v>-419.65800000000002</v>
      </c>
      <c r="S57" s="33">
        <v>-24970.454999999994</v>
      </c>
      <c r="T57" s="33">
        <v>-2889.7756714285706</v>
      </c>
      <c r="U57" s="33"/>
      <c r="V57" s="33">
        <v>26971.239599999994</v>
      </c>
      <c r="W57" s="39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33">
        <v>0</v>
      </c>
      <c r="AI57" s="38"/>
      <c r="AJ57" s="38"/>
      <c r="AK57" s="33">
        <v>0</v>
      </c>
      <c r="AL57" s="33">
        <v>0</v>
      </c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41">
        <v>0</v>
      </c>
      <c r="BA57" s="136"/>
      <c r="BB57" s="146"/>
      <c r="BC57" s="145"/>
      <c r="BD57" s="145"/>
      <c r="BE57" s="145"/>
      <c r="BF57" s="145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</row>
    <row r="58" spans="1:79" s="4" customFormat="1">
      <c r="A58" s="180">
        <v>43368</v>
      </c>
      <c r="B58" s="16" t="s">
        <v>44</v>
      </c>
      <c r="C58" s="34">
        <v>13370</v>
      </c>
      <c r="D58" s="33"/>
      <c r="E58" s="33">
        <v>0</v>
      </c>
      <c r="F58" s="34"/>
      <c r="G58" s="34"/>
      <c r="H58" s="36">
        <v>109.64548499999999</v>
      </c>
      <c r="I58" s="36">
        <v>25.498950000000001</v>
      </c>
      <c r="J58" s="36">
        <v>4964.6455649999998</v>
      </c>
      <c r="K58" s="34">
        <v>28.124999999999996</v>
      </c>
      <c r="L58" s="34">
        <v>0</v>
      </c>
      <c r="M58" s="34">
        <v>0</v>
      </c>
      <c r="N58" s="34">
        <v>44.803571428571423</v>
      </c>
      <c r="O58" s="38">
        <v>283.5</v>
      </c>
      <c r="P58" s="33">
        <v>-962.52639999999997</v>
      </c>
      <c r="Q58" s="33">
        <v>-169.85759999999999</v>
      </c>
      <c r="R58" s="33">
        <v>-283.096</v>
      </c>
      <c r="S58" s="33">
        <v>-15544.721785714282</v>
      </c>
      <c r="T58" s="33">
        <v>-1856.6151857142854</v>
      </c>
      <c r="U58" s="33"/>
      <c r="V58" s="33">
        <v>17328.408399999997</v>
      </c>
      <c r="W58" s="39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33">
        <v>0</v>
      </c>
      <c r="AI58" s="38"/>
      <c r="AJ58" s="38"/>
      <c r="AK58" s="33">
        <v>0</v>
      </c>
      <c r="AL58" s="33">
        <v>0</v>
      </c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41">
        <v>0</v>
      </c>
      <c r="BA58" s="136"/>
      <c r="BB58" s="146"/>
      <c r="BC58" s="145"/>
      <c r="BD58" s="145"/>
      <c r="BE58" s="145"/>
      <c r="BF58" s="145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</row>
    <row r="59" spans="1:79" s="4" customFormat="1">
      <c r="A59" s="180">
        <v>43369</v>
      </c>
      <c r="B59" s="32" t="s">
        <v>43</v>
      </c>
      <c r="C59" s="34">
        <v>18370</v>
      </c>
      <c r="D59" s="33">
        <v>0</v>
      </c>
      <c r="E59" s="33">
        <v>-1.1599999999998545</v>
      </c>
      <c r="F59" s="34"/>
      <c r="G59" s="34"/>
      <c r="H59" s="36">
        <v>310.84915000000001</v>
      </c>
      <c r="I59" s="36">
        <v>72.290500000000009</v>
      </c>
      <c r="J59" s="36">
        <v>14074.960350000001</v>
      </c>
      <c r="K59" s="34">
        <v>115.62499999999999</v>
      </c>
      <c r="L59" s="34">
        <v>0</v>
      </c>
      <c r="M59" s="34">
        <v>0</v>
      </c>
      <c r="N59" s="34">
        <v>196.90178571428569</v>
      </c>
      <c r="O59" s="38">
        <v>1165.5</v>
      </c>
      <c r="P59" s="33">
        <v>-1473.4240000000002</v>
      </c>
      <c r="Q59" s="33">
        <v>-260.01600000000002</v>
      </c>
      <c r="R59" s="33">
        <v>-433.36000000000007</v>
      </c>
      <c r="S59" s="33">
        <v>-28690.773571428574</v>
      </c>
      <c r="T59" s="33">
        <v>-3405.3896142857143</v>
      </c>
      <c r="U59" s="33"/>
      <c r="V59" s="33">
        <v>31783.636400000003</v>
      </c>
      <c r="W59" s="39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33">
        <v>0</v>
      </c>
      <c r="AI59" s="38"/>
      <c r="AJ59" s="38"/>
      <c r="AK59" s="33">
        <v>0</v>
      </c>
      <c r="AL59" s="33">
        <v>0</v>
      </c>
      <c r="AM59" s="39"/>
      <c r="AN59" s="39">
        <v>0</v>
      </c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41">
        <v>0</v>
      </c>
      <c r="BA59" s="136"/>
      <c r="BB59" s="146"/>
      <c r="BC59" s="145"/>
      <c r="BD59" s="145"/>
      <c r="BE59" s="145"/>
      <c r="BF59" s="145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</row>
    <row r="60" spans="1:79" s="4" customFormat="1">
      <c r="A60" s="180">
        <v>43369</v>
      </c>
      <c r="B60" s="15" t="s">
        <v>44</v>
      </c>
      <c r="C60" s="34">
        <v>14220</v>
      </c>
      <c r="D60" s="33">
        <v>0</v>
      </c>
      <c r="E60" s="33">
        <v>-4.8099999999994907</v>
      </c>
      <c r="F60" s="34"/>
      <c r="G60" s="34"/>
      <c r="H60" s="36">
        <v>48.376934999999996</v>
      </c>
      <c r="I60" s="36">
        <v>11.250450000000001</v>
      </c>
      <c r="J60" s="36">
        <v>2190.4626150000004</v>
      </c>
      <c r="K60" s="34">
        <v>49.107142857142854</v>
      </c>
      <c r="L60" s="34">
        <v>0</v>
      </c>
      <c r="M60" s="34">
        <v>0</v>
      </c>
      <c r="N60" s="34">
        <v>59.794642857142847</v>
      </c>
      <c r="O60" s="38">
        <v>1452</v>
      </c>
      <c r="P60" s="33">
        <v>-884.29240000000004</v>
      </c>
      <c r="Q60" s="33">
        <v>-156.05160000000001</v>
      </c>
      <c r="R60" s="33">
        <v>-260.08600000000001</v>
      </c>
      <c r="S60" s="33">
        <v>-14932.306785714285</v>
      </c>
      <c r="T60" s="33">
        <v>-1778.8085999999998</v>
      </c>
      <c r="U60" s="33"/>
      <c r="V60" s="33">
        <v>16602.213599999999</v>
      </c>
      <c r="W60" s="39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33">
        <v>0</v>
      </c>
      <c r="AI60" s="38">
        <v>6310</v>
      </c>
      <c r="AJ60" s="38"/>
      <c r="AK60" s="33"/>
      <c r="AL60" s="33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41">
        <v>6310</v>
      </c>
      <c r="BA60" s="136"/>
      <c r="BB60" s="146"/>
      <c r="BC60" s="145"/>
      <c r="BD60" s="145"/>
      <c r="BE60" s="145"/>
      <c r="BF60" s="145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</row>
    <row r="61" spans="1:79" s="4" customFormat="1">
      <c r="A61" s="180">
        <v>43370</v>
      </c>
      <c r="B61" s="15" t="s">
        <v>43</v>
      </c>
      <c r="C61" s="34">
        <v>33345</v>
      </c>
      <c r="D61" s="33">
        <v>0</v>
      </c>
      <c r="E61" s="33">
        <v>-1.930000000000291</v>
      </c>
      <c r="F61" s="34"/>
      <c r="G61" s="34"/>
      <c r="H61" s="36">
        <v>53.396754999999999</v>
      </c>
      <c r="I61" s="36">
        <v>12.417850000000001</v>
      </c>
      <c r="J61" s="36">
        <v>2417.7553950000001</v>
      </c>
      <c r="K61" s="34">
        <v>0</v>
      </c>
      <c r="L61" s="34">
        <v>0</v>
      </c>
      <c r="M61" s="34">
        <v>0</v>
      </c>
      <c r="N61" s="34">
        <v>0</v>
      </c>
      <c r="O61" s="38">
        <v>226</v>
      </c>
      <c r="P61" s="33">
        <v>-1996.9151999999999</v>
      </c>
      <c r="Q61" s="33">
        <v>-352.39679999999998</v>
      </c>
      <c r="R61" s="33">
        <v>-587.32799999999997</v>
      </c>
      <c r="S61" s="33">
        <v>-29567.857142857141</v>
      </c>
      <c r="T61" s="33">
        <v>-3548.1428571428569</v>
      </c>
      <c r="U61" s="33"/>
      <c r="V61" s="33">
        <v>33116</v>
      </c>
      <c r="W61" s="39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33">
        <v>0</v>
      </c>
      <c r="AI61" s="38"/>
      <c r="AJ61" s="38"/>
      <c r="AK61" s="33">
        <v>0</v>
      </c>
      <c r="AL61" s="33">
        <v>0</v>
      </c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41">
        <v>0</v>
      </c>
      <c r="BA61" s="136"/>
      <c r="BB61" s="146"/>
      <c r="BC61" s="145"/>
      <c r="BD61" s="145"/>
      <c r="BE61" s="145"/>
      <c r="BF61" s="145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</row>
    <row r="62" spans="1:79" s="4" customFormat="1">
      <c r="A62" s="180">
        <v>43370</v>
      </c>
      <c r="B62" s="15" t="s">
        <v>44</v>
      </c>
      <c r="C62" s="34">
        <v>11920</v>
      </c>
      <c r="D62" s="33">
        <v>0</v>
      </c>
      <c r="E62" s="33">
        <v>-0.72999999999956344</v>
      </c>
      <c r="F62" s="34"/>
      <c r="G62" s="34"/>
      <c r="H62" s="36">
        <v>401.81328500000001</v>
      </c>
      <c r="I62" s="36">
        <v>93.444950000000006</v>
      </c>
      <c r="J62" s="36">
        <v>18193.731765</v>
      </c>
      <c r="K62" s="34">
        <v>141.07142857142856</v>
      </c>
      <c r="L62" s="34">
        <v>70.446428571428569</v>
      </c>
      <c r="M62" s="34">
        <v>0</v>
      </c>
      <c r="N62" s="34">
        <v>55.482142857142854</v>
      </c>
      <c r="O62" s="38">
        <v>2607.5</v>
      </c>
      <c r="P62" s="33">
        <v>-1644.9812000000002</v>
      </c>
      <c r="Q62" s="33">
        <v>-290.29079999999999</v>
      </c>
      <c r="R62" s="33">
        <v>-483.81800000000004</v>
      </c>
      <c r="S62" s="33">
        <v>-27731.986785714285</v>
      </c>
      <c r="T62" s="33">
        <v>-3295.798414285714</v>
      </c>
      <c r="U62" s="33"/>
      <c r="V62" s="33">
        <v>30760.785199999998</v>
      </c>
      <c r="W62" s="39"/>
      <c r="X62" s="40"/>
      <c r="Y62" s="40"/>
      <c r="Z62" s="40">
        <v>185</v>
      </c>
      <c r="AA62" s="40"/>
      <c r="AB62" s="40"/>
      <c r="AC62" s="40"/>
      <c r="AD62" s="40"/>
      <c r="AE62" s="40"/>
      <c r="AF62" s="40"/>
      <c r="AG62" s="40"/>
      <c r="AH62" s="33">
        <v>185</v>
      </c>
      <c r="AI62" s="38">
        <v>625</v>
      </c>
      <c r="AJ62" s="38"/>
      <c r="AK62" s="33"/>
      <c r="AL62" s="33"/>
      <c r="AM62" s="39"/>
      <c r="AN62" s="39"/>
      <c r="AO62" s="39"/>
      <c r="AP62" s="39"/>
      <c r="AQ62" s="39">
        <v>0</v>
      </c>
      <c r="AR62" s="39"/>
      <c r="AS62" s="39"/>
      <c r="AT62" s="39"/>
      <c r="AU62" s="39"/>
      <c r="AV62" s="39"/>
      <c r="AW62" s="39"/>
      <c r="AX62" s="39"/>
      <c r="AY62" s="39"/>
      <c r="AZ62" s="41">
        <v>810</v>
      </c>
      <c r="BA62" s="136"/>
      <c r="BB62" s="146"/>
      <c r="BC62" s="145"/>
      <c r="BD62" s="145"/>
      <c r="BE62" s="145"/>
      <c r="BF62" s="145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</row>
    <row r="63" spans="1:79" s="4" customFormat="1">
      <c r="A63" s="180">
        <v>43371</v>
      </c>
      <c r="B63" s="16" t="s">
        <v>43</v>
      </c>
      <c r="C63" s="34">
        <v>24145</v>
      </c>
      <c r="D63" s="33">
        <v>268.90999999999985</v>
      </c>
      <c r="E63" s="33">
        <v>0</v>
      </c>
      <c r="F63" s="34"/>
      <c r="G63" s="34"/>
      <c r="H63" s="36">
        <v>285.01711499999999</v>
      </c>
      <c r="I63" s="36">
        <v>66.283050000000003</v>
      </c>
      <c r="J63" s="36">
        <v>12905.309835</v>
      </c>
      <c r="K63" s="34">
        <v>112.49999999999999</v>
      </c>
      <c r="L63" s="34">
        <v>0</v>
      </c>
      <c r="M63" s="34">
        <v>0</v>
      </c>
      <c r="N63" s="34">
        <v>372.29464285714283</v>
      </c>
      <c r="O63" s="38">
        <v>2372.5</v>
      </c>
      <c r="P63" s="33">
        <v>-1987.0756000000001</v>
      </c>
      <c r="Q63" s="33">
        <v>-350.66040000000004</v>
      </c>
      <c r="R63" s="33">
        <v>-584.43400000000008</v>
      </c>
      <c r="S63" s="33">
        <v>-33329.163928571426</v>
      </c>
      <c r="T63" s="33">
        <v>-3941.3243142857136</v>
      </c>
      <c r="U63" s="33"/>
      <c r="V63" s="33">
        <v>36785.693599999999</v>
      </c>
      <c r="W63" s="39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33">
        <v>0</v>
      </c>
      <c r="AI63" s="38"/>
      <c r="AJ63" s="38"/>
      <c r="AK63" s="33">
        <v>0</v>
      </c>
      <c r="AL63" s="33">
        <v>0</v>
      </c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41">
        <v>0</v>
      </c>
      <c r="BA63" s="136"/>
      <c r="BB63" s="146"/>
      <c r="BC63" s="145"/>
      <c r="BD63" s="145"/>
      <c r="BE63" s="145"/>
      <c r="BF63" s="145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</row>
    <row r="64" spans="1:79" s="4" customFormat="1">
      <c r="A64" s="180">
        <v>43371</v>
      </c>
      <c r="B64" s="16" t="s">
        <v>44</v>
      </c>
      <c r="C64" s="34">
        <v>14253</v>
      </c>
      <c r="D64" s="33">
        <v>0</v>
      </c>
      <c r="E64" s="33">
        <v>-0.57999999999992724</v>
      </c>
      <c r="F64" s="34"/>
      <c r="G64" s="34"/>
      <c r="H64" s="36">
        <v>204.8348</v>
      </c>
      <c r="I64" s="36">
        <v>47.636000000000003</v>
      </c>
      <c r="J64" s="36">
        <v>9274.7291999999998</v>
      </c>
      <c r="K64" s="34">
        <v>171.42857142857142</v>
      </c>
      <c r="L64" s="34">
        <v>0</v>
      </c>
      <c r="M64" s="34">
        <v>0</v>
      </c>
      <c r="N64" s="34">
        <v>159.44642857142856</v>
      </c>
      <c r="O64" s="38">
        <v>2983.5</v>
      </c>
      <c r="P64" s="33">
        <v>-1215.7311999999999</v>
      </c>
      <c r="Q64" s="33">
        <v>-214.54079999999999</v>
      </c>
      <c r="R64" s="33">
        <v>-357.56799999999998</v>
      </c>
      <c r="S64" s="33">
        <v>-22590.52714285714</v>
      </c>
      <c r="T64" s="33">
        <v>-2671.1582571428567</v>
      </c>
      <c r="U64" s="33"/>
      <c r="V64" s="33">
        <v>24930.810399999995</v>
      </c>
      <c r="W64" s="39">
        <v>245</v>
      </c>
      <c r="X64" s="40">
        <v>290</v>
      </c>
      <c r="Y64" s="40"/>
      <c r="Z64" s="40">
        <v>135</v>
      </c>
      <c r="AA64" s="40"/>
      <c r="AB64" s="40"/>
      <c r="AC64" s="40"/>
      <c r="AD64" s="40"/>
      <c r="AE64" s="40"/>
      <c r="AF64" s="40"/>
      <c r="AG64" s="40"/>
      <c r="AH64" s="33">
        <v>670</v>
      </c>
      <c r="AI64" s="38"/>
      <c r="AJ64" s="38"/>
      <c r="AK64" s="33">
        <v>0</v>
      </c>
      <c r="AL64" s="33">
        <v>0</v>
      </c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41">
        <v>670</v>
      </c>
      <c r="BA64" s="136"/>
      <c r="BB64" s="146"/>
      <c r="BC64" s="145"/>
      <c r="BD64" s="145"/>
      <c r="BE64" s="145"/>
      <c r="BF64" s="145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</row>
    <row r="65" spans="1:79" s="4" customFormat="1">
      <c r="A65" s="180">
        <v>43372</v>
      </c>
      <c r="B65" s="16" t="s">
        <v>43</v>
      </c>
      <c r="C65" s="34"/>
      <c r="D65" s="33">
        <v>0</v>
      </c>
      <c r="E65" s="33">
        <v>0</v>
      </c>
      <c r="F65" s="34"/>
      <c r="G65" s="34"/>
      <c r="H65" s="36">
        <v>0</v>
      </c>
      <c r="I65" s="36">
        <v>0</v>
      </c>
      <c r="J65" s="36">
        <v>0</v>
      </c>
      <c r="K65" s="34">
        <v>0</v>
      </c>
      <c r="L65" s="34">
        <v>0</v>
      </c>
      <c r="M65" s="34">
        <v>0</v>
      </c>
      <c r="N65" s="34">
        <v>0</v>
      </c>
      <c r="O65" s="38"/>
      <c r="P65" s="33">
        <v>0</v>
      </c>
      <c r="Q65" s="33">
        <v>0</v>
      </c>
      <c r="R65" s="33">
        <v>0</v>
      </c>
      <c r="S65" s="33">
        <v>0</v>
      </c>
      <c r="T65" s="33">
        <v>0</v>
      </c>
      <c r="U65" s="33"/>
      <c r="V65" s="33">
        <v>0</v>
      </c>
      <c r="W65" s="39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33">
        <v>0</v>
      </c>
      <c r="AI65" s="38"/>
      <c r="AJ65" s="38"/>
      <c r="AK65" s="33">
        <v>0</v>
      </c>
      <c r="AL65" s="33">
        <v>0</v>
      </c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41">
        <v>0</v>
      </c>
      <c r="BA65" s="136"/>
      <c r="BB65" s="146"/>
      <c r="BC65" s="145"/>
      <c r="BD65" s="145"/>
      <c r="BE65" s="145"/>
      <c r="BF65" s="145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</row>
    <row r="66" spans="1:79" s="4" customFormat="1" ht="15" thickBot="1">
      <c r="A66" s="180">
        <v>43372</v>
      </c>
      <c r="B66" s="16" t="s">
        <v>44</v>
      </c>
      <c r="C66" s="34">
        <v>5725</v>
      </c>
      <c r="D66" s="33">
        <v>6.0900000000001455</v>
      </c>
      <c r="E66" s="33">
        <v>0</v>
      </c>
      <c r="F66" s="34"/>
      <c r="G66" s="34"/>
      <c r="H66" s="36">
        <v>58.549014999999997</v>
      </c>
      <c r="I66" s="36">
        <v>13.616050000000001</v>
      </c>
      <c r="J66" s="36">
        <v>2651.0449349999999</v>
      </c>
      <c r="K66" s="34">
        <v>260.71428571428567</v>
      </c>
      <c r="L66" s="34">
        <v>0</v>
      </c>
      <c r="M66" s="34">
        <v>0</v>
      </c>
      <c r="N66" s="34">
        <v>107.14285714285714</v>
      </c>
      <c r="O66" s="38">
        <v>2619</v>
      </c>
      <c r="P66" s="33">
        <v>-463.28399999999993</v>
      </c>
      <c r="Q66" s="33">
        <v>-81.755999999999986</v>
      </c>
      <c r="R66" s="33">
        <v>-136.26</v>
      </c>
      <c r="S66" s="33">
        <v>-9602.2857142857138</v>
      </c>
      <c r="T66" s="33">
        <v>-1108.1314285714284</v>
      </c>
      <c r="U66" s="33"/>
      <c r="V66" s="33">
        <v>10342.56</v>
      </c>
      <c r="W66" s="39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33">
        <v>0</v>
      </c>
      <c r="AI66" s="168"/>
      <c r="AJ66" s="38"/>
      <c r="AK66" s="33"/>
      <c r="AL66" s="33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41">
        <v>0</v>
      </c>
      <c r="BA66" s="136"/>
      <c r="BB66" s="146"/>
      <c r="BC66" s="145"/>
      <c r="BD66" s="145"/>
      <c r="BE66" s="145"/>
      <c r="BF66" s="145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</row>
    <row r="67" spans="1:79" s="4" customFormat="1" ht="15" thickBot="1">
      <c r="A67" s="182">
        <v>43373</v>
      </c>
      <c r="B67" s="16" t="s">
        <v>43</v>
      </c>
      <c r="C67" s="34"/>
      <c r="D67" s="33">
        <v>0</v>
      </c>
      <c r="E67" s="33">
        <v>0</v>
      </c>
      <c r="F67" s="34"/>
      <c r="G67" s="34"/>
      <c r="H67" s="36">
        <v>0</v>
      </c>
      <c r="I67" s="36">
        <v>0</v>
      </c>
      <c r="J67" s="36">
        <v>0</v>
      </c>
      <c r="K67" s="34">
        <v>0</v>
      </c>
      <c r="L67" s="34">
        <v>0</v>
      </c>
      <c r="M67" s="34">
        <v>0</v>
      </c>
      <c r="N67" s="34">
        <v>0</v>
      </c>
      <c r="O67" s="38"/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3"/>
      <c r="V67" s="33">
        <v>0</v>
      </c>
      <c r="W67" s="39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33">
        <v>0</v>
      </c>
      <c r="AI67" s="38"/>
      <c r="AJ67" s="38"/>
      <c r="AK67" s="33">
        <v>0</v>
      </c>
      <c r="AL67" s="33">
        <v>0</v>
      </c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41">
        <v>0</v>
      </c>
      <c r="BA67" s="136"/>
      <c r="BB67" s="146"/>
      <c r="BC67" s="145"/>
      <c r="BD67" s="145"/>
      <c r="BE67" s="145"/>
      <c r="BF67" s="145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</row>
    <row r="68" spans="1:79" s="4" customFormat="1">
      <c r="A68" s="182">
        <v>43373</v>
      </c>
      <c r="B68" s="16" t="s">
        <v>44</v>
      </c>
      <c r="C68" s="34"/>
      <c r="D68" s="33">
        <v>0</v>
      </c>
      <c r="E68" s="33">
        <v>0</v>
      </c>
      <c r="F68" s="34"/>
      <c r="G68" s="34"/>
      <c r="H68" s="36">
        <v>0</v>
      </c>
      <c r="I68" s="36">
        <v>0</v>
      </c>
      <c r="J68" s="36">
        <v>0</v>
      </c>
      <c r="K68" s="34">
        <v>0</v>
      </c>
      <c r="L68" s="34">
        <v>0</v>
      </c>
      <c r="M68" s="34">
        <v>0</v>
      </c>
      <c r="N68" s="34">
        <v>0</v>
      </c>
      <c r="O68" s="168"/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3"/>
      <c r="V68" s="33">
        <v>0</v>
      </c>
      <c r="W68" s="39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33">
        <v>0</v>
      </c>
      <c r="AI68" s="38"/>
      <c r="AJ68" s="38"/>
      <c r="AK68" s="33"/>
      <c r="AL68" s="33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41">
        <v>0</v>
      </c>
      <c r="BA68" s="136"/>
      <c r="BB68" s="146"/>
      <c r="BC68" s="145"/>
      <c r="BD68" s="145"/>
      <c r="BE68" s="145"/>
      <c r="BF68" s="145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</row>
    <row r="69" spans="1:79" s="4" customFormat="1" hidden="1">
      <c r="A69" s="215">
        <v>43374</v>
      </c>
      <c r="B69" s="16" t="s">
        <v>43</v>
      </c>
      <c r="C69" s="34"/>
      <c r="D69" s="33">
        <v>0</v>
      </c>
      <c r="E69" s="33">
        <v>0</v>
      </c>
      <c r="F69" s="34"/>
      <c r="G69" s="34"/>
      <c r="H69" s="36">
        <v>0</v>
      </c>
      <c r="I69" s="36">
        <v>0</v>
      </c>
      <c r="J69" s="36">
        <v>0</v>
      </c>
      <c r="K69" s="34"/>
      <c r="L69" s="34"/>
      <c r="M69" s="34"/>
      <c r="N69" s="34"/>
      <c r="O69" s="38"/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3"/>
      <c r="V69" s="33">
        <v>0</v>
      </c>
      <c r="W69" s="39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33">
        <v>0</v>
      </c>
      <c r="AI69" s="38"/>
      <c r="AJ69" s="38"/>
      <c r="AK69" s="33">
        <v>0</v>
      </c>
      <c r="AL69" s="33">
        <v>0</v>
      </c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41">
        <v>0</v>
      </c>
      <c r="BA69" s="136"/>
      <c r="BB69" s="146"/>
      <c r="BC69" s="145"/>
      <c r="BD69" s="145"/>
      <c r="BE69" s="145"/>
      <c r="BF69" s="145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</row>
    <row r="70" spans="1:79" s="4" customFormat="1" hidden="1">
      <c r="A70" s="209"/>
      <c r="B70" s="16" t="s">
        <v>44</v>
      </c>
      <c r="C70" s="34"/>
      <c r="D70" s="33">
        <v>0</v>
      </c>
      <c r="E70" s="33">
        <v>0</v>
      </c>
      <c r="F70" s="34"/>
      <c r="G70" s="34"/>
      <c r="H70" s="36">
        <v>0</v>
      </c>
      <c r="I70" s="36">
        <v>0</v>
      </c>
      <c r="J70" s="36">
        <v>0</v>
      </c>
      <c r="K70" s="34"/>
      <c r="L70" s="34"/>
      <c r="M70" s="34"/>
      <c r="N70" s="34"/>
      <c r="O70" s="38"/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3"/>
      <c r="V70" s="33">
        <v>0</v>
      </c>
      <c r="W70" s="39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33">
        <v>0</v>
      </c>
      <c r="AI70" s="38"/>
      <c r="AJ70" s="38"/>
      <c r="AK70" s="33"/>
      <c r="AL70" s="33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41">
        <v>0</v>
      </c>
      <c r="BA70" s="136"/>
      <c r="BB70" s="146"/>
      <c r="BC70" s="145"/>
      <c r="BD70" s="145"/>
      <c r="BE70" s="145"/>
      <c r="BF70" s="145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</row>
    <row r="71" spans="1:79" s="4" customFormat="1" ht="15" thickBot="1">
      <c r="A71" s="155"/>
      <c r="C71" s="51"/>
      <c r="D71" s="50"/>
      <c r="E71" s="50"/>
      <c r="F71" s="51"/>
      <c r="G71" s="51"/>
      <c r="H71" s="53"/>
      <c r="I71" s="53"/>
      <c r="J71" s="53"/>
      <c r="K71" s="51"/>
      <c r="L71" s="51"/>
      <c r="M71" s="51"/>
      <c r="N71" s="51"/>
      <c r="O71" s="54"/>
      <c r="P71" s="50"/>
      <c r="Q71" s="50"/>
      <c r="R71" s="50"/>
      <c r="S71" s="50"/>
      <c r="T71" s="50"/>
      <c r="U71" s="50"/>
      <c r="V71" s="50"/>
      <c r="W71" s="156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0"/>
      <c r="AI71" s="54"/>
      <c r="AJ71" s="54"/>
      <c r="AK71" s="50"/>
      <c r="AL71" s="50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0"/>
      <c r="BA71" s="136"/>
      <c r="BB71" s="136"/>
    </row>
    <row r="72" spans="1:79" s="4" customFormat="1" ht="15.6" thickTop="1" thickBot="1">
      <c r="A72" s="56" t="s">
        <v>45</v>
      </c>
      <c r="B72" s="56"/>
      <c r="C72" s="57">
        <v>621508</v>
      </c>
      <c r="D72" s="57">
        <v>280.72999999999934</v>
      </c>
      <c r="E72" s="57">
        <v>94.799999999997908</v>
      </c>
      <c r="F72" s="57">
        <v>0</v>
      </c>
      <c r="G72" s="57">
        <v>2300</v>
      </c>
      <c r="H72" s="57">
        <v>6249.9809849999992</v>
      </c>
      <c r="I72" s="57">
        <v>1453.4839500000003</v>
      </c>
      <c r="J72" s="57">
        <v>282993.3250650001</v>
      </c>
      <c r="K72" s="57">
        <v>8957.1</v>
      </c>
      <c r="L72" s="57">
        <v>126.4</v>
      </c>
      <c r="M72" s="57">
        <v>0</v>
      </c>
      <c r="N72" s="57">
        <v>7184.26</v>
      </c>
      <c r="O72" s="57">
        <v>104044.04</v>
      </c>
      <c r="P72" s="57">
        <v>47449.230400000022</v>
      </c>
      <c r="Q72" s="57">
        <v>8373.3935999999976</v>
      </c>
      <c r="R72" s="57">
        <v>13955.655999999997</v>
      </c>
      <c r="S72" s="57">
        <v>824975.80681428558</v>
      </c>
      <c r="T72" s="57">
        <v>97044.96561771429</v>
      </c>
      <c r="U72" s="57"/>
      <c r="V72" s="57">
        <v>905753.01243200002</v>
      </c>
      <c r="W72" s="120">
        <v>3843</v>
      </c>
      <c r="X72" s="120">
        <v>2111</v>
      </c>
      <c r="Y72" s="120">
        <v>1780</v>
      </c>
      <c r="Z72" s="120">
        <v>2220</v>
      </c>
      <c r="AA72" s="120">
        <v>0</v>
      </c>
      <c r="AB72" s="120">
        <v>0</v>
      </c>
      <c r="AC72" s="135">
        <v>0</v>
      </c>
      <c r="AD72" s="135">
        <v>0</v>
      </c>
      <c r="AE72" s="135">
        <v>0</v>
      </c>
      <c r="AF72" s="135">
        <v>0</v>
      </c>
      <c r="AG72" s="57">
        <v>0</v>
      </c>
      <c r="AH72" s="57">
        <v>9954</v>
      </c>
      <c r="AI72" s="135">
        <v>9075</v>
      </c>
      <c r="AJ72" s="57">
        <v>0</v>
      </c>
      <c r="AK72" s="57">
        <v>21.5</v>
      </c>
      <c r="AL72" s="57">
        <v>215</v>
      </c>
      <c r="AM72" s="134">
        <v>0</v>
      </c>
      <c r="AN72" s="134">
        <v>0</v>
      </c>
      <c r="AO72" s="57">
        <v>215</v>
      </c>
      <c r="AP72" s="57">
        <v>0</v>
      </c>
      <c r="AQ72" s="57">
        <v>0</v>
      </c>
      <c r="AR72" s="57">
        <v>0</v>
      </c>
      <c r="AS72" s="57">
        <v>0</v>
      </c>
      <c r="AT72" s="57">
        <v>0</v>
      </c>
      <c r="AU72" s="57">
        <v>0</v>
      </c>
      <c r="AV72" s="57">
        <v>0</v>
      </c>
      <c r="AW72" s="57">
        <v>0</v>
      </c>
      <c r="AX72" s="57">
        <v>0</v>
      </c>
      <c r="AY72" s="57">
        <v>0</v>
      </c>
      <c r="AZ72" s="57">
        <v>19222.5</v>
      </c>
      <c r="BA72" s="136"/>
      <c r="BB72" s="136"/>
    </row>
    <row r="73" spans="1:79" s="4" customFormat="1" ht="15" thickTop="1">
      <c r="A73" s="4" t="s">
        <v>100</v>
      </c>
      <c r="C73" s="136"/>
      <c r="D73" s="147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54" t="s">
        <v>120</v>
      </c>
      <c r="T73" s="148"/>
      <c r="U73" s="148"/>
      <c r="V73" s="149"/>
      <c r="W73" s="150">
        <v>3800</v>
      </c>
      <c r="X73" s="150">
        <v>2100</v>
      </c>
      <c r="Y73" s="150">
        <v>2100</v>
      </c>
      <c r="Z73" s="150">
        <v>2100</v>
      </c>
      <c r="AA73" s="150">
        <v>1000</v>
      </c>
      <c r="AB73" s="150">
        <v>1500</v>
      </c>
      <c r="AC73" s="136"/>
      <c r="AD73" s="136"/>
      <c r="AE73" s="150">
        <v>1500</v>
      </c>
      <c r="AF73" s="150">
        <v>1500</v>
      </c>
      <c r="AG73" s="136"/>
      <c r="AH73" s="136"/>
      <c r="AI73" s="136"/>
      <c r="AJ73" s="136"/>
      <c r="AK73" s="136"/>
      <c r="AL73" s="137" t="s">
        <v>68</v>
      </c>
      <c r="AM73" s="151">
        <v>0</v>
      </c>
      <c r="AN73" s="151">
        <v>0</v>
      </c>
      <c r="AO73" s="151">
        <v>0</v>
      </c>
      <c r="AP73" s="151">
        <v>0</v>
      </c>
      <c r="AQ73" s="151">
        <v>0</v>
      </c>
      <c r="AR73" s="151">
        <v>0</v>
      </c>
      <c r="AS73" s="151">
        <v>0</v>
      </c>
      <c r="AT73" s="138"/>
      <c r="AU73" s="138"/>
      <c r="AV73" s="138"/>
      <c r="AW73" s="138"/>
      <c r="AX73" s="138"/>
      <c r="AY73" s="138"/>
      <c r="AZ73" s="147">
        <v>0</v>
      </c>
      <c r="BA73" s="136"/>
      <c r="BB73" s="136"/>
    </row>
    <row r="74" spans="1:79" s="4" customFormat="1">
      <c r="A74" s="4" t="s">
        <v>101</v>
      </c>
      <c r="C74" s="147"/>
      <c r="D74" s="136"/>
      <c r="E74" s="136"/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54" t="s">
        <v>121</v>
      </c>
      <c r="T74" s="147"/>
      <c r="U74" s="147"/>
      <c r="V74" s="149"/>
      <c r="W74" s="150">
        <v>-43</v>
      </c>
      <c r="X74" s="150">
        <v>-11</v>
      </c>
      <c r="Y74" s="150">
        <v>320</v>
      </c>
      <c r="Z74" s="150">
        <v>-120</v>
      </c>
      <c r="AA74" s="150">
        <v>1000</v>
      </c>
      <c r="AB74" s="150">
        <v>1500</v>
      </c>
      <c r="AC74" s="150">
        <v>0</v>
      </c>
      <c r="AD74" s="150">
        <v>0</v>
      </c>
      <c r="AE74" s="150">
        <v>1500</v>
      </c>
      <c r="AF74" s="150">
        <v>1500</v>
      </c>
      <c r="AG74" s="136"/>
      <c r="AH74" s="136"/>
      <c r="AI74" s="136"/>
      <c r="AJ74" s="136"/>
      <c r="AK74" s="136"/>
      <c r="AL74" s="138" t="s">
        <v>104</v>
      </c>
      <c r="AM74" s="151">
        <v>0</v>
      </c>
      <c r="AN74" s="151">
        <v>0</v>
      </c>
      <c r="AO74" s="151">
        <v>0</v>
      </c>
      <c r="AP74" s="151">
        <v>0</v>
      </c>
      <c r="AQ74" s="151">
        <v>0</v>
      </c>
      <c r="AR74" s="151">
        <v>0</v>
      </c>
      <c r="AS74" s="151">
        <v>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47">
        <v>0</v>
      </c>
      <c r="BA74" s="136"/>
      <c r="BB74" s="136"/>
    </row>
    <row r="75" spans="1:79" s="4" customFormat="1">
      <c r="A75" s="4" t="s">
        <v>102</v>
      </c>
      <c r="C75" s="136"/>
      <c r="D75" s="136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54" t="s">
        <v>122</v>
      </c>
      <c r="T75" s="148"/>
      <c r="U75" s="148"/>
      <c r="V75" s="149"/>
      <c r="W75" s="150">
        <v>-38.700000000000003</v>
      </c>
      <c r="X75" s="150">
        <v>-9.9</v>
      </c>
      <c r="Y75" s="150">
        <v>288</v>
      </c>
      <c r="Z75" s="150">
        <v>-108</v>
      </c>
      <c r="AA75" s="150">
        <v>900</v>
      </c>
      <c r="AB75" s="150">
        <v>1350</v>
      </c>
      <c r="AC75" s="150">
        <v>0</v>
      </c>
      <c r="AD75" s="150">
        <v>0</v>
      </c>
      <c r="AE75" s="150">
        <v>1350</v>
      </c>
      <c r="AF75" s="150">
        <v>1350</v>
      </c>
      <c r="AG75" s="136"/>
      <c r="AH75" s="136"/>
      <c r="AI75" s="136"/>
      <c r="AJ75" s="136"/>
      <c r="AK75" s="136"/>
      <c r="AL75" s="139"/>
      <c r="AM75" s="13"/>
      <c r="AN75" s="13"/>
      <c r="AO75" s="13"/>
      <c r="AP75" s="13"/>
      <c r="AQ75" s="13"/>
      <c r="AR75" s="13"/>
      <c r="AZ75" s="136"/>
      <c r="BA75" s="136"/>
      <c r="BB75" s="136"/>
    </row>
    <row r="76" spans="1:79" s="4" customFormat="1">
      <c r="A76" s="4" t="s">
        <v>34</v>
      </c>
      <c r="C76" s="147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54" t="s">
        <v>123</v>
      </c>
      <c r="T76" s="148"/>
      <c r="U76" s="148"/>
      <c r="V76" s="149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  <c r="AG76" s="136"/>
      <c r="AH76" s="147">
        <f>+AH72+AI72</f>
        <v>19029</v>
      </c>
      <c r="AI76" s="136"/>
      <c r="AJ76" s="136"/>
      <c r="AK76" s="136"/>
      <c r="AL76" s="140" t="s">
        <v>69</v>
      </c>
      <c r="AM76" s="153">
        <v>0</v>
      </c>
      <c r="AN76" s="153">
        <v>0</v>
      </c>
      <c r="AO76" s="153">
        <v>215</v>
      </c>
      <c r="AP76" s="153" t="e">
        <v>#VALUE!</v>
      </c>
      <c r="AQ76" s="153">
        <v>0</v>
      </c>
      <c r="AR76" s="153">
        <v>0</v>
      </c>
      <c r="AS76" s="153">
        <v>0</v>
      </c>
      <c r="AT76" s="153">
        <v>0</v>
      </c>
      <c r="AU76" s="153">
        <v>0</v>
      </c>
      <c r="AV76" s="153">
        <v>0</v>
      </c>
      <c r="AW76" s="153">
        <v>0</v>
      </c>
      <c r="AX76" s="153">
        <v>0</v>
      </c>
      <c r="AY76" s="153">
        <v>0</v>
      </c>
      <c r="AZ76" s="147" t="e">
        <v>#VALUE!</v>
      </c>
      <c r="BA76" s="136"/>
      <c r="BB76" s="136"/>
    </row>
    <row r="77" spans="1:79" s="4" customFormat="1">
      <c r="A77" s="136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48"/>
      <c r="U77" s="148"/>
      <c r="V77" s="149"/>
      <c r="W77" s="147">
        <v>38.700000000000003</v>
      </c>
      <c r="X77" s="147">
        <v>9.9</v>
      </c>
      <c r="Y77" s="136"/>
      <c r="Z77" s="147">
        <v>108</v>
      </c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41" t="s">
        <v>104</v>
      </c>
      <c r="AM77" s="153">
        <v>0</v>
      </c>
      <c r="AN77" s="153">
        <v>0</v>
      </c>
      <c r="AO77" s="153">
        <v>193.5</v>
      </c>
      <c r="AP77" s="153" t="e">
        <v>#VALUE!</v>
      </c>
      <c r="AQ77" s="153">
        <v>0</v>
      </c>
      <c r="AR77" s="153">
        <v>0</v>
      </c>
      <c r="AS77" s="153">
        <v>0</v>
      </c>
      <c r="AT77" s="153">
        <v>0</v>
      </c>
      <c r="AU77" s="153">
        <v>0</v>
      </c>
      <c r="AV77" s="153">
        <v>0</v>
      </c>
      <c r="AW77" s="153">
        <v>0</v>
      </c>
      <c r="AX77" s="153">
        <v>0</v>
      </c>
      <c r="AY77" s="153">
        <v>0</v>
      </c>
      <c r="AZ77" s="147" t="e">
        <v>#VALUE!</v>
      </c>
      <c r="BA77" s="136"/>
      <c r="BB77" s="136"/>
    </row>
    <row r="78" spans="1:79" s="4" customFormat="1">
      <c r="A78" s="136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48"/>
      <c r="U78" s="148"/>
      <c r="V78" s="149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42"/>
      <c r="AM78" s="147"/>
      <c r="AN78" s="147"/>
      <c r="AO78" s="147"/>
      <c r="AP78" s="147"/>
      <c r="AQ78" s="147"/>
      <c r="AR78" s="147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</row>
    <row r="79" spans="1:79" s="4" customFormat="1">
      <c r="A79" s="1" t="s">
        <v>117</v>
      </c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72">
        <v>97044.965617714275</v>
      </c>
      <c r="U79" s="172"/>
      <c r="V79" s="149"/>
      <c r="W79" s="136"/>
      <c r="X79" s="136"/>
      <c r="Y79" s="136"/>
      <c r="Z79" s="147">
        <v>156.6</v>
      </c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42"/>
      <c r="AM79" s="147"/>
      <c r="AN79" s="147"/>
      <c r="AO79" s="147"/>
      <c r="AP79" s="147"/>
      <c r="AQ79" s="147"/>
      <c r="AR79" s="147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</row>
    <row r="80" spans="1:79">
      <c r="C80" s="181"/>
      <c r="K80" s="4"/>
      <c r="L80" s="4"/>
      <c r="M80" s="4"/>
      <c r="N80" s="4"/>
      <c r="O80" s="4"/>
      <c r="T80" s="147">
        <v>97044.965617714231</v>
      </c>
      <c r="U80" s="147"/>
      <c r="V80" s="147"/>
      <c r="W80" s="13">
        <v>3800</v>
      </c>
      <c r="X80" s="13">
        <v>2100</v>
      </c>
      <c r="Y80" s="13">
        <v>1780</v>
      </c>
      <c r="Z80" s="13">
        <v>2100</v>
      </c>
      <c r="AA80" s="13">
        <v>9780</v>
      </c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139"/>
      <c r="AM80" s="53"/>
      <c r="AN80" s="53"/>
      <c r="AO80" s="53"/>
      <c r="AP80" s="53"/>
      <c r="AQ80" s="53"/>
      <c r="AR80" s="53"/>
      <c r="AS80" s="4"/>
      <c r="AT80" s="4"/>
      <c r="AU80" s="4"/>
      <c r="AV80" s="4"/>
      <c r="AW80" s="4"/>
      <c r="AX80" s="4"/>
      <c r="AY80" s="4"/>
    </row>
    <row r="81" spans="1:42">
      <c r="A81" s="136" t="s">
        <v>96</v>
      </c>
      <c r="C81" s="136" t="s">
        <v>110</v>
      </c>
      <c r="R81" s="147"/>
      <c r="AL81" s="142" t="s">
        <v>99</v>
      </c>
      <c r="AM81" s="150"/>
      <c r="AN81" s="150"/>
      <c r="AO81" s="150"/>
      <c r="AP81" s="150"/>
    </row>
    <row r="82" spans="1:42">
      <c r="A82" s="136" t="s">
        <v>126</v>
      </c>
      <c r="C82" s="147"/>
      <c r="T82" s="147"/>
      <c r="U82" s="147"/>
      <c r="V82" s="147"/>
      <c r="AM82" s="150"/>
      <c r="AN82" s="150"/>
      <c r="AO82" s="150"/>
      <c r="AP82" s="150"/>
    </row>
    <row r="83" spans="1:42">
      <c r="C83" s="147"/>
      <c r="T83" s="147"/>
      <c r="U83" s="147"/>
      <c r="V83" s="147"/>
      <c r="AM83" s="150"/>
      <c r="AN83" s="150"/>
      <c r="AO83" s="150"/>
      <c r="AP83" s="150"/>
    </row>
    <row r="84" spans="1:42">
      <c r="C84" s="147"/>
      <c r="AL84" s="142"/>
      <c r="AM84" s="150"/>
      <c r="AN84" s="150"/>
      <c r="AO84" s="150"/>
      <c r="AP84" s="150"/>
    </row>
    <row r="85" spans="1:42">
      <c r="C85" s="147"/>
      <c r="AM85" s="150"/>
      <c r="AN85" s="150"/>
      <c r="AO85" s="150"/>
      <c r="AP85" s="150"/>
    </row>
    <row r="86" spans="1:42">
      <c r="C86" s="147"/>
      <c r="AM86" s="150"/>
      <c r="AN86" s="150"/>
      <c r="AO86" s="150"/>
      <c r="AP86" s="150"/>
    </row>
    <row r="87" spans="1:42">
      <c r="C87" s="147"/>
      <c r="AM87" s="150"/>
      <c r="AN87" s="150"/>
      <c r="AO87" s="150"/>
      <c r="AP87" s="150"/>
    </row>
    <row r="88" spans="1:42">
      <c r="C88" s="147"/>
      <c r="D88" s="147"/>
    </row>
    <row r="89" spans="1:42">
      <c r="C89" s="147"/>
      <c r="D89" s="147"/>
    </row>
    <row r="90" spans="1:42">
      <c r="C90" s="147"/>
      <c r="D90" s="147"/>
    </row>
    <row r="91" spans="1:42">
      <c r="C91" s="147"/>
      <c r="D91" s="147"/>
    </row>
    <row r="92" spans="1:42">
      <c r="C92" s="147"/>
      <c r="D92" s="147"/>
    </row>
    <row r="93" spans="1:42">
      <c r="C93" s="147"/>
      <c r="D93" s="147"/>
    </row>
    <row r="94" spans="1:42">
      <c r="C94" s="147"/>
      <c r="D94" s="147"/>
    </row>
    <row r="95" spans="1:42">
      <c r="C95" s="147"/>
      <c r="D95" s="147"/>
    </row>
    <row r="96" spans="1:42">
      <c r="C96" s="147"/>
      <c r="D96" s="147"/>
    </row>
    <row r="97" spans="3:4">
      <c r="C97" s="147"/>
      <c r="D97" s="147"/>
    </row>
    <row r="98" spans="3:4">
      <c r="C98" s="147"/>
      <c r="D98" s="147"/>
    </row>
    <row r="99" spans="3:4">
      <c r="C99" s="147"/>
      <c r="D99" s="147"/>
    </row>
    <row r="100" spans="3:4">
      <c r="C100" s="147"/>
      <c r="D100" s="147"/>
    </row>
    <row r="101" spans="3:4">
      <c r="C101" s="147"/>
      <c r="D101" s="147"/>
    </row>
    <row r="102" spans="3:4">
      <c r="C102" s="147"/>
      <c r="D102" s="147"/>
    </row>
    <row r="103" spans="3:4">
      <c r="C103" s="147"/>
      <c r="D103" s="147"/>
    </row>
    <row r="104" spans="3:4">
      <c r="C104" s="147"/>
      <c r="D104" s="147"/>
    </row>
    <row r="105" spans="3:4">
      <c r="C105" s="147"/>
      <c r="D105" s="147"/>
    </row>
    <row r="106" spans="3:4">
      <c r="C106" s="147"/>
      <c r="D106" s="147"/>
    </row>
    <row r="107" spans="3:4">
      <c r="C107" s="147"/>
      <c r="D107" s="147"/>
    </row>
    <row r="108" spans="3:4">
      <c r="C108" s="147"/>
      <c r="D108" s="147"/>
    </row>
    <row r="109" spans="3:4">
      <c r="C109" s="147"/>
      <c r="D109" s="147"/>
    </row>
    <row r="110" spans="3:4">
      <c r="C110" s="147"/>
      <c r="D110" s="147"/>
    </row>
    <row r="111" spans="3:4">
      <c r="C111" s="147"/>
      <c r="D111" s="147"/>
    </row>
    <row r="112" spans="3:4">
      <c r="C112" s="147"/>
      <c r="D112" s="147"/>
    </row>
    <row r="113" spans="3:4">
      <c r="C113" s="147"/>
      <c r="D113" s="147"/>
    </row>
    <row r="114" spans="3:4">
      <c r="C114" s="147"/>
      <c r="D114" s="147"/>
    </row>
    <row r="115" spans="3:4">
      <c r="C115" s="147"/>
      <c r="D115" s="147"/>
    </row>
    <row r="116" spans="3:4">
      <c r="C116" s="147"/>
      <c r="D116" s="147"/>
    </row>
    <row r="117" spans="3:4">
      <c r="C117" s="147"/>
      <c r="D117" s="147"/>
    </row>
    <row r="118" spans="3:4">
      <c r="C118" s="147"/>
      <c r="D118" s="147"/>
    </row>
    <row r="119" spans="3:4">
      <c r="C119" s="147"/>
      <c r="D119" s="147"/>
    </row>
    <row r="120" spans="3:4">
      <c r="C120" s="147"/>
      <c r="D120" s="147"/>
    </row>
    <row r="121" spans="3:4">
      <c r="C121" s="147"/>
      <c r="D121" s="147"/>
    </row>
    <row r="122" spans="3:4">
      <c r="C122" s="147"/>
      <c r="D122" s="147"/>
    </row>
    <row r="123" spans="3:4">
      <c r="C123" s="147"/>
      <c r="D123" s="147"/>
    </row>
    <row r="124" spans="3:4">
      <c r="C124" s="147"/>
      <c r="D124" s="147"/>
    </row>
    <row r="125" spans="3:4">
      <c r="C125" s="147"/>
      <c r="D125" s="147"/>
    </row>
    <row r="126" spans="3:4">
      <c r="C126" s="147"/>
      <c r="D126" s="147"/>
    </row>
    <row r="127" spans="3:4">
      <c r="C127" s="147"/>
      <c r="D127" s="147"/>
    </row>
    <row r="128" spans="3:4">
      <c r="C128" s="147"/>
      <c r="D128" s="147"/>
    </row>
    <row r="129" spans="3:4">
      <c r="C129" s="147"/>
      <c r="D129" s="147"/>
    </row>
    <row r="130" spans="3:4">
      <c r="C130" s="147"/>
      <c r="D130" s="147"/>
    </row>
    <row r="131" spans="3:4">
      <c r="C131" s="147"/>
      <c r="D131" s="147"/>
    </row>
    <row r="132" spans="3:4">
      <c r="C132" s="147"/>
      <c r="D132" s="147"/>
    </row>
    <row r="133" spans="3:4">
      <c r="C133" s="147"/>
      <c r="D133" s="147"/>
    </row>
    <row r="134" spans="3:4">
      <c r="C134" s="147"/>
      <c r="D134" s="147"/>
    </row>
    <row r="135" spans="3:4">
      <c r="C135" s="147"/>
      <c r="D135" s="147"/>
    </row>
    <row r="136" spans="3:4">
      <c r="C136" s="147"/>
      <c r="D136" s="147"/>
    </row>
    <row r="137" spans="3:4">
      <c r="C137" s="147"/>
      <c r="D137" s="147"/>
    </row>
    <row r="138" spans="3:4">
      <c r="C138" s="147"/>
      <c r="D138" s="147"/>
    </row>
    <row r="139" spans="3:4">
      <c r="C139" s="147"/>
      <c r="D139" s="147"/>
    </row>
    <row r="140" spans="3:4">
      <c r="C140" s="147"/>
      <c r="D140" s="147"/>
    </row>
    <row r="141" spans="3:4">
      <c r="C141" s="147"/>
      <c r="D141" s="147"/>
    </row>
    <row r="142" spans="3:4">
      <c r="C142" s="147"/>
      <c r="D142" s="147"/>
    </row>
    <row r="143" spans="3:4">
      <c r="C143" s="147"/>
      <c r="D143" s="147"/>
    </row>
    <row r="144" spans="3:4">
      <c r="C144" s="147"/>
      <c r="D144" s="147"/>
    </row>
    <row r="145" spans="3:4">
      <c r="C145" s="147"/>
      <c r="D145" s="147"/>
    </row>
    <row r="146" spans="3:4">
      <c r="C146" s="147"/>
      <c r="D146" s="147"/>
    </row>
    <row r="147" spans="3:4">
      <c r="C147" s="147"/>
      <c r="D147" s="147"/>
    </row>
    <row r="148" spans="3:4">
      <c r="C148" s="147"/>
      <c r="D148" s="147"/>
    </row>
    <row r="149" spans="3:4">
      <c r="C149" s="147"/>
      <c r="D149" s="147"/>
    </row>
    <row r="150" spans="3:4">
      <c r="C150" s="147"/>
      <c r="D150" s="147"/>
    </row>
    <row r="151" spans="3:4">
      <c r="C151" s="147"/>
      <c r="D151" s="147"/>
    </row>
    <row r="152" spans="3:4">
      <c r="C152" s="147"/>
      <c r="D152" s="147"/>
    </row>
    <row r="153" spans="3:4">
      <c r="C153" s="147"/>
      <c r="D153" s="147"/>
    </row>
    <row r="154" spans="3:4">
      <c r="C154" s="147"/>
      <c r="D154" s="147"/>
    </row>
    <row r="155" spans="3:4">
      <c r="C155" s="147"/>
      <c r="D155" s="147"/>
    </row>
    <row r="156" spans="3:4">
      <c r="C156" s="147"/>
      <c r="D156" s="147"/>
    </row>
    <row r="157" spans="3:4">
      <c r="C157" s="147"/>
      <c r="D157" s="147"/>
    </row>
  </sheetData>
  <mergeCells count="43">
    <mergeCell ref="D6:D7"/>
    <mergeCell ref="E6:E7"/>
    <mergeCell ref="G6:G7"/>
    <mergeCell ref="F6:F7"/>
    <mergeCell ref="A6:A7"/>
    <mergeCell ref="B6:B7"/>
    <mergeCell ref="C6:C7"/>
    <mergeCell ref="K6:K7"/>
    <mergeCell ref="L6:L7"/>
    <mergeCell ref="M6:M7"/>
    <mergeCell ref="N6:N7"/>
    <mergeCell ref="H6:H7"/>
    <mergeCell ref="I6:I7"/>
    <mergeCell ref="J6:J7"/>
    <mergeCell ref="AC6:AC7"/>
    <mergeCell ref="P6:Q6"/>
    <mergeCell ref="R6:R7"/>
    <mergeCell ref="S6:S7"/>
    <mergeCell ref="T6:T7"/>
    <mergeCell ref="V6:V7"/>
    <mergeCell ref="AZ6:AZ7"/>
    <mergeCell ref="AM6:AM7"/>
    <mergeCell ref="AN6:AN7"/>
    <mergeCell ref="AO6:AO7"/>
    <mergeCell ref="AP6:AP7"/>
    <mergeCell ref="AQ6:AQ7"/>
    <mergeCell ref="AR6:AR7"/>
    <mergeCell ref="A69:A70"/>
    <mergeCell ref="AS6:AS7"/>
    <mergeCell ref="AT6:AT7"/>
    <mergeCell ref="AU6:AU7"/>
    <mergeCell ref="AV6:AV7"/>
    <mergeCell ref="AD6:AD7"/>
    <mergeCell ref="AE6:AE7"/>
    <mergeCell ref="AF6:AF7"/>
    <mergeCell ref="AI6:AI7"/>
    <mergeCell ref="AK6:AK7"/>
    <mergeCell ref="AL6:AL7"/>
    <mergeCell ref="X6:X7"/>
    <mergeCell ref="Y6:Y7"/>
    <mergeCell ref="Z6:Z7"/>
    <mergeCell ref="AA6:AA7"/>
    <mergeCell ref="AB6:AB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SALES SUMMARY (2)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2013-07-01T04:03:09Z</cp:lastPrinted>
  <dcterms:created xsi:type="dcterms:W3CDTF">2013-01-10T00:59:22Z</dcterms:created>
  <dcterms:modified xsi:type="dcterms:W3CDTF">2019-02-20T23:25:31Z</dcterms:modified>
</cp:coreProperties>
</file>