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26" i="20"/>
  <c r="G27"/>
  <c r="G23"/>
  <c r="G24"/>
  <c r="N56" i="79"/>
  <c r="N58"/>
  <c r="F50"/>
  <c r="F17"/>
  <c r="H13" i="20"/>
  <c r="H12"/>
  <c r="K12"/>
  <c r="G13"/>
  <c r="G12"/>
  <c r="G11"/>
  <c r="D11"/>
  <c r="D9" l="1"/>
  <c r="N50" i="79"/>
  <c r="N17"/>
  <c r="N159"/>
  <c r="F159"/>
  <c r="N158"/>
  <c r="F158"/>
  <c r="N157"/>
  <c r="F157"/>
  <c r="N156"/>
  <c r="F156"/>
  <c r="N155"/>
  <c r="F155"/>
  <c r="N154"/>
  <c r="F154"/>
  <c r="N153"/>
  <c r="F153"/>
  <c r="N152"/>
  <c r="F152"/>
  <c r="N151"/>
  <c r="F151"/>
  <c r="H159" s="1"/>
  <c r="N149"/>
  <c r="F149"/>
  <c r="N148"/>
  <c r="F148"/>
  <c r="N147"/>
  <c r="F147"/>
  <c r="N146"/>
  <c r="F146"/>
  <c r="N145"/>
  <c r="P149" s="1"/>
  <c r="F145"/>
  <c r="M143"/>
  <c r="E143"/>
  <c r="P142"/>
  <c r="L142"/>
  <c r="H142"/>
  <c r="L141"/>
  <c r="D141"/>
  <c r="L140"/>
  <c r="D140"/>
  <c r="L139"/>
  <c r="D139"/>
  <c r="J135"/>
  <c r="B135"/>
  <c r="J134"/>
  <c r="B134"/>
  <c r="N126"/>
  <c r="F126"/>
  <c r="N125"/>
  <c r="F125"/>
  <c r="N124"/>
  <c r="N123"/>
  <c r="F123"/>
  <c r="N122"/>
  <c r="F122"/>
  <c r="N121"/>
  <c r="F121"/>
  <c r="N120"/>
  <c r="N119"/>
  <c r="F119"/>
  <c r="H126" s="1"/>
  <c r="N118"/>
  <c r="N116"/>
  <c r="N115"/>
  <c r="F115"/>
  <c r="H116" s="1"/>
  <c r="N114"/>
  <c r="N113"/>
  <c r="N112"/>
  <c r="M110"/>
  <c r="P109"/>
  <c r="L108"/>
  <c r="L107"/>
  <c r="D107"/>
  <c r="H109" s="1"/>
  <c r="H127" s="1"/>
  <c r="T127" s="1"/>
  <c r="P126"/>
  <c r="L106"/>
  <c r="D106"/>
  <c r="J102"/>
  <c r="B102"/>
  <c r="J101"/>
  <c r="B101"/>
  <c r="N93"/>
  <c r="F93"/>
  <c r="N92"/>
  <c r="F92"/>
  <c r="N90"/>
  <c r="F90"/>
  <c r="N89"/>
  <c r="F89"/>
  <c r="N88"/>
  <c r="F88"/>
  <c r="N86"/>
  <c r="P93" s="1"/>
  <c r="F86"/>
  <c r="H93" s="1"/>
  <c r="N82"/>
  <c r="F82"/>
  <c r="N81"/>
  <c r="P83" s="1"/>
  <c r="F81"/>
  <c r="H83" s="1"/>
  <c r="L74"/>
  <c r="P76" s="1"/>
  <c r="D74"/>
  <c r="H76" s="1"/>
  <c r="L73"/>
  <c r="D73"/>
  <c r="J69"/>
  <c r="B69"/>
  <c r="J68"/>
  <c r="B68"/>
  <c r="N60"/>
  <c r="F60"/>
  <c r="N59"/>
  <c r="F59"/>
  <c r="N57"/>
  <c r="F57"/>
  <c r="F56"/>
  <c r="F55"/>
  <c r="N53"/>
  <c r="F52"/>
  <c r="N49"/>
  <c r="F49"/>
  <c r="N48"/>
  <c r="F48"/>
  <c r="N47"/>
  <c r="F47"/>
  <c r="N46"/>
  <c r="F46"/>
  <c r="P43"/>
  <c r="H43"/>
  <c r="L41"/>
  <c r="D41"/>
  <c r="L40"/>
  <c r="D40"/>
  <c r="J36"/>
  <c r="B36"/>
  <c r="J35"/>
  <c r="B35"/>
  <c r="N27"/>
  <c r="F27"/>
  <c r="N26"/>
  <c r="N25"/>
  <c r="N24"/>
  <c r="F24"/>
  <c r="N23"/>
  <c r="N22"/>
  <c r="F22"/>
  <c r="N20"/>
  <c r="F20"/>
  <c r="N19"/>
  <c r="P27" s="1"/>
  <c r="F19"/>
  <c r="N16"/>
  <c r="N15"/>
  <c r="F15"/>
  <c r="N14"/>
  <c r="F14"/>
  <c r="F13"/>
  <c r="P10"/>
  <c r="L8"/>
  <c r="D8"/>
  <c r="H10" s="1"/>
  <c r="L7"/>
  <c r="D7"/>
  <c r="J3"/>
  <c r="B3"/>
  <c r="J2"/>
  <c r="B2"/>
  <c r="H20" i="78"/>
  <c r="C20"/>
  <c r="H18"/>
  <c r="H10"/>
  <c r="C10"/>
  <c r="H8"/>
  <c r="F41" i="5"/>
  <c r="F44" s="1"/>
  <c r="E41"/>
  <c r="E44" s="1"/>
  <c r="D41"/>
  <c r="D44" s="1"/>
  <c r="C41"/>
  <c r="C44" s="1"/>
  <c r="P39"/>
  <c r="O39"/>
  <c r="M39"/>
  <c r="J39"/>
  <c r="G39"/>
  <c r="B39"/>
  <c r="A39"/>
  <c r="O38"/>
  <c r="M38"/>
  <c r="J38"/>
  <c r="G38"/>
  <c r="B38"/>
  <c r="A38"/>
  <c r="O37"/>
  <c r="O41" s="1"/>
  <c r="M37"/>
  <c r="M41" s="1"/>
  <c r="M44" s="1"/>
  <c r="J37"/>
  <c r="J41" s="1"/>
  <c r="G37"/>
  <c r="G41" s="1"/>
  <c r="B37"/>
  <c r="B41" s="1"/>
  <c r="A37"/>
  <c r="M36"/>
  <c r="G36"/>
  <c r="F36"/>
  <c r="E36"/>
  <c r="D36"/>
  <c r="C36"/>
  <c r="P34"/>
  <c r="P36" s="1"/>
  <c r="O34"/>
  <c r="O36" s="1"/>
  <c r="M34"/>
  <c r="J34"/>
  <c r="J36" s="1"/>
  <c r="G34"/>
  <c r="B34"/>
  <c r="A34"/>
  <c r="U27"/>
  <c r="T27"/>
  <c r="S27"/>
  <c r="R27"/>
  <c r="P27"/>
  <c r="O27"/>
  <c r="L27"/>
  <c r="K27"/>
  <c r="H27"/>
  <c r="G27"/>
  <c r="I27" s="1"/>
  <c r="A27"/>
  <c r="U26"/>
  <c r="T26"/>
  <c r="S26"/>
  <c r="R26"/>
  <c r="P26"/>
  <c r="O26"/>
  <c r="L26"/>
  <c r="K26"/>
  <c r="H26"/>
  <c r="G26"/>
  <c r="I26" s="1"/>
  <c r="A26"/>
  <c r="U25"/>
  <c r="T25"/>
  <c r="S25"/>
  <c r="R25"/>
  <c r="P25"/>
  <c r="O25"/>
  <c r="L25"/>
  <c r="K25"/>
  <c r="H25"/>
  <c r="G25"/>
  <c r="I25" s="1"/>
  <c r="A25"/>
  <c r="U24"/>
  <c r="T24"/>
  <c r="S24"/>
  <c r="R24"/>
  <c r="P24"/>
  <c r="O24"/>
  <c r="L24"/>
  <c r="K24"/>
  <c r="H24"/>
  <c r="A24"/>
  <c r="U23"/>
  <c r="T23"/>
  <c r="S23"/>
  <c r="R23"/>
  <c r="P23"/>
  <c r="O23"/>
  <c r="L23"/>
  <c r="K23"/>
  <c r="H23"/>
  <c r="A23"/>
  <c r="U22"/>
  <c r="T22"/>
  <c r="S22"/>
  <c r="R22"/>
  <c r="P22"/>
  <c r="O22"/>
  <c r="N22"/>
  <c r="M22"/>
  <c r="L22"/>
  <c r="K22"/>
  <c r="H22"/>
  <c r="A22"/>
  <c r="U21"/>
  <c r="T21"/>
  <c r="S21"/>
  <c r="R21"/>
  <c r="P21"/>
  <c r="O21"/>
  <c r="N21"/>
  <c r="M21"/>
  <c r="L21"/>
  <c r="K21"/>
  <c r="H21"/>
  <c r="U20"/>
  <c r="T20"/>
  <c r="S20"/>
  <c r="R20"/>
  <c r="Q20"/>
  <c r="P20"/>
  <c r="O20"/>
  <c r="N20"/>
  <c r="M20"/>
  <c r="L20"/>
  <c r="K20"/>
  <c r="H20"/>
  <c r="U19"/>
  <c r="T19"/>
  <c r="S19"/>
  <c r="R19"/>
  <c r="Q19"/>
  <c r="P19"/>
  <c r="O19"/>
  <c r="N19"/>
  <c r="M19"/>
  <c r="L19"/>
  <c r="K19"/>
  <c r="H19"/>
  <c r="A19"/>
  <c r="U18"/>
  <c r="U29" s="1"/>
  <c r="T18"/>
  <c r="T29" s="1"/>
  <c r="S18"/>
  <c r="S29" s="1"/>
  <c r="R18"/>
  <c r="R29" s="1"/>
  <c r="P18"/>
  <c r="P29" s="1"/>
  <c r="O18"/>
  <c r="O29" s="1"/>
  <c r="O31" s="1"/>
  <c r="N18"/>
  <c r="M18"/>
  <c r="L18"/>
  <c r="K18"/>
  <c r="K29" s="1"/>
  <c r="H18"/>
  <c r="H29" s="1"/>
  <c r="A15"/>
  <c r="A14"/>
  <c r="N159" i="64"/>
  <c r="F159"/>
  <c r="N158"/>
  <c r="F158"/>
  <c r="N157"/>
  <c r="F157"/>
  <c r="N156"/>
  <c r="F156"/>
  <c r="N155"/>
  <c r="F155"/>
  <c r="N154"/>
  <c r="N153"/>
  <c r="N152"/>
  <c r="F152"/>
  <c r="N151"/>
  <c r="P159" s="1"/>
  <c r="N149"/>
  <c r="H149"/>
  <c r="F149"/>
  <c r="N148"/>
  <c r="F148"/>
  <c r="N147"/>
  <c r="F147"/>
  <c r="N146"/>
  <c r="F146"/>
  <c r="N145"/>
  <c r="P149" s="1"/>
  <c r="F145"/>
  <c r="M143"/>
  <c r="E143"/>
  <c r="P142"/>
  <c r="L142"/>
  <c r="H142"/>
  <c r="L141"/>
  <c r="D141"/>
  <c r="L140"/>
  <c r="D140"/>
  <c r="L139"/>
  <c r="D139"/>
  <c r="J134"/>
  <c r="B134"/>
  <c r="N126"/>
  <c r="F126"/>
  <c r="N125"/>
  <c r="F125"/>
  <c r="N124"/>
  <c r="F124"/>
  <c r="N123"/>
  <c r="F123"/>
  <c r="N122"/>
  <c r="F122"/>
  <c r="N119"/>
  <c r="F119"/>
  <c r="N116"/>
  <c r="F116"/>
  <c r="N115"/>
  <c r="F115"/>
  <c r="N114"/>
  <c r="F114"/>
  <c r="N113"/>
  <c r="F113"/>
  <c r="N112"/>
  <c r="P116" s="1"/>
  <c r="F112"/>
  <c r="H116" s="1"/>
  <c r="M110"/>
  <c r="E110"/>
  <c r="P109"/>
  <c r="H109"/>
  <c r="L108"/>
  <c r="D108"/>
  <c r="L107"/>
  <c r="D107"/>
  <c r="L106"/>
  <c r="D106"/>
  <c r="J101"/>
  <c r="B101"/>
  <c r="N93"/>
  <c r="F93"/>
  <c r="N92"/>
  <c r="F92"/>
  <c r="N91"/>
  <c r="F91"/>
  <c r="N90"/>
  <c r="F90"/>
  <c r="N89"/>
  <c r="F89"/>
  <c r="N88"/>
  <c r="F87"/>
  <c r="N86"/>
  <c r="F86"/>
  <c r="N83"/>
  <c r="F83"/>
  <c r="N82"/>
  <c r="F82"/>
  <c r="N81"/>
  <c r="F81"/>
  <c r="N80"/>
  <c r="F80"/>
  <c r="N79"/>
  <c r="P83" s="1"/>
  <c r="F79"/>
  <c r="H83" s="1"/>
  <c r="M77"/>
  <c r="E77"/>
  <c r="P76"/>
  <c r="H76"/>
  <c r="L75"/>
  <c r="D75"/>
  <c r="L74"/>
  <c r="D74"/>
  <c r="L73"/>
  <c r="D73"/>
  <c r="J68"/>
  <c r="B68"/>
  <c r="N60"/>
  <c r="F60"/>
  <c r="N59"/>
  <c r="F59"/>
  <c r="N58"/>
  <c r="F58"/>
  <c r="N57"/>
  <c r="F57"/>
  <c r="N56"/>
  <c r="F56"/>
  <c r="F55"/>
  <c r="N54"/>
  <c r="F54"/>
  <c r="N53"/>
  <c r="F53"/>
  <c r="N52"/>
  <c r="N50"/>
  <c r="F50"/>
  <c r="N49"/>
  <c r="F49"/>
  <c r="N48"/>
  <c r="F48"/>
  <c r="N47"/>
  <c r="F47"/>
  <c r="N46"/>
  <c r="P50" s="1"/>
  <c r="F46"/>
  <c r="H50" s="1"/>
  <c r="M44"/>
  <c r="E44"/>
  <c r="P43"/>
  <c r="H43"/>
  <c r="L42"/>
  <c r="D42"/>
  <c r="L41"/>
  <c r="D41"/>
  <c r="J35"/>
  <c r="B35"/>
  <c r="N27"/>
  <c r="F27"/>
  <c r="N26"/>
  <c r="F26"/>
  <c r="N25"/>
  <c r="F25"/>
  <c r="N24"/>
  <c r="F24"/>
  <c r="N23"/>
  <c r="F23"/>
  <c r="N22"/>
  <c r="N21"/>
  <c r="F21"/>
  <c r="N20"/>
  <c r="F20"/>
  <c r="N19"/>
  <c r="P27" s="1"/>
  <c r="N17"/>
  <c r="F17"/>
  <c r="N16"/>
  <c r="F16"/>
  <c r="N15"/>
  <c r="F15"/>
  <c r="N14"/>
  <c r="F14"/>
  <c r="N13"/>
  <c r="P17" s="1"/>
  <c r="F13"/>
  <c r="H17" s="1"/>
  <c r="M11"/>
  <c r="E11"/>
  <c r="P10"/>
  <c r="H10"/>
  <c r="L9"/>
  <c r="D9"/>
  <c r="L8"/>
  <c r="D8"/>
  <c r="L7"/>
  <c r="J2"/>
  <c r="B2"/>
  <c r="I67" i="63"/>
  <c r="H67"/>
  <c r="G67"/>
  <c r="F67"/>
  <c r="E67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M58"/>
  <c r="L58"/>
  <c r="K58"/>
  <c r="H58"/>
  <c r="M57"/>
  <c r="L57"/>
  <c r="K57"/>
  <c r="J57"/>
  <c r="O57" s="1"/>
  <c r="C57"/>
  <c r="B57"/>
  <c r="M56"/>
  <c r="L56"/>
  <c r="K56"/>
  <c r="J56"/>
  <c r="O56" s="1"/>
  <c r="H56"/>
  <c r="M44"/>
  <c r="M43"/>
  <c r="M42"/>
  <c r="M41"/>
  <c r="M40"/>
  <c r="P39"/>
  <c r="M39"/>
  <c r="P38"/>
  <c r="O38"/>
  <c r="P37"/>
  <c r="O37"/>
  <c r="P36"/>
  <c r="M36"/>
  <c r="P35"/>
  <c r="O35"/>
  <c r="N33"/>
  <c r="M33"/>
  <c r="K33"/>
  <c r="I33"/>
  <c r="H33"/>
  <c r="F33"/>
  <c r="E33"/>
  <c r="D33"/>
  <c r="R31"/>
  <c r="O31"/>
  <c r="Q27" i="5" s="1"/>
  <c r="L31" i="63"/>
  <c r="M27" i="5" s="1"/>
  <c r="N27" s="1"/>
  <c r="J31" i="63"/>
  <c r="J27" i="5" s="1"/>
  <c r="H31" i="63"/>
  <c r="F31"/>
  <c r="D31"/>
  <c r="C31"/>
  <c r="B31"/>
  <c r="R30"/>
  <c r="O30"/>
  <c r="Q26" i="5" s="1"/>
  <c r="L30" i="63"/>
  <c r="P30" s="1"/>
  <c r="J30"/>
  <c r="F151" i="64" s="1"/>
  <c r="H30" i="63"/>
  <c r="F30"/>
  <c r="D30"/>
  <c r="C30"/>
  <c r="B30"/>
  <c r="R29"/>
  <c r="P29"/>
  <c r="S42" s="1"/>
  <c r="O29"/>
  <c r="N121" i="64" s="1"/>
  <c r="L29" i="63"/>
  <c r="N120" i="64" s="1"/>
  <c r="J29" i="63"/>
  <c r="J25" i="5" s="1"/>
  <c r="H29" i="63"/>
  <c r="F29"/>
  <c r="D29"/>
  <c r="C29"/>
  <c r="B29"/>
  <c r="R28"/>
  <c r="O28"/>
  <c r="Q24" i="5" s="1"/>
  <c r="L28" i="63"/>
  <c r="M24" i="5" s="1"/>
  <c r="N24" s="1"/>
  <c r="J28" i="63"/>
  <c r="J24" i="5" s="1"/>
  <c r="H28" i="63"/>
  <c r="F28"/>
  <c r="D28"/>
  <c r="C28"/>
  <c r="B28"/>
  <c r="R27"/>
  <c r="P27"/>
  <c r="S40" s="1"/>
  <c r="O27"/>
  <c r="Q23" i="5" s="1"/>
  <c r="L27" i="63"/>
  <c r="N87" i="64" s="1"/>
  <c r="J27" i="63"/>
  <c r="N85" i="64" s="1"/>
  <c r="H27" i="63"/>
  <c r="F27"/>
  <c r="D27"/>
  <c r="C27"/>
  <c r="B27"/>
  <c r="R26"/>
  <c r="O26"/>
  <c r="Q22" i="5" s="1"/>
  <c r="J26" i="63"/>
  <c r="P26" s="1"/>
  <c r="H26"/>
  <c r="F26"/>
  <c r="D26"/>
  <c r="C26"/>
  <c r="B26"/>
  <c r="R25"/>
  <c r="O25"/>
  <c r="Q21" i="5" s="1"/>
  <c r="J25" i="63"/>
  <c r="J21" i="5" s="1"/>
  <c r="H25" i="63"/>
  <c r="F25"/>
  <c r="D25"/>
  <c r="R24"/>
  <c r="P24"/>
  <c r="S37" s="1"/>
  <c r="J24"/>
  <c r="J20" i="5" s="1"/>
  <c r="H24" i="63"/>
  <c r="F24"/>
  <c r="D24"/>
  <c r="R23"/>
  <c r="P23"/>
  <c r="S36" s="1"/>
  <c r="J23"/>
  <c r="J19" i="5" s="1"/>
  <c r="H23" i="63"/>
  <c r="F23"/>
  <c r="D23"/>
  <c r="C23"/>
  <c r="B23"/>
  <c r="R22"/>
  <c r="P22"/>
  <c r="D56" s="1"/>
  <c r="O22"/>
  <c r="Q18" i="5" s="1"/>
  <c r="K22" i="63"/>
  <c r="J22"/>
  <c r="F19" i="64" s="1"/>
  <c r="H22" i="63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C10"/>
  <c r="C25" s="1"/>
  <c r="C59" s="1"/>
  <c r="B10"/>
  <c r="A21" i="5" s="1"/>
  <c r="X9" i="63"/>
  <c r="V9"/>
  <c r="T9"/>
  <c r="R9"/>
  <c r="P9"/>
  <c r="I9"/>
  <c r="H9"/>
  <c r="G9"/>
  <c r="E9"/>
  <c r="D9"/>
  <c r="C9"/>
  <c r="C24" s="1"/>
  <c r="C58" s="1"/>
  <c r="B9"/>
  <c r="A20" i="5" s="1"/>
  <c r="X8" i="63"/>
  <c r="V8"/>
  <c r="T8"/>
  <c r="R8"/>
  <c r="P8"/>
  <c r="H8"/>
  <c r="G8"/>
  <c r="E8"/>
  <c r="D8"/>
  <c r="X7"/>
  <c r="V7"/>
  <c r="T7"/>
  <c r="R7"/>
  <c r="P7"/>
  <c r="H7"/>
  <c r="G7"/>
  <c r="E7"/>
  <c r="D7"/>
  <c r="C7"/>
  <c r="C22" s="1"/>
  <c r="C56" s="1"/>
  <c r="B7"/>
  <c r="A18" i="5" s="1"/>
  <c r="D2" i="63"/>
  <c r="B135" i="64" s="1"/>
  <c r="N159" i="21"/>
  <c r="F159"/>
  <c r="N158"/>
  <c r="F158"/>
  <c r="N157"/>
  <c r="F157"/>
  <c r="N156"/>
  <c r="F156"/>
  <c r="N155"/>
  <c r="F155"/>
  <c r="N154"/>
  <c r="F154"/>
  <c r="N153"/>
  <c r="F153"/>
  <c r="N152"/>
  <c r="F152"/>
  <c r="N151"/>
  <c r="P159" s="1"/>
  <c r="F151"/>
  <c r="H159" s="1"/>
  <c r="N149"/>
  <c r="F149"/>
  <c r="N148"/>
  <c r="F148"/>
  <c r="N147"/>
  <c r="F147"/>
  <c r="N146"/>
  <c r="F146"/>
  <c r="N145"/>
  <c r="P149" s="1"/>
  <c r="F145"/>
  <c r="H149" s="1"/>
  <c r="M143"/>
  <c r="E143"/>
  <c r="P142"/>
  <c r="P160" s="1"/>
  <c r="V160" s="1"/>
  <c r="L142"/>
  <c r="H142"/>
  <c r="H160" s="1"/>
  <c r="T160" s="1"/>
  <c r="L141"/>
  <c r="D141"/>
  <c r="L140"/>
  <c r="D140"/>
  <c r="L139"/>
  <c r="D139"/>
  <c r="J135"/>
  <c r="B135"/>
  <c r="J134"/>
  <c r="B134"/>
  <c r="N126"/>
  <c r="F126"/>
  <c r="N125"/>
  <c r="F125"/>
  <c r="N124"/>
  <c r="N123"/>
  <c r="F123"/>
  <c r="N122"/>
  <c r="F122"/>
  <c r="N121"/>
  <c r="F121"/>
  <c r="N120"/>
  <c r="F120"/>
  <c r="N119"/>
  <c r="F119"/>
  <c r="N118"/>
  <c r="P126" s="1"/>
  <c r="F118"/>
  <c r="N116"/>
  <c r="N115"/>
  <c r="F115"/>
  <c r="N114"/>
  <c r="F114"/>
  <c r="N113"/>
  <c r="F113"/>
  <c r="N112"/>
  <c r="P116" s="1"/>
  <c r="M110"/>
  <c r="E110"/>
  <c r="P109"/>
  <c r="P127" s="1"/>
  <c r="V127" s="1"/>
  <c r="H109"/>
  <c r="L108"/>
  <c r="D108"/>
  <c r="L107"/>
  <c r="D107"/>
  <c r="L106"/>
  <c r="D106"/>
  <c r="J102"/>
  <c r="B102"/>
  <c r="J101"/>
  <c r="B101"/>
  <c r="N93"/>
  <c r="F93"/>
  <c r="N92"/>
  <c r="F92"/>
  <c r="N90"/>
  <c r="F90"/>
  <c r="N89"/>
  <c r="F89"/>
  <c r="N88"/>
  <c r="F88"/>
  <c r="N87"/>
  <c r="F87"/>
  <c r="N86"/>
  <c r="F86"/>
  <c r="N85"/>
  <c r="F85"/>
  <c r="N82"/>
  <c r="N81"/>
  <c r="F81"/>
  <c r="N80"/>
  <c r="F80"/>
  <c r="M77"/>
  <c r="E77"/>
  <c r="P76"/>
  <c r="H76"/>
  <c r="L75"/>
  <c r="D75"/>
  <c r="L74"/>
  <c r="D74"/>
  <c r="L73"/>
  <c r="D73"/>
  <c r="J69"/>
  <c r="B69"/>
  <c r="J68"/>
  <c r="B68"/>
  <c r="N60"/>
  <c r="F60"/>
  <c r="N59"/>
  <c r="F59"/>
  <c r="N57"/>
  <c r="F57"/>
  <c r="N56"/>
  <c r="F56"/>
  <c r="N55"/>
  <c r="F55"/>
  <c r="N54"/>
  <c r="F54"/>
  <c r="N53"/>
  <c r="F53"/>
  <c r="N52"/>
  <c r="F52"/>
  <c r="N48"/>
  <c r="F48"/>
  <c r="M44"/>
  <c r="E44"/>
  <c r="P43"/>
  <c r="H43"/>
  <c r="L42"/>
  <c r="D42"/>
  <c r="L41"/>
  <c r="D41"/>
  <c r="L40"/>
  <c r="D40"/>
  <c r="J36"/>
  <c r="B36"/>
  <c r="J35"/>
  <c r="B35"/>
  <c r="N27"/>
  <c r="F27"/>
  <c r="N26"/>
  <c r="F26"/>
  <c r="N24"/>
  <c r="F24"/>
  <c r="N23"/>
  <c r="F23"/>
  <c r="N22"/>
  <c r="F22"/>
  <c r="N21"/>
  <c r="F21"/>
  <c r="N20"/>
  <c r="F20"/>
  <c r="N19"/>
  <c r="F19"/>
  <c r="N15"/>
  <c r="F15"/>
  <c r="M11"/>
  <c r="E11"/>
  <c r="P10"/>
  <c r="H10"/>
  <c r="L9"/>
  <c r="D9"/>
  <c r="L8"/>
  <c r="D8"/>
  <c r="L7"/>
  <c r="D7"/>
  <c r="J3"/>
  <c r="B3"/>
  <c r="J2"/>
  <c r="B2"/>
  <c r="H67" i="20"/>
  <c r="G67"/>
  <c r="F67"/>
  <c r="E67"/>
  <c r="D67"/>
  <c r="I65"/>
  <c r="C65"/>
  <c r="B65"/>
  <c r="I64"/>
  <c r="C64"/>
  <c r="B64"/>
  <c r="I63"/>
  <c r="C63"/>
  <c r="B63"/>
  <c r="C62"/>
  <c r="B62"/>
  <c r="C61"/>
  <c r="B61"/>
  <c r="L60"/>
  <c r="K60"/>
  <c r="J60"/>
  <c r="C60"/>
  <c r="B60"/>
  <c r="L59"/>
  <c r="K59"/>
  <c r="J59"/>
  <c r="G59"/>
  <c r="C59"/>
  <c r="B59"/>
  <c r="L58"/>
  <c r="K58"/>
  <c r="J58"/>
  <c r="G58"/>
  <c r="C58"/>
  <c r="B58"/>
  <c r="L57"/>
  <c r="J57"/>
  <c r="C57"/>
  <c r="B57"/>
  <c r="L56"/>
  <c r="J56"/>
  <c r="C56"/>
  <c r="B56"/>
  <c r="S44"/>
  <c r="M44"/>
  <c r="S43"/>
  <c r="M43"/>
  <c r="S42"/>
  <c r="M42"/>
  <c r="M41"/>
  <c r="M40"/>
  <c r="M39"/>
  <c r="P38"/>
  <c r="O38"/>
  <c r="M38"/>
  <c r="O37"/>
  <c r="M37"/>
  <c r="D37"/>
  <c r="A37"/>
  <c r="M36"/>
  <c r="O35"/>
  <c r="M35"/>
  <c r="O33"/>
  <c r="N33"/>
  <c r="M33"/>
  <c r="L33"/>
  <c r="K33"/>
  <c r="J33"/>
  <c r="I33"/>
  <c r="R31"/>
  <c r="P31"/>
  <c r="H31"/>
  <c r="F31"/>
  <c r="D31"/>
  <c r="C31"/>
  <c r="B31"/>
  <c r="R30"/>
  <c r="P30"/>
  <c r="H30"/>
  <c r="F30"/>
  <c r="D30"/>
  <c r="C30"/>
  <c r="B30"/>
  <c r="R29"/>
  <c r="P29"/>
  <c r="H29"/>
  <c r="F29"/>
  <c r="D29"/>
  <c r="C29"/>
  <c r="B29"/>
  <c r="H28"/>
  <c r="F124" i="21" s="1"/>
  <c r="F28" i="20"/>
  <c r="C28"/>
  <c r="B28"/>
  <c r="H27"/>
  <c r="N91" i="21" s="1"/>
  <c r="F27" i="20"/>
  <c r="C27"/>
  <c r="B27"/>
  <c r="H26"/>
  <c r="F91" i="21" s="1"/>
  <c r="F26" i="20"/>
  <c r="C26"/>
  <c r="B26"/>
  <c r="H25"/>
  <c r="N39" i="5" s="1"/>
  <c r="F25" i="20"/>
  <c r="C25"/>
  <c r="B25"/>
  <c r="H24"/>
  <c r="N34" i="5" s="1"/>
  <c r="N36" s="1"/>
  <c r="F24" i="20"/>
  <c r="C24"/>
  <c r="B24"/>
  <c r="H23"/>
  <c r="E23"/>
  <c r="P36" s="1"/>
  <c r="C23"/>
  <c r="B23"/>
  <c r="H22"/>
  <c r="E22"/>
  <c r="E33" s="1"/>
  <c r="C22"/>
  <c r="B22"/>
  <c r="R21"/>
  <c r="R18"/>
  <c r="I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V13"/>
  <c r="F116" i="21" s="1"/>
  <c r="T13" i="20"/>
  <c r="R13"/>
  <c r="O13"/>
  <c r="N13"/>
  <c r="P13" s="1"/>
  <c r="L13"/>
  <c r="K13"/>
  <c r="E13"/>
  <c r="D13"/>
  <c r="V12"/>
  <c r="N83" i="21" s="1"/>
  <c r="T12" i="20"/>
  <c r="R12"/>
  <c r="O12"/>
  <c r="N12"/>
  <c r="P12" s="1"/>
  <c r="L12"/>
  <c r="E12"/>
  <c r="D12"/>
  <c r="V11"/>
  <c r="F83" i="21" s="1"/>
  <c r="S11" i="20"/>
  <c r="T11" s="1"/>
  <c r="F82" i="21" s="1"/>
  <c r="R11" i="20"/>
  <c r="O11"/>
  <c r="N11"/>
  <c r="P11" s="1"/>
  <c r="L11"/>
  <c r="K11"/>
  <c r="E11"/>
  <c r="V10"/>
  <c r="L39" i="5" s="1"/>
  <c r="T10" i="20"/>
  <c r="K39" i="5" s="1"/>
  <c r="S10" i="20"/>
  <c r="R10"/>
  <c r="O10"/>
  <c r="N10"/>
  <c r="M10"/>
  <c r="P10" s="1"/>
  <c r="L10"/>
  <c r="H10"/>
  <c r="G10"/>
  <c r="E10"/>
  <c r="D10"/>
  <c r="V9"/>
  <c r="L34" i="5" s="1"/>
  <c r="L36" s="1"/>
  <c r="S9" i="20"/>
  <c r="T9" s="1"/>
  <c r="R9"/>
  <c r="O9"/>
  <c r="N9"/>
  <c r="M9"/>
  <c r="P9" s="1"/>
  <c r="L9"/>
  <c r="I9"/>
  <c r="H9"/>
  <c r="H34" i="5" s="1"/>
  <c r="H36" s="1"/>
  <c r="G9" i="20"/>
  <c r="E9"/>
  <c r="V8"/>
  <c r="L38" i="5" s="1"/>
  <c r="S8" i="20"/>
  <c r="T8" s="1"/>
  <c r="R8"/>
  <c r="O8"/>
  <c r="N8"/>
  <c r="P8" s="1"/>
  <c r="L8"/>
  <c r="K8"/>
  <c r="H8" s="1"/>
  <c r="G8"/>
  <c r="E8"/>
  <c r="D8"/>
  <c r="V7"/>
  <c r="L37" i="5" s="1"/>
  <c r="L41" s="1"/>
  <c r="S7" i="20"/>
  <c r="T7" s="1"/>
  <c r="R7"/>
  <c r="O7"/>
  <c r="N7"/>
  <c r="P7" s="1"/>
  <c r="M7"/>
  <c r="K7"/>
  <c r="H7" s="1"/>
  <c r="G7"/>
  <c r="E7"/>
  <c r="D7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D60" i="63" l="1"/>
  <c r="S39"/>
  <c r="P93" i="64"/>
  <c r="D64" i="63"/>
  <c r="S43"/>
  <c r="P25"/>
  <c r="L33"/>
  <c r="D57"/>
  <c r="J58"/>
  <c r="O58" s="1"/>
  <c r="O67" s="1"/>
  <c r="J62"/>
  <c r="J63"/>
  <c r="J64"/>
  <c r="J65"/>
  <c r="F22" i="64"/>
  <c r="H27" s="1"/>
  <c r="H28" s="1"/>
  <c r="T28" s="1"/>
  <c r="F52"/>
  <c r="H60" s="1"/>
  <c r="F85"/>
  <c r="F118"/>
  <c r="F120"/>
  <c r="F154"/>
  <c r="J18" i="5"/>
  <c r="J23"/>
  <c r="M25"/>
  <c r="N25" s="1"/>
  <c r="Q25"/>
  <c r="Q29" s="1"/>
  <c r="J26"/>
  <c r="P17" i="79"/>
  <c r="P50"/>
  <c r="P60"/>
  <c r="P94"/>
  <c r="V94" s="1"/>
  <c r="P31" i="63"/>
  <c r="O33"/>
  <c r="S35"/>
  <c r="J59"/>
  <c r="O59" s="1"/>
  <c r="J60"/>
  <c r="O60" s="1"/>
  <c r="J61"/>
  <c r="O61" s="1"/>
  <c r="D63"/>
  <c r="N55" i="64"/>
  <c r="P94"/>
  <c r="V94" s="1"/>
  <c r="M23" i="5"/>
  <c r="N23" s="1"/>
  <c r="N29" s="1"/>
  <c r="M26"/>
  <c r="N26" s="1"/>
  <c r="H94" i="79"/>
  <c r="T94" s="1"/>
  <c r="J33" i="63"/>
  <c r="D58"/>
  <c r="D61"/>
  <c r="H61" i="64"/>
  <c r="T61" s="1"/>
  <c r="F88"/>
  <c r="F121"/>
  <c r="F153"/>
  <c r="H159" s="1"/>
  <c r="H160" s="1"/>
  <c r="T160" s="1"/>
  <c r="L29" i="5"/>
  <c r="J22"/>
  <c r="H149" i="79"/>
  <c r="H160" s="1"/>
  <c r="T160" s="1"/>
  <c r="P28" i="63"/>
  <c r="P33" s="1"/>
  <c r="P46" s="1"/>
  <c r="P28" i="64"/>
  <c r="V28" s="1"/>
  <c r="P60"/>
  <c r="P61" s="1"/>
  <c r="N118"/>
  <c r="P126" s="1"/>
  <c r="P127" s="1"/>
  <c r="V127" s="1"/>
  <c r="P159" i="79"/>
  <c r="P160" s="1"/>
  <c r="V160" s="1"/>
  <c r="H93" i="21"/>
  <c r="P28" i="79"/>
  <c r="H27"/>
  <c r="P116"/>
  <c r="P127" s="1"/>
  <c r="V127" s="1"/>
  <c r="P61"/>
  <c r="H50" s="1"/>
  <c r="H60" s="1"/>
  <c r="H126" i="21"/>
  <c r="O44" i="5"/>
  <c r="F58" i="21"/>
  <c r="H60" s="1"/>
  <c r="F50"/>
  <c r="H33" i="20"/>
  <c r="N58" i="21"/>
  <c r="P60" s="1"/>
  <c r="P93"/>
  <c r="V18" i="20"/>
  <c r="N50" i="21"/>
  <c r="I37" i="5"/>
  <c r="F13" i="21"/>
  <c r="P18" i="20"/>
  <c r="N14" i="21"/>
  <c r="H38" i="5"/>
  <c r="X8" i="20"/>
  <c r="D23" s="1"/>
  <c r="I34" i="5"/>
  <c r="I36" s="1"/>
  <c r="F46" i="21"/>
  <c r="K34" i="5"/>
  <c r="K36" s="1"/>
  <c r="F49" i="21"/>
  <c r="X13" i="20"/>
  <c r="D28" s="1"/>
  <c r="F112" i="21"/>
  <c r="H116" s="1"/>
  <c r="H127" s="1"/>
  <c r="R28" i="20"/>
  <c r="G24" i="5" s="1"/>
  <c r="I24" s="1"/>
  <c r="K37"/>
  <c r="F16" i="21"/>
  <c r="T18" i="20"/>
  <c r="K38" i="5"/>
  <c r="N16" i="21"/>
  <c r="N47"/>
  <c r="R25" i="20"/>
  <c r="G21" i="5" s="1"/>
  <c r="I21" s="1"/>
  <c r="X10" i="20"/>
  <c r="D25" s="1"/>
  <c r="H39" i="5"/>
  <c r="I39"/>
  <c r="N46" i="21"/>
  <c r="F79"/>
  <c r="H83" s="1"/>
  <c r="H94" s="1"/>
  <c r="R26" i="20"/>
  <c r="G22" i="5" s="1"/>
  <c r="I22" s="1"/>
  <c r="X11" i="20"/>
  <c r="D26" s="1"/>
  <c r="N79" i="21"/>
  <c r="P83" s="1"/>
  <c r="R27" i="20"/>
  <c r="G23" i="5" s="1"/>
  <c r="I23" s="1"/>
  <c r="X12" i="20"/>
  <c r="D27" s="1"/>
  <c r="P38" i="5"/>
  <c r="N17" i="21"/>
  <c r="K57" i="20"/>
  <c r="J44" i="5"/>
  <c r="P160" i="64"/>
  <c r="L52" i="5"/>
  <c r="R22" i="20"/>
  <c r="G18" i="5" s="1"/>
  <c r="H37"/>
  <c r="F14" i="21"/>
  <c r="H18" i="20"/>
  <c r="X7"/>
  <c r="I38" i="5"/>
  <c r="N13" i="21"/>
  <c r="L44" i="5"/>
  <c r="X9" i="20"/>
  <c r="D24" s="1"/>
  <c r="F22"/>
  <c r="F23"/>
  <c r="R23" s="1"/>
  <c r="G19" i="5" s="1"/>
  <c r="I19" s="1"/>
  <c r="R24" i="20"/>
  <c r="G20" i="5" s="1"/>
  <c r="I20" s="1"/>
  <c r="P35" i="20"/>
  <c r="F47" i="21"/>
  <c r="B22" i="63"/>
  <c r="B24"/>
  <c r="B25"/>
  <c r="J3" i="64"/>
  <c r="J36"/>
  <c r="L40"/>
  <c r="J69"/>
  <c r="J102"/>
  <c r="J135"/>
  <c r="A11" i="5"/>
  <c r="B36"/>
  <c r="B44" s="1"/>
  <c r="N49" i="21"/>
  <c r="B3" i="64"/>
  <c r="D7"/>
  <c r="B36"/>
  <c r="B69"/>
  <c r="B102"/>
  <c r="V61" l="1"/>
  <c r="L54" i="5"/>
  <c r="L56" s="1"/>
  <c r="Q31"/>
  <c r="S44" i="63"/>
  <c r="V160" i="64" s="1"/>
  <c r="D65" i="63"/>
  <c r="M29" i="5"/>
  <c r="M31" s="1"/>
  <c r="D62" i="63"/>
  <c r="S41"/>
  <c r="D59"/>
  <c r="D67" s="1"/>
  <c r="S38"/>
  <c r="J29" i="5"/>
  <c r="K31" s="1"/>
  <c r="H93" i="64"/>
  <c r="H94" s="1"/>
  <c r="T94" s="1"/>
  <c r="H61" i="79"/>
  <c r="T61" s="1"/>
  <c r="J67" i="63"/>
  <c r="H126" i="64"/>
  <c r="H127" s="1"/>
  <c r="T127" s="1"/>
  <c r="P94" i="21"/>
  <c r="H17" i="79"/>
  <c r="H28" s="1"/>
  <c r="T28" s="1"/>
  <c r="V28"/>
  <c r="V61"/>
  <c r="P17" i="21"/>
  <c r="I60" i="20"/>
  <c r="N60" s="1"/>
  <c r="P26"/>
  <c r="S39" s="1"/>
  <c r="T94" i="21" s="1"/>
  <c r="I59" i="20"/>
  <c r="N59" s="1"/>
  <c r="P25"/>
  <c r="S38" s="1"/>
  <c r="P28"/>
  <c r="S41" s="1"/>
  <c r="T127" i="21" s="1"/>
  <c r="I62" i="20"/>
  <c r="N62" s="1"/>
  <c r="D40" i="64"/>
  <c r="M37" i="63"/>
  <c r="B58"/>
  <c r="D37"/>
  <c r="N37" i="5"/>
  <c r="F25" i="21"/>
  <c r="H27" s="1"/>
  <c r="F33" i="20"/>
  <c r="I61"/>
  <c r="N61" s="1"/>
  <c r="P27"/>
  <c r="S40" s="1"/>
  <c r="V94" i="21" s="1"/>
  <c r="I57" i="20"/>
  <c r="N57" s="1"/>
  <c r="P23"/>
  <c r="S36" s="1"/>
  <c r="H41" i="5"/>
  <c r="H44" s="1"/>
  <c r="P50" i="21"/>
  <c r="P61" s="1"/>
  <c r="K41" i="5"/>
  <c r="H50" i="21"/>
  <c r="H61" s="1"/>
  <c r="I41" i="5"/>
  <c r="I44" s="1"/>
  <c r="B59" i="63"/>
  <c r="M38"/>
  <c r="A37"/>
  <c r="B56"/>
  <c r="M35"/>
  <c r="K56" i="20"/>
  <c r="P37" i="5"/>
  <c r="P41" s="1"/>
  <c r="P44" s="1"/>
  <c r="F17" i="21"/>
  <c r="H17" s="1"/>
  <c r="H28" s="1"/>
  <c r="N25"/>
  <c r="P27" s="1"/>
  <c r="P28" s="1"/>
  <c r="N38" i="5"/>
  <c r="P24" i="20"/>
  <c r="S37" s="1"/>
  <c r="I58"/>
  <c r="N58" s="1"/>
  <c r="D22"/>
  <c r="X18"/>
  <c r="G29" i="5"/>
  <c r="I18"/>
  <c r="I29" s="1"/>
  <c r="M48" s="1"/>
  <c r="V28" i="21" l="1"/>
  <c r="K44" i="5"/>
  <c r="L50"/>
  <c r="I56" i="20"/>
  <c r="D33"/>
  <c r="P22"/>
  <c r="T61" i="21"/>
  <c r="V61"/>
  <c r="L51" i="5"/>
  <c r="N41"/>
  <c r="N44" s="1"/>
  <c r="Q44" s="1"/>
  <c r="M51" l="1"/>
  <c r="N51" s="1"/>
  <c r="M50"/>
  <c r="N50" s="1"/>
  <c r="L49"/>
  <c r="S35" i="20"/>
  <c r="T28" i="21" s="1"/>
  <c r="P33" i="20"/>
  <c r="P46" s="1"/>
  <c r="N56"/>
  <c r="N67" s="1"/>
  <c r="I67"/>
  <c r="M49" i="5" l="1"/>
  <c r="M52" s="1"/>
  <c r="N52" s="1"/>
  <c r="L48"/>
  <c r="N48" s="1"/>
  <c r="N49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home Pc</author>
    <author>admin</author>
  </authors>
  <commentList>
    <comment ref="G26" authorId="0">
      <text>
        <r>
          <rPr>
            <b/>
            <sz val="9"/>
            <color indexed="81"/>
            <rFont val="Tahoma"/>
            <family val="2"/>
          </rPr>
          <t>home Pc:</t>
        </r>
        <r>
          <rPr>
            <sz val="9"/>
            <color indexed="81"/>
            <rFont val="Tahoma"/>
            <family val="2"/>
          </rPr>
          <t xml:space="preserve">
51 mins</t>
        </r>
      </text>
    </comment>
    <comment ref="E5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3rd  payment foodpanda charged</t>
        </r>
      </text>
    </comment>
  </commentList>
</comments>
</file>

<file path=xl/sharedStrings.xml><?xml version="1.0" encoding="utf-8"?>
<sst xmlns="http://schemas.openxmlformats.org/spreadsheetml/2006/main" count="2092" uniqueCount="296">
  <si>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</si>
  <si>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</si>
  <si>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</si>
  <si>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</si>
  <si>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</si>
  <si>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</si>
  <si>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</si>
  <si>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</si>
  <si>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</si>
  <si>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</si>
  <si>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</si>
  <si>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</si>
  <si>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</si>
  <si>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</si>
  <si>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</si>
  <si>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</si>
  <si>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</si>
  <si>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</si>
  <si>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</si>
  <si>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</si>
  <si>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</si>
  <si>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</si>
  <si>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</si>
  <si>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</si>
  <si>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</si>
  <si>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</si>
  <si>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</si>
  <si>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</si>
  <si>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</si>
  <si>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</si>
  <si>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</si>
  <si>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</si>
  <si>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</si>
  <si>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</si>
  <si>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</si>
  <si>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</si>
  <si>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</si>
  <si>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</si>
  <si>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</si>
  <si>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</si>
  <si>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</si>
  <si>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</si>
  <si>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</si>
  <si>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</si>
  <si>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</si>
  <si>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</si>
  <si>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</si>
  <si>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</si>
  <si>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</si>
  <si>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</si>
  <si>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</si>
  <si>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</si>
  <si>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</si>
  <si>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</si>
  <si>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</si>
  <si>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</si>
  <si>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</si>
  <si>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</si>
  <si>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</si>
  <si>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</si>
  <si>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</si>
  <si>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</si>
  <si>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</si>
  <si>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</si>
  <si>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</si>
  <si>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</si>
  <si>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</si>
  <si>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</si>
  <si>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</si>
  <si>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</si>
  <si>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</si>
  <si>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</si>
  <si>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</si>
  <si>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</si>
  <si>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</si>
  <si>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</si>
  <si>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</si>
  <si>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</si>
  <si>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</si>
  <si>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</si>
  <si>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</si>
  <si>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</si>
  <si>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</si>
  <si>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</si>
  <si>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</si>
  <si>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</si>
  <si>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</si>
  <si>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</si>
  <si>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</si>
  <si>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</si>
  <si>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</si>
  <si>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</si>
  <si>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</si>
  <si>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</si>
  <si>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</si>
  <si>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</si>
  <si>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</si>
  <si>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</si>
  <si>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</si>
  <si>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</si>
  <si>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</si>
  <si>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</si>
  <si>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</si>
  <si>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</si>
  <si>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</si>
  <si>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</si>
  <si>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</si>
  <si>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</si>
  <si>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</si>
  <si>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</si>
  <si>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</si>
  <si>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</si>
  <si>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</si>
  <si>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</si>
  <si>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</si>
  <si>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</si>
  <si>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</si>
  <si>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</si>
  <si>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</si>
  <si>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</si>
  <si>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</si>
  <si>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</si>
  <si>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</si>
  <si>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</si>
  <si>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</si>
  <si>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</si>
  <si>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</si>
  <si>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</si>
  <si>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</si>
  <si>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</si>
  <si>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</si>
  <si>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</si>
  <si>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</si>
  <si>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</si>
  <si>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</si>
  <si>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</si>
  <si>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</si>
  <si>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</si>
  <si>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</si>
  <si>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</si>
  <si>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</si>
  <si>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</si>
  <si>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</si>
  <si>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</si>
  <si>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</si>
  <si>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</si>
  <si>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</si>
  <si>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</si>
  <si>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</si>
  <si>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</si>
  <si>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</si>
  <si>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</si>
  <si>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</si>
  <si>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</si>
  <si>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</si>
  <si>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</si>
  <si>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</si>
  <si>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</si>
  <si>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</si>
  <si>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</si>
  <si>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</si>
  <si>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</si>
  <si>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</si>
  <si>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</si>
  <si>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</si>
  <si>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</si>
  <si>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</si>
  <si>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</si>
  <si>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</si>
  <si>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</si>
  <si>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</si>
  <si>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</si>
  <si>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</si>
  <si>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</si>
  <si>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</si>
  <si>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</si>
  <si>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</si>
  <si>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</si>
  <si>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</si>
  <si>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</si>
  <si>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</si>
  <si>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</si>
  <si>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</si>
  <si>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</si>
  <si>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</si>
  <si>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</si>
  <si>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</si>
  <si>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</si>
  <si>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</si>
  <si>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</si>
  <si>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</si>
  <si>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</si>
  <si>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</si>
  <si>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</si>
  <si>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</si>
  <si>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</si>
  <si>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</si>
  <si>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</si>
  <si>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</si>
  <si>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</si>
  <si>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</si>
  <si>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</si>
  <si>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</si>
  <si>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</si>
  <si>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</si>
  <si>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</si>
  <si>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</si>
  <si>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</si>
  <si>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</si>
  <si>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</si>
  <si>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</si>
  <si>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</si>
  <si>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</si>
  <si>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</si>
  <si>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</si>
  <si>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</si>
  <si>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</si>
  <si>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</si>
  <si>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</si>
  <si>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</si>
  <si>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</si>
  <si>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</si>
  <si>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</si>
  <si>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</si>
  <si>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</si>
  <si>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</si>
  <si>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</si>
  <si>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</si>
  <si>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</si>
  <si>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</si>
  <si>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</si>
  <si>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</si>
  <si>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</si>
  <si>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</si>
  <si>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</si>
  <si>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</si>
  <si>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</si>
  <si>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</si>
  <si>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</si>
  <si>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</si>
  <si>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</si>
  <si>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</si>
  <si>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</si>
  <si>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</si>
  <si>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</si>
  <si>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</si>
  <si>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</si>
  <si>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</si>
  <si>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</si>
  <si>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</si>
  <si>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</si>
  <si>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</si>
  <si>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</si>
  <si>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</si>
  <si>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</si>
  <si>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</si>
  <si>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</si>
  <si>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</si>
  <si>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</si>
  <si>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</si>
  <si>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</si>
  <si>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</si>
  <si>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</si>
  <si>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</si>
  <si>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</si>
  <si>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</si>
  <si>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</si>
  <si>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</si>
  <si>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</si>
  <si>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</si>
  <si>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</si>
  <si>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</si>
  <si>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</si>
  <si>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</si>
  <si>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</si>
  <si>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</si>
  <si>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</si>
  <si>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</si>
  <si>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</si>
  <si>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</si>
  <si>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</si>
  <si>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</si>
  <si>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</si>
  <si>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</si>
  <si>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</si>
  <si>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</si>
  <si>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</si>
  <si>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</si>
  <si>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</si>
  <si>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</si>
  <si>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</si>
  <si>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</si>
  <si>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Sept.11-25,2018</t>
  </si>
  <si>
    <t>Oct.11-25,2018</t>
  </si>
  <si>
    <t>Withholding Tax/ Others (FP)</t>
  </si>
  <si>
    <t>November 11-25,2018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</si>
</sst>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4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  <xf numFmtId="43" fontId="2" fillId="0" borderId="73" xfId="1" applyFont="1" applyFill="1" applyBorder="1" applyAlignment="1" applyProtection="1"/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34</xdr:row>
      <xdr:rowOff>160020</xdr:rowOff>
    </xdr:from>
    <xdr:to>
      <xdr:col>8</xdr:col>
      <xdr:colOff>335280</xdr:colOff>
      <xdr:row>38</xdr:row>
      <xdr:rowOff>91440</xdr:rowOff>
    </xdr:to>
    <xdr:pic>
      <xdr:nvPicPr>
        <xdr:cNvPr id="2478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36820" y="5692140"/>
          <a:ext cx="1005840" cy="601980"/>
        </a:xfrm>
        <a:prstGeom prst="rect">
          <a:avLst/>
        </a:prstGeom>
        <a:noFill/>
      </xdr:spPr>
    </xdr:pic>
    <xdr:clientData/>
  </xdr:twoCellAnchor>
  <xdr:oneCellAnchor>
    <xdr:from>
      <xdr:col>7</xdr:col>
      <xdr:colOff>99060</xdr:colOff>
      <xdr:row>36</xdr:row>
      <xdr:rowOff>0</xdr:rowOff>
    </xdr:from>
    <xdr:ext cx="832792" cy="405367"/>
    <xdr:sp macro="" textlink="">
      <xdr:nvSpPr>
        <xdr:cNvPr id="3" name="TextBox 2"/>
        <xdr:cNvSpPr txBox="1"/>
      </xdr:nvSpPr>
      <xdr:spPr>
        <a:xfrm>
          <a:off x="5097780" y="5867400"/>
          <a:ext cx="832792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000"/>
            <a:t>Alvin C. Cruz</a:t>
          </a:r>
        </a:p>
        <a:p>
          <a:r>
            <a:rPr lang="en-US" sz="1000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>
        <row r="1">
          <cell r="A1" t="str">
            <v>THE OLD SPAGHETTI HOUSE</v>
          </cell>
        </row>
      </sheetData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E7">
            <v>502</v>
          </cell>
          <cell r="H7">
            <v>130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E8">
            <v>502</v>
          </cell>
          <cell r="G8">
            <v>6526</v>
          </cell>
          <cell r="H8">
            <v>130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H9">
            <v>130</v>
          </cell>
          <cell r="P9">
            <v>0</v>
          </cell>
          <cell r="R9">
            <v>0</v>
          </cell>
          <cell r="T9">
            <v>0</v>
          </cell>
        </row>
        <row r="10">
          <cell r="B10" t="str">
            <v xml:space="preserve">Sosa, Anna Marie </v>
          </cell>
          <cell r="E10">
            <v>502</v>
          </cell>
          <cell r="G10">
            <v>6526</v>
          </cell>
          <cell r="H10">
            <v>130</v>
          </cell>
          <cell r="P10">
            <v>0</v>
          </cell>
          <cell r="R10">
            <v>0</v>
          </cell>
          <cell r="T10">
            <v>0</v>
          </cell>
        </row>
        <row r="11">
          <cell r="B11" t="str">
            <v>Briones, Christain Joy</v>
          </cell>
          <cell r="E11">
            <v>502</v>
          </cell>
          <cell r="R11">
            <v>0</v>
          </cell>
          <cell r="T11">
            <v>0</v>
          </cell>
        </row>
        <row r="12">
          <cell r="B12" t="str">
            <v>Cahilig,Benzen</v>
          </cell>
          <cell r="E12">
            <v>502</v>
          </cell>
          <cell r="R12">
            <v>0</v>
          </cell>
          <cell r="T12">
            <v>0</v>
          </cell>
        </row>
        <row r="13">
          <cell r="B13" t="str">
            <v>Pantoja,Nancy</v>
          </cell>
          <cell r="E13">
            <v>502</v>
          </cell>
          <cell r="T13">
            <v>0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J22">
            <v>490.5</v>
          </cell>
          <cell r="K22">
            <v>699.77</v>
          </cell>
          <cell r="M22">
            <v>0</v>
          </cell>
          <cell r="O22">
            <v>0</v>
          </cell>
        </row>
        <row r="23">
          <cell r="F23">
            <v>0</v>
          </cell>
          <cell r="H23">
            <v>0</v>
          </cell>
          <cell r="J23">
            <v>490.5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Dino, Joyce</v>
          </cell>
          <cell r="J24">
            <v>581.29999999999995</v>
          </cell>
          <cell r="M24">
            <v>0</v>
          </cell>
          <cell r="N24">
            <v>0</v>
          </cell>
          <cell r="O24">
            <v>0</v>
          </cell>
        </row>
        <row r="25">
          <cell r="K25">
            <v>600</v>
          </cell>
          <cell r="M25">
            <v>0</v>
          </cell>
          <cell r="N25">
            <v>567</v>
          </cell>
        </row>
        <row r="26">
          <cell r="K26">
            <v>969.04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507.6</v>
          </cell>
          <cell r="M27">
            <v>0</v>
          </cell>
          <cell r="N27">
            <v>432.98</v>
          </cell>
          <cell r="O27">
            <v>0</v>
          </cell>
        </row>
        <row r="28">
          <cell r="K28">
            <v>507.6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6">
          <cell r="E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1601.39</v>
          </cell>
          <cell r="I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1537.34</v>
          </cell>
          <cell r="I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77" t="s">
        <v>152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7" customFormat="1" ht="24.6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7" customFormat="1" ht="24.6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4" t="s">
        <v>91</v>
      </c>
      <c r="I5" s="375"/>
      <c r="J5" s="375"/>
      <c r="K5" s="376"/>
      <c r="L5" s="367" t="s">
        <v>90</v>
      </c>
      <c r="M5" s="363" t="s">
        <v>157</v>
      </c>
      <c r="N5" s="363" t="s">
        <v>158</v>
      </c>
      <c r="O5" s="369" t="s">
        <v>159</v>
      </c>
      <c r="P5" s="370"/>
      <c r="Q5" s="371"/>
      <c r="R5" s="363" t="s">
        <v>160</v>
      </c>
      <c r="S5" s="369" t="s">
        <v>19</v>
      </c>
      <c r="T5" s="370"/>
      <c r="U5" s="371"/>
      <c r="V5" s="363" t="s">
        <v>124</v>
      </c>
      <c r="W5" s="363" t="s">
        <v>125</v>
      </c>
      <c r="X5" s="365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8"/>
      <c r="M6" s="364"/>
      <c r="N6" s="364"/>
      <c r="O6" s="285" t="s">
        <v>167</v>
      </c>
      <c r="P6" s="285" t="s">
        <v>168</v>
      </c>
      <c r="Q6" s="316" t="s">
        <v>125</v>
      </c>
      <c r="R6" s="364"/>
      <c r="S6" s="285" t="s">
        <v>167</v>
      </c>
      <c r="T6" s="285" t="s">
        <v>168</v>
      </c>
      <c r="U6" s="316" t="s">
        <v>125</v>
      </c>
      <c r="V6" s="364"/>
      <c r="W6" s="364"/>
      <c r="X6" s="366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58" t="s">
        <v>174</v>
      </c>
      <c r="G11" s="35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1" t="s">
        <v>221</v>
      </c>
      <c r="G12" s="361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1" t="s">
        <v>224</v>
      </c>
      <c r="G14" s="361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58" t="s">
        <v>224</v>
      </c>
      <c r="G15" s="35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58" t="s">
        <v>173</v>
      </c>
      <c r="G19" s="35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1" t="s">
        <v>235</v>
      </c>
      <c r="G22" s="361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58" t="s">
        <v>235</v>
      </c>
      <c r="G23" s="35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1" t="s">
        <v>235</v>
      </c>
      <c r="G24" s="361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4" t="s">
        <v>91</v>
      </c>
      <c r="I27" s="375"/>
      <c r="J27" s="375"/>
      <c r="K27" s="376"/>
      <c r="L27" s="367" t="s">
        <v>90</v>
      </c>
      <c r="M27" s="363" t="s">
        <v>157</v>
      </c>
      <c r="N27" s="363" t="s">
        <v>158</v>
      </c>
      <c r="O27" s="369" t="s">
        <v>159</v>
      </c>
      <c r="P27" s="370"/>
      <c r="Q27" s="371"/>
      <c r="R27" s="363" t="s">
        <v>160</v>
      </c>
      <c r="S27" s="369" t="s">
        <v>19</v>
      </c>
      <c r="T27" s="370"/>
      <c r="U27" s="371"/>
      <c r="V27" s="363" t="s">
        <v>124</v>
      </c>
      <c r="W27" s="363" t="s">
        <v>125</v>
      </c>
      <c r="X27" s="365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68"/>
      <c r="M28" s="364"/>
      <c r="N28" s="364"/>
      <c r="O28" s="285" t="s">
        <v>167</v>
      </c>
      <c r="P28" s="285" t="s">
        <v>168</v>
      </c>
      <c r="Q28" s="316" t="s">
        <v>125</v>
      </c>
      <c r="R28" s="364"/>
      <c r="S28" s="285" t="s">
        <v>167</v>
      </c>
      <c r="T28" s="285" t="s">
        <v>168</v>
      </c>
      <c r="U28" s="316" t="s">
        <v>125</v>
      </c>
      <c r="V28" s="364"/>
      <c r="W28" s="364"/>
      <c r="X28" s="366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58" t="s">
        <v>173</v>
      </c>
      <c r="G33" s="35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1" t="s">
        <v>173</v>
      </c>
      <c r="G34" s="361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58" t="s">
        <v>224</v>
      </c>
      <c r="G37" s="35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1" t="s">
        <v>224</v>
      </c>
      <c r="G38" s="361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58" t="s">
        <v>173</v>
      </c>
      <c r="G43" s="35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1" t="s">
        <v>173</v>
      </c>
      <c r="G44" s="361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2" t="s">
        <v>238</v>
      </c>
      <c r="G47" s="36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1" t="s">
        <v>239</v>
      </c>
      <c r="G48" s="361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58" t="s">
        <v>239</v>
      </c>
      <c r="G49" s="35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1" t="s">
        <v>239</v>
      </c>
      <c r="G50" s="361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4" t="s">
        <v>91</v>
      </c>
      <c r="I53" s="375"/>
      <c r="J53" s="375"/>
      <c r="K53" s="376"/>
      <c r="L53" s="367" t="s">
        <v>90</v>
      </c>
      <c r="M53" s="363" t="s">
        <v>157</v>
      </c>
      <c r="N53" s="363" t="s">
        <v>158</v>
      </c>
      <c r="O53" s="369" t="s">
        <v>159</v>
      </c>
      <c r="P53" s="370"/>
      <c r="Q53" s="371"/>
      <c r="R53" s="363" t="s">
        <v>160</v>
      </c>
      <c r="S53" s="369" t="s">
        <v>19</v>
      </c>
      <c r="T53" s="370"/>
      <c r="U53" s="371"/>
      <c r="V53" s="363" t="s">
        <v>124</v>
      </c>
      <c r="W53" s="363" t="s">
        <v>125</v>
      </c>
      <c r="X53" s="365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68"/>
      <c r="M54" s="364"/>
      <c r="N54" s="364"/>
      <c r="O54" s="285" t="s">
        <v>167</v>
      </c>
      <c r="P54" s="285" t="s">
        <v>168</v>
      </c>
      <c r="Q54" s="316" t="s">
        <v>125</v>
      </c>
      <c r="R54" s="364"/>
      <c r="S54" s="285" t="s">
        <v>167</v>
      </c>
      <c r="T54" s="285" t="s">
        <v>168</v>
      </c>
      <c r="U54" s="316" t="s">
        <v>125</v>
      </c>
      <c r="V54" s="364"/>
      <c r="W54" s="364"/>
      <c r="X54" s="366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3" t="s">
        <v>177</v>
      </c>
      <c r="G56" s="361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58" t="s">
        <v>173</v>
      </c>
      <c r="G57" s="35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1" t="s">
        <v>224</v>
      </c>
      <c r="G60" s="361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58" t="s">
        <v>224</v>
      </c>
      <c r="G61" s="35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1" t="s">
        <v>174</v>
      </c>
      <c r="G64" s="361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58" t="s">
        <v>173</v>
      </c>
      <c r="G65" s="35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58" t="s">
        <v>165</v>
      </c>
      <c r="G67" s="35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1" t="s">
        <v>244</v>
      </c>
      <c r="G68" s="361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58" t="s">
        <v>244</v>
      </c>
      <c r="G69" s="35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1" t="s">
        <v>244</v>
      </c>
      <c r="G70" s="361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4" t="s">
        <v>91</v>
      </c>
      <c r="I73" s="375"/>
      <c r="J73" s="375"/>
      <c r="K73" s="376"/>
      <c r="L73" s="367" t="s">
        <v>90</v>
      </c>
      <c r="M73" s="363" t="s">
        <v>157</v>
      </c>
      <c r="N73" s="363" t="s">
        <v>158</v>
      </c>
      <c r="O73" s="369" t="s">
        <v>159</v>
      </c>
      <c r="P73" s="370"/>
      <c r="Q73" s="371"/>
      <c r="R73" s="363" t="s">
        <v>160</v>
      </c>
      <c r="S73" s="369" t="s">
        <v>19</v>
      </c>
      <c r="T73" s="370"/>
      <c r="U73" s="371"/>
      <c r="V73" s="363" t="s">
        <v>124</v>
      </c>
      <c r="W73" s="363" t="s">
        <v>125</v>
      </c>
      <c r="X73" s="365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68"/>
      <c r="M74" s="364"/>
      <c r="N74" s="364"/>
      <c r="O74" s="285" t="s">
        <v>167</v>
      </c>
      <c r="P74" s="285" t="s">
        <v>168</v>
      </c>
      <c r="Q74" s="316" t="s">
        <v>125</v>
      </c>
      <c r="R74" s="364"/>
      <c r="S74" s="285" t="s">
        <v>167</v>
      </c>
      <c r="T74" s="285" t="s">
        <v>168</v>
      </c>
      <c r="U74" s="316" t="s">
        <v>125</v>
      </c>
      <c r="V74" s="364"/>
      <c r="W74" s="364"/>
      <c r="X74" s="366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58" t="s">
        <v>173</v>
      </c>
      <c r="G79" s="35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1" t="s">
        <v>173</v>
      </c>
      <c r="G80" s="361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58" t="s">
        <v>224</v>
      </c>
      <c r="G83" s="35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1" t="s">
        <v>224</v>
      </c>
      <c r="G84" s="361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58"/>
      <c r="G91" s="35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58" t="s">
        <v>239</v>
      </c>
      <c r="G95" s="35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58" t="s">
        <v>239</v>
      </c>
      <c r="G96" s="35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58" t="s">
        <v>239</v>
      </c>
      <c r="G97" s="35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4" t="s">
        <v>91</v>
      </c>
      <c r="I100" s="375"/>
      <c r="J100" s="375"/>
      <c r="K100" s="376"/>
      <c r="L100" s="367" t="s">
        <v>90</v>
      </c>
      <c r="M100" s="363" t="s">
        <v>157</v>
      </c>
      <c r="N100" s="363" t="s">
        <v>158</v>
      </c>
      <c r="O100" s="369" t="s">
        <v>159</v>
      </c>
      <c r="P100" s="370"/>
      <c r="Q100" s="371"/>
      <c r="R100" s="363" t="s">
        <v>160</v>
      </c>
      <c r="S100" s="369" t="s">
        <v>19</v>
      </c>
      <c r="T100" s="370"/>
      <c r="U100" s="371"/>
      <c r="V100" s="363" t="s">
        <v>124</v>
      </c>
      <c r="W100" s="363" t="s">
        <v>125</v>
      </c>
      <c r="X100" s="365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68"/>
      <c r="M101" s="364"/>
      <c r="N101" s="364"/>
      <c r="O101" s="285" t="s">
        <v>167</v>
      </c>
      <c r="P101" s="285" t="s">
        <v>168</v>
      </c>
      <c r="Q101" s="316" t="s">
        <v>125</v>
      </c>
      <c r="R101" s="364"/>
      <c r="S101" s="285" t="s">
        <v>167</v>
      </c>
      <c r="T101" s="285" t="s">
        <v>168</v>
      </c>
      <c r="U101" s="316" t="s">
        <v>125</v>
      </c>
      <c r="V101" s="364"/>
      <c r="W101" s="364"/>
      <c r="X101" s="366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1" t="s">
        <v>173</v>
      </c>
      <c r="G105" s="361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58" t="s">
        <v>173</v>
      </c>
      <c r="G106" s="35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58" t="s">
        <v>224</v>
      </c>
      <c r="G108" s="35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1" t="s">
        <v>224</v>
      </c>
      <c r="G109" s="361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58" t="s">
        <v>173</v>
      </c>
      <c r="G112" s="35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1" t="s">
        <v>173</v>
      </c>
      <c r="G113" s="361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0" t="s">
        <v>235</v>
      </c>
      <c r="G115" s="360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58" t="s">
        <v>248</v>
      </c>
      <c r="G116" s="35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0" t="s">
        <v>235</v>
      </c>
      <c r="G117" s="360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58" t="s">
        <v>248</v>
      </c>
      <c r="G118" s="35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4" t="s">
        <v>91</v>
      </c>
      <c r="I121" s="375"/>
      <c r="J121" s="375"/>
      <c r="K121" s="376"/>
      <c r="L121" s="367" t="s">
        <v>90</v>
      </c>
      <c r="M121" s="363" t="s">
        <v>157</v>
      </c>
      <c r="N121" s="363" t="s">
        <v>158</v>
      </c>
      <c r="O121" s="369" t="s">
        <v>159</v>
      </c>
      <c r="P121" s="370"/>
      <c r="Q121" s="371"/>
      <c r="R121" s="363" t="s">
        <v>160</v>
      </c>
      <c r="S121" s="369" t="s">
        <v>19</v>
      </c>
      <c r="T121" s="370"/>
      <c r="U121" s="371"/>
      <c r="V121" s="363" t="s">
        <v>124</v>
      </c>
      <c r="W121" s="363" t="s">
        <v>125</v>
      </c>
      <c r="X121" s="365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68"/>
      <c r="M122" s="364"/>
      <c r="N122" s="364"/>
      <c r="O122" s="285" t="s">
        <v>167</v>
      </c>
      <c r="P122" s="285" t="s">
        <v>168</v>
      </c>
      <c r="Q122" s="316" t="s">
        <v>125</v>
      </c>
      <c r="R122" s="364"/>
      <c r="S122" s="285" t="s">
        <v>167</v>
      </c>
      <c r="T122" s="285" t="s">
        <v>168</v>
      </c>
      <c r="U122" s="316" t="s">
        <v>125</v>
      </c>
      <c r="V122" s="364"/>
      <c r="W122" s="364"/>
      <c r="X122" s="366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58" t="s">
        <v>173</v>
      </c>
      <c r="G129" s="35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58" t="s">
        <v>224</v>
      </c>
      <c r="G132" s="35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1" t="s">
        <v>224</v>
      </c>
      <c r="G133" s="361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1" t="s">
        <v>173</v>
      </c>
      <c r="G138" s="361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58" t="s">
        <v>173</v>
      </c>
      <c r="G139" s="35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1" t="s">
        <v>239</v>
      </c>
      <c r="G142" s="361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58" t="s">
        <v>249</v>
      </c>
      <c r="G143" s="35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1" t="s">
        <v>239</v>
      </c>
      <c r="G144" s="361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58" t="s">
        <v>249</v>
      </c>
      <c r="G145" s="35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4" t="s">
        <v>91</v>
      </c>
      <c r="I148" s="375"/>
      <c r="J148" s="375"/>
      <c r="K148" s="376"/>
      <c r="L148" s="367" t="s">
        <v>90</v>
      </c>
      <c r="M148" s="363" t="s">
        <v>157</v>
      </c>
      <c r="N148" s="363" t="s">
        <v>158</v>
      </c>
      <c r="O148" s="369" t="s">
        <v>159</v>
      </c>
      <c r="P148" s="370"/>
      <c r="Q148" s="371"/>
      <c r="R148" s="363" t="s">
        <v>160</v>
      </c>
      <c r="S148" s="369" t="s">
        <v>19</v>
      </c>
      <c r="T148" s="370"/>
      <c r="U148" s="371"/>
      <c r="V148" s="363" t="s">
        <v>124</v>
      </c>
      <c r="W148" s="363" t="s">
        <v>125</v>
      </c>
      <c r="X148" s="365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68"/>
      <c r="M149" s="364"/>
      <c r="N149" s="364"/>
      <c r="O149" s="285" t="s">
        <v>167</v>
      </c>
      <c r="P149" s="285" t="s">
        <v>168</v>
      </c>
      <c r="Q149" s="316" t="s">
        <v>125</v>
      </c>
      <c r="R149" s="364"/>
      <c r="S149" s="285" t="s">
        <v>167</v>
      </c>
      <c r="T149" s="285" t="s">
        <v>168</v>
      </c>
      <c r="U149" s="316" t="s">
        <v>125</v>
      </c>
      <c r="V149" s="364"/>
      <c r="W149" s="364"/>
      <c r="X149" s="366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1" t="s">
        <v>173</v>
      </c>
      <c r="G157" s="361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58" t="s">
        <v>224</v>
      </c>
      <c r="G160" s="35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1" t="s">
        <v>224</v>
      </c>
      <c r="G161" s="361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58" t="s">
        <v>22</v>
      </c>
      <c r="G164" s="35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1" t="s">
        <v>173</v>
      </c>
      <c r="G165" s="361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58" t="s">
        <v>173</v>
      </c>
      <c r="G166" s="35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0" t="s">
        <v>239</v>
      </c>
      <c r="G169" s="360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58" t="s">
        <v>239</v>
      </c>
      <c r="G170" s="35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0" t="s">
        <v>239</v>
      </c>
      <c r="G171" s="360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58" t="s">
        <v>239</v>
      </c>
      <c r="G172" s="35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4" t="s">
        <v>91</v>
      </c>
      <c r="I175" s="375"/>
      <c r="J175" s="375"/>
      <c r="K175" s="376"/>
      <c r="L175" s="367" t="s">
        <v>90</v>
      </c>
      <c r="M175" s="363" t="s">
        <v>157</v>
      </c>
      <c r="N175" s="363" t="s">
        <v>158</v>
      </c>
      <c r="O175" s="369" t="s">
        <v>159</v>
      </c>
      <c r="P175" s="370"/>
      <c r="Q175" s="371"/>
      <c r="R175" s="363" t="s">
        <v>160</v>
      </c>
      <c r="S175" s="369" t="s">
        <v>19</v>
      </c>
      <c r="T175" s="370"/>
      <c r="U175" s="371"/>
      <c r="V175" s="363" t="s">
        <v>124</v>
      </c>
      <c r="W175" s="363" t="s">
        <v>125</v>
      </c>
      <c r="X175" s="365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68"/>
      <c r="M176" s="364"/>
      <c r="N176" s="364"/>
      <c r="O176" s="285" t="s">
        <v>167</v>
      </c>
      <c r="P176" s="285" t="s">
        <v>168</v>
      </c>
      <c r="Q176" s="316" t="s">
        <v>125</v>
      </c>
      <c r="R176" s="364"/>
      <c r="S176" s="285" t="s">
        <v>167</v>
      </c>
      <c r="T176" s="285" t="s">
        <v>168</v>
      </c>
      <c r="U176" s="316" t="s">
        <v>125</v>
      </c>
      <c r="V176" s="364"/>
      <c r="W176" s="364"/>
      <c r="X176" s="366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1" t="s">
        <v>173</v>
      </c>
      <c r="G182" s="361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58" t="s">
        <v>224</v>
      </c>
      <c r="G185" s="35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1" t="s">
        <v>224</v>
      </c>
      <c r="G186" s="361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58" t="s">
        <v>173</v>
      </c>
      <c r="G193" s="35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2"/>
      <c r="G196" s="36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59" t="s">
        <v>251</v>
      </c>
      <c r="G197" s="360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3" t="s">
        <v>251</v>
      </c>
      <c r="G198" s="361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57" t="s">
        <v>251</v>
      </c>
      <c r="G199" s="35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3" t="s">
        <v>251</v>
      </c>
      <c r="G200" s="361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4" t="s">
        <v>91</v>
      </c>
      <c r="I203" s="375"/>
      <c r="J203" s="375"/>
      <c r="K203" s="376"/>
      <c r="L203" s="367" t="s">
        <v>90</v>
      </c>
      <c r="M203" s="363" t="s">
        <v>157</v>
      </c>
      <c r="N203" s="363" t="s">
        <v>158</v>
      </c>
      <c r="O203" s="369" t="s">
        <v>159</v>
      </c>
      <c r="P203" s="370"/>
      <c r="Q203" s="371"/>
      <c r="R203" s="363" t="s">
        <v>160</v>
      </c>
      <c r="S203" s="369" t="s">
        <v>19</v>
      </c>
      <c r="T203" s="370"/>
      <c r="U203" s="371"/>
      <c r="V203" s="363" t="s">
        <v>124</v>
      </c>
      <c r="W203" s="363" t="s">
        <v>125</v>
      </c>
      <c r="X203" s="365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68"/>
      <c r="M204" s="364"/>
      <c r="N204" s="364"/>
      <c r="O204" s="285" t="s">
        <v>167</v>
      </c>
      <c r="P204" s="285" t="s">
        <v>168</v>
      </c>
      <c r="Q204" s="316" t="s">
        <v>125</v>
      </c>
      <c r="R204" s="364"/>
      <c r="S204" s="285" t="s">
        <v>167</v>
      </c>
      <c r="T204" s="285" t="s">
        <v>168</v>
      </c>
      <c r="U204" s="316" t="s">
        <v>125</v>
      </c>
      <c r="V204" s="364"/>
      <c r="W204" s="364"/>
      <c r="X204" s="366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1" t="s">
        <v>173</v>
      </c>
      <c r="G210" s="361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58" t="s">
        <v>224</v>
      </c>
      <c r="G213" s="35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1" t="s">
        <v>224</v>
      </c>
      <c r="G214" s="361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58" t="s">
        <v>173</v>
      </c>
      <c r="G221" s="35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2"/>
      <c r="G224" s="36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59" t="s">
        <v>177</v>
      </c>
      <c r="G225" s="360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3" t="s">
        <v>177</v>
      </c>
      <c r="G226" s="361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57" t="s">
        <v>177</v>
      </c>
      <c r="G227" s="35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3" t="s">
        <v>177</v>
      </c>
      <c r="G228" s="361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4" t="s">
        <v>91</v>
      </c>
      <c r="I231" s="375"/>
      <c r="J231" s="375"/>
      <c r="K231" s="376"/>
      <c r="L231" s="367" t="s">
        <v>90</v>
      </c>
      <c r="M231" s="363" t="s">
        <v>157</v>
      </c>
      <c r="N231" s="363" t="s">
        <v>158</v>
      </c>
      <c r="O231" s="369" t="s">
        <v>159</v>
      </c>
      <c r="P231" s="370"/>
      <c r="Q231" s="371"/>
      <c r="R231" s="363" t="s">
        <v>160</v>
      </c>
      <c r="S231" s="369" t="s">
        <v>19</v>
      </c>
      <c r="T231" s="370"/>
      <c r="U231" s="371"/>
      <c r="V231" s="363" t="s">
        <v>124</v>
      </c>
      <c r="W231" s="363" t="s">
        <v>125</v>
      </c>
      <c r="X231" s="365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68"/>
      <c r="M232" s="364"/>
      <c r="N232" s="364"/>
      <c r="O232" s="285" t="s">
        <v>167</v>
      </c>
      <c r="P232" s="285" t="s">
        <v>168</v>
      </c>
      <c r="Q232" s="316" t="s">
        <v>125</v>
      </c>
      <c r="R232" s="364"/>
      <c r="S232" s="285" t="s">
        <v>167</v>
      </c>
      <c r="T232" s="285" t="s">
        <v>168</v>
      </c>
      <c r="U232" s="316" t="s">
        <v>125</v>
      </c>
      <c r="V232" s="364"/>
      <c r="W232" s="364"/>
      <c r="X232" s="366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58" t="s">
        <v>173</v>
      </c>
      <c r="G237" s="35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58" t="s">
        <v>224</v>
      </c>
      <c r="G239" s="35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1" t="s">
        <v>224</v>
      </c>
      <c r="G240" s="361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58" t="s">
        <v>165</v>
      </c>
      <c r="G241" s="35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58" t="s">
        <v>174</v>
      </c>
      <c r="G243" s="35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1" t="s">
        <v>173</v>
      </c>
      <c r="G244" s="361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2" t="s">
        <v>255</v>
      </c>
      <c r="G245" s="36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0" t="s">
        <v>255</v>
      </c>
      <c r="G246" s="360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2" t="s">
        <v>255</v>
      </c>
      <c r="G247" s="36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0" t="s">
        <v>255</v>
      </c>
      <c r="G248" s="360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2" t="s">
        <v>255</v>
      </c>
      <c r="G249" s="36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4" t="s">
        <v>91</v>
      </c>
      <c r="I252" s="375"/>
      <c r="J252" s="375"/>
      <c r="K252" s="376"/>
      <c r="L252" s="367" t="s">
        <v>90</v>
      </c>
      <c r="M252" s="363" t="s">
        <v>157</v>
      </c>
      <c r="N252" s="363" t="s">
        <v>158</v>
      </c>
      <c r="O252" s="369" t="s">
        <v>159</v>
      </c>
      <c r="P252" s="370"/>
      <c r="Q252" s="371"/>
      <c r="R252" s="363" t="s">
        <v>160</v>
      </c>
      <c r="S252" s="369" t="s">
        <v>19</v>
      </c>
      <c r="T252" s="370"/>
      <c r="U252" s="371"/>
      <c r="V252" s="363" t="s">
        <v>124</v>
      </c>
      <c r="W252" s="363" t="s">
        <v>125</v>
      </c>
      <c r="X252" s="365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68"/>
      <c r="M253" s="364"/>
      <c r="N253" s="364"/>
      <c r="O253" s="285" t="s">
        <v>167</v>
      </c>
      <c r="P253" s="285" t="s">
        <v>168</v>
      </c>
      <c r="Q253" s="316" t="s">
        <v>125</v>
      </c>
      <c r="R253" s="364"/>
      <c r="S253" s="285" t="s">
        <v>167</v>
      </c>
      <c r="T253" s="285" t="s">
        <v>168</v>
      </c>
      <c r="U253" s="316" t="s">
        <v>125</v>
      </c>
      <c r="V253" s="364"/>
      <c r="W253" s="364"/>
      <c r="X253" s="366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58" t="s">
        <v>173</v>
      </c>
      <c r="G258" s="35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1" t="s">
        <v>173</v>
      </c>
      <c r="G259" s="361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58" t="s">
        <v>224</v>
      </c>
      <c r="G262" s="35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1" t="s">
        <v>224</v>
      </c>
      <c r="G263" s="361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58" t="s">
        <v>173</v>
      </c>
      <c r="G268" s="35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1" t="s">
        <v>173</v>
      </c>
      <c r="G269" s="361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0"/>
      <c r="G272" s="360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2" t="s">
        <v>177</v>
      </c>
      <c r="G273" s="36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57" t="s">
        <v>177</v>
      </c>
      <c r="G274" s="35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3" t="s">
        <v>177</v>
      </c>
      <c r="G275" s="361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57" t="s">
        <v>177</v>
      </c>
      <c r="G276" s="35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4" t="s">
        <v>91</v>
      </c>
      <c r="I279" s="375"/>
      <c r="J279" s="375"/>
      <c r="K279" s="376"/>
      <c r="L279" s="367" t="s">
        <v>90</v>
      </c>
      <c r="M279" s="363" t="s">
        <v>157</v>
      </c>
      <c r="N279" s="363" t="s">
        <v>158</v>
      </c>
      <c r="O279" s="369" t="s">
        <v>159</v>
      </c>
      <c r="P279" s="370"/>
      <c r="Q279" s="371"/>
      <c r="R279" s="363" t="s">
        <v>160</v>
      </c>
      <c r="S279" s="369" t="s">
        <v>19</v>
      </c>
      <c r="T279" s="370"/>
      <c r="U279" s="371"/>
      <c r="V279" s="363" t="s">
        <v>124</v>
      </c>
      <c r="W279" s="363" t="s">
        <v>125</v>
      </c>
      <c r="X279" s="365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68"/>
      <c r="M280" s="364"/>
      <c r="N280" s="364"/>
      <c r="O280" s="285" t="s">
        <v>167</v>
      </c>
      <c r="P280" s="285" t="s">
        <v>168</v>
      </c>
      <c r="Q280" s="316" t="s">
        <v>125</v>
      </c>
      <c r="R280" s="364"/>
      <c r="S280" s="285" t="s">
        <v>167</v>
      </c>
      <c r="T280" s="285" t="s">
        <v>168</v>
      </c>
      <c r="U280" s="316" t="s">
        <v>125</v>
      </c>
      <c r="V280" s="364"/>
      <c r="W280" s="364"/>
      <c r="X280" s="366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1" t="s">
        <v>173</v>
      </c>
      <c r="G284" s="361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58" t="s">
        <v>173</v>
      </c>
      <c r="G285" s="35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2"/>
      <c r="G288" s="36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58" t="s">
        <v>224</v>
      </c>
      <c r="G289" s="35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1" t="s">
        <v>224</v>
      </c>
      <c r="G290" s="361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58" t="s">
        <v>173</v>
      </c>
      <c r="G297" s="35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2"/>
      <c r="G298" s="36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59" t="s">
        <v>257</v>
      </c>
      <c r="G299" s="360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59" t="s">
        <v>257</v>
      </c>
      <c r="G300" s="360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57" t="s">
        <v>257</v>
      </c>
      <c r="G301" s="35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59" t="s">
        <v>257</v>
      </c>
      <c r="G302" s="360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57" t="s">
        <v>257</v>
      </c>
      <c r="G303" s="35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77" t="s">
        <v>258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7" customFormat="1" ht="24.6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7" customFormat="1" ht="24.6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4" t="s">
        <v>91</v>
      </c>
      <c r="I5" s="375"/>
      <c r="J5" s="375"/>
      <c r="K5" s="376"/>
      <c r="L5" s="367" t="s">
        <v>90</v>
      </c>
      <c r="M5" s="363" t="s">
        <v>157</v>
      </c>
      <c r="N5" s="363" t="s">
        <v>158</v>
      </c>
      <c r="O5" s="369" t="s">
        <v>159</v>
      </c>
      <c r="P5" s="370"/>
      <c r="Q5" s="371"/>
      <c r="R5" s="363" t="s">
        <v>160</v>
      </c>
      <c r="S5" s="369" t="s">
        <v>19</v>
      </c>
      <c r="T5" s="370"/>
      <c r="U5" s="371"/>
      <c r="V5" s="363" t="s">
        <v>124</v>
      </c>
      <c r="W5" s="363" t="s">
        <v>125</v>
      </c>
      <c r="X5" s="365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8"/>
      <c r="M6" s="364"/>
      <c r="N6" s="364"/>
      <c r="O6" s="285" t="s">
        <v>167</v>
      </c>
      <c r="P6" s="285" t="s">
        <v>168</v>
      </c>
      <c r="Q6" s="316" t="s">
        <v>125</v>
      </c>
      <c r="R6" s="364"/>
      <c r="S6" s="285" t="s">
        <v>167</v>
      </c>
      <c r="T6" s="285" t="s">
        <v>168</v>
      </c>
      <c r="U6" s="316" t="s">
        <v>125</v>
      </c>
      <c r="V6" s="364"/>
      <c r="W6" s="364"/>
      <c r="X6" s="366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1"/>
      <c r="G14" s="361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1" t="s">
        <v>224</v>
      </c>
      <c r="G16" s="361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58" t="s">
        <v>224</v>
      </c>
      <c r="G17" s="35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1" t="s">
        <v>173</v>
      </c>
      <c r="G22" s="361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58" t="s">
        <v>235</v>
      </c>
      <c r="G25" s="35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1" t="s">
        <v>235</v>
      </c>
      <c r="G26" s="361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58" t="s">
        <v>235</v>
      </c>
      <c r="G27" s="35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4" t="s">
        <v>91</v>
      </c>
      <c r="I30" s="375"/>
      <c r="J30" s="375"/>
      <c r="K30" s="376"/>
      <c r="L30" s="367" t="s">
        <v>90</v>
      </c>
      <c r="M30" s="363" t="s">
        <v>157</v>
      </c>
      <c r="N30" s="363" t="s">
        <v>158</v>
      </c>
      <c r="O30" s="369" t="s">
        <v>159</v>
      </c>
      <c r="P30" s="370"/>
      <c r="Q30" s="371"/>
      <c r="R30" s="363" t="s">
        <v>160</v>
      </c>
      <c r="S30" s="369" t="s">
        <v>19</v>
      </c>
      <c r="T30" s="370"/>
      <c r="U30" s="371"/>
      <c r="V30" s="363" t="s">
        <v>124</v>
      </c>
      <c r="W30" s="363" t="s">
        <v>125</v>
      </c>
      <c r="X30" s="365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68"/>
      <c r="M31" s="364"/>
      <c r="N31" s="364"/>
      <c r="O31" s="285" t="s">
        <v>167</v>
      </c>
      <c r="P31" s="285" t="s">
        <v>168</v>
      </c>
      <c r="Q31" s="316" t="s">
        <v>125</v>
      </c>
      <c r="R31" s="364"/>
      <c r="S31" s="285" t="s">
        <v>167</v>
      </c>
      <c r="T31" s="285" t="s">
        <v>168</v>
      </c>
      <c r="U31" s="316" t="s">
        <v>125</v>
      </c>
      <c r="V31" s="364"/>
      <c r="W31" s="364"/>
      <c r="X31" s="366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58" t="s">
        <v>263</v>
      </c>
      <c r="G32" s="35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3" t="s">
        <v>207</v>
      </c>
      <c r="G33" s="37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58" t="s">
        <v>173</v>
      </c>
      <c r="G34" s="35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1" t="s">
        <v>173</v>
      </c>
      <c r="G35" s="361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57" t="s">
        <v>201</v>
      </c>
      <c r="G36" s="35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1" t="s">
        <v>224</v>
      </c>
      <c r="G37" s="361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1" t="s">
        <v>224</v>
      </c>
      <c r="G38" s="361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3" t="s">
        <v>201</v>
      </c>
      <c r="G39" s="361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57" t="s">
        <v>201</v>
      </c>
      <c r="G40" s="35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1" t="s">
        <v>173</v>
      </c>
      <c r="G41" s="361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58" t="s">
        <v>173</v>
      </c>
      <c r="G42" s="35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3" t="s">
        <v>201</v>
      </c>
      <c r="G43" s="361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57" t="s">
        <v>201</v>
      </c>
      <c r="G44" s="35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3" t="s">
        <v>201</v>
      </c>
      <c r="G45" s="361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57" t="s">
        <v>201</v>
      </c>
      <c r="G46" s="35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3" t="s">
        <v>201</v>
      </c>
      <c r="G47" s="361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4" t="s">
        <v>91</v>
      </c>
      <c r="I50" s="375"/>
      <c r="J50" s="375"/>
      <c r="K50" s="376"/>
      <c r="L50" s="367" t="s">
        <v>90</v>
      </c>
      <c r="M50" s="363" t="s">
        <v>157</v>
      </c>
      <c r="N50" s="363" t="s">
        <v>158</v>
      </c>
      <c r="O50" s="369" t="s">
        <v>159</v>
      </c>
      <c r="P50" s="370"/>
      <c r="Q50" s="371"/>
      <c r="R50" s="363" t="s">
        <v>160</v>
      </c>
      <c r="S50" s="369" t="s">
        <v>19</v>
      </c>
      <c r="T50" s="370"/>
      <c r="U50" s="371"/>
      <c r="V50" s="363" t="s">
        <v>124</v>
      </c>
      <c r="W50" s="363" t="s">
        <v>125</v>
      </c>
      <c r="X50" s="365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68"/>
      <c r="M51" s="364"/>
      <c r="N51" s="364"/>
      <c r="O51" s="285" t="s">
        <v>167</v>
      </c>
      <c r="P51" s="285" t="s">
        <v>168</v>
      </c>
      <c r="Q51" s="316" t="s">
        <v>125</v>
      </c>
      <c r="R51" s="364"/>
      <c r="S51" s="285" t="s">
        <v>167</v>
      </c>
      <c r="T51" s="285" t="s">
        <v>168</v>
      </c>
      <c r="U51" s="316" t="s">
        <v>125</v>
      </c>
      <c r="V51" s="364"/>
      <c r="W51" s="364"/>
      <c r="X51" s="366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57" t="s">
        <v>201</v>
      </c>
      <c r="G52" s="35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3" t="s">
        <v>201</v>
      </c>
      <c r="G53" s="37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58" t="s">
        <v>173</v>
      </c>
      <c r="G54" s="35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1" t="s">
        <v>173</v>
      </c>
      <c r="G55" s="361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57" t="s">
        <v>201</v>
      </c>
      <c r="G56" s="35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1" t="s">
        <v>224</v>
      </c>
      <c r="G57" s="361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58" t="s">
        <v>224</v>
      </c>
      <c r="G58" s="35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3" t="s">
        <v>201</v>
      </c>
      <c r="G59" s="361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57" t="s">
        <v>201</v>
      </c>
      <c r="G60" s="35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1" t="s">
        <v>173</v>
      </c>
      <c r="G61" s="361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58" t="s">
        <v>173</v>
      </c>
      <c r="G62" s="35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3" t="s">
        <v>201</v>
      </c>
      <c r="G63" s="361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57" t="s">
        <v>201</v>
      </c>
      <c r="G64" s="35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3" t="s">
        <v>201</v>
      </c>
      <c r="G65" s="361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57" t="s">
        <v>201</v>
      </c>
      <c r="G66" s="35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3" t="s">
        <v>201</v>
      </c>
      <c r="G67" s="361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70"/>
  <sheetViews>
    <sheetView tabSelected="1" workbookViewId="0">
      <pane ySplit="1" topLeftCell="A17" activePane="bottomLeft" state="frozen"/>
      <selection pane="bottomLeft" activeCell="A24" sqref="A24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3" width="9.6640625" style="126" customWidth="1"/>
    <col min="14" max="14" width="12" style="126" customWidth="1"/>
    <col min="15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295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83"/>
      <c r="B5" s="385" t="s">
        <v>0</v>
      </c>
      <c r="C5" s="387" t="s">
        <v>1</v>
      </c>
      <c r="D5" s="388" t="s">
        <v>13</v>
      </c>
      <c r="E5" s="387" t="s">
        <v>14</v>
      </c>
      <c r="F5" s="388"/>
      <c r="G5" s="387" t="s">
        <v>16</v>
      </c>
      <c r="H5" s="388" t="s">
        <v>44</v>
      </c>
      <c r="I5" s="421" t="s">
        <v>118</v>
      </c>
      <c r="J5" s="427" t="s">
        <v>91</v>
      </c>
      <c r="K5" s="428"/>
      <c r="L5" s="429"/>
      <c r="M5" s="410" t="s">
        <v>108</v>
      </c>
      <c r="N5" s="411"/>
      <c r="O5" s="411"/>
      <c r="P5" s="387" t="s">
        <v>2</v>
      </c>
      <c r="Q5" s="388" t="s">
        <v>17</v>
      </c>
      <c r="R5" s="387" t="s">
        <v>2</v>
      </c>
      <c r="S5" s="388" t="s">
        <v>18</v>
      </c>
      <c r="T5" s="387" t="s">
        <v>2</v>
      </c>
      <c r="U5" s="388" t="s">
        <v>19</v>
      </c>
      <c r="V5" s="387" t="s">
        <v>2</v>
      </c>
      <c r="W5" s="388" t="s">
        <v>20</v>
      </c>
      <c r="X5" s="415" t="s">
        <v>3</v>
      </c>
    </row>
    <row r="6" spans="1:26" s="138" customFormat="1" ht="27" customHeight="1" thickBot="1">
      <c r="A6" s="384"/>
      <c r="B6" s="386"/>
      <c r="C6" s="386"/>
      <c r="D6" s="389"/>
      <c r="E6" s="390"/>
      <c r="F6" s="389"/>
      <c r="G6" s="390"/>
      <c r="H6" s="414"/>
      <c r="I6" s="42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6"/>
      <c r="Q6" s="389"/>
      <c r="R6" s="386"/>
      <c r="S6" s="389"/>
      <c r="T6" s="386"/>
      <c r="U6" s="389"/>
      <c r="V6" s="386"/>
      <c r="W6" s="414"/>
      <c r="X6" s="416"/>
    </row>
    <row r="7" spans="1:26" s="138" customFormat="1" ht="12" customHeigh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134">
        <v>11</v>
      </c>
      <c r="G7" s="132">
        <f>+D7</f>
        <v>6526</v>
      </c>
      <c r="H7" s="453">
        <f>(F7+J7+K7+L7+Q7)*10</f>
        <v>120</v>
      </c>
      <c r="I7" s="20"/>
      <c r="J7" s="133">
        <v>1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2</v>
      </c>
      <c r="V7" s="21">
        <f>(E7/8/10)*U7</f>
        <v>12.55</v>
      </c>
      <c r="W7" s="136"/>
      <c r="X7" s="137">
        <f>+G7+H7+P7+R7+T7+V7+W7+I7</f>
        <v>6658.55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73">
        <v>12</v>
      </c>
      <c r="G8" s="141">
        <f>+D8</f>
        <v>6526</v>
      </c>
      <c r="H8" s="21">
        <f t="shared" ref="H8:H14" si="0">(F8+J8+K8+L8+Q8)*10</f>
        <v>120</v>
      </c>
      <c r="I8" s="21"/>
      <c r="J8" s="7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73">
        <v>6</v>
      </c>
      <c r="V8" s="21">
        <f t="shared" ref="V8:V16" si="4">(E8/8/10)*U8</f>
        <v>37.650000000000006</v>
      </c>
      <c r="W8" s="15"/>
      <c r="X8" s="137">
        <f t="shared" ref="X8:X16" si="5">+G8+H8+P8+R8+T8+V8+W8+I8</f>
        <v>6683.65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12</v>
      </c>
      <c r="G9" s="141">
        <f>D9</f>
        <v>10273</v>
      </c>
      <c r="H9" s="21">
        <f t="shared" si="0"/>
        <v>120</v>
      </c>
      <c r="I9" s="21">
        <f>50</f>
        <v>50</v>
      </c>
      <c r="J9" s="73">
        <v>0</v>
      </c>
      <c r="K9" s="73">
        <v>0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73">
        <v>6</v>
      </c>
      <c r="V9" s="21">
        <f t="shared" si="4"/>
        <v>59.267307692307696</v>
      </c>
      <c r="W9" s="15"/>
      <c r="X9" s="137">
        <f t="shared" si="5"/>
        <v>10502.267307692307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73">
        <v>11</v>
      </c>
      <c r="G10" s="141">
        <f t="shared" ref="G10:G16" si="6">+D10</f>
        <v>6526</v>
      </c>
      <c r="H10" s="21">
        <f t="shared" si="0"/>
        <v>120</v>
      </c>
      <c r="I10" s="21"/>
      <c r="J10" s="73">
        <v>0</v>
      </c>
      <c r="K10" s="73">
        <v>1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73">
        <v>3</v>
      </c>
      <c r="V10" s="21">
        <f t="shared" si="4"/>
        <v>18.825000000000003</v>
      </c>
      <c r="W10" s="15"/>
      <c r="X10" s="137">
        <f t="shared" si="5"/>
        <v>6664.8249999999998</v>
      </c>
      <c r="Y10" s="142"/>
      <c r="Z10" s="142"/>
    </row>
    <row r="11" spans="1:26" s="138" customFormat="1" ht="12" customHeight="1">
      <c r="A11" s="139">
        <v>5</v>
      </c>
      <c r="B11" s="22" t="s">
        <v>273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73">
        <v>12</v>
      </c>
      <c r="G11" s="141">
        <f>E11*F11</f>
        <v>6024</v>
      </c>
      <c r="H11" s="21">
        <v>120</v>
      </c>
      <c r="I11" s="21"/>
      <c r="J11" s="73">
        <v>1</v>
      </c>
      <c r="K11" s="73">
        <f>+'10.26-11.10(SI)'!I28</f>
        <v>0</v>
      </c>
      <c r="L11" s="73">
        <f>+'10.26-11.10(SI)'!J28</f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73">
        <v>7</v>
      </c>
      <c r="V11" s="21">
        <f t="shared" si="4"/>
        <v>43.925000000000004</v>
      </c>
      <c r="W11" s="15"/>
      <c r="X11" s="137">
        <f t="shared" si="5"/>
        <v>6187.9250000000002</v>
      </c>
    </row>
    <row r="12" spans="1:26" s="138" customFormat="1" ht="12" customHeigh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73">
        <v>10</v>
      </c>
      <c r="G12" s="141">
        <f t="shared" ref="G12:G13" si="8">E12*F12</f>
        <v>5020</v>
      </c>
      <c r="H12" s="21">
        <f t="shared" ref="H12:H13" si="9">(F12+Q12)*10</f>
        <v>100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73">
        <v>4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313.75</v>
      </c>
      <c r="Q12" s="73"/>
      <c r="R12" s="21">
        <f>+Q12*E12</f>
        <v>0</v>
      </c>
      <c r="S12" s="73"/>
      <c r="T12" s="21">
        <f>(+S12*E12)*0.3</f>
        <v>0</v>
      </c>
      <c r="U12" s="73">
        <v>3</v>
      </c>
      <c r="V12" s="21">
        <f>(E12/8/10)*U12</f>
        <v>18.825000000000003</v>
      </c>
      <c r="W12" s="15"/>
      <c r="X12" s="137">
        <f t="shared" si="5"/>
        <v>5452.5749999999998</v>
      </c>
    </row>
    <row r="13" spans="1:26" s="138" customFormat="1" ht="12" customHeigh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73">
        <v>12</v>
      </c>
      <c r="G13" s="141">
        <f t="shared" si="8"/>
        <v>6024</v>
      </c>
      <c r="H13" s="21">
        <f t="shared" si="9"/>
        <v>120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73">
        <v>10</v>
      </c>
      <c r="V13" s="21">
        <f t="shared" si="4"/>
        <v>62.75</v>
      </c>
      <c r="W13" s="15"/>
      <c r="X13" s="137">
        <f t="shared" si="5"/>
        <v>6206.75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46919</v>
      </c>
      <c r="H18" s="3">
        <f>SUM(H7:H16)</f>
        <v>820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313.75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253.7923076923077</v>
      </c>
      <c r="W18" s="4"/>
      <c r="X18" s="3">
        <f>SUM(X7:X16)</f>
        <v>48356.542307692303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1"/>
      <c r="B20" s="393" t="s">
        <v>0</v>
      </c>
      <c r="C20" s="395" t="s">
        <v>1</v>
      </c>
      <c r="D20" s="381" t="s">
        <v>3</v>
      </c>
      <c r="E20" s="417" t="s">
        <v>22</v>
      </c>
      <c r="F20" s="423" t="s">
        <v>2</v>
      </c>
      <c r="G20" s="425" t="s">
        <v>21</v>
      </c>
      <c r="H20" s="381" t="s">
        <v>2</v>
      </c>
      <c r="I20" s="419" t="s">
        <v>126</v>
      </c>
      <c r="J20" s="406" t="s">
        <v>4</v>
      </c>
      <c r="K20" s="408" t="s">
        <v>23</v>
      </c>
      <c r="L20" s="381" t="s">
        <v>5</v>
      </c>
      <c r="M20" s="381" t="s">
        <v>6</v>
      </c>
      <c r="N20" s="381" t="s">
        <v>24</v>
      </c>
      <c r="O20" s="381" t="s">
        <v>7</v>
      </c>
      <c r="P20" s="401" t="s">
        <v>3</v>
      </c>
      <c r="Q20" s="244"/>
      <c r="R20" s="152" t="s">
        <v>103</v>
      </c>
      <c r="S20" s="244"/>
    </row>
    <row r="21" spans="1:24" s="138" customFormat="1" ht="15" customHeight="1" thickBot="1">
      <c r="A21" s="392"/>
      <c r="B21" s="394"/>
      <c r="C21" s="396"/>
      <c r="D21" s="413"/>
      <c r="E21" s="418"/>
      <c r="F21" s="424"/>
      <c r="G21" s="426"/>
      <c r="H21" s="397"/>
      <c r="I21" s="420"/>
      <c r="J21" s="407"/>
      <c r="K21" s="409"/>
      <c r="L21" s="397"/>
      <c r="M21" s="397"/>
      <c r="N21" s="413"/>
      <c r="O21" s="397"/>
      <c r="P21" s="402"/>
      <c r="R21" s="250" t="str">
        <f>D3</f>
        <v>November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1">+X7</f>
        <v>6658.55</v>
      </c>
      <c r="E22" s="353">
        <f>+'10.26-11.10'!R25</f>
        <v>0</v>
      </c>
      <c r="F22" s="354">
        <f>+E22*E7</f>
        <v>0</v>
      </c>
      <c r="G22" s="353"/>
      <c r="H22" s="354">
        <f>(+E7/8)*G22</f>
        <v>0</v>
      </c>
      <c r="I22" s="353"/>
      <c r="J22" s="155">
        <v>490.5</v>
      </c>
      <c r="K22" s="17"/>
      <c r="L22" s="15">
        <v>187.5</v>
      </c>
      <c r="M22" s="156"/>
      <c r="N22" s="17">
        <v>579.05999999999995</v>
      </c>
      <c r="O22" s="156"/>
      <c r="P22" s="158">
        <f>+D22-F22-H22-J22-K22-L22-M22-N22-O22-I22</f>
        <v>5401.49</v>
      </c>
      <c r="R22" s="71">
        <f t="shared" ref="R22:R31" si="12">G7+H7+P7+R7+T7+V7+W7-F22-H22</f>
        <v>6658.55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1"/>
        <v>6683.65</v>
      </c>
      <c r="E23" s="352">
        <f>+'10.26-11.10'!R229</f>
        <v>0</v>
      </c>
      <c r="F23" s="355">
        <f t="shared" ref="F23:F31" si="13">+E23*E8</f>
        <v>0</v>
      </c>
      <c r="G23" s="73">
        <f>20/60</f>
        <v>0.33333333333333331</v>
      </c>
      <c r="H23" s="355">
        <f t="shared" ref="H23:H31" si="14">(+E8/8)*G23</f>
        <v>20.916666666666664</v>
      </c>
      <c r="I23" s="352"/>
      <c r="J23" s="15">
        <v>490.5</v>
      </c>
      <c r="K23" s="15"/>
      <c r="L23" s="15">
        <v>187.5</v>
      </c>
      <c r="M23" s="18"/>
      <c r="N23" s="15"/>
      <c r="O23" s="18"/>
      <c r="P23" s="158">
        <f t="shared" ref="P23:P31" si="15">+D23-F23-H23-J23-K23-L23-M23-N23-O23-I23</f>
        <v>5984.7333333333327</v>
      </c>
      <c r="R23" s="71">
        <f t="shared" si="12"/>
        <v>6662.7333333333327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1"/>
        <v>10502.267307692307</v>
      </c>
      <c r="E24" s="352">
        <v>0</v>
      </c>
      <c r="F24" s="355">
        <f t="shared" si="13"/>
        <v>0</v>
      </c>
      <c r="G24" s="73">
        <f>3+2.53</f>
        <v>5.5299999999999994</v>
      </c>
      <c r="H24" s="355">
        <f>(+E9/8)*G24</f>
        <v>546.24701923076918</v>
      </c>
      <c r="I24" s="352">
        <v>25.1</v>
      </c>
      <c r="J24" s="15">
        <v>581.29999999999995</v>
      </c>
      <c r="K24" s="15"/>
      <c r="L24" s="15">
        <v>275</v>
      </c>
      <c r="M24" s="18"/>
      <c r="N24" s="15"/>
      <c r="O24" s="18"/>
      <c r="P24" s="158">
        <f t="shared" si="15"/>
        <v>9074.6202884615395</v>
      </c>
      <c r="R24" s="71">
        <f t="shared" si="12"/>
        <v>9906.0202884615392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1"/>
        <v>6664.8249999999998</v>
      </c>
      <c r="E25" s="352">
        <v>0</v>
      </c>
      <c r="F25" s="355">
        <f t="shared" si="13"/>
        <v>0</v>
      </c>
      <c r="G25" s="73">
        <v>1.73</v>
      </c>
      <c r="H25" s="355">
        <f t="shared" ref="H25" si="16">(+E10/8)*G25</f>
        <v>108.5575</v>
      </c>
      <c r="I25" s="352"/>
      <c r="J25" s="15">
        <v>417.8</v>
      </c>
      <c r="K25" s="15">
        <v>600</v>
      </c>
      <c r="L25" s="15">
        <v>175</v>
      </c>
      <c r="M25" s="18"/>
      <c r="N25" s="15">
        <v>567</v>
      </c>
      <c r="O25" s="18"/>
      <c r="P25" s="158">
        <f t="shared" si="15"/>
        <v>4796.4674999999997</v>
      </c>
      <c r="R25" s="71">
        <f t="shared" si="12"/>
        <v>6556.2674999999999</v>
      </c>
    </row>
    <row r="26" spans="1:24" s="138" customFormat="1" ht="12" customHeight="1">
      <c r="A26" s="139">
        <v>5</v>
      </c>
      <c r="B26" s="22" t="str">
        <f t="shared" ref="B26:B31" si="17">+B11</f>
        <v>Briones, Christian Joy</v>
      </c>
      <c r="C26" s="248" t="str">
        <f t="shared" ref="C26:C31" si="18">C11</f>
        <v>Asst. Cook</v>
      </c>
      <c r="D26" s="141">
        <f t="shared" si="11"/>
        <v>6187.9250000000002</v>
      </c>
      <c r="E26" s="352">
        <v>0</v>
      </c>
      <c r="F26" s="355">
        <f t="shared" si="13"/>
        <v>0</v>
      </c>
      <c r="G26" s="73">
        <f>51/60</f>
        <v>0.85</v>
      </c>
      <c r="H26" s="355">
        <f t="shared" si="14"/>
        <v>53.337499999999999</v>
      </c>
      <c r="I26" s="352"/>
      <c r="J26" s="15">
        <v>454.2</v>
      </c>
      <c r="K26" s="15">
        <v>969.04</v>
      </c>
      <c r="L26" s="15">
        <v>175</v>
      </c>
      <c r="M26" s="18"/>
      <c r="N26" s="15"/>
      <c r="O26" s="18"/>
      <c r="P26" s="158">
        <f t="shared" si="15"/>
        <v>4536.3475000000008</v>
      </c>
      <c r="R26" s="71">
        <f t="shared" si="12"/>
        <v>6134.5875000000005</v>
      </c>
    </row>
    <row r="27" spans="1:24" s="138" customFormat="1" ht="12" customHeight="1">
      <c r="A27" s="139">
        <v>6</v>
      </c>
      <c r="B27" s="22" t="str">
        <f t="shared" si="17"/>
        <v>Cahilig,Benzen</v>
      </c>
      <c r="C27" s="248" t="str">
        <f t="shared" si="18"/>
        <v>Cook</v>
      </c>
      <c r="D27" s="141">
        <f>+X12</f>
        <v>5452.5749999999998</v>
      </c>
      <c r="E27" s="352">
        <v>0</v>
      </c>
      <c r="F27" s="355">
        <f t="shared" si="13"/>
        <v>0</v>
      </c>
      <c r="G27" s="73">
        <f>43/60</f>
        <v>0.71666666666666667</v>
      </c>
      <c r="H27" s="355">
        <f t="shared" si="14"/>
        <v>44.970833333333331</v>
      </c>
      <c r="I27" s="352"/>
      <c r="J27" s="15">
        <v>436</v>
      </c>
      <c r="K27" s="15">
        <v>507.6</v>
      </c>
      <c r="L27" s="15">
        <v>182.5</v>
      </c>
      <c r="M27" s="18"/>
      <c r="N27" s="15">
        <v>432.98</v>
      </c>
      <c r="O27" s="18"/>
      <c r="P27" s="158">
        <f t="shared" si="15"/>
        <v>3848.5241666666657</v>
      </c>
      <c r="R27" s="71">
        <f>G12+H12+P12+R12+T12+V12+W12-F27-H27</f>
        <v>5407.6041666666661</v>
      </c>
    </row>
    <row r="28" spans="1:24" s="138" customFormat="1" ht="12" customHeight="1">
      <c r="A28" s="139">
        <v>7</v>
      </c>
      <c r="B28" s="22" t="str">
        <f t="shared" si="17"/>
        <v>Pantoja,Nancy</v>
      </c>
      <c r="C28" s="248" t="str">
        <f t="shared" si="18"/>
        <v>Cashier</v>
      </c>
      <c r="D28" s="141">
        <f t="shared" si="11"/>
        <v>6206.75</v>
      </c>
      <c r="E28" s="352">
        <v>0</v>
      </c>
      <c r="F28" s="355">
        <f t="shared" si="13"/>
        <v>0</v>
      </c>
      <c r="G28" s="73">
        <v>3.46</v>
      </c>
      <c r="H28" s="355">
        <f>(+E13/8)*G28</f>
        <v>217.11500000000001</v>
      </c>
      <c r="I28" s="352"/>
      <c r="J28" s="15">
        <v>490.5</v>
      </c>
      <c r="K28" s="15">
        <v>507.6</v>
      </c>
      <c r="L28" s="15">
        <v>162.5</v>
      </c>
      <c r="M28" s="18"/>
      <c r="N28" s="15"/>
      <c r="O28" s="18"/>
      <c r="P28" s="158">
        <f t="shared" si="15"/>
        <v>4829.0349999999999</v>
      </c>
      <c r="R28" s="71">
        <f t="shared" si="12"/>
        <v>5989.6350000000002</v>
      </c>
    </row>
    <row r="29" spans="1:24" s="138" customFormat="1" ht="12" customHeight="1">
      <c r="A29" s="139">
        <v>8</v>
      </c>
      <c r="B29" s="22">
        <f t="shared" si="17"/>
        <v>0</v>
      </c>
      <c r="C29" s="248">
        <f t="shared" si="18"/>
        <v>0</v>
      </c>
      <c r="D29" s="141">
        <f t="shared" si="11"/>
        <v>0</v>
      </c>
      <c r="E29" s="352"/>
      <c r="F29" s="355">
        <f t="shared" si="13"/>
        <v>0</v>
      </c>
      <c r="G29" s="352"/>
      <c r="H29" s="355">
        <f t="shared" si="14"/>
        <v>0</v>
      </c>
      <c r="I29" s="352"/>
      <c r="J29" s="15"/>
      <c r="K29" s="15"/>
      <c r="L29" s="15"/>
      <c r="M29" s="18"/>
      <c r="N29" s="15"/>
      <c r="O29" s="18"/>
      <c r="P29" s="158">
        <f t="shared" si="15"/>
        <v>0</v>
      </c>
      <c r="R29" s="71">
        <f t="shared" si="12"/>
        <v>0</v>
      </c>
    </row>
    <row r="30" spans="1:24" s="138" customFormat="1" ht="12" customHeight="1">
      <c r="A30" s="139">
        <v>9</v>
      </c>
      <c r="B30" s="22">
        <f t="shared" si="17"/>
        <v>0</v>
      </c>
      <c r="C30" s="248">
        <f t="shared" si="18"/>
        <v>0</v>
      </c>
      <c r="D30" s="141">
        <f t="shared" si="11"/>
        <v>0</v>
      </c>
      <c r="E30" s="352"/>
      <c r="F30" s="355">
        <f t="shared" si="13"/>
        <v>0</v>
      </c>
      <c r="G30" s="352"/>
      <c r="H30" s="355">
        <f t="shared" si="14"/>
        <v>0</v>
      </c>
      <c r="I30" s="352"/>
      <c r="J30" s="15"/>
      <c r="K30" s="15"/>
      <c r="L30" s="15"/>
      <c r="M30" s="18"/>
      <c r="N30" s="15"/>
      <c r="O30" s="18"/>
      <c r="P30" s="158">
        <f t="shared" si="15"/>
        <v>0</v>
      </c>
      <c r="R30" s="71">
        <f t="shared" si="12"/>
        <v>0</v>
      </c>
    </row>
    <row r="31" spans="1:24" s="138" customFormat="1" ht="12" customHeight="1">
      <c r="A31" s="139">
        <v>10</v>
      </c>
      <c r="B31" s="22">
        <f t="shared" si="17"/>
        <v>0</v>
      </c>
      <c r="C31" s="248">
        <f t="shared" si="18"/>
        <v>0</v>
      </c>
      <c r="D31" s="141">
        <f t="shared" si="11"/>
        <v>0</v>
      </c>
      <c r="E31" s="15"/>
      <c r="F31" s="21">
        <f t="shared" si="13"/>
        <v>0</v>
      </c>
      <c r="G31" s="159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8">
        <f t="shared" si="15"/>
        <v>0</v>
      </c>
      <c r="R31" s="71">
        <f t="shared" si="12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48356.542307692303</v>
      </c>
      <c r="E33" s="4">
        <f>+SUM(E22:E32)</f>
        <v>0</v>
      </c>
      <c r="F33" s="3">
        <f>SUM(F22:F32)</f>
        <v>0</v>
      </c>
      <c r="G33" s="4"/>
      <c r="H33" s="3">
        <f>SUM(H22:H32)</f>
        <v>991.14451923076911</v>
      </c>
      <c r="I33" s="3">
        <f>+SUM(I22:I32)</f>
        <v>25.1</v>
      </c>
      <c r="J33" s="3">
        <f t="shared" ref="J33:O33" si="19">+SUM(J22:J32)</f>
        <v>3360.7999999999997</v>
      </c>
      <c r="K33" s="3">
        <f t="shared" si="19"/>
        <v>2584.2399999999998</v>
      </c>
      <c r="L33" s="3">
        <f t="shared" si="19"/>
        <v>1345</v>
      </c>
      <c r="M33" s="3">
        <f t="shared" si="19"/>
        <v>0</v>
      </c>
      <c r="N33" s="3">
        <f t="shared" si="19"/>
        <v>1579.04</v>
      </c>
      <c r="O33" s="3">
        <f t="shared" si="19"/>
        <v>0</v>
      </c>
      <c r="P33" s="5">
        <f>+SUM(P22:P32)</f>
        <v>38471.217788461538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0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21">+P22+(SUM(O35:Q35))</f>
        <v>6435.49</v>
      </c>
    </row>
    <row r="36" spans="1:25">
      <c r="M36" s="16" t="str">
        <f t="shared" si="20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1"/>
        <v>6484.7333333333327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20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1"/>
        <v>10324.62028846154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0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1"/>
        <v>5830.4674999999997</v>
      </c>
      <c r="T38" s="334"/>
      <c r="U38" s="334"/>
      <c r="V38" s="334"/>
      <c r="W38" s="334"/>
      <c r="X38" s="334"/>
      <c r="Y38" s="334"/>
    </row>
    <row r="39" spans="1:25">
      <c r="M39" s="16" t="str">
        <f t="shared" si="20"/>
        <v>Briones, Christian Joy</v>
      </c>
      <c r="O39" s="16">
        <v>0</v>
      </c>
      <c r="P39" s="16">
        <v>0</v>
      </c>
      <c r="Q39" s="16">
        <v>0</v>
      </c>
      <c r="S39" s="166">
        <f t="shared" si="21"/>
        <v>4536.3475000000008</v>
      </c>
      <c r="T39" s="334"/>
      <c r="U39" s="334"/>
      <c r="V39" s="334"/>
      <c r="W39" s="334"/>
      <c r="X39" s="334"/>
      <c r="Y39" s="334"/>
    </row>
    <row r="40" spans="1:25">
      <c r="M40" s="16" t="str">
        <f t="shared" si="20"/>
        <v>Cahilig,Benzen</v>
      </c>
      <c r="O40" s="16">
        <v>0</v>
      </c>
      <c r="P40" s="16">
        <v>0</v>
      </c>
      <c r="Q40" s="16">
        <v>0</v>
      </c>
      <c r="S40" s="166">
        <f t="shared" si="21"/>
        <v>3848.5241666666657</v>
      </c>
    </row>
    <row r="41" spans="1:25">
      <c r="M41" s="16" t="str">
        <f t="shared" si="20"/>
        <v>Pantoja,Nancy</v>
      </c>
      <c r="O41" s="16">
        <v>0</v>
      </c>
      <c r="P41" s="16">
        <v>0</v>
      </c>
      <c r="Q41" s="16">
        <v>0</v>
      </c>
      <c r="S41" s="166">
        <f t="shared" si="21"/>
        <v>4829.0349999999999</v>
      </c>
    </row>
    <row r="42" spans="1:25">
      <c r="M42" s="16">
        <f t="shared" si="20"/>
        <v>0</v>
      </c>
      <c r="O42" s="16">
        <v>0</v>
      </c>
      <c r="P42" s="16">
        <v>0</v>
      </c>
      <c r="Q42" s="16">
        <v>0</v>
      </c>
      <c r="S42" s="166">
        <f t="shared" si="21"/>
        <v>0</v>
      </c>
    </row>
    <row r="43" spans="1:25">
      <c r="M43" s="16">
        <f t="shared" si="20"/>
        <v>0</v>
      </c>
      <c r="O43" s="16">
        <v>0</v>
      </c>
      <c r="P43" s="16">
        <v>0</v>
      </c>
      <c r="Q43" s="16">
        <v>0</v>
      </c>
      <c r="S43" s="166">
        <f t="shared" si="21"/>
        <v>0</v>
      </c>
    </row>
    <row r="44" spans="1:25">
      <c r="M44" s="16">
        <f t="shared" si="20"/>
        <v>0</v>
      </c>
      <c r="O44" s="16">
        <v>0</v>
      </c>
      <c r="P44" s="16">
        <v>0</v>
      </c>
      <c r="Q44" s="16">
        <v>0</v>
      </c>
      <c r="S44" s="166">
        <f t="shared" si="21"/>
        <v>0</v>
      </c>
    </row>
    <row r="46" spans="1:25">
      <c r="P46" s="169">
        <f>+P33+(SUM(O35:Q44))</f>
        <v>42289.217788461538</v>
      </c>
    </row>
    <row r="53" spans="1:14" ht="13.8" thickBot="1"/>
    <row r="54" spans="1:14" ht="13.8" thickBot="1">
      <c r="A54" s="391"/>
      <c r="B54" s="393" t="s">
        <v>0</v>
      </c>
      <c r="C54" s="395" t="s">
        <v>1</v>
      </c>
      <c r="D54" s="381" t="s">
        <v>45</v>
      </c>
      <c r="E54" s="379" t="s">
        <v>151</v>
      </c>
      <c r="F54" s="399" t="s">
        <v>112</v>
      </c>
      <c r="G54" s="400"/>
      <c r="H54" s="404" t="s">
        <v>267</v>
      </c>
      <c r="I54" s="401" t="s">
        <v>3</v>
      </c>
      <c r="J54" s="403" t="s">
        <v>114</v>
      </c>
      <c r="K54" s="398" t="s">
        <v>115</v>
      </c>
      <c r="L54" s="398" t="s">
        <v>116</v>
      </c>
      <c r="N54" s="412" t="s">
        <v>102</v>
      </c>
    </row>
    <row r="55" spans="1:14" ht="13.8" thickBot="1">
      <c r="A55" s="392"/>
      <c r="B55" s="394"/>
      <c r="C55" s="396"/>
      <c r="D55" s="382"/>
      <c r="E55" s="380"/>
      <c r="F55" s="245" t="s">
        <v>113</v>
      </c>
      <c r="G55" s="246" t="s">
        <v>148</v>
      </c>
      <c r="H55" s="405"/>
      <c r="I55" s="402"/>
      <c r="J55" s="403"/>
      <c r="K55" s="398"/>
      <c r="L55" s="398"/>
      <c r="N55" s="412"/>
    </row>
    <row r="56" spans="1:14" ht="13.8" thickBot="1">
      <c r="A56" s="153">
        <v>1</v>
      </c>
      <c r="B56" s="49" t="str">
        <f t="shared" ref="B56:C65" si="22">+B22</f>
        <v>Biarcal, Ronald Glenn</v>
      </c>
      <c r="C56" s="49" t="str">
        <f t="shared" si="22"/>
        <v>M.T.Purchaser</v>
      </c>
      <c r="D56" s="133"/>
      <c r="E56" s="157"/>
      <c r="F56" s="236"/>
      <c r="G56" s="236">
        <v>0</v>
      </c>
      <c r="H56" s="157"/>
      <c r="I56" s="158">
        <f>+D22-F22-H22-D56-J22-K22-L22-M22-N22-O22-E56-H56-F56-G56-I22</f>
        <v>5401.49</v>
      </c>
      <c r="J56" s="274">
        <f>+O35</f>
        <v>150</v>
      </c>
      <c r="K56" s="274">
        <f t="shared" ref="K56:L60" si="23">+P35</f>
        <v>884</v>
      </c>
      <c r="L56" s="274">
        <f t="shared" si="23"/>
        <v>0</v>
      </c>
      <c r="N56" s="165">
        <f t="shared" ref="N56:N62" si="24">+I56+J56+K56</f>
        <v>6435.49</v>
      </c>
    </row>
    <row r="57" spans="1:14" ht="13.8" thickBot="1">
      <c r="A57" s="139">
        <v>2</v>
      </c>
      <c r="B57" s="22" t="str">
        <f t="shared" si="22"/>
        <v>Sanchez, Angelo</v>
      </c>
      <c r="C57" s="248" t="str">
        <f t="shared" si="22"/>
        <v>Head Cook</v>
      </c>
      <c r="D57" s="73"/>
      <c r="E57" s="122"/>
      <c r="F57" s="122"/>
      <c r="G57" s="122"/>
      <c r="H57" s="157"/>
      <c r="I57" s="158">
        <f t="shared" ref="I57:I65" si="25">+D23-F23-H23-D57-J23-K23-L23-M23-N23-O23-E57-H57-F57-G57-I23</f>
        <v>5984.7333333333327</v>
      </c>
      <c r="J57" s="274">
        <f>+O36</f>
        <v>0</v>
      </c>
      <c r="K57" s="274">
        <f t="shared" si="23"/>
        <v>500</v>
      </c>
      <c r="L57" s="274">
        <f t="shared" si="23"/>
        <v>0</v>
      </c>
      <c r="N57" s="165">
        <f t="shared" si="24"/>
        <v>6484.7333333333327</v>
      </c>
    </row>
    <row r="58" spans="1:14" ht="13.8" thickBot="1">
      <c r="A58" s="139">
        <v>3</v>
      </c>
      <c r="B58" s="22" t="str">
        <f t="shared" si="22"/>
        <v>Dino, Joyce</v>
      </c>
      <c r="C58" s="248" t="str">
        <f t="shared" si="22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5"/>
        <v>7473.2302884615392</v>
      </c>
      <c r="J58" s="274">
        <f>+O37</f>
        <v>250</v>
      </c>
      <c r="K58" s="274">
        <f t="shared" si="23"/>
        <v>1000</v>
      </c>
      <c r="L58" s="274">
        <f t="shared" si="23"/>
        <v>0</v>
      </c>
      <c r="N58" s="165">
        <f t="shared" si="24"/>
        <v>8723.2302884615383</v>
      </c>
    </row>
    <row r="59" spans="1:14" ht="13.8" thickBot="1">
      <c r="A59" s="139">
        <v>4</v>
      </c>
      <c r="B59" s="22" t="str">
        <f t="shared" si="22"/>
        <v xml:space="preserve">Sosa, Anna Marie </v>
      </c>
      <c r="C59" s="248" t="str">
        <f t="shared" si="22"/>
        <v>M.T.Bookkeeper</v>
      </c>
      <c r="D59" s="73"/>
      <c r="E59" s="122">
        <v>500</v>
      </c>
      <c r="F59" s="122"/>
      <c r="G59" s="122">
        <f>3074.67/2</f>
        <v>1537.335</v>
      </c>
      <c r="H59" s="157"/>
      <c r="I59" s="158">
        <f t="shared" si="25"/>
        <v>2759.1324999999997</v>
      </c>
      <c r="J59" s="274">
        <f>+O38</f>
        <v>150</v>
      </c>
      <c r="K59" s="274">
        <f t="shared" si="23"/>
        <v>884</v>
      </c>
      <c r="L59" s="274">
        <f t="shared" si="23"/>
        <v>0</v>
      </c>
      <c r="N59" s="165">
        <f t="shared" si="24"/>
        <v>3793.1324999999997</v>
      </c>
    </row>
    <row r="60" spans="1:14">
      <c r="A60" s="139">
        <v>5</v>
      </c>
      <c r="B60" s="22" t="str">
        <f t="shared" si="22"/>
        <v>Briones, Christian Joy</v>
      </c>
      <c r="C60" s="248" t="str">
        <f t="shared" si="22"/>
        <v>Asst. Cook</v>
      </c>
      <c r="D60" s="73"/>
      <c r="E60" s="122"/>
      <c r="F60" s="122"/>
      <c r="G60" s="122"/>
      <c r="H60" s="157"/>
      <c r="I60" s="158">
        <f t="shared" si="25"/>
        <v>4536.3475000000008</v>
      </c>
      <c r="J60" s="274">
        <f>+O39</f>
        <v>0</v>
      </c>
      <c r="K60" s="274">
        <f t="shared" si="23"/>
        <v>0</v>
      </c>
      <c r="L60" s="274">
        <f t="shared" si="23"/>
        <v>0</v>
      </c>
      <c r="N60" s="165">
        <f t="shared" si="24"/>
        <v>4536.3475000000008</v>
      </c>
    </row>
    <row r="61" spans="1:14">
      <c r="A61" s="139">
        <v>6</v>
      </c>
      <c r="B61" s="22" t="str">
        <f t="shared" si="22"/>
        <v>Cahilig,Benzen</v>
      </c>
      <c r="C61" s="248" t="str">
        <f t="shared" si="22"/>
        <v>Cook</v>
      </c>
      <c r="D61" s="73"/>
      <c r="E61" s="122"/>
      <c r="F61" s="122"/>
      <c r="G61" s="122"/>
      <c r="H61" s="122"/>
      <c r="I61" s="158">
        <f t="shared" si="25"/>
        <v>3848.5241666666657</v>
      </c>
      <c r="N61" s="165">
        <f t="shared" si="24"/>
        <v>3848.5241666666657</v>
      </c>
    </row>
    <row r="62" spans="1:14">
      <c r="A62" s="139">
        <v>7</v>
      </c>
      <c r="B62" s="22" t="str">
        <f t="shared" si="22"/>
        <v>Pantoja,Nancy</v>
      </c>
      <c r="C62" s="248" t="str">
        <f t="shared" si="22"/>
        <v>Cashier</v>
      </c>
      <c r="D62" s="73">
        <v>301.5</v>
      </c>
      <c r="E62" s="122"/>
      <c r="F62" s="122"/>
      <c r="G62" s="122"/>
      <c r="H62" s="122"/>
      <c r="I62" s="158">
        <f t="shared" si="25"/>
        <v>4527.5349999999999</v>
      </c>
      <c r="N62" s="165">
        <f t="shared" si="24"/>
        <v>4527.5349999999999</v>
      </c>
    </row>
    <row r="63" spans="1:14">
      <c r="A63" s="139">
        <v>8</v>
      </c>
      <c r="B63" s="22">
        <f t="shared" si="22"/>
        <v>0</v>
      </c>
      <c r="C63" s="248">
        <f t="shared" si="22"/>
        <v>0</v>
      </c>
      <c r="D63" s="73"/>
      <c r="E63" s="122"/>
      <c r="F63" s="122"/>
      <c r="G63" s="122"/>
      <c r="H63" s="15">
        <v>0</v>
      </c>
      <c r="I63" s="158">
        <f t="shared" si="25"/>
        <v>0</v>
      </c>
    </row>
    <row r="64" spans="1:14">
      <c r="A64" s="139">
        <v>9</v>
      </c>
      <c r="B64" s="22">
        <f t="shared" si="22"/>
        <v>0</v>
      </c>
      <c r="C64" s="248">
        <f t="shared" si="22"/>
        <v>0</v>
      </c>
      <c r="D64" s="73"/>
      <c r="E64" s="122"/>
      <c r="F64" s="122"/>
      <c r="G64" s="122"/>
      <c r="H64" s="15">
        <v>0</v>
      </c>
      <c r="I64" s="158">
        <f t="shared" si="25"/>
        <v>0</v>
      </c>
    </row>
    <row r="65" spans="1:14">
      <c r="A65" s="139">
        <v>10</v>
      </c>
      <c r="B65" s="22">
        <f t="shared" si="22"/>
        <v>0</v>
      </c>
      <c r="C65" s="248">
        <f t="shared" si="22"/>
        <v>0</v>
      </c>
      <c r="D65" s="22"/>
      <c r="E65" s="122"/>
      <c r="F65" s="122"/>
      <c r="G65" s="122"/>
      <c r="H65" s="15">
        <v>0</v>
      </c>
      <c r="I65" s="158">
        <f t="shared" si="25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301.5</v>
      </c>
      <c r="E67" s="3">
        <f>+SUM(E56:E66)</f>
        <v>500</v>
      </c>
      <c r="F67" s="3">
        <f>+SUM(F56:F66)</f>
        <v>0</v>
      </c>
      <c r="G67" s="3">
        <f>+SUM(G56:G66)</f>
        <v>3138.7250000000004</v>
      </c>
      <c r="H67" s="3">
        <f>+SUM(H56:H66)</f>
        <v>0</v>
      </c>
      <c r="I67" s="5">
        <f>+SUM(I56:I66)</f>
        <v>34530.992788461532</v>
      </c>
      <c r="N67" s="275">
        <f>SUM(N56:N66)</f>
        <v>38348.992788461532</v>
      </c>
    </row>
    <row r="70" spans="1:14">
      <c r="G70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'26-10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'26-10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'26-10 payroll'!D2</f>
        <v>VALERO</v>
      </c>
      <c r="C3" s="434"/>
      <c r="D3" s="434"/>
      <c r="E3" s="434"/>
      <c r="F3" s="434"/>
      <c r="G3" s="434"/>
      <c r="H3" s="435"/>
      <c r="I3" s="178"/>
      <c r="J3" s="433" t="str">
        <f>'26-10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'26-10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'26-10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'26-10 payroll'!E7</f>
        <v>502</v>
      </c>
      <c r="E8" s="440"/>
      <c r="F8" s="440"/>
      <c r="G8" s="55"/>
      <c r="H8" s="196"/>
      <c r="I8" s="195"/>
      <c r="J8" s="192" t="s">
        <v>28</v>
      </c>
      <c r="K8" s="193" t="s">
        <v>27</v>
      </c>
      <c r="L8" s="440">
        <f>'26-10 payroll'!E8</f>
        <v>502</v>
      </c>
      <c r="M8" s="440"/>
      <c r="N8" s="440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1" t="str">
        <f>'26-10 payroll'!D3</f>
        <v>November 11-25,2018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'26-10 payroll'!D3</f>
        <v>November 11-25,2018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1046.55</v>
      </c>
      <c r="G17" s="55"/>
      <c r="H17" s="56">
        <f>SUM(F13:F17)</f>
        <v>1166.55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537.65</v>
      </c>
      <c r="O17" s="9"/>
      <c r="P17" s="10">
        <f>SUM(N13:N17)</f>
        <v>657.65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187.5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20.916666666666664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-1257.06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-698.91666666666663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6435.49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6484.7333333333327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'26-10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'26-10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'26-10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'26-10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'26-10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'26-10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'26-10 payroll'!E9</f>
        <v>790.23076923076928</v>
      </c>
      <c r="E41" s="440"/>
      <c r="F41" s="440"/>
      <c r="G41" s="55"/>
      <c r="H41" s="196"/>
      <c r="I41" s="195"/>
      <c r="J41" s="192" t="s">
        <v>28</v>
      </c>
      <c r="K41" s="193" t="s">
        <v>27</v>
      </c>
      <c r="L41" s="440">
        <f>'26-10 payroll'!E10</f>
        <v>502</v>
      </c>
      <c r="M41" s="440"/>
      <c r="N41" s="440"/>
      <c r="O41" s="9"/>
      <c r="P41" s="196"/>
    </row>
    <row r="42" spans="2:17">
      <c r="B42" s="192" t="s">
        <v>29</v>
      </c>
      <c r="C42" s="193" t="s">
        <v>27</v>
      </c>
      <c r="D42" s="441" t="str">
        <f>'26-10 payroll'!D3</f>
        <v>November 11-25,2018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'26-10 payroll'!D3</f>
        <v>November 11-25,2018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1309.2673076923077</v>
      </c>
      <c r="G50" s="55"/>
      <c r="H50" s="56">
        <f>SUM(F46:F50)</f>
        <v>1429.2673076923077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1052.825</v>
      </c>
      <c r="O50" s="9"/>
      <c r="P50" s="10">
        <f>SUM(N46:N50)</f>
        <v>1172.825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417.8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175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2037.335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546.24701923076918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108.5575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-3003.9370192307692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-3905.6925000000001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8698.3302884615387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3793.1324999999997</v>
      </c>
      <c r="Q61" s="174"/>
      <c r="T61" s="216">
        <f>+H61-'26-10 payroll'!S37</f>
        <v>-1626.2900000000009</v>
      </c>
      <c r="V61" s="237">
        <f>+P61-'26-10 payroll'!S38</f>
        <v>-2037.335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'26-10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'26-10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'26-10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'26-10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'26-10 payroll'!B11</f>
        <v>Briones, Christian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 t="str">
        <f>'26-10 payroll'!B12</f>
        <v>Cahilig,Benzen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'26-10 payroll'!E11</f>
        <v>502</v>
      </c>
      <c r="E74" s="440"/>
      <c r="F74" s="440"/>
      <c r="G74" s="55"/>
      <c r="H74" s="196"/>
      <c r="I74" s="195"/>
      <c r="J74" s="192" t="s">
        <v>28</v>
      </c>
      <c r="K74" s="193" t="s">
        <v>27</v>
      </c>
      <c r="L74" s="440">
        <f>'26-10 payroll'!E12</f>
        <v>502</v>
      </c>
      <c r="M74" s="440"/>
      <c r="N74" s="440"/>
      <c r="O74" s="9"/>
      <c r="P74" s="196"/>
    </row>
    <row r="75" spans="2:17">
      <c r="B75" s="192" t="s">
        <v>29</v>
      </c>
      <c r="C75" s="193" t="s">
        <v>27</v>
      </c>
      <c r="D75" s="441" t="str">
        <f>'26-10 payroll'!D3</f>
        <v>November 11-25,2018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'26-10 payroll'!D3</f>
        <v>November 11-25,2018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6024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5020</v>
      </c>
      <c r="Q76" s="174"/>
    </row>
    <row r="77" spans="2:17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313.75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43.925000000000004</v>
      </c>
      <c r="G83" s="55"/>
      <c r="H83" s="56">
        <f>SUM(F79:F83)</f>
        <v>163.92500000000001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18.825000000000003</v>
      </c>
      <c r="O83" s="9"/>
      <c r="P83" s="10">
        <f>SUM(N79:N83)</f>
        <v>432.57499999999999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182.5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53.337499999999999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44.970833333333331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-1651.5775000000001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-1604.0508333333332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4536.3474999999999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3848.5241666666666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'26-10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'26-10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'26-10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'26-10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 t="str">
        <f>'26-10 payroll'!B13</f>
        <v>Pantoja,Nancy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'26-10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'26-10 payroll'!E13</f>
        <v>502</v>
      </c>
      <c r="E107" s="440"/>
      <c r="F107" s="440"/>
      <c r="G107" s="55"/>
      <c r="H107" s="196"/>
      <c r="I107" s="195"/>
      <c r="J107" s="192" t="s">
        <v>28</v>
      </c>
      <c r="K107" s="193" t="s">
        <v>27</v>
      </c>
      <c r="L107" s="440">
        <f>'26-10 payroll'!E14</f>
        <v>0</v>
      </c>
      <c r="M107" s="440"/>
      <c r="N107" s="440"/>
      <c r="O107" s="9"/>
      <c r="P107" s="196"/>
    </row>
    <row r="108" spans="2:17">
      <c r="B108" s="192" t="s">
        <v>29</v>
      </c>
      <c r="C108" s="193" t="s">
        <v>27</v>
      </c>
      <c r="D108" s="441" t="str">
        <f>'26-10 payroll'!D3</f>
        <v>November 11-25,2018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'26-10 payroll'!D3</f>
        <v>November 11-25,2018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6024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62.75</v>
      </c>
      <c r="G116" s="55"/>
      <c r="H116" s="56">
        <f>SUM(F112:F116)</f>
        <v>182.75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490.5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301.5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217.11500000000001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-1679.2149999999999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4527.5349999999999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-301.5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'26-10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'26-10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'26-10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'26-10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'26-10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'26-10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'26-10 payroll'!E15</f>
        <v>0</v>
      </c>
      <c r="E140" s="440"/>
      <c r="F140" s="440"/>
      <c r="G140" s="55"/>
      <c r="H140" s="196"/>
      <c r="I140" s="195"/>
      <c r="J140" s="192" t="s">
        <v>28</v>
      </c>
      <c r="K140" s="193" t="s">
        <v>27</v>
      </c>
      <c r="L140" s="440">
        <f>'26-10 payroll'!E112</f>
        <v>0</v>
      </c>
      <c r="M140" s="440"/>
      <c r="N140" s="440"/>
      <c r="O140" s="9"/>
      <c r="P140" s="196"/>
    </row>
    <row r="141" spans="2:17">
      <c r="B141" s="192" t="s">
        <v>29</v>
      </c>
      <c r="C141" s="193" t="s">
        <v>27</v>
      </c>
      <c r="D141" s="441" t="str">
        <f>'26-10 payroll'!D3</f>
        <v>November 11-25,2018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'26-10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83"/>
      <c r="B5" s="385" t="s">
        <v>0</v>
      </c>
      <c r="C5" s="387" t="s">
        <v>1</v>
      </c>
      <c r="D5" s="388" t="s">
        <v>13</v>
      </c>
      <c r="E5" s="387" t="s">
        <v>14</v>
      </c>
      <c r="F5" s="388" t="s">
        <v>15</v>
      </c>
      <c r="G5" s="387" t="s">
        <v>16</v>
      </c>
      <c r="H5" s="388" t="s">
        <v>44</v>
      </c>
      <c r="I5" s="421" t="s">
        <v>118</v>
      </c>
      <c r="J5" s="427" t="s">
        <v>91</v>
      </c>
      <c r="K5" s="428"/>
      <c r="L5" s="429"/>
      <c r="M5" s="410" t="s">
        <v>108</v>
      </c>
      <c r="N5" s="411"/>
      <c r="O5" s="411"/>
      <c r="P5" s="387" t="s">
        <v>2</v>
      </c>
      <c r="Q5" s="388" t="s">
        <v>17</v>
      </c>
      <c r="R5" s="387" t="s">
        <v>2</v>
      </c>
      <c r="S5" s="388" t="s">
        <v>18</v>
      </c>
      <c r="T5" s="387" t="s">
        <v>2</v>
      </c>
      <c r="U5" s="388" t="s">
        <v>19</v>
      </c>
      <c r="V5" s="387" t="s">
        <v>2</v>
      </c>
      <c r="W5" s="388" t="s">
        <v>20</v>
      </c>
      <c r="X5" s="415" t="s">
        <v>3</v>
      </c>
    </row>
    <row r="6" spans="1:26" s="138" customFormat="1" ht="27" customHeight="1" thickBot="1">
      <c r="A6" s="384"/>
      <c r="B6" s="386"/>
      <c r="C6" s="386"/>
      <c r="D6" s="389"/>
      <c r="E6" s="390"/>
      <c r="F6" s="389"/>
      <c r="G6" s="390"/>
      <c r="H6" s="414"/>
      <c r="I6" s="42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6"/>
      <c r="Q6" s="389"/>
      <c r="R6" s="386"/>
      <c r="S6" s="389"/>
      <c r="T6" s="386"/>
      <c r="U6" s="389"/>
      <c r="V6" s="386"/>
      <c r="W6" s="414"/>
      <c r="X6" s="416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1"/>
      <c r="B20" s="393" t="s">
        <v>0</v>
      </c>
      <c r="C20" s="395" t="s">
        <v>1</v>
      </c>
      <c r="D20" s="381" t="s">
        <v>3</v>
      </c>
      <c r="E20" s="417" t="s">
        <v>22</v>
      </c>
      <c r="F20" s="423" t="s">
        <v>2</v>
      </c>
      <c r="G20" s="395" t="s">
        <v>21</v>
      </c>
      <c r="H20" s="381" t="s">
        <v>2</v>
      </c>
      <c r="I20" s="419" t="s">
        <v>126</v>
      </c>
      <c r="J20" s="406" t="s">
        <v>4</v>
      </c>
      <c r="K20" s="408" t="s">
        <v>23</v>
      </c>
      <c r="L20" s="381" t="s">
        <v>5</v>
      </c>
      <c r="M20" s="381" t="s">
        <v>6</v>
      </c>
      <c r="N20" s="381" t="s">
        <v>24</v>
      </c>
      <c r="O20" s="381" t="s">
        <v>7</v>
      </c>
      <c r="P20" s="401" t="s">
        <v>3</v>
      </c>
      <c r="Q20" s="244"/>
      <c r="R20" s="152" t="s">
        <v>103</v>
      </c>
      <c r="S20" s="244"/>
    </row>
    <row r="21" spans="1:24" s="138" customFormat="1" ht="15" customHeight="1" thickBot="1">
      <c r="A21" s="392"/>
      <c r="B21" s="394"/>
      <c r="C21" s="396"/>
      <c r="D21" s="413"/>
      <c r="E21" s="418"/>
      <c r="F21" s="424"/>
      <c r="G21" s="443"/>
      <c r="H21" s="397"/>
      <c r="I21" s="420"/>
      <c r="J21" s="407"/>
      <c r="K21" s="409"/>
      <c r="L21" s="397"/>
      <c r="M21" s="397"/>
      <c r="N21" s="413"/>
      <c r="O21" s="397"/>
      <c r="P21" s="402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91"/>
      <c r="B54" s="393" t="s">
        <v>0</v>
      </c>
      <c r="C54" s="395" t="s">
        <v>1</v>
      </c>
      <c r="D54" s="381" t="s">
        <v>3</v>
      </c>
      <c r="E54" s="381" t="s">
        <v>45</v>
      </c>
      <c r="F54" s="379" t="s">
        <v>151</v>
      </c>
      <c r="G54" s="399" t="s">
        <v>112</v>
      </c>
      <c r="H54" s="400"/>
      <c r="I54" s="404"/>
      <c r="J54" s="401" t="s">
        <v>3</v>
      </c>
      <c r="K54" s="403" t="s">
        <v>114</v>
      </c>
      <c r="L54" s="398" t="s">
        <v>115</v>
      </c>
      <c r="M54" s="398" t="s">
        <v>116</v>
      </c>
      <c r="O54" s="412" t="s">
        <v>102</v>
      </c>
    </row>
    <row r="55" spans="1:15" ht="13.8" thickBot="1">
      <c r="A55" s="392"/>
      <c r="B55" s="394"/>
      <c r="C55" s="396"/>
      <c r="D55" s="413"/>
      <c r="E55" s="382"/>
      <c r="F55" s="380"/>
      <c r="G55" s="245" t="s">
        <v>113</v>
      </c>
      <c r="H55" s="246" t="s">
        <v>148</v>
      </c>
      <c r="I55" s="405"/>
      <c r="J55" s="402"/>
      <c r="K55" s="403"/>
      <c r="L55" s="398"/>
      <c r="M55" s="398"/>
      <c r="O55" s="412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'11-25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'11-25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'11-25 payroll'!D2</f>
        <v>VALERO</v>
      </c>
      <c r="C3" s="434"/>
      <c r="D3" s="434"/>
      <c r="E3" s="434"/>
      <c r="F3" s="434"/>
      <c r="G3" s="434"/>
      <c r="H3" s="435"/>
      <c r="I3" s="178"/>
      <c r="J3" s="433" t="str">
        <f>'11-25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'11-25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'11-25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'11-25 payroll'!E7</f>
        <v>502</v>
      </c>
      <c r="E8" s="440"/>
      <c r="F8" s="440"/>
      <c r="G8" s="55"/>
      <c r="H8" s="235"/>
      <c r="I8" s="195"/>
      <c r="J8" s="192" t="s">
        <v>28</v>
      </c>
      <c r="K8" s="193" t="s">
        <v>27</v>
      </c>
      <c r="L8" s="440">
        <f>'11-25 payroll'!E8</f>
        <v>502</v>
      </c>
      <c r="M8" s="440"/>
      <c r="N8" s="440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1" t="str">
        <f>'11-25 payroll'!D3</f>
        <v>August 11-25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'11-25 payroll'!D3</f>
        <v>August 11-25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'11-25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'11-25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'11-25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'11-25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'11-25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'11-25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'11-25 payroll'!E9</f>
        <v>790.23076923076928</v>
      </c>
      <c r="E41" s="440"/>
      <c r="F41" s="440"/>
      <c r="G41" s="55"/>
      <c r="H41" s="235"/>
      <c r="I41" s="195"/>
      <c r="J41" s="192" t="s">
        <v>28</v>
      </c>
      <c r="K41" s="193" t="s">
        <v>27</v>
      </c>
      <c r="L41" s="440">
        <f>'11-25 payroll'!E10</f>
        <v>502</v>
      </c>
      <c r="M41" s="440"/>
      <c r="N41" s="440"/>
      <c r="O41" s="9"/>
      <c r="P41" s="235"/>
    </row>
    <row r="42" spans="2:17">
      <c r="B42" s="192" t="s">
        <v>29</v>
      </c>
      <c r="C42" s="193" t="s">
        <v>27</v>
      </c>
      <c r="D42" s="441" t="str">
        <f>'11-25 payroll'!D3</f>
        <v>August 11-25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'11-25 payroll'!D3</f>
        <v>August 11-25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'11-25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'11-25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'11-25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'11-25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'11-25 payroll'!B11</f>
        <v>Briones, Christain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>
        <f>'11-25 payroll'!B12</f>
        <v>0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'11-25 payroll'!E11</f>
        <v>502</v>
      </c>
      <c r="E74" s="440"/>
      <c r="F74" s="440"/>
      <c r="G74" s="55"/>
      <c r="H74" s="235"/>
      <c r="I74" s="195"/>
      <c r="J74" s="192" t="s">
        <v>28</v>
      </c>
      <c r="K74" s="193" t="s">
        <v>27</v>
      </c>
      <c r="L74" s="440">
        <f>'11-25 payroll'!E12</f>
        <v>0</v>
      </c>
      <c r="M74" s="440"/>
      <c r="N74" s="440"/>
      <c r="O74" s="9"/>
      <c r="P74" s="235"/>
    </row>
    <row r="75" spans="2:17">
      <c r="B75" s="192" t="s">
        <v>29</v>
      </c>
      <c r="C75" s="193" t="s">
        <v>27</v>
      </c>
      <c r="D75" s="441" t="str">
        <f>'11-25 payroll'!D3</f>
        <v>August 11-25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'11-25 payroll'!D3</f>
        <v>August 11-25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'11-25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'11-25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'11-25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'11-25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>
        <f>'11-25 payroll'!B13</f>
        <v>0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'11-25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'11-25 payroll'!E13</f>
        <v>0</v>
      </c>
      <c r="E107" s="440"/>
      <c r="F107" s="440"/>
      <c r="G107" s="55"/>
      <c r="H107" s="235"/>
      <c r="I107" s="195"/>
      <c r="J107" s="192" t="s">
        <v>28</v>
      </c>
      <c r="K107" s="193" t="s">
        <v>27</v>
      </c>
      <c r="L107" s="440">
        <f>'11-25 payroll'!E14</f>
        <v>0</v>
      </c>
      <c r="M107" s="440"/>
      <c r="N107" s="440"/>
      <c r="O107" s="9"/>
      <c r="P107" s="235"/>
    </row>
    <row r="108" spans="2:17">
      <c r="B108" s="192" t="s">
        <v>29</v>
      </c>
      <c r="C108" s="193" t="s">
        <v>27</v>
      </c>
      <c r="D108" s="441" t="str">
        <f>'11-25 payroll'!D3</f>
        <v>August 11-25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'11-25 payroll'!D3</f>
        <v>August 11-25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'11-25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'11-25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'11-25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'11-25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'11-25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'11-25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'11-25 payroll'!E15</f>
        <v>0</v>
      </c>
      <c r="E140" s="440"/>
      <c r="F140" s="440"/>
      <c r="G140" s="55"/>
      <c r="H140" s="235"/>
      <c r="I140" s="195"/>
      <c r="J140" s="192" t="s">
        <v>28</v>
      </c>
      <c r="K140" s="193" t="s">
        <v>27</v>
      </c>
      <c r="L140" s="440">
        <f>'11-25 payroll'!E112</f>
        <v>0</v>
      </c>
      <c r="M140" s="440"/>
      <c r="N140" s="440"/>
      <c r="O140" s="9"/>
      <c r="P140" s="235"/>
    </row>
    <row r="141" spans="2:17">
      <c r="B141" s="192" t="s">
        <v>29</v>
      </c>
      <c r="C141" s="193" t="s">
        <v>27</v>
      </c>
      <c r="D141" s="441" t="str">
        <f>'11-25 payroll'!D3</f>
        <v>August 11-25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'11-25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November 11-25,2018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48" t="s">
        <v>65</v>
      </c>
      <c r="H15" s="448"/>
      <c r="J15" s="449" t="s">
        <v>66</v>
      </c>
      <c r="K15" s="449"/>
      <c r="L15" s="449"/>
      <c r="M15" s="449" t="s">
        <v>67</v>
      </c>
      <c r="N15" s="449"/>
      <c r="O15" s="448" t="s">
        <v>68</v>
      </c>
      <c r="P15" s="448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6" t="s">
        <v>70</v>
      </c>
      <c r="H16" s="446"/>
      <c r="I16" s="70" t="s">
        <v>71</v>
      </c>
      <c r="J16" s="450" t="s">
        <v>72</v>
      </c>
      <c r="K16" s="450"/>
      <c r="L16" s="450"/>
      <c r="M16" s="450" t="s">
        <v>73</v>
      </c>
      <c r="N16" s="450"/>
      <c r="O16" s="446" t="s">
        <v>74</v>
      </c>
      <c r="P16" s="446"/>
      <c r="Q16" s="251" t="s">
        <v>75</v>
      </c>
      <c r="R16" s="445" t="s">
        <v>117</v>
      </c>
      <c r="S16" s="446"/>
      <c r="T16" s="446"/>
      <c r="U16" s="447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6658.55</v>
      </c>
      <c r="H18" s="80">
        <f>'11-25 payroll'!R22</f>
        <v>6526</v>
      </c>
      <c r="I18" s="81">
        <f>G18+H18</f>
        <v>13184.55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337.5</v>
      </c>
      <c r="N18" s="83">
        <f>M18</f>
        <v>337.5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6662.7333333333327</v>
      </c>
      <c r="H19" s="80">
        <f>'11-25 payroll'!R23</f>
        <v>6526</v>
      </c>
      <c r="I19" s="81">
        <f t="shared" ref="I19:I27" si="0">G19+H19</f>
        <v>13188.733333333334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337.5</v>
      </c>
      <c r="N19" s="83">
        <f t="shared" ref="N19:N27" si="1">M19</f>
        <v>337.5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9906.0202884615392</v>
      </c>
      <c r="H20" s="80">
        <f>'11-25 payroll'!R24</f>
        <v>10273</v>
      </c>
      <c r="I20" s="81">
        <f t="shared" si="0"/>
        <v>20179.020288461539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6556.2674999999999</v>
      </c>
      <c r="H21" s="80">
        <f>'11-25 payroll'!R25</f>
        <v>6526</v>
      </c>
      <c r="I21" s="81">
        <f t="shared" si="0"/>
        <v>13082.2675</v>
      </c>
      <c r="J21" s="82">
        <f>+'26-10 payroll'!J25+'11-25 payroll'!J25</f>
        <v>908.3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325</v>
      </c>
      <c r="N21" s="83">
        <f>M21</f>
        <v>325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6134.5875000000005</v>
      </c>
      <c r="H22" s="80">
        <f>'11-25 payroll'!R26</f>
        <v>6526</v>
      </c>
      <c r="I22" s="81">
        <f t="shared" si="0"/>
        <v>12660.587500000001</v>
      </c>
      <c r="J22" s="82">
        <f>+'26-10 payroll'!J26+'11-25 payroll'!J26</f>
        <v>926.5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325</v>
      </c>
      <c r="N22" s="83">
        <f>M22</f>
        <v>325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1938.08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5407.6041666666661</v>
      </c>
      <c r="H23" s="80">
        <f>'11-25 payroll'!R27</f>
        <v>0</v>
      </c>
      <c r="I23" s="93">
        <f t="shared" si="0"/>
        <v>5407.6041666666661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182.5</v>
      </c>
      <c r="N23" s="83">
        <f>M23</f>
        <v>182.5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5989.6350000000002</v>
      </c>
      <c r="H24" s="80">
        <f>'11-25 payroll'!R28</f>
        <v>0</v>
      </c>
      <c r="I24" s="81">
        <f t="shared" si="0"/>
        <v>5989.6350000000002</v>
      </c>
      <c r="J24" s="82">
        <f>+'26-10 payroll'!J28+'11-25 payroll'!J28</f>
        <v>490.5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162.5</v>
      </c>
      <c r="N24" s="83">
        <f t="shared" si="1"/>
        <v>162.5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47315.397788461538</v>
      </c>
      <c r="H29" s="103">
        <f t="shared" ref="H29:O29" si="3">SUM(H18:H27)</f>
        <v>36377</v>
      </c>
      <c r="I29" s="103">
        <f t="shared" si="3"/>
        <v>83692.397788461531</v>
      </c>
      <c r="J29" s="103">
        <f t="shared" si="3"/>
        <v>5849.5</v>
      </c>
      <c r="K29" s="103">
        <f t="shared" si="3"/>
        <v>5046.3</v>
      </c>
      <c r="L29" s="103">
        <f t="shared" si="3"/>
        <v>70</v>
      </c>
      <c r="M29" s="103">
        <f t="shared" si="3"/>
        <v>2145</v>
      </c>
      <c r="N29" s="103">
        <f t="shared" si="3"/>
        <v>2145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5729.6900000000005</v>
      </c>
      <c r="S29" s="103">
        <f t="shared" si="4"/>
        <v>7664.9500000000007</v>
      </c>
      <c r="T29" s="103">
        <f t="shared" si="4"/>
        <v>0</v>
      </c>
      <c r="U29" s="260">
        <f t="shared" si="4"/>
        <v>2607.0300000000002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10965.8</v>
      </c>
      <c r="L31" s="115"/>
      <c r="M31" s="115">
        <f>M29+N29</f>
        <v>4290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59.267307692307696</v>
      </c>
      <c r="M34" s="109">
        <f>+'26-10 payroll'!W9+'11-25 payroll'!W9</f>
        <v>0</v>
      </c>
      <c r="N34" s="109">
        <f>+'26-10 payroll'!F24+'26-10 payroll'!H24+'11-25 payroll'!F24+'11-25 payroll'!H24</f>
        <v>546.24701923076918</v>
      </c>
      <c r="O34" s="109">
        <f>+'26-10 payroll'!I24+'11-25 payroll'!I24</f>
        <v>25.1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59.267307692307696</v>
      </c>
      <c r="M36" s="264">
        <f t="shared" si="5"/>
        <v>0</v>
      </c>
      <c r="N36" s="264">
        <f t="shared" si="5"/>
        <v>546.24701923076918</v>
      </c>
      <c r="O36" s="264">
        <f t="shared" si="5"/>
        <v>25.1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12.55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37.650000000000006</v>
      </c>
      <c r="M38" s="109">
        <f>+'26-10 payroll'!W8+'11-25 payroll'!W8</f>
        <v>0</v>
      </c>
      <c r="N38" s="109">
        <f>+'26-10 payroll'!F23+'26-10 payroll'!H23+'11-25 payroll'!F23+'11-25 payroll'!H23</f>
        <v>20.916666666666664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18.825000000000003</v>
      </c>
      <c r="M39" s="109">
        <f>+'26-10 payroll'!W10+'11-25 payroll'!W10</f>
        <v>0</v>
      </c>
      <c r="N39" s="109">
        <f>+'26-10 payroll'!F25+'26-10 payroll'!H25+'11-25 payroll'!F25+'11-25 payroll'!H25</f>
        <v>108.5575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69.025000000000006</v>
      </c>
      <c r="M41" s="268">
        <f t="shared" si="6"/>
        <v>0</v>
      </c>
      <c r="N41" s="268">
        <f t="shared" si="6"/>
        <v>129.47416666666666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128.2923076923077</v>
      </c>
      <c r="M44" s="263">
        <f t="shared" si="7"/>
        <v>0</v>
      </c>
      <c r="N44" s="263">
        <f t="shared" si="7"/>
        <v>675.72118589743582</v>
      </c>
      <c r="O44" s="263">
        <f t="shared" si="7"/>
        <v>25.1</v>
      </c>
      <c r="P44" s="263">
        <f t="shared" si="7"/>
        <v>7636</v>
      </c>
      <c r="Q44" s="263">
        <f>SUM(B44:P44)</f>
        <v>68647.113493589743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4" t="s">
        <v>133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Q46" s="110"/>
      <c r="U46" s="109"/>
    </row>
    <row r="47" spans="1:22" s="105" customFormat="1">
      <c r="A47" s="444"/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69868.471121794879</v>
      </c>
      <c r="M48" s="263">
        <f>+I29+P36+P41-(O36+O41)+G36</f>
        <v>91403.297788461525</v>
      </c>
      <c r="N48" s="109">
        <f>+L48-M48</f>
        <v>-21534.826666666646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35192.625833333332</v>
      </c>
      <c r="M49" s="263">
        <f>+L49</f>
        <v>35192.625833333332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69.025000000000006</v>
      </c>
      <c r="M50" s="263">
        <f>+L50</f>
        <v>69.025000000000006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16110.5</v>
      </c>
      <c r="M51" s="263">
        <f>+L51</f>
        <v>16110.5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18496.320288461542</v>
      </c>
      <c r="M52" s="263">
        <f>+M48-M49-M50-M51</f>
        <v>40031.146955128192</v>
      </c>
      <c r="N52" s="109">
        <f>+L52-M52</f>
        <v>-21534.82666666665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1" t="s">
        <v>284</v>
      </c>
      <c r="E18" s="452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1"/>
      <c r="E19" s="452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topLeftCell="A13" workbookViewId="0">
      <selection activeCell="F21" sqref="F21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'[2]11-25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'[2]11-25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'[2]11-25 payroll'!D2</f>
        <v>VALERO</v>
      </c>
      <c r="C3" s="434"/>
      <c r="D3" s="434"/>
      <c r="E3" s="434"/>
      <c r="F3" s="434"/>
      <c r="G3" s="434"/>
      <c r="H3" s="435"/>
      <c r="I3" s="178"/>
      <c r="J3" s="433" t="str">
        <f>'[2]11-25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'[2]11-25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'[2]11-25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'[2]11-25 payroll'!E7</f>
        <v>502</v>
      </c>
      <c r="E8" s="440"/>
      <c r="F8" s="440"/>
      <c r="G8" s="55"/>
      <c r="H8" s="356"/>
      <c r="I8" s="195"/>
      <c r="J8" s="192" t="s">
        <v>28</v>
      </c>
      <c r="K8" s="193" t="s">
        <v>27</v>
      </c>
      <c r="L8" s="440">
        <f>'[2]11-25 payroll'!E8</f>
        <v>502</v>
      </c>
      <c r="M8" s="440"/>
      <c r="N8" s="440"/>
      <c r="O8" s="9"/>
      <c r="P8" s="356"/>
    </row>
    <row r="9" spans="1:22" s="187" customFormat="1">
      <c r="A9" s="170"/>
      <c r="B9" s="192" t="s">
        <v>29</v>
      </c>
      <c r="C9" s="193" t="s">
        <v>27</v>
      </c>
      <c r="D9" s="441" t="s">
        <v>293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">
        <v>293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'[2]11-25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156.88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'[2]11-25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'[2]11-25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884+150+18.83</f>
        <v>1052.83</v>
      </c>
      <c r="G17" s="55"/>
      <c r="H17" s="56">
        <f>SUM(F13:F17)</f>
        <v>1182.83</v>
      </c>
      <c r="I17" s="195"/>
      <c r="J17" s="192"/>
      <c r="K17" s="193"/>
      <c r="L17" s="204" t="s">
        <v>99</v>
      </c>
      <c r="M17" s="205"/>
      <c r="N17" s="11">
        <f>500+31.38</f>
        <v>531.38</v>
      </c>
      <c r="O17" s="9"/>
      <c r="P17" s="10">
        <f>SUM(N13:N17)</f>
        <v>818.26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'[2]11-25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'[2]11-25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'[2]11-25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v>187.5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+'[2]11-25 payroll'!F57+'[2]11-25 payroll'!G57+'[2]11-25 payroll'!H57+'[2]11-25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'[2]11-25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'[2]11-25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'[2]11-25 payroll'!F23+'[2]11-25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'[2]11-25 payroll'!M22</f>
        <v>0</v>
      </c>
      <c r="G27" s="55"/>
      <c r="H27" s="211">
        <f>-SUM(F19:F27)</f>
        <v>-1956.83</v>
      </c>
      <c r="I27" s="195"/>
      <c r="J27" s="192"/>
      <c r="K27" s="198"/>
      <c r="L27" s="198" t="s">
        <v>6</v>
      </c>
      <c r="M27" s="205"/>
      <c r="N27" s="9">
        <f>'[2]11-25 payroll'!M23</f>
        <v>0</v>
      </c>
      <c r="O27" s="9"/>
      <c r="P27" s="211">
        <f>-SUM(N19:N27)</f>
        <v>-678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5752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6666.26</v>
      </c>
      <c r="R28" s="215"/>
      <c r="T28" s="216">
        <f>+H28-'[2]11-25 payroll'!S35</f>
        <v>-15.605140624998967</v>
      </c>
      <c r="U28" s="217"/>
      <c r="V28" s="218">
        <f>+P28-'[2]11-25 payroll'!S36</f>
        <v>152.76204687500012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'[2]11-25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'[2]11-25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'[2]11-25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'[2]11-25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'[2]11-25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'[2]11-25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'[2]11-25 payroll'!E9</f>
        <v>790.23076923076928</v>
      </c>
      <c r="E41" s="440"/>
      <c r="F41" s="440"/>
      <c r="G41" s="55"/>
      <c r="H41" s="356"/>
      <c r="I41" s="195"/>
      <c r="J41" s="192" t="s">
        <v>28</v>
      </c>
      <c r="K41" s="193" t="s">
        <v>27</v>
      </c>
      <c r="L41" s="440">
        <f>'[2]11-25 payroll'!E10</f>
        <v>502</v>
      </c>
      <c r="M41" s="440"/>
      <c r="N41" s="440"/>
      <c r="O41" s="9"/>
      <c r="P41" s="356"/>
    </row>
    <row r="42" spans="2:17">
      <c r="B42" s="192" t="s">
        <v>29</v>
      </c>
      <c r="C42" s="193" t="s">
        <v>27</v>
      </c>
      <c r="D42" s="441" t="s">
        <v>293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">
        <v>293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'[2]11-25 payroll'!G10</f>
        <v>6526</v>
      </c>
      <c r="Q43" s="174"/>
    </row>
    <row r="44" spans="2:17">
      <c r="B44" s="192"/>
      <c r="C44" s="198"/>
      <c r="D44" s="200" t="s">
        <v>31</v>
      </c>
      <c r="E44" s="202"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'[2]11-25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'[2]11-25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'[2]11-25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'[2]11-25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250+1000+50+49.39</f>
        <v>1349.39</v>
      </c>
      <c r="G50" s="55"/>
      <c r="H50" s="56">
        <f>SUM(F46:F50)</f>
        <v>1479.39</v>
      </c>
      <c r="I50" s="195"/>
      <c r="J50" s="192"/>
      <c r="K50" s="193"/>
      <c r="L50" s="204" t="s">
        <v>99</v>
      </c>
      <c r="M50" s="205"/>
      <c r="N50" s="11">
        <f>150+884+18.83</f>
        <v>1052.83</v>
      </c>
      <c r="O50" s="9"/>
      <c r="P50" s="10">
        <f>SUM(N46:N50)</f>
        <v>1182.83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'[2]11-25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'[2]11-25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v>175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'[2]11-25 payroll'!O24</f>
        <v>0</v>
      </c>
      <c r="G55" s="55"/>
      <c r="H55" s="207"/>
      <c r="I55" s="195"/>
      <c r="J55" s="192"/>
      <c r="K55" s="198"/>
      <c r="L55" s="206" t="s">
        <v>294</v>
      </c>
      <c r="M55" s="205"/>
      <c r="N55" s="9">
        <v>500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+'[2]11-25 payroll'!F58+'[2]11-25 payroll'!G58+'[2]11-25 payroll'!H58+'[2]11-25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+'[2]11-25 payroll'!F59+'[2]11-25 payroll'!G59+'[2]11-25 payroll'!H59+'[2]11-25 payroll'!I59</f>
        <v>1537.34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'[2]11-25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'[2]11-25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v>230.15</v>
      </c>
      <c r="G58" s="55"/>
      <c r="H58" s="209"/>
      <c r="I58" s="195"/>
      <c r="J58" s="192"/>
      <c r="K58" s="198"/>
      <c r="L58" s="206" t="s">
        <v>39</v>
      </c>
      <c r="M58" s="205"/>
      <c r="N58" s="9">
        <f>15.69+6.28</f>
        <v>21.97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'[2]11-25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'[2]11-25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'[2]11-25 payroll'!M24</f>
        <v>0</v>
      </c>
      <c r="G60" s="55"/>
      <c r="H60" s="211">
        <f>-SUM(F52:F60)</f>
        <v>-2687.84</v>
      </c>
      <c r="I60" s="195"/>
      <c r="J60" s="192"/>
      <c r="K60" s="198"/>
      <c r="L60" s="198" t="s">
        <v>6</v>
      </c>
      <c r="M60" s="205"/>
      <c r="N60" s="9">
        <f>'[2]11-25 payroll'!M25</f>
        <v>0</v>
      </c>
      <c r="O60" s="9"/>
      <c r="P60" s="211">
        <f>-SUM(N52:N60)</f>
        <v>-3891.81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9064.5499999999993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3817.02</v>
      </c>
      <c r="Q61" s="174"/>
      <c r="T61" s="216">
        <f>+H61-'[2]11-25 payroll'!S37</f>
        <v>257.15930624999964</v>
      </c>
      <c r="V61" s="237">
        <f>+P61-'[2]11-25 payroll'!S38</f>
        <v>-2035.5635010416668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'[2]11-25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'[2]11-25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'[2]11-25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'[2]11-25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'[2]11-25 payroll'!B11</f>
        <v>Briones, Christain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 t="str">
        <f>'[2]11-25 payroll'!B12</f>
        <v>Cahilig,Benzen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'[2]11-25 payroll'!E11</f>
        <v>502</v>
      </c>
      <c r="E74" s="440"/>
      <c r="F74" s="440"/>
      <c r="G74" s="55"/>
      <c r="H74" s="356"/>
      <c r="I74" s="195"/>
      <c r="J74" s="192" t="s">
        <v>28</v>
      </c>
      <c r="K74" s="193" t="s">
        <v>27</v>
      </c>
      <c r="L74" s="440">
        <f>'[2]11-25 payroll'!E12</f>
        <v>502</v>
      </c>
      <c r="M74" s="440"/>
      <c r="N74" s="440"/>
      <c r="O74" s="9"/>
      <c r="P74" s="356"/>
    </row>
    <row r="75" spans="2:17">
      <c r="B75" s="192" t="s">
        <v>29</v>
      </c>
      <c r="C75" s="193" t="s">
        <v>27</v>
      </c>
      <c r="D75" s="441" t="s">
        <v>293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">
        <v>293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D74*E77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6024</v>
      </c>
      <c r="Q76" s="174"/>
    </row>
    <row r="77" spans="2:17">
      <c r="B77" s="192"/>
      <c r="C77" s="198"/>
      <c r="D77" s="200" t="s">
        <v>31</v>
      </c>
      <c r="E77" s="202"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v>12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v>235.31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v>120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'[2]11-25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'[2]11-25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'[2]11-25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v>25.1</v>
      </c>
      <c r="G83" s="55"/>
      <c r="H83" s="56">
        <f>SUM(F79:F83)</f>
        <v>155.1</v>
      </c>
      <c r="I83" s="195"/>
      <c r="J83" s="192"/>
      <c r="K83" s="193"/>
      <c r="L83" s="204" t="s">
        <v>99</v>
      </c>
      <c r="M83" s="205"/>
      <c r="N83" s="11">
        <v>37.65</v>
      </c>
      <c r="O83" s="9"/>
      <c r="P83" s="56">
        <f>SUM(N79:N83)</f>
        <v>392.96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v>436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'[2]11-25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'[2]11-25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v>182.5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'[2]11-25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+'[2]11-25 payroll'!F60+'[2]11-25 payroll'!G60+'[2]11-25 payroll'!H60+'[2]11-25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+'[2]11-25 payroll'!F61+'[2]11-25 payroll'!G61+'[2]11-25 payroll'!H61+'[2]11-25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'[2]11-25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'[2]11-25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v>62.75</v>
      </c>
      <c r="G91" s="55"/>
      <c r="H91" s="209"/>
      <c r="I91" s="195"/>
      <c r="J91" s="192"/>
      <c r="K91" s="198"/>
      <c r="L91" s="206" t="s">
        <v>39</v>
      </c>
      <c r="M91" s="205"/>
      <c r="N91" s="9"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'[2]11-25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'[2]11-25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'[2]11-25 payroll'!M26</f>
        <v>0</v>
      </c>
      <c r="G93" s="55"/>
      <c r="H93" s="211">
        <f>-SUM(F85:F93)</f>
        <v>-1660.99</v>
      </c>
      <c r="I93" s="195"/>
      <c r="J93" s="192"/>
      <c r="K93" s="198"/>
      <c r="L93" s="198" t="s">
        <v>6</v>
      </c>
      <c r="M93" s="205"/>
      <c r="N93" s="9">
        <f>'[2]11-25 payroll'!M27</f>
        <v>0</v>
      </c>
      <c r="O93" s="9"/>
      <c r="P93" s="211">
        <f>-SUM(N85:N93)</f>
        <v>-1559.08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5020.1100000000006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4857.88</v>
      </c>
      <c r="Q94" s="174"/>
      <c r="T94" s="216">
        <f>+H94-'[2]11-25 payroll'!S39</f>
        <v>510.21175572916763</v>
      </c>
      <c r="V94" s="237">
        <f>+P94-'[2]11-25 payroll'!S40</f>
        <v>31.670000000000982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'[2]11-25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'[2]11-25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'[2]11-25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'[2]11-25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 t="str">
        <f>'[2]11-25 payroll'!B13</f>
        <v>Pantoja,Nancy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'[2]11-25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'[2]11-25 payroll'!E13</f>
        <v>502</v>
      </c>
      <c r="E107" s="440"/>
      <c r="F107" s="440"/>
      <c r="G107" s="55"/>
      <c r="H107" s="356"/>
      <c r="I107" s="195"/>
      <c r="J107" s="192" t="s">
        <v>28</v>
      </c>
      <c r="K107" s="193" t="s">
        <v>27</v>
      </c>
      <c r="L107" s="440">
        <f>'[2]11-25 payroll'!E14</f>
        <v>0</v>
      </c>
      <c r="M107" s="440"/>
      <c r="N107" s="440"/>
      <c r="O107" s="9"/>
      <c r="P107" s="356"/>
    </row>
    <row r="108" spans="2:17">
      <c r="B108" s="192" t="s">
        <v>29</v>
      </c>
      <c r="C108" s="193" t="s">
        <v>27</v>
      </c>
      <c r="D108" s="441" t="s">
        <v>292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'[2]11-25 payroll'!D3</f>
        <v>JULY  11 - 25, 2018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5522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v>11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/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'[2]11-25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v>43.93</v>
      </c>
      <c r="G116" s="55"/>
      <c r="H116" s="56">
        <f>SUM(F112:F116)</f>
        <v>153.93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v>417.8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'[2]11-25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+'[2]11-25 payroll'!F62+'[2]11-25 payroll'!G62+'[2]11-25 payroll'!H62+'[2]11-25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'[2]11-25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v>70.28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'[2]11-25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-1158.18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4517.75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-554.72999999999956</v>
      </c>
      <c r="V127" s="237">
        <f>+P127-'[2]11-25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'[2]11-25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'[2]11-25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'[2]11-25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'[2]11-25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'[2]11-25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'[2]11-25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'[2]11-25 payroll'!E15</f>
        <v>0</v>
      </c>
      <c r="E140" s="440"/>
      <c r="F140" s="440"/>
      <c r="G140" s="55"/>
      <c r="H140" s="356"/>
      <c r="I140" s="195"/>
      <c r="J140" s="192" t="s">
        <v>28</v>
      </c>
      <c r="K140" s="193" t="s">
        <v>27</v>
      </c>
      <c r="L140" s="440">
        <f>'[2]11-25 payroll'!E112</f>
        <v>0</v>
      </c>
      <c r="M140" s="440"/>
      <c r="N140" s="440"/>
      <c r="O140" s="9"/>
      <c r="P140" s="356"/>
    </row>
    <row r="141" spans="2:17">
      <c r="B141" s="192" t="s">
        <v>29</v>
      </c>
      <c r="C141" s="193" t="s">
        <v>27</v>
      </c>
      <c r="D141" s="441" t="str">
        <f>'[2]11-25 payroll'!D3</f>
        <v>JULY  11 - 25, 2018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'[2]11-25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2018-11-27T23:21:07Z</cp:lastPrinted>
  <dcterms:created xsi:type="dcterms:W3CDTF">2010-01-04T12:18:59Z</dcterms:created>
  <dcterms:modified xsi:type="dcterms:W3CDTF">2018-11-27T23:21:31Z</dcterms:modified>
</cp:coreProperties>
</file>