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8" yWindow="948" windowWidth="7620" windowHeight="7152" tabRatio="542" activeTab="4"/>
  </bookViews>
  <sheets>
    <sheet name="SALES SUMMARY" sheetId="1" r:id="rId1"/>
    <sheet name="SALES SUMMARY (3)" sheetId="6" r:id="rId2"/>
    <sheet name="SALES SUMMARY (2)" sheetId="5" r:id="rId3"/>
    <sheet name="ENTRY" sheetId="2" r:id="rId4"/>
    <sheet name="SC" sheetId="3" r:id="rId5"/>
    <sheet name="M &amp; C VALERO" sheetId="4" r:id="rId6"/>
  </sheets>
  <definedNames>
    <definedName name="_xlnm.Print_Area" localSheetId="5">'M &amp; C VALERO'!$A$68:$H$97</definedName>
    <definedName name="_xlnm.Print_Area" localSheetId="4">SC!$A$1:$O$73</definedName>
  </definedNames>
  <calcPr calcId="124519"/>
</workbook>
</file>

<file path=xl/calcChain.xml><?xml version="1.0" encoding="utf-8"?>
<calcChain xmlns="http://schemas.openxmlformats.org/spreadsheetml/2006/main">
  <c r="P64" i="3"/>
  <c r="BA108" i="1"/>
  <c r="AZ108"/>
  <c r="AR111"/>
  <c r="AR110"/>
  <c r="Q52" i="5"/>
  <c r="P52"/>
  <c r="O52"/>
  <c r="N52"/>
  <c r="Q51"/>
  <c r="P51"/>
  <c r="O51"/>
  <c r="N51"/>
  <c r="Q50"/>
  <c r="P50"/>
  <c r="O50"/>
  <c r="N50"/>
  <c r="Q49"/>
  <c r="P49"/>
  <c r="O49"/>
  <c r="N49"/>
  <c r="Q48"/>
  <c r="P48"/>
  <c r="O48"/>
  <c r="N48"/>
  <c r="Q47"/>
  <c r="P47"/>
  <c r="O47"/>
  <c r="N47"/>
  <c r="Q46"/>
  <c r="P46"/>
  <c r="O46"/>
  <c r="N46"/>
  <c r="Q45"/>
  <c r="P45"/>
  <c r="O45"/>
  <c r="N45"/>
  <c r="Q44"/>
  <c r="P44"/>
  <c r="O44"/>
  <c r="N44"/>
  <c r="Q43"/>
  <c r="P43"/>
  <c r="O43"/>
  <c r="N43"/>
  <c r="Q42"/>
  <c r="P42"/>
  <c r="O42"/>
  <c r="N42"/>
  <c r="Q41"/>
  <c r="P41"/>
  <c r="O41"/>
  <c r="N41"/>
  <c r="Q40"/>
  <c r="P40"/>
  <c r="O40"/>
  <c r="N40"/>
  <c r="Q39"/>
  <c r="P39"/>
  <c r="O39"/>
  <c r="N39"/>
  <c r="Q38"/>
  <c r="P38"/>
  <c r="O38"/>
  <c r="N38"/>
  <c r="Q37"/>
  <c r="P37"/>
  <c r="O37"/>
  <c r="N37"/>
  <c r="Q36"/>
  <c r="P36"/>
  <c r="O36"/>
  <c r="N36"/>
  <c r="Q35"/>
  <c r="P35"/>
  <c r="O35"/>
  <c r="N35"/>
  <c r="Q34"/>
  <c r="P34"/>
  <c r="O34"/>
  <c r="N34"/>
  <c r="Q33"/>
  <c r="P33"/>
  <c r="O33"/>
  <c r="N33"/>
  <c r="Q32"/>
  <c r="P32"/>
  <c r="O32"/>
  <c r="N32"/>
  <c r="Q31"/>
  <c r="P31"/>
  <c r="O31"/>
  <c r="N31"/>
  <c r="Q30"/>
  <c r="P30"/>
  <c r="O30"/>
  <c r="N30"/>
  <c r="Q29"/>
  <c r="P29"/>
  <c r="O29"/>
  <c r="N29"/>
  <c r="Q28"/>
  <c r="P28"/>
  <c r="O28"/>
  <c r="N28"/>
  <c r="Q27"/>
  <c r="P27"/>
  <c r="O27"/>
  <c r="N27"/>
  <c r="Q26"/>
  <c r="P26"/>
  <c r="O26"/>
  <c r="N26"/>
  <c r="Q25"/>
  <c r="P25"/>
  <c r="O25"/>
  <c r="N25"/>
  <c r="Q24"/>
  <c r="P24"/>
  <c r="O24"/>
  <c r="N24"/>
  <c r="Q23"/>
  <c r="P23"/>
  <c r="O23"/>
  <c r="N23"/>
  <c r="Q22"/>
  <c r="P22"/>
  <c r="O22"/>
  <c r="N22"/>
  <c r="Q21"/>
  <c r="P21"/>
  <c r="O21"/>
  <c r="N21"/>
  <c r="Q20"/>
  <c r="P20"/>
  <c r="O20"/>
  <c r="N20"/>
  <c r="Q19"/>
  <c r="P19"/>
  <c r="O19"/>
  <c r="N19"/>
  <c r="Q18"/>
  <c r="P18"/>
  <c r="O18"/>
  <c r="N18"/>
  <c r="Q17"/>
  <c r="P17"/>
  <c r="O17"/>
  <c r="N17"/>
  <c r="Q16"/>
  <c r="P16"/>
  <c r="O16"/>
  <c r="N16"/>
  <c r="Q15"/>
  <c r="P15"/>
  <c r="O15"/>
  <c r="N15"/>
  <c r="Q14"/>
  <c r="P14"/>
  <c r="O14"/>
  <c r="N14"/>
  <c r="Q13"/>
  <c r="P13"/>
  <c r="O13"/>
  <c r="N13"/>
  <c r="Q12"/>
  <c r="P12"/>
  <c r="O12"/>
  <c r="N12"/>
  <c r="Q11"/>
  <c r="P11"/>
  <c r="O11"/>
  <c r="N11"/>
  <c r="Q10"/>
  <c r="P10"/>
  <c r="O10"/>
  <c r="N10"/>
  <c r="AL52" i="6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BA52"/>
  <c r="BS52" s="1"/>
  <c r="AM52"/>
  <c r="AN52" s="1"/>
  <c r="AO52" s="1"/>
  <c r="AI52"/>
  <c r="AH52"/>
  <c r="AG52"/>
  <c r="N52"/>
  <c r="M52"/>
  <c r="H52"/>
  <c r="G52"/>
  <c r="BE51"/>
  <c r="BD51"/>
  <c r="BA51"/>
  <c r="AM51"/>
  <c r="AI51"/>
  <c r="AH51"/>
  <c r="AG51"/>
  <c r="N51"/>
  <c r="M51"/>
  <c r="H51"/>
  <c r="G51"/>
  <c r="BA50"/>
  <c r="BS50" s="1"/>
  <c r="AM50"/>
  <c r="AN50" s="1"/>
  <c r="AO50" s="1"/>
  <c r="AI50"/>
  <c r="AH50"/>
  <c r="AG50"/>
  <c r="N50"/>
  <c r="M50"/>
  <c r="H50"/>
  <c r="G50"/>
  <c r="BE49"/>
  <c r="BD49"/>
  <c r="BA49"/>
  <c r="AM49"/>
  <c r="AI49"/>
  <c r="AH49"/>
  <c r="AG49"/>
  <c r="N49"/>
  <c r="M49"/>
  <c r="H49"/>
  <c r="G49"/>
  <c r="BA48"/>
  <c r="BS48" s="1"/>
  <c r="AI48"/>
  <c r="AH48"/>
  <c r="AG48"/>
  <c r="Z48"/>
  <c r="AM48" s="1"/>
  <c r="AN48" s="1"/>
  <c r="AO48" s="1"/>
  <c r="N48"/>
  <c r="M48"/>
  <c r="H48"/>
  <c r="G48"/>
  <c r="BE47"/>
  <c r="BD47"/>
  <c r="BA47"/>
  <c r="AI47"/>
  <c r="AH47"/>
  <c r="AG47"/>
  <c r="Z47"/>
  <c r="N47"/>
  <c r="M47"/>
  <c r="H47"/>
  <c r="G47"/>
  <c r="BA46"/>
  <c r="BS46" s="1"/>
  <c r="AM46"/>
  <c r="AN46" s="1"/>
  <c r="AO46" s="1"/>
  <c r="AI46"/>
  <c r="AH46"/>
  <c r="AG46"/>
  <c r="N46"/>
  <c r="M46"/>
  <c r="H46"/>
  <c r="G46"/>
  <c r="BE45"/>
  <c r="BD45"/>
  <c r="BA45"/>
  <c r="AM45"/>
  <c r="AI45"/>
  <c r="AH45"/>
  <c r="AG45"/>
  <c r="N45"/>
  <c r="M45"/>
  <c r="H45"/>
  <c r="G45"/>
  <c r="BA44"/>
  <c r="BS44" s="1"/>
  <c r="AM44"/>
  <c r="AN44" s="1"/>
  <c r="AO44" s="1"/>
  <c r="AI44"/>
  <c r="AH44"/>
  <c r="AG44"/>
  <c r="N44"/>
  <c r="M44"/>
  <c r="H44"/>
  <c r="G44"/>
  <c r="BE43"/>
  <c r="BD43"/>
  <c r="BA43"/>
  <c r="AM43"/>
  <c r="AI43"/>
  <c r="AH43"/>
  <c r="AG43"/>
  <c r="N43"/>
  <c r="M43"/>
  <c r="H43"/>
  <c r="G43"/>
  <c r="BA42"/>
  <c r="BS42" s="1"/>
  <c r="AM42"/>
  <c r="AN42" s="1"/>
  <c r="AO42" s="1"/>
  <c r="AI42"/>
  <c r="AH42"/>
  <c r="AG42"/>
  <c r="N42"/>
  <c r="M42"/>
  <c r="H42"/>
  <c r="G42"/>
  <c r="BE41"/>
  <c r="BD41"/>
  <c r="BA41"/>
  <c r="AM41"/>
  <c r="AI41"/>
  <c r="AH41"/>
  <c r="AG41"/>
  <c r="N41"/>
  <c r="M41"/>
  <c r="H41"/>
  <c r="G41"/>
  <c r="BA40"/>
  <c r="BS40" s="1"/>
  <c r="AM40"/>
  <c r="AN40" s="1"/>
  <c r="AO40" s="1"/>
  <c r="AI40"/>
  <c r="AH40"/>
  <c r="AG40"/>
  <c r="N40"/>
  <c r="M40"/>
  <c r="H40"/>
  <c r="G40"/>
  <c r="BE39"/>
  <c r="BD39"/>
  <c r="BA39"/>
  <c r="AM39"/>
  <c r="AI39"/>
  <c r="AH39"/>
  <c r="AG39"/>
  <c r="N39"/>
  <c r="M39"/>
  <c r="H39"/>
  <c r="G39"/>
  <c r="BA38"/>
  <c r="BS38" s="1"/>
  <c r="AM38"/>
  <c r="AN38" s="1"/>
  <c r="AO38" s="1"/>
  <c r="AI38"/>
  <c r="AH38"/>
  <c r="AG38"/>
  <c r="W38"/>
  <c r="U38"/>
  <c r="T38"/>
  <c r="P38"/>
  <c r="N38"/>
  <c r="M38"/>
  <c r="H38"/>
  <c r="BE37"/>
  <c r="BD37"/>
  <c r="BA37"/>
  <c r="AI37"/>
  <c r="AH37"/>
  <c r="AG37"/>
  <c r="N37"/>
  <c r="M37"/>
  <c r="H37"/>
  <c r="BA36"/>
  <c r="BS36" s="1"/>
  <c r="AM36"/>
  <c r="AN36" s="1"/>
  <c r="AO36" s="1"/>
  <c r="AI36"/>
  <c r="AH36"/>
  <c r="AG36"/>
  <c r="W36"/>
  <c r="U36"/>
  <c r="T36"/>
  <c r="P36"/>
  <c r="N36"/>
  <c r="M36"/>
  <c r="H36"/>
  <c r="BE35"/>
  <c r="BD35"/>
  <c r="BA35"/>
  <c r="AI35"/>
  <c r="AH35"/>
  <c r="AG35"/>
  <c r="W35"/>
  <c r="U35"/>
  <c r="T35"/>
  <c r="P35"/>
  <c r="N35"/>
  <c r="M35"/>
  <c r="H35"/>
  <c r="BA34"/>
  <c r="BS34" s="1"/>
  <c r="AM34"/>
  <c r="AN34" s="1"/>
  <c r="AO34" s="1"/>
  <c r="AI34"/>
  <c r="AH34"/>
  <c r="AG34"/>
  <c r="N34"/>
  <c r="M34"/>
  <c r="H34"/>
  <c r="G34"/>
  <c r="BE33"/>
  <c r="BD33"/>
  <c r="BA33"/>
  <c r="AM33"/>
  <c r="AI33"/>
  <c r="AH33"/>
  <c r="AG33"/>
  <c r="N33"/>
  <c r="M33"/>
  <c r="H33"/>
  <c r="G33"/>
  <c r="BA32"/>
  <c r="BS32" s="1"/>
  <c r="AM32"/>
  <c r="AN32" s="1"/>
  <c r="AO32" s="1"/>
  <c r="AI32"/>
  <c r="AH32"/>
  <c r="AG32"/>
  <c r="N32"/>
  <c r="M32"/>
  <c r="H32"/>
  <c r="BE31"/>
  <c r="BD31"/>
  <c r="BA31"/>
  <c r="AI31"/>
  <c r="AH31"/>
  <c r="AG31"/>
  <c r="N31"/>
  <c r="M31"/>
  <c r="H31"/>
  <c r="BA30"/>
  <c r="AI30"/>
  <c r="AH30"/>
  <c r="AG30"/>
  <c r="Z30"/>
  <c r="AM30" s="1"/>
  <c r="AN30" s="1"/>
  <c r="AO30" s="1"/>
  <c r="N30"/>
  <c r="M30"/>
  <c r="H30"/>
  <c r="G30"/>
  <c r="BE29"/>
  <c r="BD29"/>
  <c r="BA29"/>
  <c r="AI29"/>
  <c r="AH29"/>
  <c r="AG29"/>
  <c r="Z29"/>
  <c r="AM29" s="1"/>
  <c r="N29"/>
  <c r="M29"/>
  <c r="H29"/>
  <c r="BA28"/>
  <c r="BS28" s="1"/>
  <c r="AM28"/>
  <c r="AN28" s="1"/>
  <c r="AO28" s="1"/>
  <c r="AI28"/>
  <c r="AH28"/>
  <c r="AG28"/>
  <c r="N28"/>
  <c r="M28"/>
  <c r="H28"/>
  <c r="G28"/>
  <c r="BE27"/>
  <c r="BD27"/>
  <c r="BA27"/>
  <c r="AI27"/>
  <c r="AH27"/>
  <c r="AG27"/>
  <c r="Z27"/>
  <c r="AM27" s="1"/>
  <c r="N27"/>
  <c r="M27"/>
  <c r="H27"/>
  <c r="G27"/>
  <c r="BA26"/>
  <c r="BS26" s="1"/>
  <c r="AM26"/>
  <c r="AN26" s="1"/>
  <c r="AO26" s="1"/>
  <c r="AI26"/>
  <c r="AH26"/>
  <c r="AG26"/>
  <c r="N26"/>
  <c r="M26"/>
  <c r="H26"/>
  <c r="G26"/>
  <c r="BE25"/>
  <c r="BD25"/>
  <c r="BA25"/>
  <c r="AI25"/>
  <c r="AH25"/>
  <c r="AG25"/>
  <c r="N25"/>
  <c r="M25"/>
  <c r="H25"/>
  <c r="G25"/>
  <c r="BA24"/>
  <c r="BS24" s="1"/>
  <c r="AM24"/>
  <c r="AN24" s="1"/>
  <c r="AO24" s="1"/>
  <c r="AI24"/>
  <c r="AH24"/>
  <c r="AG24"/>
  <c r="W24"/>
  <c r="U24"/>
  <c r="T24"/>
  <c r="P24"/>
  <c r="N24"/>
  <c r="M24"/>
  <c r="H24"/>
  <c r="G24"/>
  <c r="BE23"/>
  <c r="BD23"/>
  <c r="BA23"/>
  <c r="AM23"/>
  <c r="AI23"/>
  <c r="AH23"/>
  <c r="AG23"/>
  <c r="W23"/>
  <c r="U23"/>
  <c r="T23"/>
  <c r="P23"/>
  <c r="N23"/>
  <c r="M23"/>
  <c r="H23"/>
  <c r="G23"/>
  <c r="BA22"/>
  <c r="BS22" s="1"/>
  <c r="AM22"/>
  <c r="AI22"/>
  <c r="AH22"/>
  <c r="AG22"/>
  <c r="N22"/>
  <c r="M22"/>
  <c r="H22"/>
  <c r="G22"/>
  <c r="BE21"/>
  <c r="BD21"/>
  <c r="BA21"/>
  <c r="AM21"/>
  <c r="AN21" s="1"/>
  <c r="AO21" s="1"/>
  <c r="AI21"/>
  <c r="AH21"/>
  <c r="AG21"/>
  <c r="N21"/>
  <c r="M21"/>
  <c r="H21"/>
  <c r="G21"/>
  <c r="BE20"/>
  <c r="BA20"/>
  <c r="AM20"/>
  <c r="AN20" s="1"/>
  <c r="AO20" s="1"/>
  <c r="AI20"/>
  <c r="AH20"/>
  <c r="AG20"/>
  <c r="N20"/>
  <c r="M20"/>
  <c r="H20"/>
  <c r="BE19"/>
  <c r="BD19"/>
  <c r="BA19"/>
  <c r="AM19"/>
  <c r="AI19"/>
  <c r="AH19"/>
  <c r="AG19"/>
  <c r="N19"/>
  <c r="M19"/>
  <c r="H19"/>
  <c r="BE18"/>
  <c r="BD18"/>
  <c r="AI18"/>
  <c r="AH18"/>
  <c r="AG18"/>
  <c r="Z18"/>
  <c r="AM18" s="1"/>
  <c r="AN18" s="1"/>
  <c r="AO18" s="1"/>
  <c r="N18"/>
  <c r="M18"/>
  <c r="H18"/>
  <c r="G18"/>
  <c r="BE17"/>
  <c r="BD17"/>
  <c r="BA17"/>
  <c r="AI17"/>
  <c r="AH17"/>
  <c r="AG17"/>
  <c r="Z17"/>
  <c r="N17"/>
  <c r="M17"/>
  <c r="H17"/>
  <c r="G17"/>
  <c r="BA16"/>
  <c r="BS16" s="1"/>
  <c r="AI16"/>
  <c r="AH16"/>
  <c r="AG16"/>
  <c r="Z16"/>
  <c r="N16"/>
  <c r="M16"/>
  <c r="H16"/>
  <c r="G16"/>
  <c r="BE15"/>
  <c r="BD15"/>
  <c r="BA15"/>
  <c r="AI15"/>
  <c r="AH15"/>
  <c r="AG15"/>
  <c r="N15"/>
  <c r="M15"/>
  <c r="H15"/>
  <c r="G15"/>
  <c r="BA14"/>
  <c r="BS14" s="1"/>
  <c r="AM14"/>
  <c r="AN14" s="1"/>
  <c r="AO14" s="1"/>
  <c r="AI14"/>
  <c r="AH14"/>
  <c r="AG14"/>
  <c r="N14"/>
  <c r="M14"/>
  <c r="H14"/>
  <c r="G14"/>
  <c r="BE13"/>
  <c r="BD13"/>
  <c r="BA13"/>
  <c r="AM13"/>
  <c r="AI13"/>
  <c r="AH13"/>
  <c r="AG13"/>
  <c r="N13"/>
  <c r="M13"/>
  <c r="H13"/>
  <c r="G13"/>
  <c r="AQ12"/>
  <c r="AM12"/>
  <c r="AN12" s="1"/>
  <c r="AO12" s="1"/>
  <c r="AI12"/>
  <c r="AH12"/>
  <c r="AG12"/>
  <c r="W12"/>
  <c r="U12"/>
  <c r="T12"/>
  <c r="P12"/>
  <c r="N12"/>
  <c r="M12"/>
  <c r="H12"/>
  <c r="G12"/>
  <c r="BE11"/>
  <c r="BD11"/>
  <c r="BA11"/>
  <c r="AI11"/>
  <c r="AH11"/>
  <c r="AG11"/>
  <c r="Z11"/>
  <c r="W11"/>
  <c r="U11"/>
  <c r="T11"/>
  <c r="P11"/>
  <c r="N11"/>
  <c r="M11"/>
  <c r="H11"/>
  <c r="G11"/>
  <c r="A11"/>
  <c r="A13" s="1"/>
  <c r="A15" s="1"/>
  <c r="A17" s="1"/>
  <c r="A19" s="1"/>
  <c r="A21" s="1"/>
  <c r="A23" s="1"/>
  <c r="A25" s="1"/>
  <c r="A27" s="1"/>
  <c r="A29" s="1"/>
  <c r="A31" s="1"/>
  <c r="A33" s="1"/>
  <c r="A35" s="1"/>
  <c r="A37" s="1"/>
  <c r="A39" s="1"/>
  <c r="A41" s="1"/>
  <c r="A43" s="1"/>
  <c r="A45" s="1"/>
  <c r="A47" s="1"/>
  <c r="A49" s="1"/>
  <c r="A51" s="1"/>
  <c r="BE10"/>
  <c r="BA10"/>
  <c r="AM10"/>
  <c r="AN10" s="1"/>
  <c r="AO10" s="1"/>
  <c r="AI10"/>
  <c r="AH10"/>
  <c r="AG10"/>
  <c r="W10"/>
  <c r="U10"/>
  <c r="T10"/>
  <c r="P10"/>
  <c r="N10"/>
  <c r="M10"/>
  <c r="H10"/>
  <c r="G10"/>
  <c r="BE9"/>
  <c r="BD9"/>
  <c r="BA9"/>
  <c r="AM9"/>
  <c r="AI9"/>
  <c r="AH9"/>
  <c r="AG9"/>
  <c r="W9"/>
  <c r="U9"/>
  <c r="T9"/>
  <c r="P9"/>
  <c r="N9"/>
  <c r="M9"/>
  <c r="H9"/>
  <c r="G9"/>
  <c r="Y52" i="5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O20" i="1"/>
  <c r="N20"/>
  <c r="M20"/>
  <c r="M105" s="1"/>
  <c r="O17"/>
  <c r="N17"/>
  <c r="M17"/>
  <c r="O105"/>
  <c r="AM23"/>
  <c r="AN23" s="1"/>
  <c r="AL23"/>
  <c r="AK23"/>
  <c r="Z88"/>
  <c r="Z87"/>
  <c r="AK61"/>
  <c r="AL61" s="1"/>
  <c r="AM61" s="1"/>
  <c r="AN61" s="1"/>
  <c r="AK60"/>
  <c r="AL60" s="1"/>
  <c r="AM60" s="1"/>
  <c r="AN60" s="1"/>
  <c r="AK57"/>
  <c r="AL57" s="1"/>
  <c r="AM57" s="1"/>
  <c r="AN57" s="1"/>
  <c r="Z46"/>
  <c r="Z45"/>
  <c r="Z42"/>
  <c r="AK40"/>
  <c r="AL40" s="1"/>
  <c r="AM40" s="1"/>
  <c r="AN40" s="1"/>
  <c r="AK39"/>
  <c r="AL39" s="1"/>
  <c r="AM39" s="1"/>
  <c r="AN39" s="1"/>
  <c r="AK37"/>
  <c r="AL37" s="1"/>
  <c r="AM37" s="1"/>
  <c r="AN37" s="1"/>
  <c r="AK36"/>
  <c r="AL36" s="1"/>
  <c r="AM36" s="1"/>
  <c r="AN36" s="1"/>
  <c r="Z25"/>
  <c r="O15" i="6" l="1"/>
  <c r="O30"/>
  <c r="O48"/>
  <c r="O52"/>
  <c r="O29"/>
  <c r="O45"/>
  <c r="O49"/>
  <c r="O26"/>
  <c r="BS33"/>
  <c r="O47"/>
  <c r="O19"/>
  <c r="BS20"/>
  <c r="O40"/>
  <c r="BS9"/>
  <c r="BS10"/>
  <c r="O16"/>
  <c r="O9"/>
  <c r="O18"/>
  <c r="O20"/>
  <c r="V35"/>
  <c r="V38"/>
  <c r="O50"/>
  <c r="O14"/>
  <c r="O10"/>
  <c r="BS11"/>
  <c r="BA12"/>
  <c r="BS12" s="1"/>
  <c r="BS18"/>
  <c r="O34"/>
  <c r="BS39"/>
  <c r="BS15"/>
  <c r="O12"/>
  <c r="O13"/>
  <c r="O17"/>
  <c r="V24"/>
  <c r="V36"/>
  <c r="O37"/>
  <c r="BS37"/>
  <c r="O38"/>
  <c r="BS41"/>
  <c r="O42"/>
  <c r="O44"/>
  <c r="AN23"/>
  <c r="AO23" s="1"/>
  <c r="BS21"/>
  <c r="BS51"/>
  <c r="V10"/>
  <c r="V11"/>
  <c r="BS19"/>
  <c r="O24"/>
  <c r="O25"/>
  <c r="BS25"/>
  <c r="O28"/>
  <c r="BS29"/>
  <c r="O31"/>
  <c r="BS31"/>
  <c r="O32"/>
  <c r="O33"/>
  <c r="BS35"/>
  <c r="O36"/>
  <c r="O43"/>
  <c r="O46"/>
  <c r="AN9"/>
  <c r="AO9" s="1"/>
  <c r="AN19"/>
  <c r="AN39"/>
  <c r="AN45"/>
  <c r="AN49"/>
  <c r="O11"/>
  <c r="AN41"/>
  <c r="V9"/>
  <c r="V12"/>
  <c r="BS13"/>
  <c r="AM15"/>
  <c r="O22"/>
  <c r="O21"/>
  <c r="AN43"/>
  <c r="AM11"/>
  <c r="BS17"/>
  <c r="AN13"/>
  <c r="AN22"/>
  <c r="AO22" s="1"/>
  <c r="AN27"/>
  <c r="AM16"/>
  <c r="AN16" s="1"/>
  <c r="AO16" s="1"/>
  <c r="AM17"/>
  <c r="O23"/>
  <c r="V23"/>
  <c r="BS23"/>
  <c r="AM25"/>
  <c r="O27"/>
  <c r="BS27"/>
  <c r="AN29"/>
  <c r="BS30"/>
  <c r="AM31"/>
  <c r="AN33"/>
  <c r="AM35"/>
  <c r="AM37"/>
  <c r="O39"/>
  <c r="O41"/>
  <c r="BS43"/>
  <c r="BS45"/>
  <c r="AM47"/>
  <c r="BS49"/>
  <c r="AN51"/>
  <c r="O35"/>
  <c r="BS47"/>
  <c r="O51"/>
  <c r="N105" i="1"/>
  <c r="Z24"/>
  <c r="Z22"/>
  <c r="AK19"/>
  <c r="AL19" s="1"/>
  <c r="AM19" s="1"/>
  <c r="AN19" s="1"/>
  <c r="AK18"/>
  <c r="AL18" s="1"/>
  <c r="AM18" s="1"/>
  <c r="AN18" s="1"/>
  <c r="AP16"/>
  <c r="AK16"/>
  <c r="AL16" s="1"/>
  <c r="AM16" s="1"/>
  <c r="AN16" s="1"/>
  <c r="AK15"/>
  <c r="AL15" s="1"/>
  <c r="AM15" s="1"/>
  <c r="AN15" s="1"/>
  <c r="Z15"/>
  <c r="AK91"/>
  <c r="AL91" s="1"/>
  <c r="AM91" s="1"/>
  <c r="AN91" s="1"/>
  <c r="AK90"/>
  <c r="AL90" s="1"/>
  <c r="AM90" s="1"/>
  <c r="AN90" s="1"/>
  <c r="AK88"/>
  <c r="AL88" s="1"/>
  <c r="AM88" s="1"/>
  <c r="AN88" s="1"/>
  <c r="AK87"/>
  <c r="AL87" s="1"/>
  <c r="AM87" s="1"/>
  <c r="AN87" s="1"/>
  <c r="AO19" i="6" l="1"/>
  <c r="AO13"/>
  <c r="AN11"/>
  <c r="AN35"/>
  <c r="AN17"/>
  <c r="AO27"/>
  <c r="AO41"/>
  <c r="AO49"/>
  <c r="AO39"/>
  <c r="AO51"/>
  <c r="AN31"/>
  <c r="AN47"/>
  <c r="AO33"/>
  <c r="AN25"/>
  <c r="AN15"/>
  <c r="AO45"/>
  <c r="AN37"/>
  <c r="AO29"/>
  <c r="AO43"/>
  <c r="K103" i="1"/>
  <c r="K98"/>
  <c r="K77"/>
  <c r="K80"/>
  <c r="K83"/>
  <c r="K86"/>
  <c r="K89"/>
  <c r="K92"/>
  <c r="K95"/>
  <c r="L98"/>
  <c r="AO37" i="6" l="1"/>
  <c r="AO11"/>
  <c r="AO31"/>
  <c r="AO15"/>
  <c r="AO25"/>
  <c r="AO47"/>
  <c r="AO17"/>
  <c r="AO35"/>
  <c r="H82" i="1"/>
  <c r="G82"/>
  <c r="H81"/>
  <c r="G81"/>
  <c r="H79"/>
  <c r="G79"/>
  <c r="H78"/>
  <c r="G78"/>
  <c r="H73"/>
  <c r="G73"/>
  <c r="H72"/>
  <c r="G72"/>
  <c r="AK70"/>
  <c r="AL70" s="1"/>
  <c r="AM70" s="1"/>
  <c r="AN70" s="1"/>
  <c r="AK69"/>
  <c r="AL69" s="1"/>
  <c r="AM69" s="1"/>
  <c r="AN69" s="1"/>
  <c r="AK67"/>
  <c r="AL67" s="1"/>
  <c r="AM67" s="1"/>
  <c r="AN67" s="1"/>
  <c r="AK66"/>
  <c r="AL66" s="1"/>
  <c r="AM66" s="1"/>
  <c r="AN66" s="1"/>
  <c r="AK49"/>
  <c r="AL49" s="1"/>
  <c r="AM49" s="1"/>
  <c r="AN49" s="1"/>
  <c r="AK48"/>
  <c r="AL48" s="1"/>
  <c r="AM48" s="1"/>
  <c r="AN48" s="1"/>
  <c r="AK46"/>
  <c r="AL46" s="1"/>
  <c r="AM46" s="1"/>
  <c r="AN46" s="1"/>
  <c r="AK45"/>
  <c r="AL45" s="1"/>
  <c r="AM45" s="1"/>
  <c r="AN45" s="1"/>
  <c r="AK28"/>
  <c r="AL28" s="1"/>
  <c r="AM28" s="1"/>
  <c r="AN28" s="1"/>
  <c r="AK27"/>
  <c r="AL27" s="1"/>
  <c r="AM27" s="1"/>
  <c r="AN27" s="1"/>
  <c r="AK25"/>
  <c r="AL25" s="1"/>
  <c r="AM25" s="1"/>
  <c r="AN25" s="1"/>
  <c r="AK24"/>
  <c r="AL24" s="1"/>
  <c r="AM24" s="1"/>
  <c r="AN24" s="1"/>
  <c r="AR103"/>
  <c r="K26"/>
  <c r="AK97"/>
  <c r="AL97" s="1"/>
  <c r="AM97" s="1"/>
  <c r="AN97" s="1"/>
  <c r="AK96"/>
  <c r="AL96" s="1"/>
  <c r="AM96" s="1"/>
  <c r="AN96" s="1"/>
  <c r="AK94"/>
  <c r="AL94" s="1"/>
  <c r="AM94" s="1"/>
  <c r="AN94" s="1"/>
  <c r="AK93"/>
  <c r="AL93" s="1"/>
  <c r="AM93" s="1"/>
  <c r="AN93" s="1"/>
  <c r="AK76"/>
  <c r="AL76" s="1"/>
  <c r="AM76" s="1"/>
  <c r="AN76" s="1"/>
  <c r="AK75"/>
  <c r="AL75" s="1"/>
  <c r="AM75" s="1"/>
  <c r="AN75" s="1"/>
  <c r="AK72"/>
  <c r="AL72" s="1"/>
  <c r="AM72" s="1"/>
  <c r="AN72" s="1"/>
  <c r="AK55"/>
  <c r="AL55" s="1"/>
  <c r="AM55" s="1"/>
  <c r="AN55" s="1"/>
  <c r="AL54"/>
  <c r="AM54" s="1"/>
  <c r="AN54" s="1"/>
  <c r="AL51"/>
  <c r="AM51" s="1"/>
  <c r="AN51" s="1"/>
  <c r="AK34"/>
  <c r="AL34" s="1"/>
  <c r="AM34" s="1"/>
  <c r="AN34" s="1"/>
  <c r="AL33"/>
  <c r="AM33" s="1"/>
  <c r="AN33" s="1"/>
  <c r="AL30"/>
  <c r="AM30" s="1"/>
  <c r="AN30" s="1"/>
  <c r="AK31"/>
  <c r="AL31" s="1"/>
  <c r="AM31" s="1"/>
  <c r="AN31" s="1"/>
  <c r="AK13"/>
  <c r="AL13" s="1"/>
  <c r="AM13" s="1"/>
  <c r="AN13" s="1"/>
  <c r="AL12"/>
  <c r="AM12" s="1"/>
  <c r="AN12" s="1"/>
  <c r="A12"/>
  <c r="AL9"/>
  <c r="AM9" s="1"/>
  <c r="AN9" s="1"/>
  <c r="AK85"/>
  <c r="AL85" s="1"/>
  <c r="AM85" s="1"/>
  <c r="AN85" s="1"/>
  <c r="AK84"/>
  <c r="AL84" s="1"/>
  <c r="AM84" s="1"/>
  <c r="AN84" s="1"/>
  <c r="AK82"/>
  <c r="AL82" s="1"/>
  <c r="AM82" s="1"/>
  <c r="AN82" s="1"/>
  <c r="AL81"/>
  <c r="AM81" s="1"/>
  <c r="AN81" s="1"/>
  <c r="AK64" l="1"/>
  <c r="AL64" s="1"/>
  <c r="AM64" s="1"/>
  <c r="AN64" s="1"/>
  <c r="AK63"/>
  <c r="AL63" s="1"/>
  <c r="AM63" s="1"/>
  <c r="AN63" s="1"/>
  <c r="AK43"/>
  <c r="AL43" s="1"/>
  <c r="AM43" s="1"/>
  <c r="AN43" s="1"/>
  <c r="AK42"/>
  <c r="AL42" s="1"/>
  <c r="AM42" s="1"/>
  <c r="AN42" s="1"/>
  <c r="AK22"/>
  <c r="AK21"/>
  <c r="AL21" s="1"/>
  <c r="AM21" s="1"/>
  <c r="AN21" s="1"/>
  <c r="AR74"/>
  <c r="AK73"/>
  <c r="AL73" s="1"/>
  <c r="AM73" s="1"/>
  <c r="AN73" s="1"/>
  <c r="AK52"/>
  <c r="AL52" s="1"/>
  <c r="AM52" s="1"/>
  <c r="AN52" s="1"/>
  <c r="W13"/>
  <c r="U13"/>
  <c r="T13"/>
  <c r="W12"/>
  <c r="U12"/>
  <c r="T12"/>
  <c r="AK10"/>
  <c r="AL10" s="1"/>
  <c r="AM10" s="1"/>
  <c r="AN10" s="1"/>
  <c r="V13" l="1"/>
  <c r="V12"/>
  <c r="AL22"/>
  <c r="AM22" s="1"/>
  <c r="AN22" s="1"/>
  <c r="AL78"/>
  <c r="AM78" s="1"/>
  <c r="AN78" s="1"/>
  <c r="AK58"/>
  <c r="AL58" s="1"/>
  <c r="AM58" s="1"/>
  <c r="AN58" s="1"/>
  <c r="AI55"/>
  <c r="AH55"/>
  <c r="AG55"/>
  <c r="N22" l="1"/>
  <c r="M22"/>
  <c r="N21"/>
  <c r="M21"/>
  <c r="AI96"/>
  <c r="AH96"/>
  <c r="AG96"/>
  <c r="AR83"/>
  <c r="AI31"/>
  <c r="AH31"/>
  <c r="AH32" s="1"/>
  <c r="I24" i="2" s="1"/>
  <c r="AG31" i="1"/>
  <c r="AI30"/>
  <c r="AH30"/>
  <c r="AG30"/>
  <c r="C103"/>
  <c r="AK62"/>
  <c r="S27" i="2" s="1"/>
  <c r="F115" i="4"/>
  <c r="A103"/>
  <c r="A71"/>
  <c r="A39"/>
  <c r="A3"/>
  <c r="A37" s="1"/>
  <c r="A69" s="1"/>
  <c r="A101" s="1"/>
  <c r="L54" i="3"/>
  <c r="K54"/>
  <c r="K53"/>
  <c r="M53" s="1"/>
  <c r="I53"/>
  <c r="K51"/>
  <c r="C51"/>
  <c r="K50"/>
  <c r="M50" s="1"/>
  <c r="I50"/>
  <c r="C50"/>
  <c r="E50" s="1"/>
  <c r="A50"/>
  <c r="K48"/>
  <c r="C48"/>
  <c r="E48" s="1"/>
  <c r="K47"/>
  <c r="M47" s="1"/>
  <c r="I47"/>
  <c r="D47"/>
  <c r="C47"/>
  <c r="E47" s="1"/>
  <c r="A47"/>
  <c r="K45"/>
  <c r="N45" s="1"/>
  <c r="C45"/>
  <c r="K44"/>
  <c r="M44" s="1"/>
  <c r="I44"/>
  <c r="C44"/>
  <c r="E44" s="1"/>
  <c r="A44"/>
  <c r="K42"/>
  <c r="C42"/>
  <c r="K41"/>
  <c r="M41" s="1"/>
  <c r="I41"/>
  <c r="C41"/>
  <c r="E41" s="1"/>
  <c r="A41"/>
  <c r="K39"/>
  <c r="N39" s="1"/>
  <c r="C39"/>
  <c r="K38"/>
  <c r="M38" s="1"/>
  <c r="I38"/>
  <c r="C38"/>
  <c r="E38" s="1"/>
  <c r="A38"/>
  <c r="K36"/>
  <c r="L36" s="1"/>
  <c r="C36"/>
  <c r="K35"/>
  <c r="M35" s="1"/>
  <c r="I35"/>
  <c r="C35"/>
  <c r="E35" s="1"/>
  <c r="A35"/>
  <c r="K33"/>
  <c r="C33"/>
  <c r="K32"/>
  <c r="M32" s="1"/>
  <c r="I32"/>
  <c r="D32"/>
  <c r="C32"/>
  <c r="E32" s="1"/>
  <c r="A32"/>
  <c r="K30"/>
  <c r="N30" s="1"/>
  <c r="C30"/>
  <c r="K29"/>
  <c r="M29" s="1"/>
  <c r="I29"/>
  <c r="C29"/>
  <c r="E29" s="1"/>
  <c r="A29"/>
  <c r="K27"/>
  <c r="N27" s="1"/>
  <c r="C27"/>
  <c r="E27" s="1"/>
  <c r="K26"/>
  <c r="M26" s="1"/>
  <c r="I26"/>
  <c r="C26"/>
  <c r="E26" s="1"/>
  <c r="A26"/>
  <c r="K24"/>
  <c r="M24" s="1"/>
  <c r="C24"/>
  <c r="K23"/>
  <c r="M23" s="1"/>
  <c r="I23"/>
  <c r="C23"/>
  <c r="E23" s="1"/>
  <c r="A23"/>
  <c r="K21"/>
  <c r="L21" s="1"/>
  <c r="C21"/>
  <c r="K20"/>
  <c r="M20" s="1"/>
  <c r="I20"/>
  <c r="C20"/>
  <c r="E20" s="1"/>
  <c r="A20"/>
  <c r="K18"/>
  <c r="N18" s="1"/>
  <c r="C18"/>
  <c r="K17"/>
  <c r="M17" s="1"/>
  <c r="I17"/>
  <c r="C17"/>
  <c r="E17" s="1"/>
  <c r="A17"/>
  <c r="K15"/>
  <c r="N15" s="1"/>
  <c r="C15"/>
  <c r="K14"/>
  <c r="N14" s="1"/>
  <c r="I14"/>
  <c r="C14"/>
  <c r="E14" s="1"/>
  <c r="A14"/>
  <c r="K12"/>
  <c r="L12" s="1"/>
  <c r="C12"/>
  <c r="C13" s="1"/>
  <c r="K11"/>
  <c r="M11" s="1"/>
  <c r="I11"/>
  <c r="D11"/>
  <c r="C11"/>
  <c r="E11" s="1"/>
  <c r="A11"/>
  <c r="K9"/>
  <c r="N9" s="1"/>
  <c r="C9"/>
  <c r="D9" s="1"/>
  <c r="K8"/>
  <c r="M8" s="1"/>
  <c r="D8"/>
  <c r="C8"/>
  <c r="E8" s="1"/>
  <c r="I1"/>
  <c r="A1"/>
  <c r="AF34" i="2"/>
  <c r="AE34"/>
  <c r="AC34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F31"/>
  <c r="AE31"/>
  <c r="AD31"/>
  <c r="AC31"/>
  <c r="AB31"/>
  <c r="AA31"/>
  <c r="Z31"/>
  <c r="X31"/>
  <c r="W31"/>
  <c r="S31"/>
  <c r="R31"/>
  <c r="Q31"/>
  <c r="P31"/>
  <c r="O31"/>
  <c r="N31"/>
  <c r="K31"/>
  <c r="J31"/>
  <c r="I31"/>
  <c r="G31"/>
  <c r="F31"/>
  <c r="E31"/>
  <c r="D31"/>
  <c r="C31"/>
  <c r="B31"/>
  <c r="AF30"/>
  <c r="AE30"/>
  <c r="AC30"/>
  <c r="Y30"/>
  <c r="AF28"/>
  <c r="F28"/>
  <c r="AF27"/>
  <c r="F27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F25"/>
  <c r="AF24"/>
  <c r="AF23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F11"/>
  <c r="AF10"/>
  <c r="AF9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F7"/>
  <c r="AE7"/>
  <c r="AD7"/>
  <c r="AA7"/>
  <c r="Z7"/>
  <c r="Y7"/>
  <c r="X7"/>
  <c r="W7"/>
  <c r="V7"/>
  <c r="T7"/>
  <c r="S7"/>
  <c r="R7"/>
  <c r="Q7"/>
  <c r="P7"/>
  <c r="N7"/>
  <c r="M7"/>
  <c r="L7"/>
  <c r="J7"/>
  <c r="I7"/>
  <c r="H7"/>
  <c r="G7"/>
  <c r="F7"/>
  <c r="E7"/>
  <c r="D7"/>
  <c r="C7"/>
  <c r="B7"/>
  <c r="AF6"/>
  <c r="AF5"/>
  <c r="X5"/>
  <c r="S5"/>
  <c r="R5"/>
  <c r="O5"/>
  <c r="H5"/>
  <c r="AF3"/>
  <c r="AF36" s="1"/>
  <c r="AF2"/>
  <c r="C2"/>
  <c r="B2"/>
  <c r="BQ110" i="1"/>
  <c r="BP110"/>
  <c r="BO110"/>
  <c r="BN110"/>
  <c r="BM110"/>
  <c r="BL110"/>
  <c r="BK110"/>
  <c r="BJ110"/>
  <c r="BI110"/>
  <c r="BH110"/>
  <c r="BF110"/>
  <c r="BE110"/>
  <c r="BQ109"/>
  <c r="BP109"/>
  <c r="BO109"/>
  <c r="BN109"/>
  <c r="BM109"/>
  <c r="BL109"/>
  <c r="BK109"/>
  <c r="BJ109"/>
  <c r="BI109"/>
  <c r="BH109"/>
  <c r="BF109"/>
  <c r="BE109"/>
  <c r="AX108"/>
  <c r="AW108"/>
  <c r="AV108"/>
  <c r="AU108"/>
  <c r="AT108"/>
  <c r="AL108"/>
  <c r="C108"/>
  <c r="BQ107"/>
  <c r="BP107"/>
  <c r="BO107"/>
  <c r="BN107"/>
  <c r="BM107"/>
  <c r="BL107"/>
  <c r="BK107"/>
  <c r="BJ107"/>
  <c r="BH107"/>
  <c r="BF107"/>
  <c r="BE107"/>
  <c r="AX107"/>
  <c r="AW107"/>
  <c r="AV107"/>
  <c r="AU107"/>
  <c r="AT107"/>
  <c r="C107"/>
  <c r="BK106"/>
  <c r="BJ106"/>
  <c r="BH106"/>
  <c r="BF106"/>
  <c r="BE106"/>
  <c r="BQ105"/>
  <c r="BP105"/>
  <c r="BO105"/>
  <c r="BN105"/>
  <c r="BM105"/>
  <c r="BL105"/>
  <c r="BK105"/>
  <c r="BJ105"/>
  <c r="BH105"/>
  <c r="BF105"/>
  <c r="BE105"/>
  <c r="BD105"/>
  <c r="BC105"/>
  <c r="BB105"/>
  <c r="AY105"/>
  <c r="AX105"/>
  <c r="AW105"/>
  <c r="AV105"/>
  <c r="AU105"/>
  <c r="AT105"/>
  <c r="AJ105"/>
  <c r="AF105"/>
  <c r="G10" i="4" s="1"/>
  <c r="AE105" i="1"/>
  <c r="AC105"/>
  <c r="AB105"/>
  <c r="AA105"/>
  <c r="Z105"/>
  <c r="Y105"/>
  <c r="W105"/>
  <c r="V105"/>
  <c r="U105"/>
  <c r="T105"/>
  <c r="S105"/>
  <c r="R105"/>
  <c r="L105"/>
  <c r="J105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AZ103"/>
  <c r="AY103"/>
  <c r="AX103"/>
  <c r="AW103"/>
  <c r="AV103"/>
  <c r="AU103"/>
  <c r="AT103"/>
  <c r="AS103"/>
  <c r="AQ103"/>
  <c r="AP103"/>
  <c r="AO103"/>
  <c r="AN103"/>
  <c r="AM103"/>
  <c r="AL103"/>
  <c r="AK103"/>
  <c r="AJ103"/>
  <c r="AI103"/>
  <c r="AH103"/>
  <c r="AG103"/>
  <c r="Y103"/>
  <c r="W103"/>
  <c r="V103"/>
  <c r="U103"/>
  <c r="T103"/>
  <c r="S103"/>
  <c r="R103"/>
  <c r="P103"/>
  <c r="O103"/>
  <c r="N103"/>
  <c r="M103"/>
  <c r="L103"/>
  <c r="J103"/>
  <c r="I103"/>
  <c r="H103"/>
  <c r="G103"/>
  <c r="E103"/>
  <c r="D103"/>
  <c r="BR102"/>
  <c r="AZ102"/>
  <c r="AN102"/>
  <c r="AM102"/>
  <c r="AL102"/>
  <c r="AK102"/>
  <c r="AI102"/>
  <c r="AH102"/>
  <c r="AG102"/>
  <c r="W102"/>
  <c r="V102"/>
  <c r="U102"/>
  <c r="T102"/>
  <c r="P102"/>
  <c r="O102"/>
  <c r="N102"/>
  <c r="M102"/>
  <c r="H102"/>
  <c r="G102"/>
  <c r="BR101"/>
  <c r="BD101"/>
  <c r="BC101"/>
  <c r="AZ101"/>
  <c r="AN101"/>
  <c r="AM101"/>
  <c r="AL101"/>
  <c r="AI101"/>
  <c r="AH101"/>
  <c r="AG101"/>
  <c r="W101"/>
  <c r="V101"/>
  <c r="U101"/>
  <c r="T101"/>
  <c r="P101"/>
  <c r="O101"/>
  <c r="N101"/>
  <c r="M101"/>
  <c r="H101"/>
  <c r="G101"/>
  <c r="AZ100"/>
  <c r="BR100" s="1"/>
  <c r="AL100"/>
  <c r="AM100" s="1"/>
  <c r="AN100" s="1"/>
  <c r="AK100"/>
  <c r="AI100"/>
  <c r="AH100"/>
  <c r="AG100"/>
  <c r="W100"/>
  <c r="V100"/>
  <c r="U100"/>
  <c r="T100"/>
  <c r="P100"/>
  <c r="N100"/>
  <c r="M100"/>
  <c r="O100" s="1"/>
  <c r="H100"/>
  <c r="G100"/>
  <c r="BR99"/>
  <c r="BD99"/>
  <c r="BC99"/>
  <c r="AZ99"/>
  <c r="AK99"/>
  <c r="AL99" s="1"/>
  <c r="AM99" s="1"/>
  <c r="AN99" s="1"/>
  <c r="AI99"/>
  <c r="AH99"/>
  <c r="AG99"/>
  <c r="W99"/>
  <c r="V99"/>
  <c r="U99"/>
  <c r="T99"/>
  <c r="P99"/>
  <c r="N99"/>
  <c r="M99"/>
  <c r="H99"/>
  <c r="G99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M98"/>
  <c r="AE28" i="2" s="1"/>
  <c r="AL98" i="1"/>
  <c r="AK98"/>
  <c r="AE27" i="2" s="1"/>
  <c r="AJ98" i="1"/>
  <c r="AI98"/>
  <c r="AE25" i="2" s="1"/>
  <c r="AG98" i="1"/>
  <c r="AE23" i="2" s="1"/>
  <c r="Y98" i="1"/>
  <c r="W98"/>
  <c r="V98"/>
  <c r="U98"/>
  <c r="T98"/>
  <c r="S98"/>
  <c r="R98"/>
  <c r="P98"/>
  <c r="J98"/>
  <c r="I98"/>
  <c r="E98"/>
  <c r="AE3" i="2" s="1"/>
  <c r="D98" i="1"/>
  <c r="C98"/>
  <c r="BR97"/>
  <c r="AZ97"/>
  <c r="AI97"/>
  <c r="AH97"/>
  <c r="AH98" s="1"/>
  <c r="AE24" i="2" s="1"/>
  <c r="AG97" i="1"/>
  <c r="N97"/>
  <c r="M97"/>
  <c r="O97" s="1"/>
  <c r="H97"/>
  <c r="G97"/>
  <c r="BR96"/>
  <c r="BD96"/>
  <c r="BC96"/>
  <c r="AZ96"/>
  <c r="N96"/>
  <c r="N98" s="1"/>
  <c r="AE10" i="2" s="1"/>
  <c r="M96" i="1"/>
  <c r="O96" s="1"/>
  <c r="O98" s="1"/>
  <c r="AE11" i="2" s="1"/>
  <c r="H96" i="1"/>
  <c r="H98" s="1"/>
  <c r="AE6" i="2" s="1"/>
  <c r="G96" i="1"/>
  <c r="G98" s="1"/>
  <c r="AE5" i="2" s="1"/>
  <c r="BQ95" i="1"/>
  <c r="BP95"/>
  <c r="BO95"/>
  <c r="BN95"/>
  <c r="BM95"/>
  <c r="BL95"/>
  <c r="BK95"/>
  <c r="BJ95"/>
  <c r="BI95"/>
  <c r="BH95"/>
  <c r="BG95"/>
  <c r="BF95"/>
  <c r="BE95"/>
  <c r="BD95"/>
  <c r="BC95"/>
  <c r="BB95"/>
  <c r="BA95"/>
  <c r="AY95"/>
  <c r="AX95"/>
  <c r="AW95"/>
  <c r="AV95"/>
  <c r="AU95"/>
  <c r="AT95"/>
  <c r="AS95"/>
  <c r="AR95"/>
  <c r="AQ95"/>
  <c r="AP95"/>
  <c r="AO95"/>
  <c r="AM95"/>
  <c r="AD28" i="2" s="1"/>
  <c r="AL95" i="1"/>
  <c r="AK95"/>
  <c r="AD27" i="2" s="1"/>
  <c r="AJ95" i="1"/>
  <c r="Y95"/>
  <c r="W95"/>
  <c r="V95"/>
  <c r="U95"/>
  <c r="T95"/>
  <c r="S95"/>
  <c r="R95"/>
  <c r="P95"/>
  <c r="L95"/>
  <c r="J95"/>
  <c r="I95"/>
  <c r="E95"/>
  <c r="AD3" i="2" s="1"/>
  <c r="D95" i="1"/>
  <c r="C95"/>
  <c r="BR94"/>
  <c r="BR95" s="1"/>
  <c r="AD34" i="2" s="1"/>
  <c r="AZ94" i="1"/>
  <c r="AZ95" s="1"/>
  <c r="AD30" i="2" s="1"/>
  <c r="AI94" i="1"/>
  <c r="AH94"/>
  <c r="AG94"/>
  <c r="N94"/>
  <c r="N95" s="1"/>
  <c r="AD10" i="2" s="1"/>
  <c r="M94" i="1"/>
  <c r="H94"/>
  <c r="G94"/>
  <c r="BR93"/>
  <c r="BD93"/>
  <c r="BC93"/>
  <c r="AZ93"/>
  <c r="AI93"/>
  <c r="AH93"/>
  <c r="AG93"/>
  <c r="N93"/>
  <c r="M93"/>
  <c r="O93" s="1"/>
  <c r="H93"/>
  <c r="G93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M92"/>
  <c r="AC28" i="2" s="1"/>
  <c r="AL92" i="1"/>
  <c r="AK92"/>
  <c r="AC27" i="2" s="1"/>
  <c r="AJ92" i="1"/>
  <c r="Y92"/>
  <c r="W92"/>
  <c r="V92"/>
  <c r="U92"/>
  <c r="T92"/>
  <c r="S92"/>
  <c r="R92"/>
  <c r="P92"/>
  <c r="L92"/>
  <c r="J92"/>
  <c r="I92"/>
  <c r="AC7" i="2" s="1"/>
  <c r="E92" i="1"/>
  <c r="AC3" i="2" s="1"/>
  <c r="D92" i="1"/>
  <c r="C92"/>
  <c r="BR91"/>
  <c r="AZ91"/>
  <c r="AI91"/>
  <c r="AH91"/>
  <c r="AG91"/>
  <c r="N91"/>
  <c r="M91"/>
  <c r="H91"/>
  <c r="G91"/>
  <c r="BR90"/>
  <c r="BD90"/>
  <c r="BC90"/>
  <c r="AZ90"/>
  <c r="AI90"/>
  <c r="AH90"/>
  <c r="AG90"/>
  <c r="N90"/>
  <c r="M90"/>
  <c r="H90"/>
  <c r="G90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Y89"/>
  <c r="AX89"/>
  <c r="AW89"/>
  <c r="AV89"/>
  <c r="AU89"/>
  <c r="AT89"/>
  <c r="AS89"/>
  <c r="AR89"/>
  <c r="AQ89"/>
  <c r="AP89"/>
  <c r="AO89"/>
  <c r="AM89"/>
  <c r="AB28" i="2" s="1"/>
  <c r="AL89" i="1"/>
  <c r="AK89"/>
  <c r="AB27" i="2" s="1"/>
  <c r="AJ89" i="1"/>
  <c r="Y89"/>
  <c r="W89"/>
  <c r="V89"/>
  <c r="U89"/>
  <c r="T89"/>
  <c r="S89"/>
  <c r="R89"/>
  <c r="P89"/>
  <c r="L89"/>
  <c r="J89"/>
  <c r="I89"/>
  <c r="AB7" i="2" s="1"/>
  <c r="E89" i="1"/>
  <c r="AB3" i="2" s="1"/>
  <c r="D89" i="1"/>
  <c r="C89"/>
  <c r="BR88"/>
  <c r="BR89" s="1"/>
  <c r="AB34" i="2" s="1"/>
  <c r="AZ88" i="1"/>
  <c r="AZ89" s="1"/>
  <c r="AB30" i="2" s="1"/>
  <c r="AI88" i="1"/>
  <c r="AH88"/>
  <c r="AG88"/>
  <c r="N88"/>
  <c r="M88"/>
  <c r="O88" s="1"/>
  <c r="H88"/>
  <c r="G88"/>
  <c r="BR87"/>
  <c r="BD87"/>
  <c r="BC87"/>
  <c r="AZ87"/>
  <c r="AI87"/>
  <c r="AH87"/>
  <c r="AG87"/>
  <c r="N87"/>
  <c r="M87"/>
  <c r="H87"/>
  <c r="G87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Y86"/>
  <c r="AX86"/>
  <c r="AW86"/>
  <c r="AV86"/>
  <c r="AU86"/>
  <c r="AT86"/>
  <c r="AS86"/>
  <c r="AR86"/>
  <c r="AQ86"/>
  <c r="AP86"/>
  <c r="AO86"/>
  <c r="AM86"/>
  <c r="AA28" i="2" s="1"/>
  <c r="AL86" i="1"/>
  <c r="AK86"/>
  <c r="AA27" i="2" s="1"/>
  <c r="AJ86" i="1"/>
  <c r="Y86"/>
  <c r="W86"/>
  <c r="V86"/>
  <c r="U86"/>
  <c r="T86"/>
  <c r="S86"/>
  <c r="R86"/>
  <c r="P86"/>
  <c r="L86"/>
  <c r="J86"/>
  <c r="I86"/>
  <c r="E86"/>
  <c r="AA3" i="2" s="1"/>
  <c r="D86" i="1"/>
  <c r="C86"/>
  <c r="BR85"/>
  <c r="BR86" s="1"/>
  <c r="AA34" i="2" s="1"/>
  <c r="AZ85" i="1"/>
  <c r="AZ86" s="1"/>
  <c r="AA30" i="2" s="1"/>
  <c r="AI85" i="1"/>
  <c r="AH85"/>
  <c r="AG85"/>
  <c r="N85"/>
  <c r="M85"/>
  <c r="H85"/>
  <c r="G85"/>
  <c r="BR84"/>
  <c r="BD84"/>
  <c r="BC84"/>
  <c r="AZ84"/>
  <c r="AI84"/>
  <c r="AH84"/>
  <c r="AG84"/>
  <c r="N84"/>
  <c r="M84"/>
  <c r="H84"/>
  <c r="G84"/>
  <c r="BQ83"/>
  <c r="BP83"/>
  <c r="BO83"/>
  <c r="BN83"/>
  <c r="BM83"/>
  <c r="BL83"/>
  <c r="BK83"/>
  <c r="BJ83"/>
  <c r="BI83"/>
  <c r="BH83"/>
  <c r="BF83"/>
  <c r="BE83"/>
  <c r="BD83"/>
  <c r="BC83"/>
  <c r="BB83"/>
  <c r="AY83"/>
  <c r="AX83"/>
  <c r="AW83"/>
  <c r="AV83"/>
  <c r="AU83"/>
  <c r="AT83"/>
  <c r="AS83"/>
  <c r="AQ83"/>
  <c r="AP83"/>
  <c r="AO83"/>
  <c r="AM83"/>
  <c r="Z28" i="2" s="1"/>
  <c r="AL83" i="1"/>
  <c r="AK83"/>
  <c r="Z27" i="2" s="1"/>
  <c r="AJ83" i="1"/>
  <c r="Y83"/>
  <c r="W83"/>
  <c r="V83"/>
  <c r="U83"/>
  <c r="T83"/>
  <c r="S83"/>
  <c r="R83"/>
  <c r="P83"/>
  <c r="L83"/>
  <c r="J83"/>
  <c r="I83"/>
  <c r="G83"/>
  <c r="Z5" i="2" s="1"/>
  <c r="E83" i="1"/>
  <c r="Z3" i="2" s="1"/>
  <c r="D83" i="1"/>
  <c r="C83"/>
  <c r="AZ82"/>
  <c r="AZ83" s="1"/>
  <c r="Z30" i="2" s="1"/>
  <c r="AI82" i="1"/>
  <c r="AI83" s="1"/>
  <c r="Z25" i="2" s="1"/>
  <c r="AH82" i="1"/>
  <c r="AG82"/>
  <c r="AG83" s="1"/>
  <c r="Z23" i="2" s="1"/>
  <c r="P82" i="1"/>
  <c r="N82"/>
  <c r="M82"/>
  <c r="O82" s="1"/>
  <c r="BR81"/>
  <c r="BD81"/>
  <c r="BC81"/>
  <c r="AZ81"/>
  <c r="AI81"/>
  <c r="AH81"/>
  <c r="AH83" s="1"/>
  <c r="Z24" i="2" s="1"/>
  <c r="AG81" i="1"/>
  <c r="P81"/>
  <c r="N81"/>
  <c r="N83" s="1"/>
  <c r="Z10" i="2" s="1"/>
  <c r="M81" i="1"/>
  <c r="M83" s="1"/>
  <c r="Z9" i="2" s="1"/>
  <c r="H83" i="1"/>
  <c r="Z6" i="2" s="1"/>
  <c r="BQ80" i="1"/>
  <c r="BP80"/>
  <c r="BO80"/>
  <c r="BN80"/>
  <c r="BM80"/>
  <c r="BL80"/>
  <c r="BK80"/>
  <c r="BJ80"/>
  <c r="BI80"/>
  <c r="BH80"/>
  <c r="BG80"/>
  <c r="BF80"/>
  <c r="BE80"/>
  <c r="BD80"/>
  <c r="BC80"/>
  <c r="BB80"/>
  <c r="BA80"/>
  <c r="Y31" i="2" s="1"/>
  <c r="AZ80" i="1"/>
  <c r="AY80"/>
  <c r="AX80"/>
  <c r="AW80"/>
  <c r="AV80"/>
  <c r="AU80"/>
  <c r="AT80"/>
  <c r="AS80"/>
  <c r="AR80"/>
  <c r="AQ80"/>
  <c r="AP80"/>
  <c r="AO80"/>
  <c r="AJ80"/>
  <c r="Y80"/>
  <c r="W80"/>
  <c r="V80"/>
  <c r="U80"/>
  <c r="T80"/>
  <c r="S80"/>
  <c r="R80"/>
  <c r="P80"/>
  <c r="L80"/>
  <c r="J80"/>
  <c r="G80"/>
  <c r="Y5" i="2" s="1"/>
  <c r="E80" i="1"/>
  <c r="Y3" i="2" s="1"/>
  <c r="D80" i="1"/>
  <c r="C80"/>
  <c r="BR79"/>
  <c r="BR80" s="1"/>
  <c r="Y34" i="2" s="1"/>
  <c r="AZ79" i="1"/>
  <c r="AK79"/>
  <c r="AL79" s="1"/>
  <c r="AI79"/>
  <c r="AH79"/>
  <c r="AG79"/>
  <c r="W79"/>
  <c r="V79"/>
  <c r="U79"/>
  <c r="T79"/>
  <c r="P79"/>
  <c r="N79"/>
  <c r="M79"/>
  <c r="BR78"/>
  <c r="BD78"/>
  <c r="BC78"/>
  <c r="AZ78"/>
  <c r="AI78"/>
  <c r="AI80" s="1"/>
  <c r="Y25" i="2" s="1"/>
  <c r="AH78" i="1"/>
  <c r="AG78"/>
  <c r="AG80" s="1"/>
  <c r="Y23" i="2" s="1"/>
  <c r="W78" i="1"/>
  <c r="V78"/>
  <c r="U78"/>
  <c r="T78"/>
  <c r="P78"/>
  <c r="N78"/>
  <c r="N80" s="1"/>
  <c r="Y10" i="2" s="1"/>
  <c r="M78" i="1"/>
  <c r="M80" s="1"/>
  <c r="Y9" i="2" s="1"/>
  <c r="BQ77" i="1"/>
  <c r="BP77"/>
  <c r="BO77"/>
  <c r="BN77"/>
  <c r="BM77"/>
  <c r="BL77"/>
  <c r="BK77"/>
  <c r="BJ77"/>
  <c r="BI77"/>
  <c r="BH77"/>
  <c r="BG77"/>
  <c r="BF77"/>
  <c r="BE77"/>
  <c r="BD77"/>
  <c r="BC77"/>
  <c r="BB77"/>
  <c r="BA77"/>
  <c r="AY77"/>
  <c r="AX77"/>
  <c r="AW77"/>
  <c r="AV77"/>
  <c r="AU77"/>
  <c r="AT77"/>
  <c r="AS77"/>
  <c r="AR77"/>
  <c r="AQ77"/>
  <c r="AP77"/>
  <c r="AO77"/>
  <c r="AM77"/>
  <c r="X28" i="2" s="1"/>
  <c r="AL77" i="1"/>
  <c r="AK77"/>
  <c r="X27" i="2" s="1"/>
  <c r="AJ77" i="1"/>
  <c r="Y77"/>
  <c r="W77"/>
  <c r="V77"/>
  <c r="U77"/>
  <c r="T77"/>
  <c r="S77"/>
  <c r="R77"/>
  <c r="P77"/>
  <c r="L77"/>
  <c r="J77"/>
  <c r="I77"/>
  <c r="G77"/>
  <c r="E77"/>
  <c r="X3" i="2" s="1"/>
  <c r="D77" i="1"/>
  <c r="C77"/>
  <c r="AZ76"/>
  <c r="AI76"/>
  <c r="AH76"/>
  <c r="AG76"/>
  <c r="N76"/>
  <c r="M76"/>
  <c r="O76" s="1"/>
  <c r="H76"/>
  <c r="BD75"/>
  <c r="BC75"/>
  <c r="AZ75"/>
  <c r="BR75" s="1"/>
  <c r="AI75"/>
  <c r="AI77" s="1"/>
  <c r="X25" i="2" s="1"/>
  <c r="AH75" i="1"/>
  <c r="AH77" s="1"/>
  <c r="X24" i="2" s="1"/>
  <c r="AG75" i="1"/>
  <c r="AG77" s="1"/>
  <c r="X23" i="2" s="1"/>
  <c r="N75" i="1"/>
  <c r="N77" s="1"/>
  <c r="X10" i="2" s="1"/>
  <c r="M75" i="1"/>
  <c r="M77" s="1"/>
  <c r="X9" i="2" s="1"/>
  <c r="H75" i="1"/>
  <c r="H77" s="1"/>
  <c r="X6" i="2" s="1"/>
  <c r="BQ74" i="1"/>
  <c r="BP74"/>
  <c r="BO74"/>
  <c r="BN74"/>
  <c r="BM74"/>
  <c r="BL74"/>
  <c r="BK74"/>
  <c r="BJ74"/>
  <c r="BI74"/>
  <c r="BH74"/>
  <c r="BG74"/>
  <c r="BF74"/>
  <c r="BE74"/>
  <c r="BD74"/>
  <c r="BC74"/>
  <c r="BB74"/>
  <c r="BA74"/>
  <c r="AY74"/>
  <c r="AX74"/>
  <c r="AW74"/>
  <c r="AV74"/>
  <c r="AU74"/>
  <c r="AT74"/>
  <c r="AS74"/>
  <c r="AQ74"/>
  <c r="AP74"/>
  <c r="AO74"/>
  <c r="AM74"/>
  <c r="W28" i="2" s="1"/>
  <c r="AL74" i="1"/>
  <c r="AK74"/>
  <c r="W27" i="2" s="1"/>
  <c r="AJ74" i="1"/>
  <c r="Y74"/>
  <c r="W74"/>
  <c r="V74"/>
  <c r="U74"/>
  <c r="T74"/>
  <c r="S74"/>
  <c r="R74"/>
  <c r="P74"/>
  <c r="L74"/>
  <c r="K74"/>
  <c r="J74"/>
  <c r="I74"/>
  <c r="G74"/>
  <c r="W5" i="2" s="1"/>
  <c r="E74" i="1"/>
  <c r="W3" i="2" s="1"/>
  <c r="D74" i="1"/>
  <c r="C74"/>
  <c r="BD73"/>
  <c r="BC73"/>
  <c r="AZ73"/>
  <c r="BR73" s="1"/>
  <c r="BR74" s="1"/>
  <c r="W34" i="2" s="1"/>
  <c r="AI73" i="1"/>
  <c r="AH73"/>
  <c r="AG73"/>
  <c r="N73"/>
  <c r="M73"/>
  <c r="O73" s="1"/>
  <c r="BR72"/>
  <c r="BD72"/>
  <c r="BC72"/>
  <c r="AZ72"/>
  <c r="AI72"/>
  <c r="AH72"/>
  <c r="AH74" s="1"/>
  <c r="W24" i="2" s="1"/>
  <c r="AG72" i="1"/>
  <c r="N72"/>
  <c r="M72"/>
  <c r="H74"/>
  <c r="W6" i="2" s="1"/>
  <c r="BQ71" i="1"/>
  <c r="BP71"/>
  <c r="BO71"/>
  <c r="BN71"/>
  <c r="BM71"/>
  <c r="BL71"/>
  <c r="BK71"/>
  <c r="BJ71"/>
  <c r="BI71"/>
  <c r="BH71"/>
  <c r="BG71"/>
  <c r="BF71"/>
  <c r="BE71"/>
  <c r="BD71"/>
  <c r="BC71"/>
  <c r="BB71"/>
  <c r="BA71"/>
  <c r="V31" i="2" s="1"/>
  <c r="AY71" i="1"/>
  <c r="AX71"/>
  <c r="AW71"/>
  <c r="AV71"/>
  <c r="AU71"/>
  <c r="AT71"/>
  <c r="AS71"/>
  <c r="AR71"/>
  <c r="AQ71"/>
  <c r="AP71"/>
  <c r="AO71"/>
  <c r="AM71"/>
  <c r="V28" i="2" s="1"/>
  <c r="AL71" i="1"/>
  <c r="AK71"/>
  <c r="V27" i="2" s="1"/>
  <c r="AJ71" i="1"/>
  <c r="Y71"/>
  <c r="W71"/>
  <c r="V71"/>
  <c r="U71"/>
  <c r="T71"/>
  <c r="S71"/>
  <c r="R71"/>
  <c r="P71"/>
  <c r="L71"/>
  <c r="K71"/>
  <c r="J71"/>
  <c r="I71"/>
  <c r="E71"/>
  <c r="V3" i="2" s="1"/>
  <c r="D71" i="1"/>
  <c r="C71"/>
  <c r="AZ70"/>
  <c r="AZ71" s="1"/>
  <c r="V30" i="2" s="1"/>
  <c r="AI70" i="1"/>
  <c r="AH70"/>
  <c r="AG70"/>
  <c r="N70"/>
  <c r="M70"/>
  <c r="H70"/>
  <c r="G70"/>
  <c r="BR69"/>
  <c r="BD69"/>
  <c r="BC69"/>
  <c r="AZ69"/>
  <c r="AI69"/>
  <c r="AH69"/>
  <c r="AH71" s="1"/>
  <c r="V24" i="2" s="1"/>
  <c r="AG69" i="1"/>
  <c r="N69"/>
  <c r="M69"/>
  <c r="M71" s="1"/>
  <c r="V9" i="2" s="1"/>
  <c r="H69" i="1"/>
  <c r="H71" s="1"/>
  <c r="V6" i="2" s="1"/>
  <c r="G69" i="1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U31" i="2" s="1"/>
  <c r="AY68" i="1"/>
  <c r="AX68"/>
  <c r="AW68"/>
  <c r="AV68"/>
  <c r="AU68"/>
  <c r="AT68"/>
  <c r="AS68"/>
  <c r="AR68"/>
  <c r="AQ68"/>
  <c r="AP68"/>
  <c r="AO68"/>
  <c r="AM68"/>
  <c r="U28" i="2" s="1"/>
  <c r="AL68" i="1"/>
  <c r="AK68"/>
  <c r="U27" i="2" s="1"/>
  <c r="AJ68" i="1"/>
  <c r="Y68"/>
  <c r="W68"/>
  <c r="V68"/>
  <c r="U68"/>
  <c r="T68"/>
  <c r="S68"/>
  <c r="R68"/>
  <c r="P68"/>
  <c r="L68"/>
  <c r="K68"/>
  <c r="J68"/>
  <c r="I68"/>
  <c r="U7" i="2" s="1"/>
  <c r="E68" i="1"/>
  <c r="U3" i="2" s="1"/>
  <c r="D68" i="1"/>
  <c r="C68"/>
  <c r="AZ67"/>
  <c r="AZ68" s="1"/>
  <c r="U30" i="2" s="1"/>
  <c r="AI67" i="1"/>
  <c r="AH67"/>
  <c r="AG67"/>
  <c r="N67"/>
  <c r="M67"/>
  <c r="H67"/>
  <c r="G67"/>
  <c r="BR66"/>
  <c r="BD66"/>
  <c r="BC66"/>
  <c r="AZ66"/>
  <c r="AI66"/>
  <c r="AH66"/>
  <c r="AG66"/>
  <c r="N66"/>
  <c r="M66"/>
  <c r="O66" s="1"/>
  <c r="H66"/>
  <c r="G66"/>
  <c r="BQ65"/>
  <c r="BP65"/>
  <c r="BO65"/>
  <c r="BN65"/>
  <c r="BM65"/>
  <c r="BL65"/>
  <c r="BK65"/>
  <c r="BJ65"/>
  <c r="BI65"/>
  <c r="BG65"/>
  <c r="BG109" s="1"/>
  <c r="BF65"/>
  <c r="BE65"/>
  <c r="BD65"/>
  <c r="BC65"/>
  <c r="BB65"/>
  <c r="BA65"/>
  <c r="T31" i="2" s="1"/>
  <c r="AY65" i="1"/>
  <c r="AX65"/>
  <c r="AW65"/>
  <c r="AV65"/>
  <c r="AU65"/>
  <c r="AT65"/>
  <c r="AS65"/>
  <c r="AR65"/>
  <c r="AQ65"/>
  <c r="AP65"/>
  <c r="AO65"/>
  <c r="AM65"/>
  <c r="T28" i="2" s="1"/>
  <c r="AL65" i="1"/>
  <c r="AK65"/>
  <c r="T27" i="2" s="1"/>
  <c r="AJ65" i="1"/>
  <c r="Y65"/>
  <c r="W65"/>
  <c r="V65"/>
  <c r="U65"/>
  <c r="T65"/>
  <c r="S65"/>
  <c r="R65"/>
  <c r="P65"/>
  <c r="L65"/>
  <c r="K65"/>
  <c r="J65"/>
  <c r="I65"/>
  <c r="E65"/>
  <c r="T3" i="2" s="1"/>
  <c r="D65" i="1"/>
  <c r="C65"/>
  <c r="AZ64"/>
  <c r="AZ65" s="1"/>
  <c r="T30" i="2" s="1"/>
  <c r="AI64" i="1"/>
  <c r="AH64"/>
  <c r="AG64"/>
  <c r="N64"/>
  <c r="M64"/>
  <c r="H64"/>
  <c r="G64"/>
  <c r="BR63"/>
  <c r="BD63"/>
  <c r="BC63"/>
  <c r="AZ63"/>
  <c r="AI63"/>
  <c r="AH63"/>
  <c r="AH65" s="1"/>
  <c r="T24" i="2" s="1"/>
  <c r="AG63" i="1"/>
  <c r="N63"/>
  <c r="M63"/>
  <c r="H63"/>
  <c r="G63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Y62"/>
  <c r="AX62"/>
  <c r="AW62"/>
  <c r="AV62"/>
  <c r="AU62"/>
  <c r="AT62"/>
  <c r="AS62"/>
  <c r="AR62"/>
  <c r="AQ62"/>
  <c r="AP62"/>
  <c r="AO62"/>
  <c r="AM62"/>
  <c r="S28" i="2" s="1"/>
  <c r="AL62" i="1"/>
  <c r="AJ62"/>
  <c r="Y62"/>
  <c r="W62"/>
  <c r="V62"/>
  <c r="U62"/>
  <c r="T62"/>
  <c r="S62"/>
  <c r="R62"/>
  <c r="P62"/>
  <c r="L62"/>
  <c r="K62"/>
  <c r="J62"/>
  <c r="I62"/>
  <c r="G62"/>
  <c r="E62"/>
  <c r="S3" i="2" s="1"/>
  <c r="D62" i="1"/>
  <c r="C62"/>
  <c r="AZ61"/>
  <c r="AZ62" s="1"/>
  <c r="S30" i="2" s="1"/>
  <c r="AI61" i="1"/>
  <c r="AH61"/>
  <c r="AG61"/>
  <c r="W61"/>
  <c r="V61"/>
  <c r="U61"/>
  <c r="T61"/>
  <c r="P61"/>
  <c r="N61"/>
  <c r="M61"/>
  <c r="H61"/>
  <c r="BR60"/>
  <c r="BD60"/>
  <c r="BC60"/>
  <c r="AZ60"/>
  <c r="AI60"/>
  <c r="AH60"/>
  <c r="AH62" s="1"/>
  <c r="S24" i="2" s="1"/>
  <c r="AG60" i="1"/>
  <c r="N60"/>
  <c r="N62" s="1"/>
  <c r="S10" i="2" s="1"/>
  <c r="M60" i="1"/>
  <c r="M62" s="1"/>
  <c r="S9" i="2" s="1"/>
  <c r="H60" i="1"/>
  <c r="H62" s="1"/>
  <c r="S6" i="2" s="1"/>
  <c r="BQ59" i="1"/>
  <c r="BP59"/>
  <c r="BO59"/>
  <c r="BN59"/>
  <c r="BM59"/>
  <c r="BL59"/>
  <c r="BK59"/>
  <c r="BJ59"/>
  <c r="BI59"/>
  <c r="BH59"/>
  <c r="BG59"/>
  <c r="BF59"/>
  <c r="BE59"/>
  <c r="BD59"/>
  <c r="BC59"/>
  <c r="BB59"/>
  <c r="BA59"/>
  <c r="AY59"/>
  <c r="AX59"/>
  <c r="AW59"/>
  <c r="AV59"/>
  <c r="AU59"/>
  <c r="AT59"/>
  <c r="AS59"/>
  <c r="AR59"/>
  <c r="AQ59"/>
  <c r="AP59"/>
  <c r="AO59"/>
  <c r="AM59"/>
  <c r="R28" i="2" s="1"/>
  <c r="AL59" i="1"/>
  <c r="AK59"/>
  <c r="R27" i="2" s="1"/>
  <c r="AJ59" i="1"/>
  <c r="Y59"/>
  <c r="W59"/>
  <c r="V59"/>
  <c r="U59"/>
  <c r="T59"/>
  <c r="S59"/>
  <c r="R59"/>
  <c r="P59"/>
  <c r="L59"/>
  <c r="K59"/>
  <c r="J59"/>
  <c r="I59"/>
  <c r="G59"/>
  <c r="E59"/>
  <c r="R3" i="2" s="1"/>
  <c r="D59" i="1"/>
  <c r="C59"/>
  <c r="BR58"/>
  <c r="BR59" s="1"/>
  <c r="R34" i="2" s="1"/>
  <c r="AZ58" i="1"/>
  <c r="AZ59" s="1"/>
  <c r="R30" i="2" s="1"/>
  <c r="AI58" i="1"/>
  <c r="AH58"/>
  <c r="AG58"/>
  <c r="W58"/>
  <c r="V58"/>
  <c r="U58"/>
  <c r="T58"/>
  <c r="P58"/>
  <c r="N58"/>
  <c r="M58"/>
  <c r="H58"/>
  <c r="BR57"/>
  <c r="BD57"/>
  <c r="BC57"/>
  <c r="AZ57"/>
  <c r="AI57"/>
  <c r="AH57"/>
  <c r="AG57"/>
  <c r="AG59" s="1"/>
  <c r="R23" i="2" s="1"/>
  <c r="W57" i="1"/>
  <c r="V57"/>
  <c r="U57"/>
  <c r="T57"/>
  <c r="P57"/>
  <c r="N57"/>
  <c r="M57"/>
  <c r="H57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Y56"/>
  <c r="AX56"/>
  <c r="AW56"/>
  <c r="AV56"/>
  <c r="AU56"/>
  <c r="AT56"/>
  <c r="AS56"/>
  <c r="AR56"/>
  <c r="AQ56"/>
  <c r="AP56"/>
  <c r="AO56"/>
  <c r="AM56"/>
  <c r="Q28" i="2" s="1"/>
  <c r="AL56" i="1"/>
  <c r="AK56"/>
  <c r="Q27" i="2" s="1"/>
  <c r="AJ56" i="1"/>
  <c r="Y56"/>
  <c r="W56"/>
  <c r="V56"/>
  <c r="U56"/>
  <c r="T56"/>
  <c r="S56"/>
  <c r="R56"/>
  <c r="P56"/>
  <c r="L56"/>
  <c r="K56"/>
  <c r="J56"/>
  <c r="I56"/>
  <c r="E56"/>
  <c r="Q3" i="2" s="1"/>
  <c r="D56" i="1"/>
  <c r="C56"/>
  <c r="AZ55"/>
  <c r="BR55" s="1"/>
  <c r="BR56" s="1"/>
  <c r="Q34" i="2" s="1"/>
  <c r="N55" i="1"/>
  <c r="M55"/>
  <c r="O55" s="1"/>
  <c r="H55"/>
  <c r="G55"/>
  <c r="BR54"/>
  <c r="BD54"/>
  <c r="BC54"/>
  <c r="AZ54"/>
  <c r="AI54"/>
  <c r="AI56" s="1"/>
  <c r="Q25" i="2" s="1"/>
  <c r="AH54" i="1"/>
  <c r="AH56" s="1"/>
  <c r="Q24" i="2" s="1"/>
  <c r="AG54" i="1"/>
  <c r="AG56" s="1"/>
  <c r="Q23" i="2" s="1"/>
  <c r="N54" i="1"/>
  <c r="N56" s="1"/>
  <c r="Q10" i="2" s="1"/>
  <c r="M54" i="1"/>
  <c r="H54"/>
  <c r="H56" s="1"/>
  <c r="Q6" i="2" s="1"/>
  <c r="G54" i="1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Y53"/>
  <c r="AX53"/>
  <c r="AW53"/>
  <c r="AV53"/>
  <c r="AU53"/>
  <c r="AT53"/>
  <c r="AS53"/>
  <c r="AR53"/>
  <c r="AQ53"/>
  <c r="AP53"/>
  <c r="AO53"/>
  <c r="AM53"/>
  <c r="P28" i="2" s="1"/>
  <c r="AL53" i="1"/>
  <c r="AK53"/>
  <c r="P27" i="2" s="1"/>
  <c r="AJ53" i="1"/>
  <c r="Y53"/>
  <c r="W53"/>
  <c r="V53"/>
  <c r="U53"/>
  <c r="T53"/>
  <c r="S53"/>
  <c r="R53"/>
  <c r="P53"/>
  <c r="L53"/>
  <c r="K53"/>
  <c r="J53"/>
  <c r="I53"/>
  <c r="E53"/>
  <c r="P3" i="2" s="1"/>
  <c r="D53" i="1"/>
  <c r="C53"/>
  <c r="AZ52"/>
  <c r="AZ53" s="1"/>
  <c r="P30" i="2" s="1"/>
  <c r="AI52" i="1"/>
  <c r="AH52"/>
  <c r="AG52"/>
  <c r="N52"/>
  <c r="M52"/>
  <c r="O52" s="1"/>
  <c r="H52"/>
  <c r="G52"/>
  <c r="BR51"/>
  <c r="BD51"/>
  <c r="BC51"/>
  <c r="AZ51"/>
  <c r="AI51"/>
  <c r="AI53" s="1"/>
  <c r="P25" i="2" s="1"/>
  <c r="AH51" i="1"/>
  <c r="AG51"/>
  <c r="AG53" s="1"/>
  <c r="P23" i="2" s="1"/>
  <c r="N51" i="1"/>
  <c r="N53" s="1"/>
  <c r="P10" i="2" s="1"/>
  <c r="M51" i="1"/>
  <c r="H51"/>
  <c r="H53" s="1"/>
  <c r="P6" i="2" s="1"/>
  <c r="G51" i="1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Y50"/>
  <c r="AX50"/>
  <c r="AW50"/>
  <c r="AV50"/>
  <c r="AU50"/>
  <c r="AT50"/>
  <c r="AS50"/>
  <c r="AR50"/>
  <c r="AQ50"/>
  <c r="AP50"/>
  <c r="AO50"/>
  <c r="AM50"/>
  <c r="O28" i="2" s="1"/>
  <c r="AL50" i="1"/>
  <c r="AK50"/>
  <c r="O27" i="2" s="1"/>
  <c r="AJ50" i="1"/>
  <c r="Y50"/>
  <c r="W50"/>
  <c r="V50"/>
  <c r="U50"/>
  <c r="T50"/>
  <c r="S50"/>
  <c r="R50"/>
  <c r="P50"/>
  <c r="L50"/>
  <c r="K50"/>
  <c r="J50"/>
  <c r="I50"/>
  <c r="O7" i="2" s="1"/>
  <c r="G50" i="1"/>
  <c r="E50"/>
  <c r="O3" i="2" s="1"/>
  <c r="D50" i="1"/>
  <c r="C50"/>
  <c r="AZ49"/>
  <c r="AZ50" s="1"/>
  <c r="O30" i="2" s="1"/>
  <c r="AI49" i="1"/>
  <c r="AH49"/>
  <c r="AG49"/>
  <c r="N49"/>
  <c r="M49"/>
  <c r="O49" s="1"/>
  <c r="H49"/>
  <c r="BR48"/>
  <c r="BD48"/>
  <c r="BC48"/>
  <c r="AZ48"/>
  <c r="AI48"/>
  <c r="AI50" s="1"/>
  <c r="O25" i="2" s="1"/>
  <c r="AH48" i="1"/>
  <c r="AH50" s="1"/>
  <c r="O24" i="2" s="1"/>
  <c r="AG48" i="1"/>
  <c r="AG50" s="1"/>
  <c r="O23" i="2" s="1"/>
  <c r="N48" i="1"/>
  <c r="N50" s="1"/>
  <c r="O10" i="2" s="1"/>
  <c r="M48" i="1"/>
  <c r="M50" s="1"/>
  <c r="O9" i="2" s="1"/>
  <c r="H48" i="1"/>
  <c r="H50" s="1"/>
  <c r="O6" i="2" s="1"/>
  <c r="BQ47" i="1"/>
  <c r="BP47"/>
  <c r="BO47"/>
  <c r="BN47"/>
  <c r="BM47"/>
  <c r="BL47"/>
  <c r="BK47"/>
  <c r="BJ47"/>
  <c r="BI47"/>
  <c r="BH47"/>
  <c r="BG47"/>
  <c r="BF47"/>
  <c r="BE47"/>
  <c r="BD47"/>
  <c r="BC47"/>
  <c r="BB47"/>
  <c r="BA47"/>
  <c r="AY47"/>
  <c r="AX47"/>
  <c r="AW47"/>
  <c r="AV47"/>
  <c r="AU47"/>
  <c r="AT47"/>
  <c r="AS47"/>
  <c r="AR47"/>
  <c r="AQ47"/>
  <c r="AP47"/>
  <c r="AO47"/>
  <c r="AM47"/>
  <c r="N28" i="2" s="1"/>
  <c r="AL47" i="1"/>
  <c r="AK47"/>
  <c r="N27" i="2" s="1"/>
  <c r="AJ47" i="1"/>
  <c r="Y47"/>
  <c r="W47"/>
  <c r="V47"/>
  <c r="U47"/>
  <c r="T47"/>
  <c r="S47"/>
  <c r="R47"/>
  <c r="P47"/>
  <c r="L47"/>
  <c r="K47"/>
  <c r="J47"/>
  <c r="I47"/>
  <c r="E47"/>
  <c r="N3" i="2" s="1"/>
  <c r="D47" i="1"/>
  <c r="C47"/>
  <c r="AZ46"/>
  <c r="AZ47" s="1"/>
  <c r="N30" i="2" s="1"/>
  <c r="AI46" i="1"/>
  <c r="AH46"/>
  <c r="AG46"/>
  <c r="N46"/>
  <c r="M46"/>
  <c r="H46"/>
  <c r="G46"/>
  <c r="G47" s="1"/>
  <c r="N5" i="2" s="1"/>
  <c r="BR45" i="1"/>
  <c r="BD45"/>
  <c r="BC45"/>
  <c r="AZ45"/>
  <c r="AI45"/>
  <c r="AH45"/>
  <c r="AG45"/>
  <c r="N45"/>
  <c r="M45"/>
  <c r="O45" s="1"/>
  <c r="H45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M31" i="2" s="1"/>
  <c r="AY44" i="1"/>
  <c r="AX44"/>
  <c r="AW44"/>
  <c r="AV44"/>
  <c r="AU44"/>
  <c r="AT44"/>
  <c r="AS44"/>
  <c r="AR44"/>
  <c r="AQ44"/>
  <c r="AP44"/>
  <c r="AO44"/>
  <c r="AM44"/>
  <c r="AL44"/>
  <c r="AK44"/>
  <c r="M27" i="2" s="1"/>
  <c r="AJ44" i="1"/>
  <c r="Y44"/>
  <c r="W44"/>
  <c r="V44"/>
  <c r="U44"/>
  <c r="T44"/>
  <c r="S44"/>
  <c r="R44"/>
  <c r="P44"/>
  <c r="L44"/>
  <c r="K44"/>
  <c r="J44"/>
  <c r="I44"/>
  <c r="E44"/>
  <c r="M3" i="2" s="1"/>
  <c r="D44" i="1"/>
  <c r="C44"/>
  <c r="AZ43"/>
  <c r="AZ44" s="1"/>
  <c r="M30" i="2" s="1"/>
  <c r="AI43" i="1"/>
  <c r="AH43"/>
  <c r="AG43"/>
  <c r="N43"/>
  <c r="M43"/>
  <c r="H43"/>
  <c r="G43"/>
  <c r="BR42"/>
  <c r="BD42"/>
  <c r="BC42"/>
  <c r="AZ42"/>
  <c r="AI42"/>
  <c r="AH42"/>
  <c r="AG42"/>
  <c r="N42"/>
  <c r="N44" s="1"/>
  <c r="M10" i="2" s="1"/>
  <c r="M42" i="1"/>
  <c r="H42"/>
  <c r="H44" s="1"/>
  <c r="M6" i="2" s="1"/>
  <c r="G42" i="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Y41"/>
  <c r="AX41"/>
  <c r="AW41"/>
  <c r="AV41"/>
  <c r="AU41"/>
  <c r="AT41"/>
  <c r="AS41"/>
  <c r="AR41"/>
  <c r="AQ41"/>
  <c r="AP41"/>
  <c r="AO41"/>
  <c r="AM41"/>
  <c r="L28" i="2" s="1"/>
  <c r="AL41" i="1"/>
  <c r="AK41"/>
  <c r="L27" i="2" s="1"/>
  <c r="AJ41" i="1"/>
  <c r="Y41"/>
  <c r="W41"/>
  <c r="V41"/>
  <c r="U41"/>
  <c r="T41"/>
  <c r="S41"/>
  <c r="R41"/>
  <c r="P41"/>
  <c r="L41"/>
  <c r="K41"/>
  <c r="J41"/>
  <c r="I41"/>
  <c r="E41"/>
  <c r="L3" i="2" s="1"/>
  <c r="D41" i="1"/>
  <c r="C41"/>
  <c r="AZ40"/>
  <c r="AZ41" s="1"/>
  <c r="L30" i="2" s="1"/>
  <c r="AI40" i="1"/>
  <c r="AH40"/>
  <c r="AG40"/>
  <c r="N40"/>
  <c r="M40"/>
  <c r="H40"/>
  <c r="G40"/>
  <c r="BR39"/>
  <c r="BD39"/>
  <c r="BC39"/>
  <c r="AZ39"/>
  <c r="AI39"/>
  <c r="AI41" s="1"/>
  <c r="L25" i="2" s="1"/>
  <c r="AH39" i="1"/>
  <c r="AG39"/>
  <c r="AG41" s="1"/>
  <c r="L23" i="2" s="1"/>
  <c r="N39" i="1"/>
  <c r="M39"/>
  <c r="H39"/>
  <c r="G39"/>
  <c r="BQ38"/>
  <c r="BP38"/>
  <c r="BO38"/>
  <c r="BN38"/>
  <c r="BM38"/>
  <c r="BL38"/>
  <c r="BK38"/>
  <c r="BJ38"/>
  <c r="BI38"/>
  <c r="BI106" s="1"/>
  <c r="BI107" s="1"/>
  <c r="BH38"/>
  <c r="BG38"/>
  <c r="BF38"/>
  <c r="BE38"/>
  <c r="BD38"/>
  <c r="BC38"/>
  <c r="BB38"/>
  <c r="BA38"/>
  <c r="AY38"/>
  <c r="AX38"/>
  <c r="AW38"/>
  <c r="AV38"/>
  <c r="AU38"/>
  <c r="AT38"/>
  <c r="AS38"/>
  <c r="AR38"/>
  <c r="AQ38"/>
  <c r="AP38"/>
  <c r="AO38"/>
  <c r="AJ38"/>
  <c r="Y38"/>
  <c r="W38"/>
  <c r="V38"/>
  <c r="U38"/>
  <c r="T38"/>
  <c r="S38"/>
  <c r="R38"/>
  <c r="P38"/>
  <c r="L38"/>
  <c r="K38"/>
  <c r="J38"/>
  <c r="I38"/>
  <c r="K7" i="2" s="1"/>
  <c r="E38" i="1"/>
  <c r="K3" i="2" s="1"/>
  <c r="D38" i="1"/>
  <c r="C38"/>
  <c r="AZ37"/>
  <c r="AZ38" s="1"/>
  <c r="K30" i="2" s="1"/>
  <c r="AK38" i="1"/>
  <c r="K27" i="2" s="1"/>
  <c r="AI37" i="1"/>
  <c r="AH37"/>
  <c r="AG37"/>
  <c r="W37"/>
  <c r="V37"/>
  <c r="U37"/>
  <c r="T37"/>
  <c r="P37"/>
  <c r="N37"/>
  <c r="M37"/>
  <c r="H37"/>
  <c r="G37"/>
  <c r="BR36"/>
  <c r="BD36"/>
  <c r="BC36"/>
  <c r="AZ36"/>
  <c r="AI36"/>
  <c r="AI38" s="1"/>
  <c r="K25" i="2" s="1"/>
  <c r="AH36" i="1"/>
  <c r="AH38" s="1"/>
  <c r="K24" i="2" s="1"/>
  <c r="AG36" i="1"/>
  <c r="AG38" s="1"/>
  <c r="K23" i="2" s="1"/>
  <c r="W36" i="1"/>
  <c r="V36"/>
  <c r="U36"/>
  <c r="T36"/>
  <c r="P36"/>
  <c r="N36"/>
  <c r="M36"/>
  <c r="H36"/>
  <c r="H38" s="1"/>
  <c r="K6" i="2" s="1"/>
  <c r="G36" i="1"/>
  <c r="G38" s="1"/>
  <c r="K5" i="2" s="1"/>
  <c r="BQ35" i="1"/>
  <c r="BP35"/>
  <c r="BO35"/>
  <c r="BN35"/>
  <c r="BM35"/>
  <c r="BL35"/>
  <c r="BK35"/>
  <c r="BJ35"/>
  <c r="BI35"/>
  <c r="BH35"/>
  <c r="BG35"/>
  <c r="BG106" s="1"/>
  <c r="BF35"/>
  <c r="BE35"/>
  <c r="BD35"/>
  <c r="BC35"/>
  <c r="BB35"/>
  <c r="BA35"/>
  <c r="AY35"/>
  <c r="AX35"/>
  <c r="AW35"/>
  <c r="AV35"/>
  <c r="AU35"/>
  <c r="AT35"/>
  <c r="AS35"/>
  <c r="AR35"/>
  <c r="AQ35"/>
  <c r="AP35"/>
  <c r="AO35"/>
  <c r="AM35"/>
  <c r="J28" i="2" s="1"/>
  <c r="AL35" i="1"/>
  <c r="AK35"/>
  <c r="J27" i="2" s="1"/>
  <c r="AJ35" i="1"/>
  <c r="Y35"/>
  <c r="X35"/>
  <c r="W35"/>
  <c r="V35"/>
  <c r="U35"/>
  <c r="T35"/>
  <c r="S35"/>
  <c r="R35"/>
  <c r="Q35"/>
  <c r="P35"/>
  <c r="L35"/>
  <c r="K35"/>
  <c r="J35"/>
  <c r="I35"/>
  <c r="E35"/>
  <c r="J3" i="2" s="1"/>
  <c r="D35" i="1"/>
  <c r="C35"/>
  <c r="AZ34"/>
  <c r="AZ35" s="1"/>
  <c r="J30" i="2" s="1"/>
  <c r="AI34" i="1"/>
  <c r="AH34"/>
  <c r="AG34"/>
  <c r="N34"/>
  <c r="M34"/>
  <c r="O34" s="1"/>
  <c r="H34"/>
  <c r="G34"/>
  <c r="BR33"/>
  <c r="BD33"/>
  <c r="BC33"/>
  <c r="AZ33"/>
  <c r="AI33"/>
  <c r="AI35" s="1"/>
  <c r="J25" i="2" s="1"/>
  <c r="AH33" i="1"/>
  <c r="AG33"/>
  <c r="AG35" s="1"/>
  <c r="J23" i="2" s="1"/>
  <c r="N33" i="1"/>
  <c r="N35" s="1"/>
  <c r="J10" i="2" s="1"/>
  <c r="M33" i="1"/>
  <c r="H33"/>
  <c r="G33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Y32"/>
  <c r="AX32"/>
  <c r="AW32"/>
  <c r="AV32"/>
  <c r="AU32"/>
  <c r="AT32"/>
  <c r="AS32"/>
  <c r="AR32"/>
  <c r="AQ32"/>
  <c r="AP32"/>
  <c r="AO32"/>
  <c r="AM32"/>
  <c r="AL32"/>
  <c r="AK32"/>
  <c r="I27" i="2" s="1"/>
  <c r="AJ32" i="1"/>
  <c r="AI32"/>
  <c r="I25" i="2" s="1"/>
  <c r="AG32" i="1"/>
  <c r="I23" i="2" s="1"/>
  <c r="Y32" i="1"/>
  <c r="W32"/>
  <c r="V32"/>
  <c r="U32"/>
  <c r="T32"/>
  <c r="S32"/>
  <c r="R32"/>
  <c r="P32"/>
  <c r="L32"/>
  <c r="K32"/>
  <c r="J32"/>
  <c r="I32"/>
  <c r="E32"/>
  <c r="I3" i="2" s="1"/>
  <c r="D32" i="1"/>
  <c r="C32"/>
  <c r="AZ31"/>
  <c r="AZ32" s="1"/>
  <c r="I30" i="2" s="1"/>
  <c r="N31" i="1"/>
  <c r="M31"/>
  <c r="H31"/>
  <c r="G31"/>
  <c r="BR30"/>
  <c r="BD30"/>
  <c r="BC30"/>
  <c r="AZ30"/>
  <c r="N30"/>
  <c r="M30"/>
  <c r="M32" s="1"/>
  <c r="I9" i="2" s="1"/>
  <c r="H30" i="1"/>
  <c r="H32" s="1"/>
  <c r="I6" i="2" s="1"/>
  <c r="G30" i="1"/>
  <c r="G32" s="1"/>
  <c r="I5" i="2" s="1"/>
  <c r="BQ29" i="1"/>
  <c r="BP29"/>
  <c r="BO29"/>
  <c r="BN29"/>
  <c r="BM29"/>
  <c r="BL29"/>
  <c r="BK29"/>
  <c r="BJ29"/>
  <c r="BI29"/>
  <c r="BH29"/>
  <c r="BG29"/>
  <c r="BF29"/>
  <c r="BE29"/>
  <c r="BD29"/>
  <c r="BC29"/>
  <c r="BB29"/>
  <c r="BA29"/>
  <c r="H31" i="2" s="1"/>
  <c r="AY29" i="1"/>
  <c r="AX29"/>
  <c r="AW29"/>
  <c r="AV29"/>
  <c r="AU29"/>
  <c r="AT29"/>
  <c r="AS29"/>
  <c r="AR29"/>
  <c r="AQ29"/>
  <c r="AP29"/>
  <c r="AO29"/>
  <c r="AM29"/>
  <c r="H28" i="2" s="1"/>
  <c r="AL29" i="1"/>
  <c r="AK29"/>
  <c r="H27" i="2" s="1"/>
  <c r="AJ29" i="1"/>
  <c r="Y29"/>
  <c r="W29"/>
  <c r="V29"/>
  <c r="U29"/>
  <c r="T29"/>
  <c r="S29"/>
  <c r="R29"/>
  <c r="P29"/>
  <c r="L29"/>
  <c r="K29"/>
  <c r="J29"/>
  <c r="I29"/>
  <c r="G29"/>
  <c r="E29"/>
  <c r="H3" i="2" s="1"/>
  <c r="D29" i="1"/>
  <c r="C29"/>
  <c r="BD28"/>
  <c r="AZ28"/>
  <c r="BR28" s="1"/>
  <c r="BR29" s="1"/>
  <c r="H34" i="2" s="1"/>
  <c r="AI28" i="1"/>
  <c r="AH28"/>
  <c r="AG28"/>
  <c r="N28"/>
  <c r="M28"/>
  <c r="H28"/>
  <c r="BR27"/>
  <c r="BD27"/>
  <c r="BC27"/>
  <c r="AZ27"/>
  <c r="AI27"/>
  <c r="AI29" s="1"/>
  <c r="H25" i="2" s="1"/>
  <c r="AH27" i="1"/>
  <c r="AG27"/>
  <c r="AG29" s="1"/>
  <c r="H23" i="2" s="1"/>
  <c r="N27" i="1"/>
  <c r="N29" s="1"/>
  <c r="H10" i="2" s="1"/>
  <c r="M27" i="1"/>
  <c r="H27"/>
  <c r="H29" s="1"/>
  <c r="H6" i="2" s="1"/>
  <c r="BQ26" i="1"/>
  <c r="BP26"/>
  <c r="BO26"/>
  <c r="BN26"/>
  <c r="BM26"/>
  <c r="BL26"/>
  <c r="BK26"/>
  <c r="BJ26"/>
  <c r="BI26"/>
  <c r="BH26"/>
  <c r="BG26"/>
  <c r="BF26"/>
  <c r="BE26"/>
  <c r="BD26"/>
  <c r="BC26"/>
  <c r="BB26"/>
  <c r="BA26"/>
  <c r="AY26"/>
  <c r="AX26"/>
  <c r="AW26"/>
  <c r="AV26"/>
  <c r="AU26"/>
  <c r="AT26"/>
  <c r="AS26"/>
  <c r="AR26"/>
  <c r="AQ26"/>
  <c r="AP26"/>
  <c r="AO26"/>
  <c r="AM26"/>
  <c r="G28" i="2" s="1"/>
  <c r="AL26" i="1"/>
  <c r="AK26"/>
  <c r="G27" i="2" s="1"/>
  <c r="Y26" i="1"/>
  <c r="W26"/>
  <c r="V26"/>
  <c r="U26"/>
  <c r="T26"/>
  <c r="S26"/>
  <c r="R26"/>
  <c r="P26"/>
  <c r="L26"/>
  <c r="J26"/>
  <c r="I26"/>
  <c r="E26"/>
  <c r="G3" i="2" s="1"/>
  <c r="D26" i="1"/>
  <c r="C26"/>
  <c r="BR25"/>
  <c r="BD25"/>
  <c r="BC25"/>
  <c r="AI25"/>
  <c r="AH25"/>
  <c r="AG25"/>
  <c r="N25"/>
  <c r="M25"/>
  <c r="H25"/>
  <c r="G25"/>
  <c r="BD24"/>
  <c r="BC24"/>
  <c r="AZ24"/>
  <c r="AZ26" s="1"/>
  <c r="G30" i="2" s="1"/>
  <c r="AI24" i="1"/>
  <c r="AH24"/>
  <c r="AH26" s="1"/>
  <c r="G24" i="2" s="1"/>
  <c r="AG24" i="1"/>
  <c r="N24"/>
  <c r="M24"/>
  <c r="O24" s="1"/>
  <c r="H24"/>
  <c r="G24"/>
  <c r="G26" s="1"/>
  <c r="G5" i="2" s="1"/>
  <c r="BQ23" i="1"/>
  <c r="BP23"/>
  <c r="BO23"/>
  <c r="BN23"/>
  <c r="BM23"/>
  <c r="BL23"/>
  <c r="BK23"/>
  <c r="BJ23"/>
  <c r="BI23"/>
  <c r="BH23"/>
  <c r="BG23"/>
  <c r="BF23"/>
  <c r="BE23"/>
  <c r="BD23"/>
  <c r="BC23"/>
  <c r="BB23"/>
  <c r="AY23"/>
  <c r="AX23"/>
  <c r="AW23"/>
  <c r="AV23"/>
  <c r="AU23"/>
  <c r="AT23"/>
  <c r="AS23"/>
  <c r="AR23"/>
  <c r="AQ23"/>
  <c r="AP23"/>
  <c r="AO23"/>
  <c r="Y23"/>
  <c r="W23"/>
  <c r="V23"/>
  <c r="U23"/>
  <c r="T23"/>
  <c r="S23"/>
  <c r="R23"/>
  <c r="P23"/>
  <c r="N23"/>
  <c r="F10" i="2" s="1"/>
  <c r="M23" i="1"/>
  <c r="F9" i="2" s="1"/>
  <c r="L23" i="1"/>
  <c r="K23"/>
  <c r="J23"/>
  <c r="I23"/>
  <c r="E23"/>
  <c r="F3" i="2" s="1"/>
  <c r="D23" i="1"/>
  <c r="C23"/>
  <c r="AZ22"/>
  <c r="AZ23" s="1"/>
  <c r="F30" i="2" s="1"/>
  <c r="AI22" i="1"/>
  <c r="AH22"/>
  <c r="AG22"/>
  <c r="O22"/>
  <c r="H22"/>
  <c r="G22"/>
  <c r="BR21"/>
  <c r="BD21"/>
  <c r="BC21"/>
  <c r="AZ21"/>
  <c r="AI21"/>
  <c r="AI23" s="1"/>
  <c r="F25" i="2" s="1"/>
  <c r="AH21" i="1"/>
  <c r="AG21"/>
  <c r="AG23" s="1"/>
  <c r="F23" i="2" s="1"/>
  <c r="O21" i="1"/>
  <c r="O23" s="1"/>
  <c r="F11" i="2" s="1"/>
  <c r="H21" i="1"/>
  <c r="H23" s="1"/>
  <c r="F6" i="2" s="1"/>
  <c r="G21" i="1"/>
  <c r="G23" s="1"/>
  <c r="F5" i="2" s="1"/>
  <c r="BQ20" i="1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E30" i="2" s="1"/>
  <c r="AY20" i="1"/>
  <c r="AX20"/>
  <c r="AW20"/>
  <c r="AV20"/>
  <c r="AU20"/>
  <c r="AT20"/>
  <c r="AS20"/>
  <c r="AR20"/>
  <c r="AQ20"/>
  <c r="AP20"/>
  <c r="AO20"/>
  <c r="AM20"/>
  <c r="E28" i="2" s="1"/>
  <c r="AL20" i="1"/>
  <c r="AK20"/>
  <c r="E27" i="2" s="1"/>
  <c r="Y20" i="1"/>
  <c r="W20"/>
  <c r="V20"/>
  <c r="U20"/>
  <c r="T20"/>
  <c r="S20"/>
  <c r="R20"/>
  <c r="P20"/>
  <c r="L20"/>
  <c r="K20"/>
  <c r="E10" i="2" s="1"/>
  <c r="J20" i="1"/>
  <c r="I20"/>
  <c r="E20"/>
  <c r="E3" i="2" s="1"/>
  <c r="D20" i="1"/>
  <c r="C20"/>
  <c r="BR19"/>
  <c r="BR20" s="1"/>
  <c r="E34" i="2" s="1"/>
  <c r="AZ19" i="1"/>
  <c r="AI19"/>
  <c r="AH19"/>
  <c r="AG19"/>
  <c r="N19"/>
  <c r="M19"/>
  <c r="O19" s="1"/>
  <c r="H19"/>
  <c r="G19"/>
  <c r="BR18"/>
  <c r="BD18"/>
  <c r="BC18"/>
  <c r="AZ18"/>
  <c r="AI18"/>
  <c r="AI20" s="1"/>
  <c r="E25" i="2" s="1"/>
  <c r="AH18" i="1"/>
  <c r="AH20" s="1"/>
  <c r="E24" i="2" s="1"/>
  <c r="AG18" i="1"/>
  <c r="AG20" s="1"/>
  <c r="E23" i="2" s="1"/>
  <c r="N18" i="1"/>
  <c r="M18"/>
  <c r="H18"/>
  <c r="H20" s="1"/>
  <c r="E6" i="2" s="1"/>
  <c r="G18" i="1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Y17"/>
  <c r="AX17"/>
  <c r="AW17"/>
  <c r="AV17"/>
  <c r="AU17"/>
  <c r="AT17"/>
  <c r="AS17"/>
  <c r="AS105" s="1"/>
  <c r="AS107" s="1"/>
  <c r="AS108" s="1"/>
  <c r="AR17"/>
  <c r="AQ17"/>
  <c r="AP17"/>
  <c r="AO17"/>
  <c r="AJ17"/>
  <c r="Y17"/>
  <c r="W17"/>
  <c r="V17"/>
  <c r="U17"/>
  <c r="T17"/>
  <c r="S17"/>
  <c r="R17"/>
  <c r="P17"/>
  <c r="L17"/>
  <c r="K17"/>
  <c r="D10" i="2" s="1"/>
  <c r="J17" i="1"/>
  <c r="I17"/>
  <c r="E17"/>
  <c r="D3" i="2" s="1"/>
  <c r="D17" i="1"/>
  <c r="C17"/>
  <c r="AZ16"/>
  <c r="AZ17" s="1"/>
  <c r="D30" i="2" s="1"/>
  <c r="AI16" i="1"/>
  <c r="AH16"/>
  <c r="AG16"/>
  <c r="W16"/>
  <c r="V16"/>
  <c r="U16"/>
  <c r="T16"/>
  <c r="P16"/>
  <c r="N16"/>
  <c r="M16"/>
  <c r="H16"/>
  <c r="G16"/>
  <c r="BR15"/>
  <c r="BD15"/>
  <c r="BC15"/>
  <c r="AZ15"/>
  <c r="AI15"/>
  <c r="AI17" s="1"/>
  <c r="D25" i="2" s="1"/>
  <c r="AH15" i="1"/>
  <c r="AH17" s="1"/>
  <c r="D24" i="2" s="1"/>
  <c r="AG15" i="1"/>
  <c r="AG17" s="1"/>
  <c r="D23" i="2" s="1"/>
  <c r="W15" i="1"/>
  <c r="V15"/>
  <c r="U15"/>
  <c r="T15"/>
  <c r="P15"/>
  <c r="N15"/>
  <c r="M15"/>
  <c r="H15"/>
  <c r="G15"/>
  <c r="G17" s="1"/>
  <c r="D5" i="2" s="1"/>
  <c r="A15" i="1"/>
  <c r="D2" i="2" s="1"/>
  <c r="BQ14" i="1"/>
  <c r="BP14"/>
  <c r="BO14"/>
  <c r="BN14"/>
  <c r="BM14"/>
  <c r="BL14"/>
  <c r="BK14"/>
  <c r="BJ14"/>
  <c r="BI14"/>
  <c r="BH14"/>
  <c r="BG14"/>
  <c r="BF14"/>
  <c r="BE14"/>
  <c r="BC14"/>
  <c r="BB14"/>
  <c r="BA14"/>
  <c r="AY14"/>
  <c r="AX14"/>
  <c r="AW14"/>
  <c r="AV14"/>
  <c r="AU14"/>
  <c r="AT14"/>
  <c r="AS14"/>
  <c r="AR14"/>
  <c r="AQ14"/>
  <c r="AP14"/>
  <c r="AO14"/>
  <c r="AM14"/>
  <c r="C28" i="2" s="1"/>
  <c r="AL14" i="1"/>
  <c r="AK14"/>
  <c r="C27" i="2" s="1"/>
  <c r="AJ14" i="1"/>
  <c r="Y14"/>
  <c r="W14"/>
  <c r="V14"/>
  <c r="U14"/>
  <c r="T14"/>
  <c r="S14"/>
  <c r="R14"/>
  <c r="P14"/>
  <c r="L14"/>
  <c r="K14"/>
  <c r="J14"/>
  <c r="I14"/>
  <c r="E14"/>
  <c r="C3" i="2" s="1"/>
  <c r="D14" i="1"/>
  <c r="C14"/>
  <c r="AZ13"/>
  <c r="AZ14" s="1"/>
  <c r="C30" i="2" s="1"/>
  <c r="AI13" i="1"/>
  <c r="AH13"/>
  <c r="AG13"/>
  <c r="P13"/>
  <c r="N13"/>
  <c r="M13"/>
  <c r="O13" s="1"/>
  <c r="H13"/>
  <c r="G13"/>
  <c r="BR12"/>
  <c r="BD12"/>
  <c r="BC12"/>
  <c r="AZ12"/>
  <c r="AI12"/>
  <c r="AI14" s="1"/>
  <c r="C25" i="2" s="1"/>
  <c r="AH12" i="1"/>
  <c r="AH14" s="1"/>
  <c r="C24" i="2" s="1"/>
  <c r="AG12" i="1"/>
  <c r="AG14" s="1"/>
  <c r="C23" i="2" s="1"/>
  <c r="N12" i="1"/>
  <c r="M12"/>
  <c r="O12" s="1"/>
  <c r="H12"/>
  <c r="H14" s="1"/>
  <c r="C6" i="2" s="1"/>
  <c r="G12" i="1"/>
  <c r="G14" s="1"/>
  <c r="C5" i="2" s="1"/>
  <c r="BQ11" i="1"/>
  <c r="BP11"/>
  <c r="BO11"/>
  <c r="BN11"/>
  <c r="BM11"/>
  <c r="BL11"/>
  <c r="BK11"/>
  <c r="BJ11"/>
  <c r="BI11"/>
  <c r="BH11"/>
  <c r="BG11"/>
  <c r="BF11"/>
  <c r="BE11"/>
  <c r="BD11"/>
  <c r="BC11"/>
  <c r="BB11"/>
  <c r="BA11"/>
  <c r="AY11"/>
  <c r="AX11"/>
  <c r="AW11"/>
  <c r="AV11"/>
  <c r="AU11"/>
  <c r="AT11"/>
  <c r="AS11"/>
  <c r="AR11"/>
  <c r="AQ11"/>
  <c r="AQ105" s="1"/>
  <c r="AQ107" s="1"/>
  <c r="AQ108" s="1"/>
  <c r="AP11"/>
  <c r="AO11"/>
  <c r="AN11"/>
  <c r="AM11"/>
  <c r="B28" i="2" s="1"/>
  <c r="AL11" i="1"/>
  <c r="AK11"/>
  <c r="B27" i="2" s="1"/>
  <c r="AJ11" i="1"/>
  <c r="Y11"/>
  <c r="W11"/>
  <c r="V11"/>
  <c r="U11"/>
  <c r="T11"/>
  <c r="S11"/>
  <c r="R11"/>
  <c r="P11"/>
  <c r="L11"/>
  <c r="K11"/>
  <c r="J11"/>
  <c r="I11"/>
  <c r="E11"/>
  <c r="B3" i="2" s="1"/>
  <c r="D11" i="1"/>
  <c r="C11"/>
  <c r="BD10"/>
  <c r="AZ10"/>
  <c r="AI10"/>
  <c r="AH10"/>
  <c r="AG10"/>
  <c r="W10"/>
  <c r="V10"/>
  <c r="U10"/>
  <c r="T10"/>
  <c r="P10"/>
  <c r="N10"/>
  <c r="M10"/>
  <c r="H10"/>
  <c r="G10"/>
  <c r="BR9"/>
  <c r="BD9"/>
  <c r="BC9"/>
  <c r="AZ9"/>
  <c r="AI9"/>
  <c r="AH9"/>
  <c r="AG9"/>
  <c r="W9"/>
  <c r="V9"/>
  <c r="U9"/>
  <c r="T9"/>
  <c r="P9"/>
  <c r="N9"/>
  <c r="N11" s="1"/>
  <c r="B10" i="2" s="1"/>
  <c r="M9" i="1"/>
  <c r="M11" s="1"/>
  <c r="B9" i="2" s="1"/>
  <c r="H9" i="1"/>
  <c r="G9"/>
  <c r="AG92" l="1"/>
  <c r="AC23" i="2" s="1"/>
  <c r="H89" i="1"/>
  <c r="AB6" i="2" s="1"/>
  <c r="G89" i="1"/>
  <c r="AB5" i="2" s="1"/>
  <c r="AG74" i="1"/>
  <c r="W23" i="2" s="1"/>
  <c r="AI74" i="1"/>
  <c r="W25" i="2" s="1"/>
  <c r="G71" i="1"/>
  <c r="V5" i="2" s="1"/>
  <c r="AN68" i="1"/>
  <c r="O63"/>
  <c r="N65"/>
  <c r="T10" i="2" s="1"/>
  <c r="AG62" i="1"/>
  <c r="S23" i="2" s="1"/>
  <c r="AI62" i="1"/>
  <c r="S25" i="2" s="1"/>
  <c r="O61" i="1"/>
  <c r="BR43"/>
  <c r="BR44" s="1"/>
  <c r="M34" i="2" s="1"/>
  <c r="BR40" i="1"/>
  <c r="BR41" s="1"/>
  <c r="L34" i="2" s="1"/>
  <c r="H41" i="1"/>
  <c r="L6" i="2" s="1"/>
  <c r="N38" i="1"/>
  <c r="K10" i="2" s="1"/>
  <c r="O36" i="1"/>
  <c r="BA105"/>
  <c r="C109" s="1"/>
  <c r="O27"/>
  <c r="AH23"/>
  <c r="F24" i="2" s="1"/>
  <c r="G20" i="1"/>
  <c r="E5" i="2" s="1"/>
  <c r="O18" i="1"/>
  <c r="BR16"/>
  <c r="BR17" s="1"/>
  <c r="D34" i="2" s="1"/>
  <c r="O15" i="1"/>
  <c r="O10"/>
  <c r="BI105"/>
  <c r="AZ77"/>
  <c r="X30" i="2" s="1"/>
  <c r="BR24" i="1"/>
  <c r="BR26" s="1"/>
  <c r="G34" i="2" s="1"/>
  <c r="AH95" i="1"/>
  <c r="AD24" i="2" s="1"/>
  <c r="AI92" i="1"/>
  <c r="AC25" i="2" s="1"/>
  <c r="AG89" i="1"/>
  <c r="AB23" i="2" s="1"/>
  <c r="AI89" i="1"/>
  <c r="AB25" i="2" s="1"/>
  <c r="AH89" i="1"/>
  <c r="AB24" i="2" s="1"/>
  <c r="L41" i="3"/>
  <c r="AG86" i="1"/>
  <c r="AA23" i="2" s="1"/>
  <c r="AI86" i="1"/>
  <c r="AA25" i="2" s="1"/>
  <c r="AH80" i="1"/>
  <c r="Y24" i="2" s="1"/>
  <c r="L24" i="3"/>
  <c r="AG68" i="1"/>
  <c r="U23" i="2" s="1"/>
  <c r="AI68" i="1"/>
  <c r="U25" i="2" s="1"/>
  <c r="L20" i="3"/>
  <c r="AI59" i="1"/>
  <c r="R25" i="2" s="1"/>
  <c r="AH47" i="1"/>
  <c r="N24" i="2" s="1"/>
  <c r="AH44" i="1"/>
  <c r="M24" i="2" s="1"/>
  <c r="D29" i="3"/>
  <c r="G95" i="1"/>
  <c r="AD5" i="2" s="1"/>
  <c r="H92" i="1"/>
  <c r="AC6" i="2" s="1"/>
  <c r="O87" i="1"/>
  <c r="G86"/>
  <c r="AA5" i="2" s="1"/>
  <c r="AN77" i="1"/>
  <c r="M74"/>
  <c r="W9" i="2" s="1"/>
  <c r="O70" i="1"/>
  <c r="H68"/>
  <c r="U6" i="2" s="1"/>
  <c r="G65" i="1"/>
  <c r="T5" i="2" s="1"/>
  <c r="N59" i="1"/>
  <c r="R10" i="2" s="1"/>
  <c r="O58" i="1"/>
  <c r="O43"/>
  <c r="M41"/>
  <c r="L9" i="2" s="1"/>
  <c r="O37" i="1"/>
  <c r="G35"/>
  <c r="J5" i="2" s="1"/>
  <c r="M29" i="1"/>
  <c r="H9" i="2" s="1"/>
  <c r="O25" i="1"/>
  <c r="H26"/>
  <c r="G6" i="2" s="1"/>
  <c r="H17" i="1"/>
  <c r="D6" i="2" s="1"/>
  <c r="F8" i="3"/>
  <c r="C10"/>
  <c r="F9"/>
  <c r="F10" s="1"/>
  <c r="L9"/>
  <c r="F11"/>
  <c r="K13"/>
  <c r="D14"/>
  <c r="C16"/>
  <c r="L15"/>
  <c r="D17"/>
  <c r="C19"/>
  <c r="L18"/>
  <c r="N20"/>
  <c r="K22"/>
  <c r="D23"/>
  <c r="N24"/>
  <c r="D27"/>
  <c r="C31"/>
  <c r="L30"/>
  <c r="C34"/>
  <c r="D35"/>
  <c r="C37"/>
  <c r="D38"/>
  <c r="C40"/>
  <c r="D41"/>
  <c r="N41"/>
  <c r="K43"/>
  <c r="F47"/>
  <c r="F49" s="1"/>
  <c r="D48"/>
  <c r="L50"/>
  <c r="L53"/>
  <c r="K55"/>
  <c r="N54"/>
  <c r="D10"/>
  <c r="F14"/>
  <c r="F17"/>
  <c r="F27"/>
  <c r="K34"/>
  <c r="F35"/>
  <c r="K37"/>
  <c r="N36"/>
  <c r="F38"/>
  <c r="F48"/>
  <c r="C49"/>
  <c r="N50"/>
  <c r="K52"/>
  <c r="N53"/>
  <c r="L55"/>
  <c r="AG95" i="1"/>
  <c r="AD23" i="2" s="1"/>
  <c r="AI95" i="1"/>
  <c r="AD25" i="2" s="1"/>
  <c r="O94" i="1"/>
  <c r="H95"/>
  <c r="AD6" i="2" s="1"/>
  <c r="K49" i="3"/>
  <c r="AH92" i="1"/>
  <c r="AC24" i="2" s="1"/>
  <c r="M45" i="3"/>
  <c r="M46" s="1"/>
  <c r="L45"/>
  <c r="N92" i="1"/>
  <c r="AC10" i="2" s="1"/>
  <c r="O91" i="1"/>
  <c r="M92"/>
  <c r="AC9" i="2" s="1"/>
  <c r="G92" i="1"/>
  <c r="AC5" i="2" s="1"/>
  <c r="L44" i="3"/>
  <c r="N44"/>
  <c r="N46" s="1"/>
  <c r="K46"/>
  <c r="AN92" i="1"/>
  <c r="O90"/>
  <c r="L42" i="3"/>
  <c r="L43" s="1"/>
  <c r="N42"/>
  <c r="M89" i="1"/>
  <c r="AB9" i="2" s="1"/>
  <c r="O89" i="1"/>
  <c r="AB11" i="2" s="1"/>
  <c r="N89" i="1"/>
  <c r="AB10" i="2" s="1"/>
  <c r="AH86" i="1"/>
  <c r="AA24" i="2" s="1"/>
  <c r="L39" i="3"/>
  <c r="N86" i="1"/>
  <c r="AA10" i="2" s="1"/>
  <c r="O85" i="1"/>
  <c r="H86"/>
  <c r="AA6" i="2" s="1"/>
  <c r="K40" i="3"/>
  <c r="O84" i="1"/>
  <c r="M86"/>
  <c r="AA9" i="2" s="1"/>
  <c r="L33" i="3"/>
  <c r="N33"/>
  <c r="O79" i="1"/>
  <c r="H80"/>
  <c r="Y6" i="2" s="1"/>
  <c r="BR76" i="1"/>
  <c r="BR77" s="1"/>
  <c r="X34" i="2" s="1"/>
  <c r="K31" i="3"/>
  <c r="L27"/>
  <c r="N26"/>
  <c r="K28"/>
  <c r="N28"/>
  <c r="L26"/>
  <c r="N74" i="1"/>
  <c r="W10" i="2" s="1"/>
  <c r="BR70" i="1"/>
  <c r="BR71" s="1"/>
  <c r="V34" i="2" s="1"/>
  <c r="AG71" i="1"/>
  <c r="V23" i="2" s="1"/>
  <c r="AI71" i="1"/>
  <c r="V25" i="2" s="1"/>
  <c r="M25" i="3"/>
  <c r="N71" i="1"/>
  <c r="V10" i="2" s="1"/>
  <c r="L23" i="3"/>
  <c r="L25" s="1"/>
  <c r="N23"/>
  <c r="N25" s="1"/>
  <c r="K25"/>
  <c r="AN71" i="1"/>
  <c r="O69"/>
  <c r="O71" s="1"/>
  <c r="V11" i="2" s="1"/>
  <c r="BR67" i="1"/>
  <c r="BR68" s="1"/>
  <c r="U34" i="2" s="1"/>
  <c r="N21" i="3"/>
  <c r="G68" i="1"/>
  <c r="U5" i="2" s="1"/>
  <c r="AH68" i="1"/>
  <c r="U24" i="2" s="1"/>
  <c r="L22" i="3"/>
  <c r="N22"/>
  <c r="N68" i="1"/>
  <c r="U10" i="2" s="1"/>
  <c r="M68" i="1"/>
  <c r="U9" i="2" s="1"/>
  <c r="BR109" i="1"/>
  <c r="BG110"/>
  <c r="BR110" s="1"/>
  <c r="AG65"/>
  <c r="T23" i="2" s="1"/>
  <c r="AI65" i="1"/>
  <c r="T25" i="2" s="1"/>
  <c r="O64" i="1"/>
  <c r="K19" i="3"/>
  <c r="H65" i="1"/>
  <c r="T6" i="2" s="1"/>
  <c r="K16" i="3"/>
  <c r="AH59" i="1"/>
  <c r="R24" i="2" s="1"/>
  <c r="N12" i="3"/>
  <c r="M59" i="1"/>
  <c r="R9" i="2" s="1"/>
  <c r="H59" i="1"/>
  <c r="R6" i="2" s="1"/>
  <c r="M56" i="1"/>
  <c r="Q9" i="2" s="1"/>
  <c r="G56" i="1"/>
  <c r="Q5" i="2" s="1"/>
  <c r="K10" i="3"/>
  <c r="BR52" i="1"/>
  <c r="BR53" s="1"/>
  <c r="P34" i="2" s="1"/>
  <c r="AH53" i="1"/>
  <c r="P24" i="2" s="1"/>
  <c r="M53" i="1"/>
  <c r="P9" i="2" s="1"/>
  <c r="G53" i="1"/>
  <c r="P5" i="2" s="1"/>
  <c r="D50" i="3"/>
  <c r="C52"/>
  <c r="F50"/>
  <c r="AN53" i="1"/>
  <c r="BR49"/>
  <c r="BR50" s="1"/>
  <c r="O34" i="2" s="1"/>
  <c r="E49" i="3"/>
  <c r="D49"/>
  <c r="AN50" i="1"/>
  <c r="O48"/>
  <c r="O50" s="1"/>
  <c r="O11" i="2" s="1"/>
  <c r="H47" i="1"/>
  <c r="N6" i="2" s="1"/>
  <c r="AG47" i="1"/>
  <c r="N23" i="2" s="1"/>
  <c r="AI47" i="1"/>
  <c r="N25" i="2" s="1"/>
  <c r="D44" i="3"/>
  <c r="F44"/>
  <c r="C46"/>
  <c r="AN47" i="1"/>
  <c r="M47"/>
  <c r="N9" i="2" s="1"/>
  <c r="N47" i="1"/>
  <c r="N10" i="2" s="1"/>
  <c r="AG44" i="1"/>
  <c r="M23" i="2" s="1"/>
  <c r="AI44" i="1"/>
  <c r="M25" i="2" s="1"/>
  <c r="M44" i="1"/>
  <c r="M9" i="2" s="1"/>
  <c r="G44" i="1"/>
  <c r="M5" i="2" s="1"/>
  <c r="F41" i="3"/>
  <c r="C43"/>
  <c r="AN44" i="1"/>
  <c r="L31" i="2"/>
  <c r="AH41" i="1"/>
  <c r="L24" i="2" s="1"/>
  <c r="N41" i="1"/>
  <c r="L10" i="2" s="1"/>
  <c r="O40" i="1"/>
  <c r="G41"/>
  <c r="L5" i="2" s="1"/>
  <c r="BR37" i="1"/>
  <c r="BR38" s="1"/>
  <c r="K34" i="2" s="1"/>
  <c r="M35" i="1"/>
  <c r="J9" i="2" s="1"/>
  <c r="O31" i="1"/>
  <c r="N32"/>
  <c r="I10" i="2" s="1"/>
  <c r="O28" i="1"/>
  <c r="O29" s="1"/>
  <c r="H11" i="2" s="1"/>
  <c r="N26" i="1"/>
  <c r="G10" i="2" s="1"/>
  <c r="O26" i="1"/>
  <c r="G11" i="2" s="1"/>
  <c r="O16" i="1"/>
  <c r="BG107"/>
  <c r="BR107" s="1"/>
  <c r="BR106"/>
  <c r="BG105"/>
  <c r="BR34"/>
  <c r="BR35" s="1"/>
  <c r="J34" i="2" s="1"/>
  <c r="AH35" i="1"/>
  <c r="J24" i="2" s="1"/>
  <c r="H35" i="1"/>
  <c r="J6" i="2" s="1"/>
  <c r="F32" i="3"/>
  <c r="BR31" i="1"/>
  <c r="BR32" s="1"/>
  <c r="I34" i="2" s="1"/>
  <c r="AN32" i="1"/>
  <c r="F29" i="3"/>
  <c r="AZ29" i="1"/>
  <c r="H30" i="2" s="1"/>
  <c r="AH29" i="1"/>
  <c r="H24" i="2" s="1"/>
  <c r="E28" i="3"/>
  <c r="AN29" i="1"/>
  <c r="D26" i="3"/>
  <c r="D28" s="1"/>
  <c r="F26"/>
  <c r="C28"/>
  <c r="AG26" i="1"/>
  <c r="G23" i="2" s="1"/>
  <c r="AI26" i="1"/>
  <c r="G25" i="2" s="1"/>
  <c r="F23" i="3"/>
  <c r="C25"/>
  <c r="D20"/>
  <c r="F20"/>
  <c r="C22"/>
  <c r="AK17" i="1"/>
  <c r="D27" i="2" s="1"/>
  <c r="A18" i="1"/>
  <c r="AP105"/>
  <c r="AP107" s="1"/>
  <c r="AP108" s="1"/>
  <c r="BR82"/>
  <c r="BR83" s="1"/>
  <c r="Z34" i="2" s="1"/>
  <c r="AZ74" i="1"/>
  <c r="W30" i="2" s="1"/>
  <c r="BR64" i="1"/>
  <c r="BR65" s="1"/>
  <c r="T34" i="2" s="1"/>
  <c r="BR61" i="1"/>
  <c r="BR62" s="1"/>
  <c r="S34" i="2" s="1"/>
  <c r="AZ56" i="1"/>
  <c r="Q30" i="2" s="1"/>
  <c r="BR46" i="1"/>
  <c r="BR47" s="1"/>
  <c r="N34" i="2" s="1"/>
  <c r="AO105" i="1"/>
  <c r="AO107" s="1"/>
  <c r="AO108" s="1"/>
  <c r="BR22"/>
  <c r="BR23" s="1"/>
  <c r="F34" i="2" s="1"/>
  <c r="AR105" i="1"/>
  <c r="AR107" s="1"/>
  <c r="AR108" s="1"/>
  <c r="BR13"/>
  <c r="BR14" s="1"/>
  <c r="C34" i="2" s="1"/>
  <c r="BR10" i="1"/>
  <c r="AZ11"/>
  <c r="B30" i="2" s="1"/>
  <c r="M54" i="3"/>
  <c r="M55" s="1"/>
  <c r="AN98" i="1"/>
  <c r="L51" i="3"/>
  <c r="L52" s="1"/>
  <c r="N51"/>
  <c r="N52" s="1"/>
  <c r="M51"/>
  <c r="M52" s="1"/>
  <c r="AN95" i="1"/>
  <c r="L47" i="3"/>
  <c r="N47"/>
  <c r="L48"/>
  <c r="L49" s="1"/>
  <c r="N48"/>
  <c r="N49" s="1"/>
  <c r="M48"/>
  <c r="M49" s="1"/>
  <c r="M42"/>
  <c r="M43" s="1"/>
  <c r="L38"/>
  <c r="L40" s="1"/>
  <c r="N38"/>
  <c r="N40" s="1"/>
  <c r="M39"/>
  <c r="M40" s="1"/>
  <c r="L35"/>
  <c r="L37" s="1"/>
  <c r="N35"/>
  <c r="N37" s="1"/>
  <c r="M36"/>
  <c r="M37" s="1"/>
  <c r="L32"/>
  <c r="L34" s="1"/>
  <c r="N32"/>
  <c r="N34" s="1"/>
  <c r="M33"/>
  <c r="M34" s="1"/>
  <c r="L29"/>
  <c r="L31" s="1"/>
  <c r="N29"/>
  <c r="N31" s="1"/>
  <c r="M30"/>
  <c r="M31" s="1"/>
  <c r="AN74" i="1"/>
  <c r="M27" i="3"/>
  <c r="M28" s="1"/>
  <c r="M21"/>
  <c r="M22" s="1"/>
  <c r="L17"/>
  <c r="L19" s="1"/>
  <c r="N17"/>
  <c r="N19" s="1"/>
  <c r="M18"/>
  <c r="M19" s="1"/>
  <c r="N16"/>
  <c r="M14"/>
  <c r="L14"/>
  <c r="L16" s="1"/>
  <c r="M15"/>
  <c r="AN59" i="1"/>
  <c r="L11" i="3"/>
  <c r="L13" s="1"/>
  <c r="N11"/>
  <c r="M12"/>
  <c r="M13" s="1"/>
  <c r="L8"/>
  <c r="L10" s="1"/>
  <c r="N8"/>
  <c r="N10" s="1"/>
  <c r="M9"/>
  <c r="M10" s="1"/>
  <c r="D51"/>
  <c r="D52" s="1"/>
  <c r="F51"/>
  <c r="F52" s="1"/>
  <c r="E51"/>
  <c r="E52" s="1"/>
  <c r="D45"/>
  <c r="F45"/>
  <c r="E45"/>
  <c r="E46" s="1"/>
  <c r="D42"/>
  <c r="D43" s="1"/>
  <c r="F42"/>
  <c r="E42"/>
  <c r="E43" s="1"/>
  <c r="D39"/>
  <c r="D40" s="1"/>
  <c r="F39"/>
  <c r="F40" s="1"/>
  <c r="E39"/>
  <c r="E40" s="1"/>
  <c r="AL38" i="1"/>
  <c r="D36" i="3"/>
  <c r="D37" s="1"/>
  <c r="F36"/>
  <c r="F37" s="1"/>
  <c r="E36"/>
  <c r="E37" s="1"/>
  <c r="D33"/>
  <c r="D34" s="1"/>
  <c r="F33"/>
  <c r="F34" s="1"/>
  <c r="E33"/>
  <c r="E34" s="1"/>
  <c r="D30"/>
  <c r="D31" s="1"/>
  <c r="F30"/>
  <c r="F31" s="1"/>
  <c r="E30"/>
  <c r="E31" s="1"/>
  <c r="D24"/>
  <c r="F24"/>
  <c r="F25" s="1"/>
  <c r="E24"/>
  <c r="E25" s="1"/>
  <c r="D21"/>
  <c r="D22" s="1"/>
  <c r="F21"/>
  <c r="F22" s="1"/>
  <c r="E21"/>
  <c r="E22" s="1"/>
  <c r="D18"/>
  <c r="D19" s="1"/>
  <c r="F18"/>
  <c r="F19" s="1"/>
  <c r="E18"/>
  <c r="E19" s="1"/>
  <c r="D15"/>
  <c r="D16" s="1"/>
  <c r="F15"/>
  <c r="F16" s="1"/>
  <c r="E15"/>
  <c r="E16" s="1"/>
  <c r="D12"/>
  <c r="D13" s="1"/>
  <c r="F12"/>
  <c r="F13" s="1"/>
  <c r="E12"/>
  <c r="E13" s="1"/>
  <c r="G108" i="4"/>
  <c r="G44"/>
  <c r="G76"/>
  <c r="AG11" i="1"/>
  <c r="B23" i="2" s="1"/>
  <c r="AI11" i="1"/>
  <c r="B25" i="2" s="1"/>
  <c r="E9" i="3"/>
  <c r="E10" s="1"/>
  <c r="AH11" i="1"/>
  <c r="B24" i="2" s="1"/>
  <c r="O9" i="1"/>
  <c r="O11" s="1"/>
  <c r="B11" i="2" s="1"/>
  <c r="N14" i="1"/>
  <c r="C10" i="2" s="1"/>
  <c r="M14" i="1"/>
  <c r="C9" i="2" s="1"/>
  <c r="D9"/>
  <c r="E9"/>
  <c r="M26" i="1"/>
  <c r="G9" i="2" s="1"/>
  <c r="O30" i="1"/>
  <c r="O32" s="1"/>
  <c r="I11" i="2" s="1"/>
  <c r="O33" i="1"/>
  <c r="O35" s="1"/>
  <c r="J11" i="2" s="1"/>
  <c r="M38" i="1"/>
  <c r="K9" i="2" s="1"/>
  <c r="I105" i="1"/>
  <c r="O39"/>
  <c r="O42"/>
  <c r="O44" s="1"/>
  <c r="M11" i="2" s="1"/>
  <c r="O46" i="1"/>
  <c r="O47" s="1"/>
  <c r="N11" i="2" s="1"/>
  <c r="O51" i="1"/>
  <c r="O53" s="1"/>
  <c r="P11" i="2" s="1"/>
  <c r="O54" i="1"/>
  <c r="O56" s="1"/>
  <c r="Q11" i="2" s="1"/>
  <c r="O57" i="1"/>
  <c r="O65"/>
  <c r="T11" i="2" s="1"/>
  <c r="M65" i="1"/>
  <c r="T9" i="2" s="1"/>
  <c r="O60" i="1"/>
  <c r="O62" s="1"/>
  <c r="S11" i="2" s="1"/>
  <c r="O67" i="1"/>
  <c r="O68" s="1"/>
  <c r="U11" i="2" s="1"/>
  <c r="K105" i="1"/>
  <c r="O72"/>
  <c r="O74" s="1"/>
  <c r="W11" i="2" s="1"/>
  <c r="O75" i="1"/>
  <c r="O77" s="1"/>
  <c r="X11" i="2" s="1"/>
  <c r="X36" s="1"/>
  <c r="O78" i="1"/>
  <c r="O81"/>
  <c r="O83" s="1"/>
  <c r="Z11" i="2" s="1"/>
  <c r="O95" i="1"/>
  <c r="AD11" i="2" s="1"/>
  <c r="M95" i="1"/>
  <c r="AD9" i="2" s="1"/>
  <c r="M98" i="1"/>
  <c r="AE9" i="2" s="1"/>
  <c r="O99" i="1"/>
  <c r="AE36" i="2"/>
  <c r="AN89" i="1"/>
  <c r="AN86"/>
  <c r="Z36" i="2"/>
  <c r="AN83" i="1"/>
  <c r="AL80"/>
  <c r="AM79"/>
  <c r="AK80"/>
  <c r="Y27" i="2" s="1"/>
  <c r="W36"/>
  <c r="AN65" i="1"/>
  <c r="AN62"/>
  <c r="AN56"/>
  <c r="D105"/>
  <c r="M28" i="2"/>
  <c r="C105" i="1"/>
  <c r="AN41"/>
  <c r="J36" i="2"/>
  <c r="AN35" i="1"/>
  <c r="I28" i="2"/>
  <c r="AN26" i="1"/>
  <c r="F36" i="2"/>
  <c r="AN20" i="1"/>
  <c r="AN14"/>
  <c r="H11"/>
  <c r="B6" i="2" s="1"/>
  <c r="E105" i="1"/>
  <c r="G11"/>
  <c r="B5" i="2" s="1"/>
  <c r="L28" i="3" l="1"/>
  <c r="S36" i="2"/>
  <c r="M16" i="3"/>
  <c r="O36" i="2"/>
  <c r="D46" i="3"/>
  <c r="D54" s="1"/>
  <c r="F56" s="1"/>
  <c r="F43"/>
  <c r="O38" i="1"/>
  <c r="K11" i="2" s="1"/>
  <c r="D25" i="3"/>
  <c r="E11" i="2"/>
  <c r="E36" s="1"/>
  <c r="D11"/>
  <c r="N43" i="3"/>
  <c r="F28"/>
  <c r="O80" i="1"/>
  <c r="Y11" i="2" s="1"/>
  <c r="O59" i="1"/>
  <c r="R11" i="2" s="1"/>
  <c r="R36" s="1"/>
  <c r="P36"/>
  <c r="O41" i="1"/>
  <c r="L11" i="2" s="1"/>
  <c r="T36"/>
  <c r="N55" i="3"/>
  <c r="G36" i="2"/>
  <c r="H36"/>
  <c r="Q36"/>
  <c r="N13" i="3"/>
  <c r="K57"/>
  <c r="AD36" i="2"/>
  <c r="L46" i="3"/>
  <c r="O92" i="1"/>
  <c r="AC11" i="2" s="1"/>
  <c r="AC36" s="1"/>
  <c r="AB36"/>
  <c r="O86" i="1"/>
  <c r="AA11" i="2" s="1"/>
  <c r="AA36" s="1"/>
  <c r="AK105" i="1"/>
  <c r="V36" i="2"/>
  <c r="U36"/>
  <c r="C54" i="3"/>
  <c r="N36" i="2"/>
  <c r="F46" i="3"/>
  <c r="M36" i="2"/>
  <c r="L36"/>
  <c r="I36"/>
  <c r="AI105" i="1"/>
  <c r="E2" i="2"/>
  <c r="A21" i="1"/>
  <c r="AZ105"/>
  <c r="C106" s="1"/>
  <c r="C110" s="1"/>
  <c r="BR11"/>
  <c r="B34" i="2" s="1"/>
  <c r="BR105" i="1"/>
  <c r="M57" i="3"/>
  <c r="N66" s="1"/>
  <c r="N57"/>
  <c r="N69" s="1"/>
  <c r="L57"/>
  <c r="N59" s="1"/>
  <c r="F54"/>
  <c r="F60" s="1"/>
  <c r="F61" s="1"/>
  <c r="AL17" i="1"/>
  <c r="AL105" s="1"/>
  <c r="AL107" s="1"/>
  <c r="AL109" s="1"/>
  <c r="E54" i="3"/>
  <c r="F63" s="1"/>
  <c r="B36" i="2"/>
  <c r="AG105" i="1"/>
  <c r="AH105"/>
  <c r="O14"/>
  <c r="C11" i="2" s="1"/>
  <c r="C36" s="1"/>
  <c r="AN79" i="1"/>
  <c r="AM80"/>
  <c r="G8" i="4"/>
  <c r="G106" s="1"/>
  <c r="AM38" i="1"/>
  <c r="G105"/>
  <c r="H105"/>
  <c r="G42" i="4" l="1"/>
  <c r="F66" i="3"/>
  <c r="F68" s="1"/>
  <c r="G68" s="1"/>
  <c r="G74" i="4"/>
  <c r="A24" i="1"/>
  <c r="F2" i="2"/>
  <c r="N63" i="3"/>
  <c r="N64" s="1"/>
  <c r="AM17" i="1"/>
  <c r="AN80"/>
  <c r="Y28" i="2"/>
  <c r="Y36" s="1"/>
  <c r="AN38" i="1"/>
  <c r="K28" i="2"/>
  <c r="K36" s="1"/>
  <c r="AM105" i="1"/>
  <c r="G12" i="4" s="1"/>
  <c r="G2" i="2" l="1"/>
  <c r="A27" i="1"/>
  <c r="N71" i="3"/>
  <c r="AN17" i="1"/>
  <c r="D28" i="2"/>
  <c r="D36" s="1"/>
  <c r="AN105" i="1"/>
  <c r="G14" i="4"/>
  <c r="G17" s="1"/>
  <c r="G78"/>
  <c r="G80" s="1"/>
  <c r="G112" s="1"/>
  <c r="G115" s="1"/>
  <c r="G110"/>
  <c r="G46"/>
  <c r="G48" s="1"/>
  <c r="G51" s="1"/>
  <c r="A30" i="1" l="1"/>
  <c r="H2" i="2"/>
  <c r="G83" i="4"/>
  <c r="G85" s="1"/>
  <c r="G19"/>
  <c r="G21"/>
  <c r="G55"/>
  <c r="G53"/>
  <c r="G119"/>
  <c r="G117"/>
  <c r="I2" i="2" l="1"/>
  <c r="A33" i="1"/>
  <c r="G87" i="4"/>
  <c r="G23"/>
  <c r="G121"/>
  <c r="G57"/>
  <c r="G89"/>
  <c r="J2" i="2" l="1"/>
  <c r="A36" i="1"/>
  <c r="K2" i="2" l="1"/>
  <c r="A39" i="1"/>
  <c r="L2" i="2" l="1"/>
  <c r="A42" i="1"/>
  <c r="M2" i="2" l="1"/>
  <c r="A45" i="1"/>
  <c r="A48" l="1"/>
  <c r="N2" i="2"/>
  <c r="O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l="1"/>
  <c r="V2" i="2"/>
  <c r="W2" l="1"/>
  <c r="A75" i="1"/>
  <c r="X2" i="2" l="1"/>
  <c r="A78" i="1"/>
  <c r="Y2" i="2" l="1"/>
  <c r="A81" i="1"/>
  <c r="A84" l="1"/>
  <c r="Z2" i="2"/>
  <c r="AA2" l="1"/>
  <c r="A87" i="1"/>
  <c r="AB2" i="2" l="1"/>
  <c r="A90" i="1"/>
  <c r="AC2" i="2" l="1"/>
  <c r="A93" i="1"/>
  <c r="A96" l="1"/>
  <c r="AD2" i="2"/>
  <c r="AE2" l="1"/>
  <c r="A101" i="1"/>
</calcChain>
</file>

<file path=xl/sharedStrings.xml><?xml version="1.0" encoding="utf-8"?>
<sst xmlns="http://schemas.openxmlformats.org/spreadsheetml/2006/main" count="642" uniqueCount="139">
  <si>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</si>
  <si>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</si>
  <si>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</si>
  <si>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</si>
  <si>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</si>
  <si>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</si>
  <si>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</si>
  <si>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</si>
  <si>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</si>
  <si>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</si>
  <si>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</si>
  <si>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</si>
  <si>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</si>
  <si>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</si>
  <si>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</si>
  <si>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</si>
  <si>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</si>
  <si>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</si>
  <si>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</si>
  <si>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</si>
  <si>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</si>
  <si>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</si>
  <si>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</si>
  <si>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</si>
  <si>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</si>
  <si>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</si>
  <si>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</si>
  <si>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</si>
  <si>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</si>
  <si>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</si>
  <si>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</si>
  <si>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</si>
  <si>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</si>
  <si>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</si>
  <si>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</si>
  <si>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</si>
  <si>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</si>
  <si>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</si>
  <si>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</si>
  <si>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</si>
  <si>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</si>
  <si>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</si>
  <si>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</si>
  <si>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</si>
  <si>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</si>
  <si>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</si>
  <si>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</si>
  <si>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</si>
  <si>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</si>
  <si>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</si>
  <si>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</si>
  <si>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</si>
  <si>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</si>
  <si>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</si>
  <si>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</si>
  <si>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</si>
  <si>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</si>
  <si>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</si>
  <si>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</si>
  <si>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</si>
  <si>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</si>
  <si>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</si>
  <si>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</si>
  <si>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</si>
  <si>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</si>
  <si>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</si>
  <si>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</si>
  <si>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</si>
  <si>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</si>
  <si>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</si>
  <si>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</si>
  <si>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</si>
  <si>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</si>
  <si>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</si>
  <si>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</si>
  <si>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</si>
  <si>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</si>
  <si>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</si>
  <si>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</si>
  <si>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</si>
  <si>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</si>
  <si>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</si>
  <si>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</si>
  <si>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</si>
  <si>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</si>
  <si>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</si>
  <si>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</si>
  <si>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</si>
  <si>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</si>
  <si>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</si>
  <si>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</si>
  <si>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</si>
  <si>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</si>
  <si>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</si>
  <si>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</si>
  <si>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</si>
  <si>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</si>
  <si>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</si>
  <si>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</si>
  <si>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</si>
  <si>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</si>
  <si>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</si>
  <si>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</si>
  <si>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</si>
  <si>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</si>
  <si>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</si>
  <si>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</si>
  <si>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</si>
  <si>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</si>
  <si>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</si>
  <si>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</si>
  <si>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</si>
  <si>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</si>
  <si>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</si>
  <si>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</si>
  <si>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</si>
  <si>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</si>
  <si>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</si>
  <si>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</si>
  <si>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</si>
  <si>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</si>
  <si>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</si>
  <si>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</si>
  <si>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</si>
  <si>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</si>
  <si>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</si>
  <si>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</si>
  <si>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</si>
  <si>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</si>
  <si>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</si>
  <si>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</si>
  <si>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</si>
  <si>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</si>
  <si>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</si>
  <si>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</si>
  <si>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FOR THE MONTH ENDED  SPETEMBER  2018</t>
  </si>
  <si>
    <t>Sunday Off</t>
  </si>
  <si>
    <t>Saturday</t>
  </si>
  <si>
    <t>FP/HB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</si>
</sst>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  <numFmt numFmtId="167" formatCode="_(* #,##0.00000_);_(* \(#,##0.0000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3" fontId="12" fillId="0" borderId="0" xfId="0" applyNumberFormat="1" applyFont="1"/>
    <xf numFmtId="15" fontId="2" fillId="0" borderId="23" xfId="0" applyNumberFormat="1" applyFont="1" applyBorder="1" applyAlignment="1">
      <alignment vertical="center" wrapText="1"/>
    </xf>
    <xf numFmtId="15" fontId="2" fillId="0" borderId="24" xfId="0" applyNumberFormat="1" applyFont="1" applyBorder="1" applyAlignment="1">
      <alignment vertical="center" wrapText="1"/>
    </xf>
    <xf numFmtId="15" fontId="2" fillId="0" borderId="35" xfId="0" applyNumberFormat="1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167" fontId="3" fillId="0" borderId="0" xfId="1" applyNumberFormat="1" applyFont="1" applyFill="1" applyBorder="1"/>
    <xf numFmtId="0" fontId="2" fillId="3" borderId="3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90"/>
  <sheetViews>
    <sheetView zoomScale="115" zoomScaleNormal="115" workbookViewId="0">
      <pane xSplit="3" ySplit="7" topLeftCell="BJ97" activePane="bottomRight" state="frozen"/>
      <selection pane="topRight" activeCell="D1" sqref="D1"/>
      <selection pane="bottomLeft" activeCell="A8" sqref="A8"/>
      <selection pane="bottomRight" activeCell="BV114" sqref="BV114"/>
    </sheetView>
  </sheetViews>
  <sheetFormatPr defaultColWidth="9.109375" defaultRowHeight="14.4"/>
  <cols>
    <col min="1" max="1" width="13" style="136" customWidth="1"/>
    <col min="2" max="2" width="5.33203125" style="136" hidden="1" customWidth="1"/>
    <col min="3" max="3" width="21" style="136" customWidth="1"/>
    <col min="4" max="29" width="10.6640625" style="136" customWidth="1"/>
    <col min="30" max="30" width="12.109375" style="136" customWidth="1"/>
    <col min="31" max="31" width="19.33203125" style="136" customWidth="1"/>
    <col min="32" max="38" width="10.6640625" style="136" customWidth="1"/>
    <col min="39" max="39" width="11.44140625" style="136" customWidth="1"/>
    <col min="40" max="40" width="15.33203125" style="136" customWidth="1"/>
    <col min="41" max="41" width="10.6640625" style="136" customWidth="1"/>
    <col min="42" max="42" width="12" style="136" customWidth="1"/>
    <col min="43" max="57" width="10.6640625" style="136" customWidth="1"/>
    <col min="58" max="58" width="10.6640625" style="136" hidden="1" customWidth="1"/>
    <col min="59" max="59" width="10.6640625" style="136" customWidth="1"/>
    <col min="60" max="60" width="13" style="136" customWidth="1"/>
    <col min="61" max="70" width="10.6640625" style="136" customWidth="1"/>
    <col min="71" max="72" width="9.109375" style="136"/>
    <col min="73" max="125" width="12.6640625" style="4" customWidth="1"/>
    <col min="126" max="16384" width="9.109375" style="136"/>
  </cols>
  <sheetData>
    <row r="1" spans="1:125" hidden="1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idden="1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idden="1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1.6" hidden="1">
      <c r="A4" s="9" t="s">
        <v>135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2.2" hidden="1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>
      <c r="A6" s="218" t="s">
        <v>2</v>
      </c>
      <c r="B6" s="191" t="s">
        <v>3</v>
      </c>
      <c r="C6" s="199" t="s">
        <v>4</v>
      </c>
      <c r="D6" s="195" t="s">
        <v>5</v>
      </c>
      <c r="E6" s="195" t="s">
        <v>6</v>
      </c>
      <c r="F6" s="195" t="s">
        <v>7</v>
      </c>
      <c r="G6" s="199" t="s">
        <v>8</v>
      </c>
      <c r="H6" s="199" t="s">
        <v>9</v>
      </c>
      <c r="I6" s="195" t="s">
        <v>10</v>
      </c>
      <c r="J6" s="195" t="s">
        <v>11</v>
      </c>
      <c r="K6" s="195" t="s">
        <v>12</v>
      </c>
      <c r="L6" s="195" t="s">
        <v>13</v>
      </c>
      <c r="M6" s="191" t="s">
        <v>14</v>
      </c>
      <c r="N6" s="191" t="s">
        <v>15</v>
      </c>
      <c r="O6" s="191" t="s">
        <v>16</v>
      </c>
      <c r="P6" s="191" t="s">
        <v>17</v>
      </c>
      <c r="Q6" s="195" t="s">
        <v>46</v>
      </c>
      <c r="R6" s="195" t="s">
        <v>18</v>
      </c>
      <c r="S6" s="195" t="s">
        <v>19</v>
      </c>
      <c r="T6" s="191" t="s">
        <v>20</v>
      </c>
      <c r="U6" s="191" t="s">
        <v>21</v>
      </c>
      <c r="V6" s="191" t="s">
        <v>22</v>
      </c>
      <c r="W6" s="191" t="s">
        <v>47</v>
      </c>
      <c r="X6" s="195" t="s">
        <v>46</v>
      </c>
      <c r="Y6" s="64"/>
      <c r="Z6" s="195" t="s">
        <v>23</v>
      </c>
      <c r="AA6" s="204" t="s">
        <v>24</v>
      </c>
      <c r="AB6" s="195" t="s">
        <v>25</v>
      </c>
      <c r="AC6" s="195" t="s">
        <v>26</v>
      </c>
      <c r="AD6" s="210" t="s">
        <v>95</v>
      </c>
      <c r="AE6" s="211"/>
      <c r="AF6" s="198" t="s">
        <v>28</v>
      </c>
      <c r="AG6" s="206" t="s">
        <v>29</v>
      </c>
      <c r="AH6" s="207"/>
      <c r="AI6" s="199" t="s">
        <v>30</v>
      </c>
      <c r="AJ6" s="64"/>
      <c r="AK6" s="199" t="s">
        <v>31</v>
      </c>
      <c r="AL6" s="199" t="s">
        <v>32</v>
      </c>
      <c r="AM6" s="202" t="s">
        <v>33</v>
      </c>
      <c r="AN6" s="208" t="s">
        <v>103</v>
      </c>
      <c r="AO6" s="17"/>
      <c r="AP6" s="193" t="s">
        <v>63</v>
      </c>
      <c r="AQ6" s="193" t="s">
        <v>64</v>
      </c>
      <c r="AR6" s="193" t="s">
        <v>111</v>
      </c>
      <c r="AS6" s="193" t="s">
        <v>65</v>
      </c>
      <c r="AT6" s="193" t="s">
        <v>98</v>
      </c>
      <c r="AU6" s="193" t="s">
        <v>119</v>
      </c>
      <c r="AV6" s="193" t="s">
        <v>113</v>
      </c>
      <c r="AW6" s="193" t="s">
        <v>114</v>
      </c>
      <c r="AX6" s="193" t="s">
        <v>115</v>
      </c>
      <c r="AY6" s="66"/>
      <c r="AZ6" s="68"/>
      <c r="BA6" s="213" t="s">
        <v>34</v>
      </c>
      <c r="BB6" s="70"/>
      <c r="BC6" s="199" t="s">
        <v>25</v>
      </c>
      <c r="BD6" s="199" t="s">
        <v>35</v>
      </c>
      <c r="BE6" s="193" t="s">
        <v>134</v>
      </c>
      <c r="BF6" s="193" t="s">
        <v>125</v>
      </c>
      <c r="BG6" s="193" t="s">
        <v>112</v>
      </c>
      <c r="BH6" s="193" t="s">
        <v>128</v>
      </c>
      <c r="BI6" s="193" t="s">
        <v>131</v>
      </c>
      <c r="BJ6" s="193" t="s">
        <v>132</v>
      </c>
      <c r="BK6" s="193" t="s">
        <v>133</v>
      </c>
      <c r="BL6" s="193" t="s">
        <v>127</v>
      </c>
      <c r="BM6" s="193" t="s">
        <v>116</v>
      </c>
      <c r="BN6" s="193" t="s">
        <v>118</v>
      </c>
      <c r="BO6" s="18"/>
      <c r="BP6" s="18"/>
      <c r="BQ6" s="18"/>
      <c r="BR6" s="206" t="s">
        <v>36</v>
      </c>
    </row>
    <row r="7" spans="1:125" ht="31.8" thickTop="1" thickBot="1">
      <c r="A7" s="219"/>
      <c r="B7" s="192"/>
      <c r="C7" s="201"/>
      <c r="D7" s="197"/>
      <c r="E7" s="197"/>
      <c r="F7" s="196"/>
      <c r="G7" s="201"/>
      <c r="H7" s="201"/>
      <c r="I7" s="196"/>
      <c r="J7" s="196"/>
      <c r="K7" s="197"/>
      <c r="L7" s="196"/>
      <c r="M7" s="192"/>
      <c r="N7" s="192"/>
      <c r="O7" s="192"/>
      <c r="P7" s="192"/>
      <c r="Q7" s="196"/>
      <c r="R7" s="197"/>
      <c r="S7" s="196"/>
      <c r="T7" s="192"/>
      <c r="U7" s="192"/>
      <c r="V7" s="192"/>
      <c r="W7" s="192"/>
      <c r="X7" s="196"/>
      <c r="Y7" s="19" t="s">
        <v>37</v>
      </c>
      <c r="Z7" s="197"/>
      <c r="AA7" s="205"/>
      <c r="AB7" s="197"/>
      <c r="AC7" s="197"/>
      <c r="AD7" s="118" t="s">
        <v>96</v>
      </c>
      <c r="AE7" s="119" t="s">
        <v>97</v>
      </c>
      <c r="AF7" s="197"/>
      <c r="AG7" s="20" t="s">
        <v>38</v>
      </c>
      <c r="AH7" s="20" t="s">
        <v>39</v>
      </c>
      <c r="AI7" s="200"/>
      <c r="AJ7" s="65" t="s">
        <v>40</v>
      </c>
      <c r="AK7" s="201"/>
      <c r="AL7" s="201"/>
      <c r="AM7" s="203"/>
      <c r="AN7" s="209"/>
      <c r="AO7" s="21" t="s">
        <v>66</v>
      </c>
      <c r="AP7" s="194"/>
      <c r="AQ7" s="194"/>
      <c r="AR7" s="194"/>
      <c r="AS7" s="194"/>
      <c r="AT7" s="194"/>
      <c r="AU7" s="194"/>
      <c r="AV7" s="194"/>
      <c r="AW7" s="194"/>
      <c r="AX7" s="194"/>
      <c r="AY7" s="67"/>
      <c r="AZ7" s="69" t="s">
        <v>41</v>
      </c>
      <c r="BA7" s="214"/>
      <c r="BB7" s="71" t="s">
        <v>42</v>
      </c>
      <c r="BC7" s="200"/>
      <c r="BD7" s="200"/>
      <c r="BE7" s="194"/>
      <c r="BF7" s="194"/>
      <c r="BG7" s="194"/>
      <c r="BH7" s="194"/>
      <c r="BI7" s="194"/>
      <c r="BJ7" s="194"/>
      <c r="BK7" s="194"/>
      <c r="BL7" s="194"/>
      <c r="BM7" s="194"/>
      <c r="BN7" s="194"/>
      <c r="BO7" s="22"/>
      <c r="BP7" s="22"/>
      <c r="BQ7" s="22"/>
      <c r="BR7" s="212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215">
        <v>43435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" si="0">AK9-SUM(Y9:AC9)</f>
        <v>0</v>
      </c>
      <c r="AM9" s="33">
        <f t="shared" ref="AM9" si="1">+AL9*0.12</f>
        <v>0</v>
      </c>
      <c r="AN9" s="33">
        <f t="shared" ref="AN9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" thickBot="1">
      <c r="A10" s="217"/>
      <c r="B10" s="15" t="s">
        <v>44</v>
      </c>
      <c r="C10" s="33">
        <v>8148.28</v>
      </c>
      <c r="D10" s="34">
        <v>5356.17</v>
      </c>
      <c r="E10" s="34">
        <v>5356.75</v>
      </c>
      <c r="F10" s="35">
        <v>43437</v>
      </c>
      <c r="G10" s="33">
        <f>IF(E10-D10&lt;0,E10-D10,0)*-1</f>
        <v>0</v>
      </c>
      <c r="H10" s="33">
        <f>IF(E10-D10&gt;0,E10-D10,0)</f>
        <v>0.57999999999992724</v>
      </c>
      <c r="I10" s="34"/>
      <c r="J10" s="34"/>
      <c r="K10" s="34">
        <v>2002.11</v>
      </c>
      <c r="L10" s="34"/>
      <c r="M10" s="36">
        <f>(+K10)*M$5</f>
        <v>43.045364999999997</v>
      </c>
      <c r="N10" s="36">
        <f>(+K10)*N$5</f>
        <v>10.01055</v>
      </c>
      <c r="O10" s="36">
        <f>+K10-M10-N10+P10</f>
        <v>1949.054085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>
        <v>185</v>
      </c>
      <c r="AA10" s="34"/>
      <c r="AB10" s="34"/>
      <c r="AC10" s="34"/>
      <c r="AD10" s="38" t="s">
        <v>138</v>
      </c>
      <c r="AE10" s="38">
        <v>605</v>
      </c>
      <c r="AF10" s="34">
        <v>550.28</v>
      </c>
      <c r="AG10" s="33">
        <f>(AF10*0.8)*0.85</f>
        <v>374.19039999999995</v>
      </c>
      <c r="AH10" s="33">
        <f>(AF10*0.8)*0.15</f>
        <v>66.033599999999993</v>
      </c>
      <c r="AI10" s="33">
        <f>AF10*0.2</f>
        <v>110.056</v>
      </c>
      <c r="AJ10" s="34"/>
      <c r="AK10" s="33">
        <f t="shared" ref="AK10" si="3">(C10-AF10-AJ10)/1.12</f>
        <v>6783.9285714285706</v>
      </c>
      <c r="AL10" s="33">
        <f t="shared" ref="AL10" si="4">AK10-SUM(Y10:AC10)</f>
        <v>6598.9285714285706</v>
      </c>
      <c r="AM10" s="33">
        <f t="shared" ref="AM10" si="5">+AL10*0.12</f>
        <v>791.8714285714284</v>
      </c>
      <c r="AN10" s="33">
        <f t="shared" ref="AN10" si="6">+AM10+AL10+AJ10</f>
        <v>7390.7999999999993</v>
      </c>
      <c r="AO10" s="39"/>
      <c r="AP10" s="40"/>
      <c r="AQ10" s="40">
        <v>545</v>
      </c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545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545</v>
      </c>
    </row>
    <row r="11" spans="1:125" s="164" customFormat="1" ht="15" thickBot="1">
      <c r="A11" s="158"/>
      <c r="B11" s="43"/>
      <c r="C11" s="44">
        <f>SUBTOTAL(9,C9:C10)</f>
        <v>8148.28</v>
      </c>
      <c r="D11" s="45">
        <f>SUBTOTAL(9,D9:D10)</f>
        <v>5356.17</v>
      </c>
      <c r="E11" s="45">
        <f>SUBTOTAL(9,E9:E10)</f>
        <v>5356.75</v>
      </c>
      <c r="F11" s="45"/>
      <c r="G11" s="45">
        <f t="shared" ref="G11:P11" si="7">SUBTOTAL(9,G9:G10)</f>
        <v>0</v>
      </c>
      <c r="H11" s="45">
        <f t="shared" si="7"/>
        <v>0.57999999999992724</v>
      </c>
      <c r="I11" s="45">
        <f t="shared" si="7"/>
        <v>0</v>
      </c>
      <c r="J11" s="45">
        <f t="shared" si="7"/>
        <v>0</v>
      </c>
      <c r="K11" s="160">
        <f t="shared" si="7"/>
        <v>2002.11</v>
      </c>
      <c r="L11" s="45">
        <f t="shared" si="7"/>
        <v>0</v>
      </c>
      <c r="M11" s="46">
        <f t="shared" si="7"/>
        <v>43.045364999999997</v>
      </c>
      <c r="N11" s="46">
        <f t="shared" si="7"/>
        <v>10.01055</v>
      </c>
      <c r="O11" s="46">
        <f t="shared" si="7"/>
        <v>1949.054085</v>
      </c>
      <c r="P11" s="46">
        <f t="shared" si="7"/>
        <v>0</v>
      </c>
      <c r="Q11" s="47"/>
      <c r="R11" s="45">
        <f t="shared" ref="R11:BQ11" si="8">SUBTOTAL(9,R9:R10)</f>
        <v>0</v>
      </c>
      <c r="S11" s="45">
        <f t="shared" si="8"/>
        <v>0</v>
      </c>
      <c r="T11" s="46">
        <f t="shared" si="8"/>
        <v>0</v>
      </c>
      <c r="U11" s="46">
        <f t="shared" si="8"/>
        <v>0</v>
      </c>
      <c r="V11" s="46">
        <f t="shared" si="8"/>
        <v>0</v>
      </c>
      <c r="W11" s="46">
        <f t="shared" si="8"/>
        <v>0</v>
      </c>
      <c r="X11" s="47"/>
      <c r="Y11" s="45">
        <f>SUBTOTAL(9,Y9:Y10)</f>
        <v>0</v>
      </c>
      <c r="Z11" s="45"/>
      <c r="AA11" s="45"/>
      <c r="AB11" s="45"/>
      <c r="AC11" s="163"/>
      <c r="AD11" s="48"/>
      <c r="AE11" s="48"/>
      <c r="AF11" s="45"/>
      <c r="AG11" s="44">
        <f t="shared" si="8"/>
        <v>374.19039999999995</v>
      </c>
      <c r="AH11" s="44">
        <f t="shared" si="8"/>
        <v>66.033599999999993</v>
      </c>
      <c r="AI11" s="44">
        <f t="shared" si="8"/>
        <v>110.056</v>
      </c>
      <c r="AJ11" s="45">
        <f t="shared" si="8"/>
        <v>0</v>
      </c>
      <c r="AK11" s="44">
        <f t="shared" si="8"/>
        <v>6783.9285714285706</v>
      </c>
      <c r="AL11" s="44">
        <f t="shared" si="8"/>
        <v>6598.9285714285706</v>
      </c>
      <c r="AM11" s="44">
        <f t="shared" si="8"/>
        <v>791.8714285714284</v>
      </c>
      <c r="AN11" s="44">
        <f>+AN10+AN9</f>
        <v>7390.7999999999993</v>
      </c>
      <c r="AO11" s="49">
        <f t="shared" si="8"/>
        <v>0</v>
      </c>
      <c r="AP11" s="49">
        <f t="shared" si="8"/>
        <v>0</v>
      </c>
      <c r="AQ11" s="49">
        <f t="shared" si="8"/>
        <v>545</v>
      </c>
      <c r="AR11" s="49">
        <f t="shared" si="8"/>
        <v>0</v>
      </c>
      <c r="AS11" s="49">
        <f t="shared" si="8"/>
        <v>0</v>
      </c>
      <c r="AT11" s="49">
        <f t="shared" si="8"/>
        <v>0</v>
      </c>
      <c r="AU11" s="49">
        <f>SUBTOTAL(9,AU9:AU10)</f>
        <v>0</v>
      </c>
      <c r="AV11" s="49">
        <f t="shared" si="8"/>
        <v>0</v>
      </c>
      <c r="AW11" s="49">
        <f t="shared" si="8"/>
        <v>0</v>
      </c>
      <c r="AX11" s="49">
        <f t="shared" si="8"/>
        <v>0</v>
      </c>
      <c r="AY11" s="49">
        <f t="shared" si="8"/>
        <v>0</v>
      </c>
      <c r="AZ11" s="44">
        <f t="shared" si="8"/>
        <v>545</v>
      </c>
      <c r="BA11" s="48">
        <f t="shared" si="8"/>
        <v>0</v>
      </c>
      <c r="BB11" s="48">
        <f t="shared" si="8"/>
        <v>0</v>
      </c>
      <c r="BC11" s="44">
        <f t="shared" si="8"/>
        <v>0</v>
      </c>
      <c r="BD11" s="44">
        <f t="shared" si="8"/>
        <v>0</v>
      </c>
      <c r="BE11" s="49">
        <f t="shared" si="8"/>
        <v>0</v>
      </c>
      <c r="BF11" s="49">
        <f>SUBTOTAL(9,BF9:BF10)</f>
        <v>0</v>
      </c>
      <c r="BG11" s="49">
        <f t="shared" si="8"/>
        <v>0</v>
      </c>
      <c r="BH11" s="49">
        <f t="shared" si="8"/>
        <v>0</v>
      </c>
      <c r="BI11" s="49">
        <f t="shared" si="8"/>
        <v>0</v>
      </c>
      <c r="BJ11" s="49">
        <f t="shared" si="8"/>
        <v>0</v>
      </c>
      <c r="BK11" s="49">
        <f t="shared" si="8"/>
        <v>0</v>
      </c>
      <c r="BL11" s="49">
        <f t="shared" si="8"/>
        <v>0</v>
      </c>
      <c r="BM11" s="49">
        <f t="shared" si="8"/>
        <v>0</v>
      </c>
      <c r="BN11" s="49">
        <f t="shared" si="8"/>
        <v>0</v>
      </c>
      <c r="BO11" s="49">
        <f t="shared" si="8"/>
        <v>0</v>
      </c>
      <c r="BP11" s="49">
        <f t="shared" si="8"/>
        <v>0</v>
      </c>
      <c r="BQ11" s="49">
        <f t="shared" si="8"/>
        <v>0</v>
      </c>
      <c r="BR11" s="44">
        <f>SUBTOTAL(9,BR9:BR10)</f>
        <v>545</v>
      </c>
      <c r="BU11" s="165"/>
      <c r="BV11" s="165"/>
      <c r="BW11" s="165"/>
      <c r="BX11" s="165"/>
      <c r="BY11" s="165"/>
      <c r="BZ11" s="165"/>
      <c r="CA11" s="165"/>
      <c r="CB11" s="165"/>
      <c r="CC11" s="165"/>
      <c r="CD11" s="165"/>
      <c r="CE11" s="165"/>
      <c r="CF11" s="165"/>
      <c r="CG11" s="165"/>
      <c r="CH11" s="165"/>
      <c r="CI11" s="165"/>
      <c r="CJ11" s="165"/>
      <c r="CK11" s="165"/>
      <c r="CL11" s="165"/>
      <c r="CM11" s="165"/>
      <c r="CN11" s="165"/>
      <c r="CO11" s="165"/>
      <c r="CP11" s="165"/>
      <c r="CQ11" s="165"/>
      <c r="CR11" s="165"/>
      <c r="CS11" s="165"/>
      <c r="CT11" s="165"/>
      <c r="CU11" s="166"/>
      <c r="CV11" s="165"/>
      <c r="CW11" s="165"/>
      <c r="CX11" s="165"/>
      <c r="CY11" s="165"/>
      <c r="CZ11" s="165"/>
      <c r="DA11" s="165"/>
      <c r="DB11" s="165"/>
      <c r="DC11" s="165"/>
      <c r="DD11" s="165"/>
      <c r="DE11" s="165"/>
      <c r="DF11" s="165"/>
      <c r="DG11" s="165"/>
      <c r="DH11" s="165"/>
      <c r="DI11" s="165"/>
      <c r="DJ11" s="165"/>
      <c r="DK11" s="165"/>
      <c r="DL11" s="165"/>
      <c r="DM11" s="165"/>
      <c r="DN11" s="165"/>
      <c r="DO11" s="165"/>
      <c r="DP11" s="165"/>
      <c r="DQ11" s="165"/>
      <c r="DR11" s="165"/>
      <c r="DS11" s="165"/>
      <c r="DT11" s="165"/>
      <c r="DU11" s="165"/>
    </row>
    <row r="12" spans="1:125">
      <c r="A12" s="215">
        <f>A9+1</f>
        <v>43436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v>0</v>
      </c>
      <c r="AL12" s="33">
        <f t="shared" ref="AL12:AL13" si="9">AK12-SUM(Y12:AC12)</f>
        <v>0</v>
      </c>
      <c r="AM12" s="33">
        <f t="shared" ref="AM12:AM13" si="10">+AL12*0.12</f>
        <v>0</v>
      </c>
      <c r="AN12" s="33">
        <f t="shared" ref="AN12:AN13" si="11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" thickBot="1">
      <c r="A13" s="216"/>
      <c r="B13" s="15" t="s">
        <v>44</v>
      </c>
      <c r="C13" s="33"/>
      <c r="D13" s="34"/>
      <c r="E13" s="34"/>
      <c r="F13" s="35"/>
      <c r="G13" s="33">
        <f>IF(E13-D13&lt;0,E13-D13,0)*-1</f>
        <v>0</v>
      </c>
      <c r="H13" s="33">
        <f>IF(E13-D13&gt;0,E13-D13,0)</f>
        <v>0</v>
      </c>
      <c r="I13" s="34"/>
      <c r="J13" s="34"/>
      <c r="K13" s="34"/>
      <c r="L13" s="34"/>
      <c r="M13" s="36">
        <f>(+K13)*M$5</f>
        <v>0</v>
      </c>
      <c r="N13" s="36">
        <f>(+K13)*N$5</f>
        <v>0</v>
      </c>
      <c r="O13" s="36">
        <f>+K13-M13-N13+P13</f>
        <v>0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f>(AF13*0.8)*0.85</f>
        <v>0</v>
      </c>
      <c r="AH13" s="33">
        <f>(AF13*0.8)*0.15</f>
        <v>0</v>
      </c>
      <c r="AI13" s="33">
        <f>AF13*0.2</f>
        <v>0</v>
      </c>
      <c r="AJ13" s="34">
        <v>0</v>
      </c>
      <c r="AK13" s="33">
        <f t="shared" ref="AK13" si="12">(C13-AF13-AJ13)/1.12</f>
        <v>0</v>
      </c>
      <c r="AL13" s="33">
        <f t="shared" si="9"/>
        <v>0</v>
      </c>
      <c r="AM13" s="33">
        <f t="shared" si="10"/>
        <v>0</v>
      </c>
      <c r="AN13" s="33">
        <f t="shared" si="11"/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4" customFormat="1" ht="15" thickBot="1">
      <c r="A14" s="158"/>
      <c r="B14" s="43"/>
      <c r="C14" s="44">
        <f>SUBTOTAL(9,C12:C13)</f>
        <v>0</v>
      </c>
      <c r="D14" s="45">
        <f>SUBTOTAL(9,D12:D13)</f>
        <v>0</v>
      </c>
      <c r="E14" s="45">
        <f>SUBTOTAL(9,E12:E13)</f>
        <v>0</v>
      </c>
      <c r="F14" s="169"/>
      <c r="G14" s="45">
        <f t="shared" ref="G14:L14" si="13">SUBTOTAL(9,G12:G13)</f>
        <v>0</v>
      </c>
      <c r="H14" s="45">
        <f t="shared" si="13"/>
        <v>0</v>
      </c>
      <c r="I14" s="45">
        <f t="shared" si="13"/>
        <v>0</v>
      </c>
      <c r="J14" s="45">
        <f t="shared" si="13"/>
        <v>0</v>
      </c>
      <c r="K14" s="160">
        <f t="shared" si="13"/>
        <v>0</v>
      </c>
      <c r="L14" s="161">
        <f t="shared" si="13"/>
        <v>0</v>
      </c>
      <c r="M14" s="162">
        <f t="shared" ref="M14:M22" si="14">(+K14)*M$5</f>
        <v>0</v>
      </c>
      <c r="N14" s="162">
        <f t="shared" ref="N14:N22" si="15">(+K14)*N$5</f>
        <v>0</v>
      </c>
      <c r="O14" s="162">
        <f t="shared" ref="O14:O22" si="16">+K14-M14-N14+P14</f>
        <v>0</v>
      </c>
      <c r="P14" s="162">
        <f t="shared" ref="P14:P20" si="17">L14-(L14*(M$5+N$5))</f>
        <v>0</v>
      </c>
      <c r="Q14" s="47"/>
      <c r="R14" s="45">
        <f t="shared" ref="R14:BQ14" si="18">SUBTOTAL(9,R12:R13)</f>
        <v>0</v>
      </c>
      <c r="S14" s="45">
        <f t="shared" si="18"/>
        <v>0</v>
      </c>
      <c r="T14" s="46">
        <f t="shared" si="18"/>
        <v>0</v>
      </c>
      <c r="U14" s="46">
        <f t="shared" si="18"/>
        <v>0</v>
      </c>
      <c r="V14" s="46">
        <f t="shared" si="18"/>
        <v>0</v>
      </c>
      <c r="W14" s="46">
        <f t="shared" si="18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8"/>
        <v>0</v>
      </c>
      <c r="AH14" s="44">
        <f t="shared" si="18"/>
        <v>0</v>
      </c>
      <c r="AI14" s="44">
        <f t="shared" si="18"/>
        <v>0</v>
      </c>
      <c r="AJ14" s="45">
        <f t="shared" si="18"/>
        <v>0</v>
      </c>
      <c r="AK14" s="44">
        <f t="shared" si="18"/>
        <v>0</v>
      </c>
      <c r="AL14" s="44">
        <f t="shared" si="18"/>
        <v>0</v>
      </c>
      <c r="AM14" s="44">
        <f t="shared" si="18"/>
        <v>0</v>
      </c>
      <c r="AN14" s="44">
        <f t="shared" ref="AN14:AN41" si="19">+AM14+AL14+AJ14</f>
        <v>0</v>
      </c>
      <c r="AO14" s="49">
        <f t="shared" si="18"/>
        <v>0</v>
      </c>
      <c r="AP14" s="49">
        <f t="shared" si="18"/>
        <v>0</v>
      </c>
      <c r="AQ14" s="49">
        <f t="shared" si="18"/>
        <v>0</v>
      </c>
      <c r="AR14" s="49">
        <f t="shared" si="18"/>
        <v>0</v>
      </c>
      <c r="AS14" s="49">
        <f t="shared" si="18"/>
        <v>0</v>
      </c>
      <c r="AT14" s="49">
        <f t="shared" si="18"/>
        <v>0</v>
      </c>
      <c r="AU14" s="49">
        <f>SUBTOTAL(9,AU12:AU13)</f>
        <v>0</v>
      </c>
      <c r="AV14" s="49">
        <f t="shared" si="18"/>
        <v>0</v>
      </c>
      <c r="AW14" s="49">
        <f t="shared" si="18"/>
        <v>0</v>
      </c>
      <c r="AX14" s="49">
        <f t="shared" si="18"/>
        <v>0</v>
      </c>
      <c r="AY14" s="49">
        <f t="shared" si="18"/>
        <v>0</v>
      </c>
      <c r="AZ14" s="44">
        <f t="shared" si="18"/>
        <v>0</v>
      </c>
      <c r="BA14" s="48">
        <f t="shared" si="18"/>
        <v>0</v>
      </c>
      <c r="BB14" s="48">
        <f t="shared" si="18"/>
        <v>0</v>
      </c>
      <c r="BC14" s="44">
        <f t="shared" si="18"/>
        <v>0</v>
      </c>
      <c r="BD14" s="44">
        <v>0</v>
      </c>
      <c r="BE14" s="49">
        <f t="shared" si="18"/>
        <v>0</v>
      </c>
      <c r="BF14" s="49">
        <f>SUBTOTAL(9,BF12:BF13)</f>
        <v>0</v>
      </c>
      <c r="BG14" s="49">
        <f t="shared" si="18"/>
        <v>0</v>
      </c>
      <c r="BH14" s="49">
        <f t="shared" si="18"/>
        <v>0</v>
      </c>
      <c r="BI14" s="49">
        <f t="shared" si="18"/>
        <v>0</v>
      </c>
      <c r="BJ14" s="49">
        <f t="shared" si="18"/>
        <v>0</v>
      </c>
      <c r="BK14" s="49">
        <f t="shared" si="18"/>
        <v>0</v>
      </c>
      <c r="BL14" s="49">
        <f t="shared" si="18"/>
        <v>0</v>
      </c>
      <c r="BM14" s="49">
        <f t="shared" si="18"/>
        <v>0</v>
      </c>
      <c r="BN14" s="49">
        <f t="shared" si="18"/>
        <v>0</v>
      </c>
      <c r="BO14" s="49">
        <f t="shared" si="18"/>
        <v>0</v>
      </c>
      <c r="BP14" s="49">
        <f t="shared" si="18"/>
        <v>0</v>
      </c>
      <c r="BQ14" s="49">
        <f t="shared" si="18"/>
        <v>0</v>
      </c>
      <c r="BR14" s="44">
        <f>SUBTOTAL(9,BR12:BR13)</f>
        <v>0</v>
      </c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</row>
    <row r="15" spans="1:125">
      <c r="A15" s="215">
        <f>+A12+1</f>
        <v>43437</v>
      </c>
      <c r="B15" s="32" t="s">
        <v>43</v>
      </c>
      <c r="C15" s="33">
        <v>20327.87</v>
      </c>
      <c r="D15" s="34">
        <v>17856.54</v>
      </c>
      <c r="E15" s="34">
        <v>17857</v>
      </c>
      <c r="F15" s="35">
        <v>43437</v>
      </c>
      <c r="G15" s="33">
        <f>IF(E15-D15&lt;0,E15-D15,0)*-1</f>
        <v>0</v>
      </c>
      <c r="H15" s="33">
        <f>IF(E15-D15&gt;0,E15-D15,0)</f>
        <v>0.45999999999912689</v>
      </c>
      <c r="I15" s="34"/>
      <c r="J15" s="34"/>
      <c r="K15" s="34">
        <v>1361.61</v>
      </c>
      <c r="L15" s="34"/>
      <c r="M15" s="36">
        <f t="shared" si="14"/>
        <v>29.274614999999997</v>
      </c>
      <c r="N15" s="36">
        <f t="shared" si="15"/>
        <v>6.8080499999999997</v>
      </c>
      <c r="O15" s="36">
        <f t="shared" si="16"/>
        <v>1325.5273349999998</v>
      </c>
      <c r="P15" s="36">
        <f t="shared" si="17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f>63+13</f>
        <v>76</v>
      </c>
      <c r="AA15" s="34"/>
      <c r="AB15" s="34"/>
      <c r="AC15" s="34">
        <v>578.72</v>
      </c>
      <c r="AD15" s="38" t="s">
        <v>138</v>
      </c>
      <c r="AE15" s="38">
        <v>455</v>
      </c>
      <c r="AF15" s="34">
        <v>1500.1</v>
      </c>
      <c r="AG15" s="33">
        <f>(AF15*0.8)*0.85</f>
        <v>1020.0679999999999</v>
      </c>
      <c r="AH15" s="33">
        <f>(AF15*0.8)*0.15</f>
        <v>180.01199999999997</v>
      </c>
      <c r="AI15" s="33">
        <f>AF15*0.2</f>
        <v>300.02</v>
      </c>
      <c r="AJ15" s="34"/>
      <c r="AK15" s="33">
        <f t="shared" ref="AK15:AK16" si="20">(C15-AF15-AJ15)/1.12</f>
        <v>16810.508928571428</v>
      </c>
      <c r="AL15" s="33">
        <f t="shared" ref="AL15:AL16" si="21">AK15-SUM(Y15:AC15)</f>
        <v>16155.788928571428</v>
      </c>
      <c r="AM15" s="33">
        <f t="shared" ref="AM15:AM16" si="22">+AL15*0.12</f>
        <v>1938.6946714285714</v>
      </c>
      <c r="AN15" s="33">
        <f t="shared" si="19"/>
        <v>18094.4836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" thickBot="1">
      <c r="A16" s="216"/>
      <c r="B16" s="15" t="s">
        <v>44</v>
      </c>
      <c r="C16" s="33">
        <v>12407.82</v>
      </c>
      <c r="D16" s="34">
        <v>4565.72</v>
      </c>
      <c r="E16" s="34">
        <v>4565</v>
      </c>
      <c r="F16" s="35">
        <v>43438</v>
      </c>
      <c r="G16" s="33">
        <f>IF(E16-D16&lt;0,E16-D16,0)*-1</f>
        <v>0.72000000000025466</v>
      </c>
      <c r="H16" s="33">
        <f>IF(E16-D16&gt;0,E16-D16,0)</f>
        <v>0</v>
      </c>
      <c r="I16" s="34"/>
      <c r="J16" s="34"/>
      <c r="K16" s="34">
        <v>6175.71</v>
      </c>
      <c r="L16" s="34"/>
      <c r="M16" s="36">
        <f>(+K16)*M$5</f>
        <v>132.77776499999999</v>
      </c>
      <c r="N16" s="36">
        <f t="shared" si="15"/>
        <v>30.878550000000001</v>
      </c>
      <c r="O16" s="36">
        <f>+K16-M16-N16+P16</f>
        <v>6012.0536849999999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>
        <v>63.39</v>
      </c>
      <c r="AD16" s="38" t="s">
        <v>138</v>
      </c>
      <c r="AE16" s="38">
        <v>1603</v>
      </c>
      <c r="AF16" s="34">
        <v>712.86</v>
      </c>
      <c r="AG16" s="33">
        <f>(AF16*0.8)*0.85</f>
        <v>484.7448</v>
      </c>
      <c r="AH16" s="33">
        <f>(AF16*0.8)*0.15</f>
        <v>85.543199999999999</v>
      </c>
      <c r="AI16" s="33">
        <f>AF16*0.2</f>
        <v>142.572</v>
      </c>
      <c r="AJ16" s="34">
        <v>0</v>
      </c>
      <c r="AK16" s="33">
        <f t="shared" si="20"/>
        <v>10441.928571428569</v>
      </c>
      <c r="AL16" s="33">
        <f t="shared" si="21"/>
        <v>10378.538571428569</v>
      </c>
      <c r="AM16" s="33">
        <f t="shared" si="22"/>
        <v>1245.4246285714282</v>
      </c>
      <c r="AN16" s="33">
        <f t="shared" si="19"/>
        <v>11623.963199999998</v>
      </c>
      <c r="AO16" s="39">
        <v>265</v>
      </c>
      <c r="AP16" s="40">
        <f>455+168</f>
        <v>623</v>
      </c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888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888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4" customFormat="1" ht="15" thickBot="1">
      <c r="A17" s="158"/>
      <c r="B17" s="43"/>
      <c r="C17" s="44">
        <f>SUBTOTAL(9,C15:C16)</f>
        <v>32735.69</v>
      </c>
      <c r="D17" s="45">
        <f>SUBTOTAL(9,D15:D16)</f>
        <v>22422.260000000002</v>
      </c>
      <c r="E17" s="45">
        <f>SUBTOTAL(9,E15:E16)</f>
        <v>22422</v>
      </c>
      <c r="F17" s="169"/>
      <c r="G17" s="45">
        <f t="shared" ref="G17:O17" si="23">SUBTOTAL(9,G15:G16)</f>
        <v>0.72000000000025466</v>
      </c>
      <c r="H17" s="45">
        <f t="shared" si="23"/>
        <v>0.45999999999912689</v>
      </c>
      <c r="I17" s="45">
        <f t="shared" si="23"/>
        <v>0</v>
      </c>
      <c r="J17" s="45">
        <f t="shared" si="23"/>
        <v>0</v>
      </c>
      <c r="K17" s="160">
        <f t="shared" si="23"/>
        <v>7537.32</v>
      </c>
      <c r="L17" s="45">
        <f t="shared" si="23"/>
        <v>0</v>
      </c>
      <c r="M17" s="46">
        <f t="shared" si="23"/>
        <v>162.05237999999997</v>
      </c>
      <c r="N17" s="46">
        <f t="shared" si="23"/>
        <v>37.686599999999999</v>
      </c>
      <c r="O17" s="46">
        <f t="shared" si="23"/>
        <v>7337.5810199999996</v>
      </c>
      <c r="P17" s="162">
        <f t="shared" si="17"/>
        <v>0</v>
      </c>
      <c r="Q17" s="47"/>
      <c r="R17" s="45">
        <f t="shared" ref="R17:BQ17" si="24">SUBTOTAL(9,R15:R16)</f>
        <v>0</v>
      </c>
      <c r="S17" s="45">
        <f t="shared" si="24"/>
        <v>0</v>
      </c>
      <c r="T17" s="46">
        <f t="shared" si="24"/>
        <v>0</v>
      </c>
      <c r="U17" s="46">
        <f t="shared" si="24"/>
        <v>0</v>
      </c>
      <c r="V17" s="46">
        <f t="shared" si="24"/>
        <v>0</v>
      </c>
      <c r="W17" s="46">
        <f t="shared" si="24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4"/>
        <v>1504.8127999999999</v>
      </c>
      <c r="AH17" s="44">
        <f t="shared" si="24"/>
        <v>265.55519999999996</v>
      </c>
      <c r="AI17" s="44">
        <f t="shared" si="24"/>
        <v>442.59199999999998</v>
      </c>
      <c r="AJ17" s="45">
        <f t="shared" si="24"/>
        <v>0</v>
      </c>
      <c r="AK17" s="44">
        <f t="shared" si="24"/>
        <v>27252.437499999996</v>
      </c>
      <c r="AL17" s="44">
        <f t="shared" si="24"/>
        <v>26534.327499999999</v>
      </c>
      <c r="AM17" s="44">
        <f t="shared" si="24"/>
        <v>3184.1192999999994</v>
      </c>
      <c r="AN17" s="44">
        <f t="shared" si="19"/>
        <v>29718.446799999998</v>
      </c>
      <c r="AO17" s="49">
        <f t="shared" si="24"/>
        <v>265</v>
      </c>
      <c r="AP17" s="49">
        <f t="shared" si="24"/>
        <v>623</v>
      </c>
      <c r="AQ17" s="49">
        <f t="shared" si="24"/>
        <v>0</v>
      </c>
      <c r="AR17" s="49">
        <f t="shared" si="24"/>
        <v>0</v>
      </c>
      <c r="AS17" s="49">
        <f t="shared" si="24"/>
        <v>0</v>
      </c>
      <c r="AT17" s="49">
        <f t="shared" si="24"/>
        <v>0</v>
      </c>
      <c r="AU17" s="49">
        <f>SUBTOTAL(9,AU15:AU16)</f>
        <v>0</v>
      </c>
      <c r="AV17" s="49">
        <f t="shared" si="24"/>
        <v>0</v>
      </c>
      <c r="AW17" s="49">
        <f t="shared" si="24"/>
        <v>0</v>
      </c>
      <c r="AX17" s="49">
        <f t="shared" si="24"/>
        <v>0</v>
      </c>
      <c r="AY17" s="49">
        <f t="shared" si="24"/>
        <v>0</v>
      </c>
      <c r="AZ17" s="44">
        <f t="shared" si="24"/>
        <v>888</v>
      </c>
      <c r="BA17" s="48">
        <f t="shared" si="24"/>
        <v>0</v>
      </c>
      <c r="BB17" s="48">
        <f t="shared" si="24"/>
        <v>0</v>
      </c>
      <c r="BC17" s="44">
        <f t="shared" si="24"/>
        <v>0</v>
      </c>
      <c r="BD17" s="44">
        <f t="shared" si="24"/>
        <v>0</v>
      </c>
      <c r="BE17" s="49">
        <f t="shared" si="24"/>
        <v>0</v>
      </c>
      <c r="BF17" s="49">
        <f>SUBTOTAL(9,BF15:BF16)</f>
        <v>0</v>
      </c>
      <c r="BG17" s="49">
        <f t="shared" si="24"/>
        <v>0</v>
      </c>
      <c r="BH17" s="49">
        <f t="shared" si="24"/>
        <v>0</v>
      </c>
      <c r="BI17" s="49">
        <f t="shared" si="24"/>
        <v>0</v>
      </c>
      <c r="BJ17" s="49">
        <f t="shared" si="24"/>
        <v>0</v>
      </c>
      <c r="BK17" s="49">
        <f t="shared" si="24"/>
        <v>0</v>
      </c>
      <c r="BL17" s="49">
        <f t="shared" si="24"/>
        <v>0</v>
      </c>
      <c r="BM17" s="49">
        <f t="shared" si="24"/>
        <v>0</v>
      </c>
      <c r="BN17" s="49">
        <f t="shared" si="24"/>
        <v>0</v>
      </c>
      <c r="BO17" s="49">
        <f t="shared" si="24"/>
        <v>0</v>
      </c>
      <c r="BP17" s="49">
        <f t="shared" si="24"/>
        <v>0</v>
      </c>
      <c r="BQ17" s="49">
        <f t="shared" si="24"/>
        <v>0</v>
      </c>
      <c r="BR17" s="44">
        <f>SUBTOTAL(9,BR15:BR16)</f>
        <v>888</v>
      </c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65"/>
      <c r="CV17" s="165"/>
      <c r="CW17" s="165"/>
      <c r="CX17" s="165"/>
      <c r="CY17" s="165"/>
      <c r="CZ17" s="165"/>
      <c r="DA17" s="165"/>
      <c r="DB17" s="165"/>
      <c r="DC17" s="165"/>
      <c r="DD17" s="165"/>
      <c r="DE17" s="165"/>
      <c r="DF17" s="165"/>
      <c r="DG17" s="165"/>
      <c r="DH17" s="165"/>
      <c r="DI17" s="165"/>
      <c r="DJ17" s="165"/>
      <c r="DK17" s="165"/>
      <c r="DL17" s="165"/>
      <c r="DM17" s="165"/>
      <c r="DN17" s="165"/>
      <c r="DO17" s="165"/>
      <c r="DP17" s="165"/>
      <c r="DQ17" s="165"/>
      <c r="DR17" s="165"/>
      <c r="DS17" s="165"/>
      <c r="DT17" s="165"/>
      <c r="DU17" s="165"/>
    </row>
    <row r="18" spans="1:125">
      <c r="A18" s="215">
        <f>+A15+1</f>
        <v>43438</v>
      </c>
      <c r="B18" s="32" t="s">
        <v>43</v>
      </c>
      <c r="C18" s="33">
        <v>14264.15</v>
      </c>
      <c r="D18" s="34">
        <v>9634.9699999999993</v>
      </c>
      <c r="E18" s="34">
        <v>9640</v>
      </c>
      <c r="F18" s="35">
        <v>43438</v>
      </c>
      <c r="G18" s="33">
        <f>IF(E18-D18&lt;0,E18-D18,0)*-1</f>
        <v>0</v>
      </c>
      <c r="H18" s="33">
        <f>IF(E18-D18&gt;0,E18-D18,0)</f>
        <v>5.0300000000006548</v>
      </c>
      <c r="I18" s="34"/>
      <c r="J18" s="34"/>
      <c r="K18" s="34">
        <v>1399.73</v>
      </c>
      <c r="L18" s="34"/>
      <c r="M18" s="36">
        <f t="shared" si="14"/>
        <v>30.094194999999999</v>
      </c>
      <c r="N18" s="36">
        <f t="shared" si="15"/>
        <v>6.9986500000000005</v>
      </c>
      <c r="O18" s="36">
        <f t="shared" si="16"/>
        <v>1362.6371550000001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>
        <v>243.45</v>
      </c>
      <c r="AD18" s="38" t="s">
        <v>138</v>
      </c>
      <c r="AE18" s="38">
        <v>2986</v>
      </c>
      <c r="AF18" s="34">
        <v>764.22</v>
      </c>
      <c r="AG18" s="33">
        <f>(AF18*0.8)*0.85</f>
        <v>519.66960000000006</v>
      </c>
      <c r="AH18" s="33">
        <f>(AF18*0.8)*0.15</f>
        <v>91.706400000000016</v>
      </c>
      <c r="AI18" s="33">
        <f>AF18*0.2</f>
        <v>152.84400000000002</v>
      </c>
      <c r="AJ18" s="34"/>
      <c r="AK18" s="33">
        <f t="shared" ref="AK18:AK19" si="25">(C18-AF18-AJ18)/1.12</f>
        <v>12053.508928571428</v>
      </c>
      <c r="AL18" s="33">
        <f t="shared" ref="AL18:AL19" si="26">AK18-SUM(Y18:AC18)</f>
        <v>11810.058928571427</v>
      </c>
      <c r="AM18" s="33">
        <f t="shared" ref="AM18:AM19" si="27">+AL18*0.12</f>
        <v>1417.2070714285712</v>
      </c>
      <c r="AN18" s="33">
        <f t="shared" ref="AN18:AN19" si="28">+AM18+AL18+AJ18</f>
        <v>13227.265999999998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" thickBot="1">
      <c r="A19" s="216"/>
      <c r="B19" s="15" t="s">
        <v>44</v>
      </c>
      <c r="C19" s="33">
        <v>18169.18</v>
      </c>
      <c r="D19" s="34">
        <v>11831.77</v>
      </c>
      <c r="E19" s="34">
        <v>11830</v>
      </c>
      <c r="F19" s="35">
        <v>43439</v>
      </c>
      <c r="G19" s="33">
        <f>IF(E19-D19&lt;0,E19-D19,0)*-1</f>
        <v>1.7700000000004366</v>
      </c>
      <c r="H19" s="33">
        <f>IF(E19-D19&gt;0,E19-D19,0)</f>
        <v>0</v>
      </c>
      <c r="I19" s="34"/>
      <c r="J19" s="34"/>
      <c r="K19" s="34">
        <v>3088.12</v>
      </c>
      <c r="L19" s="34"/>
      <c r="M19" s="36">
        <f t="shared" si="14"/>
        <v>66.394579999999991</v>
      </c>
      <c r="N19" s="36">
        <f t="shared" si="15"/>
        <v>15.4406</v>
      </c>
      <c r="O19" s="36">
        <f t="shared" si="16"/>
        <v>3006.2848199999999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25.25</v>
      </c>
      <c r="AA19" s="34"/>
      <c r="AB19" s="34"/>
      <c r="AC19" s="34">
        <v>58.04</v>
      </c>
      <c r="AD19" s="38" t="s">
        <v>138</v>
      </c>
      <c r="AE19" s="38">
        <v>3166</v>
      </c>
      <c r="AF19" s="34">
        <v>1208</v>
      </c>
      <c r="AG19" s="33">
        <f>(AF19*0.8)*0.85</f>
        <v>821.44</v>
      </c>
      <c r="AH19" s="33">
        <f>(AF19*0.8)*0.15</f>
        <v>144.96</v>
      </c>
      <c r="AI19" s="33">
        <f>AF19*0.2</f>
        <v>241.60000000000002</v>
      </c>
      <c r="AJ19" s="34">
        <v>0</v>
      </c>
      <c r="AK19" s="33">
        <f t="shared" si="25"/>
        <v>15143.910714285714</v>
      </c>
      <c r="AL19" s="33">
        <f t="shared" si="26"/>
        <v>15060.620714285713</v>
      </c>
      <c r="AM19" s="33">
        <f t="shared" si="27"/>
        <v>1807.2744857142854</v>
      </c>
      <c r="AN19" s="33">
        <f t="shared" si="28"/>
        <v>16867.895199999999</v>
      </c>
      <c r="AO19" s="39"/>
      <c r="AP19" s="40">
        <v>168</v>
      </c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168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168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4" customFormat="1" ht="15" thickBot="1">
      <c r="A20" s="158"/>
      <c r="B20" s="43"/>
      <c r="C20" s="44">
        <f>SUBTOTAL(9,C18:C19)</f>
        <v>32433.33</v>
      </c>
      <c r="D20" s="45">
        <f>SUBTOTAL(9,D18:D19)</f>
        <v>21466.739999999998</v>
      </c>
      <c r="E20" s="45">
        <f>SUBTOTAL(9,E18:E19)</f>
        <v>21470</v>
      </c>
      <c r="F20" s="47"/>
      <c r="G20" s="45">
        <f t="shared" ref="G20:O20" si="29">SUBTOTAL(9,G18:G19)</f>
        <v>1.7700000000004366</v>
      </c>
      <c r="H20" s="45">
        <f t="shared" si="29"/>
        <v>5.0300000000006548</v>
      </c>
      <c r="I20" s="45">
        <f t="shared" si="29"/>
        <v>0</v>
      </c>
      <c r="J20" s="45">
        <f t="shared" si="29"/>
        <v>0</v>
      </c>
      <c r="K20" s="160">
        <f t="shared" si="29"/>
        <v>4487.8500000000004</v>
      </c>
      <c r="L20" s="45">
        <f t="shared" si="29"/>
        <v>0</v>
      </c>
      <c r="M20" s="46">
        <f t="shared" si="29"/>
        <v>96.48877499999999</v>
      </c>
      <c r="N20" s="46">
        <f t="shared" si="29"/>
        <v>22.439250000000001</v>
      </c>
      <c r="O20" s="46">
        <f t="shared" si="29"/>
        <v>4368.9219750000002</v>
      </c>
      <c r="P20" s="162">
        <f t="shared" si="17"/>
        <v>0</v>
      </c>
      <c r="Q20" s="47"/>
      <c r="R20" s="45">
        <f t="shared" ref="R20:BQ20" si="30">SUBTOTAL(9,R18:R19)</f>
        <v>0</v>
      </c>
      <c r="S20" s="45">
        <f t="shared" si="30"/>
        <v>0</v>
      </c>
      <c r="T20" s="46">
        <f t="shared" si="30"/>
        <v>0</v>
      </c>
      <c r="U20" s="46">
        <f t="shared" si="30"/>
        <v>0</v>
      </c>
      <c r="V20" s="46">
        <f t="shared" si="30"/>
        <v>0</v>
      </c>
      <c r="W20" s="46">
        <f t="shared" si="30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30"/>
        <v>1341.1096000000002</v>
      </c>
      <c r="AH20" s="44">
        <f t="shared" si="30"/>
        <v>236.66640000000001</v>
      </c>
      <c r="AI20" s="44">
        <f t="shared" si="30"/>
        <v>394.44400000000007</v>
      </c>
      <c r="AJ20" s="45">
        <v>0</v>
      </c>
      <c r="AK20" s="44">
        <f>SUBTOTAL(9,AK18:AK19)</f>
        <v>27197.419642857141</v>
      </c>
      <c r="AL20" s="44">
        <f t="shared" si="30"/>
        <v>26870.67964285714</v>
      </c>
      <c r="AM20" s="44">
        <f t="shared" si="30"/>
        <v>3224.4815571428567</v>
      </c>
      <c r="AN20" s="44">
        <f t="shared" si="19"/>
        <v>30095.161199999995</v>
      </c>
      <c r="AO20" s="49">
        <f t="shared" si="30"/>
        <v>0</v>
      </c>
      <c r="AP20" s="49">
        <f t="shared" si="30"/>
        <v>168</v>
      </c>
      <c r="AQ20" s="49">
        <f t="shared" si="30"/>
        <v>0</v>
      </c>
      <c r="AR20" s="49">
        <f t="shared" si="30"/>
        <v>0</v>
      </c>
      <c r="AS20" s="49">
        <f t="shared" si="30"/>
        <v>0</v>
      </c>
      <c r="AT20" s="49">
        <f t="shared" si="30"/>
        <v>0</v>
      </c>
      <c r="AU20" s="49">
        <f>SUBTOTAL(9,AU18:AU19)</f>
        <v>0</v>
      </c>
      <c r="AV20" s="49">
        <f t="shared" si="30"/>
        <v>0</v>
      </c>
      <c r="AW20" s="49">
        <f t="shared" si="30"/>
        <v>0</v>
      </c>
      <c r="AX20" s="49">
        <f t="shared" si="30"/>
        <v>0</v>
      </c>
      <c r="AY20" s="49">
        <f t="shared" si="30"/>
        <v>0</v>
      </c>
      <c r="AZ20" s="44">
        <f t="shared" si="30"/>
        <v>168</v>
      </c>
      <c r="BA20" s="48">
        <f t="shared" si="30"/>
        <v>0</v>
      </c>
      <c r="BB20" s="48">
        <f t="shared" si="30"/>
        <v>0</v>
      </c>
      <c r="BC20" s="44">
        <f t="shared" si="30"/>
        <v>0</v>
      </c>
      <c r="BD20" s="44">
        <f t="shared" si="30"/>
        <v>0</v>
      </c>
      <c r="BE20" s="49">
        <f t="shared" si="30"/>
        <v>0</v>
      </c>
      <c r="BF20" s="49">
        <f>SUBTOTAL(9,BF18:BF19)</f>
        <v>0</v>
      </c>
      <c r="BG20" s="49">
        <f t="shared" si="30"/>
        <v>0</v>
      </c>
      <c r="BH20" s="49">
        <f t="shared" si="30"/>
        <v>0</v>
      </c>
      <c r="BI20" s="49">
        <f t="shared" si="30"/>
        <v>0</v>
      </c>
      <c r="BJ20" s="49">
        <f t="shared" si="30"/>
        <v>0</v>
      </c>
      <c r="BK20" s="49">
        <f t="shared" si="30"/>
        <v>0</v>
      </c>
      <c r="BL20" s="49">
        <f t="shared" si="30"/>
        <v>0</v>
      </c>
      <c r="BM20" s="49">
        <f t="shared" si="30"/>
        <v>0</v>
      </c>
      <c r="BN20" s="49">
        <f t="shared" si="30"/>
        <v>0</v>
      </c>
      <c r="BO20" s="49">
        <f t="shared" si="30"/>
        <v>0</v>
      </c>
      <c r="BP20" s="49">
        <f t="shared" si="30"/>
        <v>0</v>
      </c>
      <c r="BQ20" s="49">
        <f t="shared" si="30"/>
        <v>0</v>
      </c>
      <c r="BR20" s="44">
        <f>SUBTOTAL(9,BR18:BR19)</f>
        <v>168</v>
      </c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65"/>
      <c r="CW20" s="165"/>
      <c r="CX20" s="165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65"/>
      <c r="DR20" s="165"/>
      <c r="DS20" s="165"/>
      <c r="DT20" s="165"/>
      <c r="DU20" s="165"/>
    </row>
    <row r="21" spans="1:125">
      <c r="A21" s="215">
        <f>+A18+1</f>
        <v>43439</v>
      </c>
      <c r="B21" s="32" t="s">
        <v>43</v>
      </c>
      <c r="C21" s="33">
        <v>25605.66</v>
      </c>
      <c r="D21" s="34">
        <v>17847.66</v>
      </c>
      <c r="E21" s="34">
        <v>17850</v>
      </c>
      <c r="F21" s="35">
        <v>43439</v>
      </c>
      <c r="G21" s="33">
        <f>IF(E21-D21&lt;0,E21-D21,0)*-1</f>
        <v>0</v>
      </c>
      <c r="H21" s="33">
        <f>IF(E21-D21&gt;0,E21-D21,0)</f>
        <v>2.3400000000001455</v>
      </c>
      <c r="I21" s="34"/>
      <c r="J21" s="34"/>
      <c r="K21" s="34">
        <v>5718.75</v>
      </c>
      <c r="L21" s="34"/>
      <c r="M21" s="36">
        <f t="shared" si="14"/>
        <v>122.95312499999999</v>
      </c>
      <c r="N21" s="36">
        <f t="shared" si="15"/>
        <v>28.59375</v>
      </c>
      <c r="O21" s="36">
        <f t="shared" si="16"/>
        <v>5567.203125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v>125.5</v>
      </c>
      <c r="AA21" s="34"/>
      <c r="AB21" s="34"/>
      <c r="AC21" s="34">
        <v>68.75</v>
      </c>
      <c r="AD21" s="38" t="s">
        <v>138</v>
      </c>
      <c r="AE21" s="38">
        <v>1845</v>
      </c>
      <c r="AF21" s="34">
        <v>1823.91</v>
      </c>
      <c r="AG21" s="33">
        <f>(AF21*0.8)*0.85</f>
        <v>1240.2588000000001</v>
      </c>
      <c r="AH21" s="33">
        <f>(AF21*0.8)*0.15</f>
        <v>218.86920000000001</v>
      </c>
      <c r="AI21" s="33">
        <f>AF21*0.2</f>
        <v>364.78200000000004</v>
      </c>
      <c r="AJ21" s="34">
        <v>0</v>
      </c>
      <c r="AK21" s="33">
        <f t="shared" ref="AK21:AK22" si="31">(C21-AF21-AJ21)/1.12</f>
        <v>21233.705357142855</v>
      </c>
      <c r="AL21" s="33">
        <f t="shared" ref="AL21:AL22" si="32">AK21-SUM(Y21:AC21)</f>
        <v>21039.455357142855</v>
      </c>
      <c r="AM21" s="33">
        <f t="shared" ref="AM21:AM22" si="33">+AL21*0.12</f>
        <v>2524.7346428571427</v>
      </c>
      <c r="AN21" s="33">
        <f t="shared" si="19"/>
        <v>23564.19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" thickBot="1">
      <c r="A22" s="216"/>
      <c r="B22" s="15" t="s">
        <v>44</v>
      </c>
      <c r="C22" s="33">
        <v>18026.240000000002</v>
      </c>
      <c r="D22" s="34">
        <v>13864.67</v>
      </c>
      <c r="E22" s="34">
        <v>13872</v>
      </c>
      <c r="F22" s="35">
        <v>43440</v>
      </c>
      <c r="G22" s="33">
        <f>IF(E22-D22&lt;0,E22-D22,0)*-1</f>
        <v>0</v>
      </c>
      <c r="H22" s="33">
        <f>IF(E22-D22&gt;0,E22-D22,0)</f>
        <v>7.3299999999999272</v>
      </c>
      <c r="I22" s="34"/>
      <c r="J22" s="34"/>
      <c r="K22" s="34">
        <v>3859.07</v>
      </c>
      <c r="L22" s="34"/>
      <c r="M22" s="36">
        <f t="shared" si="14"/>
        <v>82.970005</v>
      </c>
      <c r="N22" s="36">
        <f t="shared" si="15"/>
        <v>19.295350000000003</v>
      </c>
      <c r="O22" s="36">
        <f t="shared" si="16"/>
        <v>3756.8046450000002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f>209+92.5</f>
        <v>301.5</v>
      </c>
      <c r="AA22" s="34"/>
      <c r="AB22" s="34"/>
      <c r="AC22" s="34"/>
      <c r="AD22" s="38"/>
      <c r="AE22" s="38">
        <v>0</v>
      </c>
      <c r="AF22" s="34">
        <v>1435.24</v>
      </c>
      <c r="AG22" s="33">
        <f>(AF22*0.8)*0.85</f>
        <v>975.96320000000003</v>
      </c>
      <c r="AH22" s="33">
        <f>(AF22*0.8)*0.15</f>
        <v>172.22880000000001</v>
      </c>
      <c r="AI22" s="33">
        <f>AF22*0.2</f>
        <v>287.048</v>
      </c>
      <c r="AJ22" s="34">
        <v>0</v>
      </c>
      <c r="AK22" s="33">
        <f t="shared" si="31"/>
        <v>14813.392857142855</v>
      </c>
      <c r="AL22" s="33">
        <f t="shared" si="32"/>
        <v>14511.892857142855</v>
      </c>
      <c r="AM22" s="33">
        <f t="shared" si="33"/>
        <v>1741.4271428571426</v>
      </c>
      <c r="AN22" s="33">
        <f t="shared" si="19"/>
        <v>16253.319999999998</v>
      </c>
      <c r="AO22" s="39"/>
      <c r="AP22" s="40">
        <v>155</v>
      </c>
      <c r="AQ22" s="40">
        <v>270</v>
      </c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425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425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" thickBot="1">
      <c r="A23" s="42"/>
      <c r="B23" s="43"/>
      <c r="C23" s="44">
        <f>SUBTOTAL(9,C21:C22)</f>
        <v>43631.9</v>
      </c>
      <c r="D23" s="45">
        <f>SUBTOTAL(9,D21:D22)</f>
        <v>31712.33</v>
      </c>
      <c r="E23" s="45">
        <f>SUBTOTAL(9,E21:E22)</f>
        <v>31722</v>
      </c>
      <c r="F23" s="47"/>
      <c r="G23" s="45">
        <f t="shared" ref="G23:P23" si="34">SUBTOTAL(9,G21:G22)</f>
        <v>0</v>
      </c>
      <c r="H23" s="45">
        <f t="shared" si="34"/>
        <v>9.6700000000000728</v>
      </c>
      <c r="I23" s="45">
        <f t="shared" si="34"/>
        <v>0</v>
      </c>
      <c r="J23" s="45">
        <f t="shared" si="34"/>
        <v>0</v>
      </c>
      <c r="K23" s="160">
        <f t="shared" si="34"/>
        <v>9577.82</v>
      </c>
      <c r="L23" s="45">
        <f t="shared" si="34"/>
        <v>0</v>
      </c>
      <c r="M23" s="46">
        <f t="shared" si="34"/>
        <v>205.92312999999999</v>
      </c>
      <c r="N23" s="46">
        <f t="shared" si="34"/>
        <v>47.889099999999999</v>
      </c>
      <c r="O23" s="46">
        <f t="shared" si="34"/>
        <v>9324.0077700000002</v>
      </c>
      <c r="P23" s="46">
        <f t="shared" si="34"/>
        <v>0</v>
      </c>
      <c r="Q23" s="47"/>
      <c r="R23" s="45">
        <f t="shared" ref="R23:BQ23" si="35">SUBTOTAL(9,R21:R22)</f>
        <v>0</v>
      </c>
      <c r="S23" s="45">
        <f t="shared" si="35"/>
        <v>0</v>
      </c>
      <c r="T23" s="46">
        <f t="shared" si="35"/>
        <v>0</v>
      </c>
      <c r="U23" s="46">
        <f t="shared" si="35"/>
        <v>0</v>
      </c>
      <c r="V23" s="46">
        <f t="shared" si="35"/>
        <v>0</v>
      </c>
      <c r="W23" s="46">
        <f t="shared" si="35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5"/>
        <v>2216.2220000000002</v>
      </c>
      <c r="AH23" s="44">
        <f t="shared" si="35"/>
        <v>391.09800000000001</v>
      </c>
      <c r="AI23" s="44">
        <f t="shared" si="35"/>
        <v>651.83000000000004</v>
      </c>
      <c r="AJ23" s="45">
        <v>0</v>
      </c>
      <c r="AK23" s="44">
        <f>SUBTOTAL(9,AK21:AK22)</f>
        <v>36047.09821428571</v>
      </c>
      <c r="AL23" s="44">
        <f t="shared" ref="AL23:AM23" si="36">SUBTOTAL(9,AL21:AL22)</f>
        <v>35551.34821428571</v>
      </c>
      <c r="AM23" s="44">
        <f t="shared" si="36"/>
        <v>4266.1617857142855</v>
      </c>
      <c r="AN23" s="44">
        <f t="shared" ref="AN23" si="37">+AM23+AL23+AJ23</f>
        <v>39817.509999999995</v>
      </c>
      <c r="AO23" s="49">
        <f t="shared" si="35"/>
        <v>0</v>
      </c>
      <c r="AP23" s="49">
        <f t="shared" si="35"/>
        <v>155</v>
      </c>
      <c r="AQ23" s="49">
        <f t="shared" si="35"/>
        <v>270</v>
      </c>
      <c r="AR23" s="49">
        <f t="shared" si="35"/>
        <v>0</v>
      </c>
      <c r="AS23" s="49">
        <f t="shared" si="35"/>
        <v>0</v>
      </c>
      <c r="AT23" s="49">
        <f t="shared" si="35"/>
        <v>0</v>
      </c>
      <c r="AU23" s="49">
        <f>SUBTOTAL(9,AU21:AU22)</f>
        <v>0</v>
      </c>
      <c r="AV23" s="49">
        <f t="shared" si="35"/>
        <v>0</v>
      </c>
      <c r="AW23" s="49">
        <f t="shared" si="35"/>
        <v>0</v>
      </c>
      <c r="AX23" s="49">
        <f t="shared" si="35"/>
        <v>0</v>
      </c>
      <c r="AY23" s="49">
        <f t="shared" si="35"/>
        <v>0</v>
      </c>
      <c r="AZ23" s="44">
        <f t="shared" si="35"/>
        <v>425</v>
      </c>
      <c r="BA23" s="48"/>
      <c r="BB23" s="48">
        <f t="shared" si="35"/>
        <v>0</v>
      </c>
      <c r="BC23" s="44">
        <f t="shared" si="35"/>
        <v>0</v>
      </c>
      <c r="BD23" s="44">
        <f t="shared" si="35"/>
        <v>0</v>
      </c>
      <c r="BE23" s="49">
        <f t="shared" si="35"/>
        <v>0</v>
      </c>
      <c r="BF23" s="49">
        <f>SUBTOTAL(9,BF21:BF22)</f>
        <v>0</v>
      </c>
      <c r="BG23" s="49">
        <f t="shared" si="35"/>
        <v>0</v>
      </c>
      <c r="BH23" s="49">
        <f t="shared" si="35"/>
        <v>0</v>
      </c>
      <c r="BI23" s="49">
        <f t="shared" si="35"/>
        <v>0</v>
      </c>
      <c r="BJ23" s="49">
        <f t="shared" si="35"/>
        <v>0</v>
      </c>
      <c r="BK23" s="49">
        <f t="shared" si="35"/>
        <v>0</v>
      </c>
      <c r="BL23" s="49">
        <f t="shared" si="35"/>
        <v>0</v>
      </c>
      <c r="BM23" s="49">
        <f t="shared" si="35"/>
        <v>0</v>
      </c>
      <c r="BN23" s="49">
        <f t="shared" si="35"/>
        <v>0</v>
      </c>
      <c r="BO23" s="49">
        <f t="shared" si="35"/>
        <v>0</v>
      </c>
      <c r="BP23" s="49">
        <f t="shared" si="35"/>
        <v>0</v>
      </c>
      <c r="BQ23" s="49">
        <f t="shared" si="35"/>
        <v>0</v>
      </c>
      <c r="BR23" s="44">
        <f>SUBTOTAL(9,BR21:BR22)</f>
        <v>425</v>
      </c>
    </row>
    <row r="24" spans="1:125">
      <c r="A24" s="215">
        <f>A21+1</f>
        <v>43440</v>
      </c>
      <c r="B24" s="32" t="s">
        <v>43</v>
      </c>
      <c r="C24" s="33">
        <v>16321.26</v>
      </c>
      <c r="D24" s="34">
        <v>8639.98</v>
      </c>
      <c r="E24" s="34">
        <v>8640.5</v>
      </c>
      <c r="F24" s="35">
        <v>43440</v>
      </c>
      <c r="G24" s="33">
        <f>IF(E24-D24&lt;0,E24-D24,0)*-1</f>
        <v>0</v>
      </c>
      <c r="H24" s="33">
        <f>IF(E24-D24&gt;0,E24-D24,0)</f>
        <v>0.52000000000043656</v>
      </c>
      <c r="I24" s="34"/>
      <c r="J24" s="34"/>
      <c r="K24" s="34">
        <v>2614.29</v>
      </c>
      <c r="L24" s="34"/>
      <c r="M24" s="36">
        <f>(+K24)*M$5</f>
        <v>56.207234999999997</v>
      </c>
      <c r="N24" s="36">
        <f>(+K24)*N$5</f>
        <v>13.07145</v>
      </c>
      <c r="O24" s="36">
        <f>+K24-M24-N24+P24</f>
        <v>2545.0113150000002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f>44.25+92.5</f>
        <v>136.75</v>
      </c>
      <c r="AA24" s="34"/>
      <c r="AB24" s="34"/>
      <c r="AC24" s="34">
        <v>188.24</v>
      </c>
      <c r="AD24" s="38" t="s">
        <v>138</v>
      </c>
      <c r="AE24" s="38">
        <v>4742</v>
      </c>
      <c r="AF24" s="34">
        <v>917.21</v>
      </c>
      <c r="AG24" s="33">
        <f>(AF24*0.8)*0.85</f>
        <v>623.70280000000002</v>
      </c>
      <c r="AH24" s="33">
        <f>(AF24*0.8)*0.15</f>
        <v>110.0652</v>
      </c>
      <c r="AI24" s="33">
        <f>AF24*0.2</f>
        <v>183.44200000000001</v>
      </c>
      <c r="AJ24" s="34">
        <v>0</v>
      </c>
      <c r="AK24" s="33">
        <f t="shared" ref="AK24:AK25" si="38">(C24-AF24-AJ24)/1.12</f>
        <v>13753.616071428569</v>
      </c>
      <c r="AL24" s="33">
        <f t="shared" ref="AL24:AL25" si="39">AK24-SUM(Y24:AC24)</f>
        <v>13428.626071428569</v>
      </c>
      <c r="AM24" s="33">
        <f t="shared" ref="AM24:AM25" si="40">+AL24*0.12</f>
        <v>1611.4351285714283</v>
      </c>
      <c r="AN24" s="33">
        <f t="shared" ref="AN24:AN25" si="41">+AM24+AL24+AJ24</f>
        <v>15040.061199999996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" thickBot="1">
      <c r="A25" s="216"/>
      <c r="B25" s="15" t="s">
        <v>44</v>
      </c>
      <c r="C25" s="33">
        <v>26718.21</v>
      </c>
      <c r="D25" s="34">
        <v>7718.29</v>
      </c>
      <c r="E25" s="34">
        <v>7719</v>
      </c>
      <c r="F25" s="35">
        <v>43441</v>
      </c>
      <c r="G25" s="33">
        <f>IF(E25-D25&lt;0,E25-D25,0)*-1</f>
        <v>0</v>
      </c>
      <c r="H25" s="33">
        <f>IF(E25-D25&gt;0,E25-D25,0)</f>
        <v>0.71000000000003638</v>
      </c>
      <c r="I25" s="34"/>
      <c r="J25" s="34"/>
      <c r="K25" s="34">
        <v>15315.35</v>
      </c>
      <c r="L25" s="34"/>
      <c r="M25" s="36">
        <f>(+K25)*M$5</f>
        <v>329.28002499999997</v>
      </c>
      <c r="N25" s="36">
        <f>(+K25)*N$5</f>
        <v>76.576750000000004</v>
      </c>
      <c r="O25" s="36">
        <f>+K25-M25-N25+P25</f>
        <v>14909.493225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f>209.5+38.25+92.5</f>
        <v>340.25</v>
      </c>
      <c r="AA25" s="34"/>
      <c r="AB25" s="34"/>
      <c r="AC25" s="34">
        <v>72.319999999999993</v>
      </c>
      <c r="AD25" s="38" t="s">
        <v>138</v>
      </c>
      <c r="AE25" s="38">
        <v>3272</v>
      </c>
      <c r="AF25" s="34">
        <v>1819.61</v>
      </c>
      <c r="AG25" s="33">
        <f>(AF25*0.8)*0.85</f>
        <v>1237.3348000000001</v>
      </c>
      <c r="AH25" s="33">
        <f>(AF25*0.8)*0.15</f>
        <v>218.35320000000002</v>
      </c>
      <c r="AI25" s="33">
        <f>AF25*0.2</f>
        <v>363.92200000000003</v>
      </c>
      <c r="AJ25" s="34">
        <v>0</v>
      </c>
      <c r="AK25" s="33">
        <f t="shared" si="38"/>
        <v>22230.892857142855</v>
      </c>
      <c r="AL25" s="33">
        <f t="shared" si="39"/>
        <v>21818.322857142855</v>
      </c>
      <c r="AM25" s="33">
        <f t="shared" si="40"/>
        <v>2618.1987428571424</v>
      </c>
      <c r="AN25" s="33">
        <f t="shared" si="41"/>
        <v>24436.521599999996</v>
      </c>
      <c r="AO25" s="39">
        <v>570</v>
      </c>
      <c r="AP25" s="40">
        <v>275</v>
      </c>
      <c r="AQ25" s="40">
        <v>135</v>
      </c>
      <c r="AR25" s="40">
        <v>535</v>
      </c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" thickBot="1">
      <c r="A26" s="42"/>
      <c r="B26" s="43"/>
      <c r="C26" s="44">
        <f>SUBTOTAL(9,C24:C25)</f>
        <v>43039.47</v>
      </c>
      <c r="D26" s="45">
        <f>SUBTOTAL(9,D24:D25)</f>
        <v>16358.27</v>
      </c>
      <c r="E26" s="45">
        <f>SUBTOTAL(9,E24:E25)</f>
        <v>16359.5</v>
      </c>
      <c r="F26" s="47"/>
      <c r="G26" s="45">
        <f t="shared" ref="G26:P26" si="42">SUBTOTAL(9,G24:G25)</f>
        <v>0</v>
      </c>
      <c r="H26" s="45">
        <f t="shared" si="42"/>
        <v>1.2300000000004729</v>
      </c>
      <c r="I26" s="45">
        <f t="shared" si="42"/>
        <v>0</v>
      </c>
      <c r="J26" s="45">
        <f t="shared" si="42"/>
        <v>0</v>
      </c>
      <c r="K26" s="160">
        <f t="shared" si="42"/>
        <v>17929.64</v>
      </c>
      <c r="L26" s="45">
        <f t="shared" si="42"/>
        <v>0</v>
      </c>
      <c r="M26" s="46">
        <f t="shared" si="42"/>
        <v>385.48725999999999</v>
      </c>
      <c r="N26" s="46">
        <f t="shared" si="42"/>
        <v>89.648200000000003</v>
      </c>
      <c r="O26" s="46">
        <f t="shared" si="42"/>
        <v>17454.504540000002</v>
      </c>
      <c r="P26" s="46">
        <f t="shared" si="42"/>
        <v>0</v>
      </c>
      <c r="Q26" s="47"/>
      <c r="R26" s="45">
        <f t="shared" ref="R26:BQ26" si="43">SUBTOTAL(9,R24:R25)</f>
        <v>0</v>
      </c>
      <c r="S26" s="45">
        <f t="shared" si="43"/>
        <v>0</v>
      </c>
      <c r="T26" s="46">
        <f t="shared" si="43"/>
        <v>0</v>
      </c>
      <c r="U26" s="46">
        <f t="shared" si="43"/>
        <v>0</v>
      </c>
      <c r="V26" s="46">
        <f t="shared" si="43"/>
        <v>0</v>
      </c>
      <c r="W26" s="46">
        <f t="shared" si="43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43"/>
        <v>1861.0376000000001</v>
      </c>
      <c r="AH26" s="44">
        <f t="shared" si="43"/>
        <v>328.41840000000002</v>
      </c>
      <c r="AI26" s="44">
        <f t="shared" si="43"/>
        <v>547.36400000000003</v>
      </c>
      <c r="AJ26" s="45">
        <v>0</v>
      </c>
      <c r="AK26" s="44">
        <f t="shared" si="43"/>
        <v>35984.50892857142</v>
      </c>
      <c r="AL26" s="44">
        <f t="shared" si="43"/>
        <v>35246.948928571423</v>
      </c>
      <c r="AM26" s="44">
        <f t="shared" si="43"/>
        <v>4229.6338714285703</v>
      </c>
      <c r="AN26" s="44">
        <f t="shared" si="19"/>
        <v>39476.582799999989</v>
      </c>
      <c r="AO26" s="49">
        <f t="shared" si="43"/>
        <v>570</v>
      </c>
      <c r="AP26" s="49">
        <f t="shared" si="43"/>
        <v>275</v>
      </c>
      <c r="AQ26" s="49">
        <f t="shared" si="43"/>
        <v>135</v>
      </c>
      <c r="AR26" s="49">
        <f t="shared" si="43"/>
        <v>535</v>
      </c>
      <c r="AS26" s="49">
        <f t="shared" si="43"/>
        <v>0</v>
      </c>
      <c r="AT26" s="49">
        <f t="shared" si="43"/>
        <v>0</v>
      </c>
      <c r="AU26" s="49">
        <f>SUBTOTAL(9,AU24:AU25)</f>
        <v>0</v>
      </c>
      <c r="AV26" s="49">
        <f t="shared" si="43"/>
        <v>0</v>
      </c>
      <c r="AW26" s="49">
        <f t="shared" si="43"/>
        <v>0</v>
      </c>
      <c r="AX26" s="49">
        <f t="shared" si="43"/>
        <v>0</v>
      </c>
      <c r="AY26" s="49">
        <f t="shared" si="43"/>
        <v>0</v>
      </c>
      <c r="AZ26" s="44">
        <f t="shared" si="43"/>
        <v>0</v>
      </c>
      <c r="BA26" s="48">
        <f t="shared" si="43"/>
        <v>0</v>
      </c>
      <c r="BB26" s="48">
        <f t="shared" si="43"/>
        <v>0</v>
      </c>
      <c r="BC26" s="44">
        <f t="shared" si="43"/>
        <v>0</v>
      </c>
      <c r="BD26" s="44">
        <f t="shared" si="43"/>
        <v>0</v>
      </c>
      <c r="BE26" s="49">
        <f t="shared" si="43"/>
        <v>0</v>
      </c>
      <c r="BF26" s="49">
        <f>SUBTOTAL(9,BF24:BF25)</f>
        <v>0</v>
      </c>
      <c r="BG26" s="49">
        <f t="shared" si="43"/>
        <v>0</v>
      </c>
      <c r="BH26" s="49">
        <f t="shared" si="43"/>
        <v>0</v>
      </c>
      <c r="BI26" s="49">
        <f t="shared" si="43"/>
        <v>0</v>
      </c>
      <c r="BJ26" s="49">
        <f t="shared" si="43"/>
        <v>0</v>
      </c>
      <c r="BK26" s="49">
        <f t="shared" si="43"/>
        <v>0</v>
      </c>
      <c r="BL26" s="49">
        <f t="shared" si="43"/>
        <v>0</v>
      </c>
      <c r="BM26" s="49">
        <f t="shared" si="43"/>
        <v>0</v>
      </c>
      <c r="BN26" s="49">
        <f t="shared" si="43"/>
        <v>0</v>
      </c>
      <c r="BO26" s="49">
        <f t="shared" si="43"/>
        <v>0</v>
      </c>
      <c r="BP26" s="49">
        <f t="shared" si="43"/>
        <v>0</v>
      </c>
      <c r="BQ26" s="49">
        <f t="shared" si="43"/>
        <v>0</v>
      </c>
      <c r="BR26" s="44">
        <f>SUBTOTAL(9,BR24:BR25)</f>
        <v>0</v>
      </c>
    </row>
    <row r="27" spans="1:125">
      <c r="A27" s="215">
        <f>+A24+1</f>
        <v>43441</v>
      </c>
      <c r="B27" s="32" t="s">
        <v>43</v>
      </c>
      <c r="C27" s="33">
        <v>27101.279999999999</v>
      </c>
      <c r="D27" s="34">
        <v>12644.66</v>
      </c>
      <c r="E27" s="34">
        <v>12645</v>
      </c>
      <c r="F27" s="35">
        <v>43441</v>
      </c>
      <c r="G27" s="33"/>
      <c r="H27" s="33">
        <f>IF(E27-D27&gt;0,E27-D27,0)</f>
        <v>0.34000000000014552</v>
      </c>
      <c r="I27" s="34"/>
      <c r="J27" s="34"/>
      <c r="K27" s="34">
        <v>13855.73</v>
      </c>
      <c r="L27" s="34"/>
      <c r="M27" s="36">
        <f>(+K27)*M$5</f>
        <v>297.89819499999999</v>
      </c>
      <c r="N27" s="36">
        <f>(+K27)*N$5</f>
        <v>69.278649999999999</v>
      </c>
      <c r="O27" s="36">
        <f>+K27-M27-N27+P27</f>
        <v>13488.553155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>
        <v>225.89</v>
      </c>
      <c r="AD27" s="38" t="s">
        <v>138</v>
      </c>
      <c r="AE27" s="38">
        <v>375</v>
      </c>
      <c r="AF27" s="34">
        <v>2096.8200000000002</v>
      </c>
      <c r="AG27" s="33">
        <f>(AF27*0.8)*0.85</f>
        <v>1425.8376000000001</v>
      </c>
      <c r="AH27" s="33">
        <f>(AF27*0.8)*0.15</f>
        <v>251.61840000000001</v>
      </c>
      <c r="AI27" s="33">
        <f>AF27*0.2</f>
        <v>419.36400000000003</v>
      </c>
      <c r="AJ27" s="34">
        <v>0</v>
      </c>
      <c r="AK27" s="33">
        <f t="shared" ref="AK27:AK28" si="44">(C27-AF27-AJ27)/1.12</f>
        <v>22325.41071428571</v>
      </c>
      <c r="AL27" s="33">
        <f t="shared" ref="AL27:AL28" si="45">AK27-SUM(Y27:AC27)</f>
        <v>22099.520714285711</v>
      </c>
      <c r="AM27" s="33">
        <f t="shared" ref="AM27:AM28" si="46">+AL27*0.12</f>
        <v>2651.9424857142853</v>
      </c>
      <c r="AN27" s="33">
        <f t="shared" si="19"/>
        <v>24751.463199999995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" thickBot="1">
      <c r="A28" s="216"/>
      <c r="B28" s="15" t="s">
        <v>44</v>
      </c>
      <c r="C28" s="33">
        <v>32554.7</v>
      </c>
      <c r="D28" s="34">
        <v>21034.99</v>
      </c>
      <c r="E28" s="34">
        <v>21040</v>
      </c>
      <c r="F28" s="35">
        <v>43442</v>
      </c>
      <c r="G28" s="33"/>
      <c r="H28" s="33">
        <f>IF(E28-D28&gt;0,E28-D28,0)</f>
        <v>5.0099999999983993</v>
      </c>
      <c r="I28" s="34"/>
      <c r="J28" s="34"/>
      <c r="K28" s="34">
        <v>10304.459999999999</v>
      </c>
      <c r="L28" s="34"/>
      <c r="M28" s="36">
        <f>(+K28)*M$5</f>
        <v>221.54588999999996</v>
      </c>
      <c r="N28" s="36">
        <f>(+K28)*N$5</f>
        <v>51.522299999999994</v>
      </c>
      <c r="O28" s="36">
        <f>+K28-M28-N28+P28</f>
        <v>10031.391809999999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11.25</v>
      </c>
      <c r="AA28" s="34"/>
      <c r="AB28" s="34">
        <v>115</v>
      </c>
      <c r="AC28" s="34"/>
      <c r="AD28" s="38" t="s">
        <v>138</v>
      </c>
      <c r="AE28" s="38">
        <v>1089</v>
      </c>
      <c r="AF28" s="34">
        <v>2430.6999999999998</v>
      </c>
      <c r="AG28" s="33">
        <f>(AF28*0.8)*0.85</f>
        <v>1652.876</v>
      </c>
      <c r="AH28" s="33">
        <f>(AF28*0.8)*0.15</f>
        <v>291.68399999999997</v>
      </c>
      <c r="AI28" s="33">
        <f>AF28*0.2</f>
        <v>486.14</v>
      </c>
      <c r="AJ28" s="34">
        <v>0</v>
      </c>
      <c r="AK28" s="33">
        <f t="shared" si="44"/>
        <v>26896.428571428569</v>
      </c>
      <c r="AL28" s="33">
        <f t="shared" si="45"/>
        <v>26770.178571428569</v>
      </c>
      <c r="AM28" s="33">
        <f t="shared" si="46"/>
        <v>3212.4214285714284</v>
      </c>
      <c r="AN28" s="33">
        <f t="shared" si="19"/>
        <v>29982.6</v>
      </c>
      <c r="AO28" s="39">
        <v>580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580</v>
      </c>
      <c r="BA28" s="38">
        <v>1000</v>
      </c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1580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" thickBot="1">
      <c r="A29" s="42"/>
      <c r="B29" s="43"/>
      <c r="C29" s="44">
        <f>SUBTOTAL(9,C27:C28)</f>
        <v>59655.979999999996</v>
      </c>
      <c r="D29" s="45">
        <f>SUBTOTAL(9,D27:D28)</f>
        <v>33679.65</v>
      </c>
      <c r="E29" s="45">
        <f>SUBTOTAL(9,E27:E28)</f>
        <v>33685</v>
      </c>
      <c r="F29" s="47"/>
      <c r="G29" s="45">
        <f t="shared" ref="G29:P29" si="47">SUBTOTAL(9,G27:G28)</f>
        <v>0</v>
      </c>
      <c r="H29" s="45">
        <f t="shared" si="47"/>
        <v>5.3499999999985448</v>
      </c>
      <c r="I29" s="45">
        <f t="shared" si="47"/>
        <v>0</v>
      </c>
      <c r="J29" s="45">
        <f t="shared" si="47"/>
        <v>0</v>
      </c>
      <c r="K29" s="160">
        <f t="shared" si="47"/>
        <v>24160.19</v>
      </c>
      <c r="L29" s="45">
        <f t="shared" si="47"/>
        <v>0</v>
      </c>
      <c r="M29" s="46">
        <f t="shared" si="47"/>
        <v>519.44408499999997</v>
      </c>
      <c r="N29" s="46">
        <f t="shared" si="47"/>
        <v>120.80095</v>
      </c>
      <c r="O29" s="46">
        <f t="shared" si="47"/>
        <v>23519.944964999999</v>
      </c>
      <c r="P29" s="46">
        <f t="shared" si="47"/>
        <v>0</v>
      </c>
      <c r="Q29" s="47"/>
      <c r="R29" s="45">
        <f t="shared" ref="R29:BQ29" si="48">SUBTOTAL(9,R27:R28)</f>
        <v>0</v>
      </c>
      <c r="S29" s="45">
        <f t="shared" si="48"/>
        <v>0</v>
      </c>
      <c r="T29" s="46">
        <f t="shared" si="48"/>
        <v>0</v>
      </c>
      <c r="U29" s="46">
        <f t="shared" si="48"/>
        <v>0</v>
      </c>
      <c r="V29" s="46">
        <f t="shared" si="48"/>
        <v>0</v>
      </c>
      <c r="W29" s="46">
        <f t="shared" si="48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8"/>
        <v>3078.7136</v>
      </c>
      <c r="AH29" s="44">
        <f t="shared" si="48"/>
        <v>543.30240000000003</v>
      </c>
      <c r="AI29" s="44">
        <f t="shared" si="48"/>
        <v>905.50400000000002</v>
      </c>
      <c r="AJ29" s="45">
        <f t="shared" si="48"/>
        <v>0</v>
      </c>
      <c r="AK29" s="44">
        <f t="shared" si="48"/>
        <v>49221.839285714275</v>
      </c>
      <c r="AL29" s="44">
        <f t="shared" si="48"/>
        <v>48869.699285714276</v>
      </c>
      <c r="AM29" s="44">
        <f t="shared" si="48"/>
        <v>5864.3639142857137</v>
      </c>
      <c r="AN29" s="44">
        <f t="shared" si="19"/>
        <v>54734.06319999999</v>
      </c>
      <c r="AO29" s="49">
        <f t="shared" si="48"/>
        <v>580</v>
      </c>
      <c r="AP29" s="49">
        <f t="shared" si="48"/>
        <v>0</v>
      </c>
      <c r="AQ29" s="49">
        <f t="shared" si="48"/>
        <v>0</v>
      </c>
      <c r="AR29" s="49">
        <f t="shared" si="48"/>
        <v>0</v>
      </c>
      <c r="AS29" s="49">
        <f t="shared" si="48"/>
        <v>0</v>
      </c>
      <c r="AT29" s="49">
        <f t="shared" si="48"/>
        <v>0</v>
      </c>
      <c r="AU29" s="49">
        <f>SUBTOTAL(9,AU27:AU28)</f>
        <v>0</v>
      </c>
      <c r="AV29" s="49">
        <f t="shared" si="48"/>
        <v>0</v>
      </c>
      <c r="AW29" s="49">
        <f t="shared" si="48"/>
        <v>0</v>
      </c>
      <c r="AX29" s="49">
        <f t="shared" si="48"/>
        <v>0</v>
      </c>
      <c r="AY29" s="49">
        <f t="shared" si="48"/>
        <v>0</v>
      </c>
      <c r="AZ29" s="44">
        <f t="shared" si="48"/>
        <v>580</v>
      </c>
      <c r="BA29" s="48">
        <f t="shared" si="48"/>
        <v>1000</v>
      </c>
      <c r="BB29" s="48">
        <f t="shared" si="48"/>
        <v>0</v>
      </c>
      <c r="BC29" s="44">
        <f t="shared" si="48"/>
        <v>0</v>
      </c>
      <c r="BD29" s="44">
        <f t="shared" si="48"/>
        <v>0</v>
      </c>
      <c r="BE29" s="49">
        <f t="shared" si="48"/>
        <v>0</v>
      </c>
      <c r="BF29" s="49">
        <f>SUBTOTAL(9,BF27:BF28)</f>
        <v>0</v>
      </c>
      <c r="BG29" s="49">
        <f t="shared" si="48"/>
        <v>0</v>
      </c>
      <c r="BH29" s="49">
        <f t="shared" si="48"/>
        <v>0</v>
      </c>
      <c r="BI29" s="49">
        <f t="shared" si="48"/>
        <v>0</v>
      </c>
      <c r="BJ29" s="49">
        <f t="shared" si="48"/>
        <v>0</v>
      </c>
      <c r="BK29" s="49">
        <f t="shared" si="48"/>
        <v>0</v>
      </c>
      <c r="BL29" s="49">
        <f t="shared" si="48"/>
        <v>0</v>
      </c>
      <c r="BM29" s="49">
        <f t="shared" si="48"/>
        <v>0</v>
      </c>
      <c r="BN29" s="49">
        <f t="shared" si="48"/>
        <v>0</v>
      </c>
      <c r="BO29" s="49">
        <f t="shared" si="48"/>
        <v>0</v>
      </c>
      <c r="BP29" s="49">
        <f t="shared" si="48"/>
        <v>0</v>
      </c>
      <c r="BQ29" s="49">
        <f t="shared" si="48"/>
        <v>0</v>
      </c>
      <c r="BR29" s="44">
        <f>SUBTOTAL(9,BR27:BR28)</f>
        <v>1580</v>
      </c>
    </row>
    <row r="30" spans="1:125">
      <c r="A30" s="215">
        <f>+A27+1</f>
        <v>43442</v>
      </c>
      <c r="B30" s="32" t="s">
        <v>43</v>
      </c>
      <c r="C30" s="33" t="s">
        <v>137</v>
      </c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" si="49">AK30-SUM(Y30:AC30)</f>
        <v>0</v>
      </c>
      <c r="AM30" s="33">
        <f t="shared" ref="AM30" si="50">+AL30*0.12</f>
        <v>0</v>
      </c>
      <c r="AN30" s="33">
        <f t="shared" ref="AN30" si="51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" thickBot="1">
      <c r="A31" s="216"/>
      <c r="B31" s="15" t="s">
        <v>44</v>
      </c>
      <c r="C31" s="33">
        <v>16342.71</v>
      </c>
      <c r="D31" s="34">
        <v>5275.42</v>
      </c>
      <c r="E31" s="34">
        <v>5280</v>
      </c>
      <c r="F31" s="35">
        <v>43444</v>
      </c>
      <c r="G31" s="33">
        <f>IF(E31-D31&lt;0,E31-D31,0)*-1</f>
        <v>0</v>
      </c>
      <c r="H31" s="33">
        <f>IF(E31-D31&gt;0,E31-D31,0)</f>
        <v>4.5799999999999272</v>
      </c>
      <c r="I31" s="34"/>
      <c r="J31" s="34"/>
      <c r="K31" s="34">
        <v>390</v>
      </c>
      <c r="L31" s="34"/>
      <c r="M31" s="36">
        <f>(+K31)*M$5</f>
        <v>8.3849999999999998</v>
      </c>
      <c r="N31" s="36">
        <f>(+K31)*N$5</f>
        <v>1.95</v>
      </c>
      <c r="O31" s="36">
        <f>+K31-M31-N31+P31</f>
        <v>379.66500000000002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 t="s">
        <v>138</v>
      </c>
      <c r="AE31" s="38">
        <v>10677.29</v>
      </c>
      <c r="AF31" s="34">
        <v>1021.71</v>
      </c>
      <c r="AG31" s="33">
        <f>(AF31*0.8)*0.85</f>
        <v>694.76279999999997</v>
      </c>
      <c r="AH31" s="33">
        <f>(AF31*0.8)*0.15</f>
        <v>122.6052</v>
      </c>
      <c r="AI31" s="33">
        <f>AF31*0.2</f>
        <v>204.34200000000001</v>
      </c>
      <c r="AJ31" s="34">
        <v>0</v>
      </c>
      <c r="AK31" s="33">
        <f>(C31-AF31-AJ31)/1.12</f>
        <v>13679.464285714284</v>
      </c>
      <c r="AL31" s="33">
        <f>AK31-SUM(Y31:AC31)</f>
        <v>13679.464285714284</v>
      </c>
      <c r="AM31" s="33">
        <f>+AL31*0.12</f>
        <v>1641.535714285714</v>
      </c>
      <c r="AN31" s="33">
        <f>+AM31+AL31+AJ31</f>
        <v>15320.999999999998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" thickBot="1">
      <c r="A32" s="42"/>
      <c r="B32" s="43"/>
      <c r="C32" s="44">
        <f>SUBTOTAL(9,C30:C31)</f>
        <v>16342.71</v>
      </c>
      <c r="D32" s="45">
        <f>SUBTOTAL(9,D30:D31)</f>
        <v>5275.42</v>
      </c>
      <c r="E32" s="45">
        <f>SUBTOTAL(9,E30:E31)</f>
        <v>5280</v>
      </c>
      <c r="F32" s="47"/>
      <c r="G32" s="45">
        <f t="shared" ref="G32:P32" si="52">SUBTOTAL(9,G30:G31)</f>
        <v>0</v>
      </c>
      <c r="H32" s="45">
        <f t="shared" si="52"/>
        <v>4.5799999999999272</v>
      </c>
      <c r="I32" s="45">
        <f t="shared" si="52"/>
        <v>0</v>
      </c>
      <c r="J32" s="45">
        <f t="shared" si="52"/>
        <v>0</v>
      </c>
      <c r="K32" s="160">
        <f t="shared" si="52"/>
        <v>390</v>
      </c>
      <c r="L32" s="45">
        <f t="shared" si="52"/>
        <v>0</v>
      </c>
      <c r="M32" s="46">
        <f t="shared" si="52"/>
        <v>8.3849999999999998</v>
      </c>
      <c r="N32" s="46">
        <f t="shared" si="52"/>
        <v>1.95</v>
      </c>
      <c r="O32" s="46">
        <f t="shared" si="52"/>
        <v>379.66500000000002</v>
      </c>
      <c r="P32" s="46">
        <f t="shared" si="52"/>
        <v>0</v>
      </c>
      <c r="Q32" s="47"/>
      <c r="R32" s="45">
        <f t="shared" ref="R32:BQ32" si="53">SUBTOTAL(9,R30:R31)</f>
        <v>0</v>
      </c>
      <c r="S32" s="45">
        <f t="shared" si="53"/>
        <v>0</v>
      </c>
      <c r="T32" s="46">
        <f t="shared" si="53"/>
        <v>0</v>
      </c>
      <c r="U32" s="46">
        <f t="shared" si="53"/>
        <v>0</v>
      </c>
      <c r="V32" s="46">
        <f t="shared" si="53"/>
        <v>0</v>
      </c>
      <c r="W32" s="46">
        <f t="shared" si="53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3"/>
        <v>694.76279999999997</v>
      </c>
      <c r="AH32" s="44">
        <f t="shared" si="53"/>
        <v>122.6052</v>
      </c>
      <c r="AI32" s="44">
        <f t="shared" si="53"/>
        <v>204.34200000000001</v>
      </c>
      <c r="AJ32" s="45">
        <f t="shared" si="53"/>
        <v>0</v>
      </c>
      <c r="AK32" s="44">
        <f t="shared" si="53"/>
        <v>13679.464285714284</v>
      </c>
      <c r="AL32" s="44">
        <f t="shared" si="53"/>
        <v>13679.464285714284</v>
      </c>
      <c r="AM32" s="44">
        <f t="shared" si="53"/>
        <v>1641.535714285714</v>
      </c>
      <c r="AN32" s="44">
        <f t="shared" si="19"/>
        <v>15320.999999999998</v>
      </c>
      <c r="AO32" s="49">
        <f t="shared" si="53"/>
        <v>0</v>
      </c>
      <c r="AP32" s="49">
        <f t="shared" si="53"/>
        <v>0</v>
      </c>
      <c r="AQ32" s="49">
        <f t="shared" si="53"/>
        <v>0</v>
      </c>
      <c r="AR32" s="49">
        <f t="shared" si="53"/>
        <v>0</v>
      </c>
      <c r="AS32" s="49">
        <f t="shared" si="53"/>
        <v>0</v>
      </c>
      <c r="AT32" s="49">
        <f t="shared" si="53"/>
        <v>0</v>
      </c>
      <c r="AU32" s="49">
        <f>SUBTOTAL(9,AU30:AU31)</f>
        <v>0</v>
      </c>
      <c r="AV32" s="49">
        <f t="shared" si="53"/>
        <v>0</v>
      </c>
      <c r="AW32" s="49">
        <f t="shared" si="53"/>
        <v>0</v>
      </c>
      <c r="AX32" s="49">
        <f t="shared" si="53"/>
        <v>0</v>
      </c>
      <c r="AY32" s="49">
        <f t="shared" si="53"/>
        <v>0</v>
      </c>
      <c r="AZ32" s="44">
        <f t="shared" si="53"/>
        <v>0</v>
      </c>
      <c r="BA32" s="48">
        <f t="shared" si="53"/>
        <v>0</v>
      </c>
      <c r="BB32" s="48">
        <f t="shared" si="53"/>
        <v>0</v>
      </c>
      <c r="BC32" s="44">
        <f t="shared" si="53"/>
        <v>0</v>
      </c>
      <c r="BD32" s="44">
        <f t="shared" si="53"/>
        <v>0</v>
      </c>
      <c r="BE32" s="49">
        <f t="shared" si="53"/>
        <v>0</v>
      </c>
      <c r="BF32" s="49">
        <f>SUBTOTAL(9,BF30:BF31)</f>
        <v>0</v>
      </c>
      <c r="BG32" s="49">
        <f t="shared" si="53"/>
        <v>0</v>
      </c>
      <c r="BH32" s="49">
        <f t="shared" si="53"/>
        <v>0</v>
      </c>
      <c r="BI32" s="49">
        <f t="shared" si="53"/>
        <v>0</v>
      </c>
      <c r="BJ32" s="49">
        <f t="shared" si="53"/>
        <v>0</v>
      </c>
      <c r="BK32" s="49">
        <f t="shared" si="53"/>
        <v>0</v>
      </c>
      <c r="BL32" s="49">
        <f t="shared" si="53"/>
        <v>0</v>
      </c>
      <c r="BM32" s="49">
        <f t="shared" si="53"/>
        <v>0</v>
      </c>
      <c r="BN32" s="49">
        <f t="shared" si="53"/>
        <v>0</v>
      </c>
      <c r="BO32" s="49">
        <f t="shared" si="53"/>
        <v>0</v>
      </c>
      <c r="BP32" s="49">
        <f t="shared" si="53"/>
        <v>0</v>
      </c>
      <c r="BQ32" s="49">
        <f t="shared" si="53"/>
        <v>0</v>
      </c>
      <c r="BR32" s="44">
        <f>SUBTOTAL(9,BR30:BR31)</f>
        <v>0</v>
      </c>
    </row>
    <row r="33" spans="1:125">
      <c r="A33" s="215">
        <f>+A30+1</f>
        <v>43443</v>
      </c>
      <c r="B33" s="32" t="s">
        <v>43</v>
      </c>
      <c r="C33" s="33" t="s">
        <v>136</v>
      </c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v>0</v>
      </c>
      <c r="AL33" s="33">
        <f t="shared" ref="AL33" si="54">AK33-SUM(Y33:AC33)</f>
        <v>0</v>
      </c>
      <c r="AM33" s="33">
        <f t="shared" ref="AM33" si="55">+AL33*0.12</f>
        <v>0</v>
      </c>
      <c r="AN33" s="33">
        <f t="shared" si="19"/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" thickBot="1">
      <c r="A34" s="216"/>
      <c r="B34" s="15" t="s">
        <v>44</v>
      </c>
      <c r="C34" s="33"/>
      <c r="D34" s="34"/>
      <c r="E34" s="34"/>
      <c r="F34" s="35"/>
      <c r="G34" s="33">
        <f>IF(E34-D34&lt;0,E34-D34,0)*-1</f>
        <v>0</v>
      </c>
      <c r="H34" s="33">
        <f>IF(E34-D34&gt;0,E34-D34,0)</f>
        <v>0</v>
      </c>
      <c r="I34" s="34"/>
      <c r="J34" s="34"/>
      <c r="K34" s="34"/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/>
      <c r="AG34" s="33">
        <f>(AF34*0.8)*0.85</f>
        <v>0</v>
      </c>
      <c r="AH34" s="33">
        <f>(AF34*0.8)*0.15</f>
        <v>0</v>
      </c>
      <c r="AI34" s="33">
        <f>AF34*0.2</f>
        <v>0</v>
      </c>
      <c r="AJ34" s="34">
        <v>0</v>
      </c>
      <c r="AK34" s="33">
        <f>(C34-AF34-AJ34)/1.12</f>
        <v>0</v>
      </c>
      <c r="AL34" s="33">
        <f>AK34-SUM(Y34:AC34)</f>
        <v>0</v>
      </c>
      <c r="AM34" s="33">
        <f>+AL34*0.12</f>
        <v>0</v>
      </c>
      <c r="AN34" s="33">
        <f>+AM34+AL34+AJ34</f>
        <v>0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" thickBot="1">
      <c r="A35" s="42"/>
      <c r="B35" s="43"/>
      <c r="C35" s="44">
        <f t="shared" ref="C35:Y35" si="56">SUBTOTAL(9,C33:C34)</f>
        <v>0</v>
      </c>
      <c r="D35" s="160">
        <f t="shared" si="56"/>
        <v>0</v>
      </c>
      <c r="E35" s="160">
        <f t="shared" si="56"/>
        <v>0</v>
      </c>
      <c r="F35" s="171"/>
      <c r="G35" s="44">
        <f t="shared" si="56"/>
        <v>0</v>
      </c>
      <c r="H35" s="44">
        <f t="shared" si="56"/>
        <v>0</v>
      </c>
      <c r="I35" s="160">
        <f t="shared" si="56"/>
        <v>0</v>
      </c>
      <c r="J35" s="160">
        <f t="shared" si="56"/>
        <v>0</v>
      </c>
      <c r="K35" s="160">
        <f t="shared" si="56"/>
        <v>0</v>
      </c>
      <c r="L35" s="160">
        <f t="shared" si="56"/>
        <v>0</v>
      </c>
      <c r="M35" s="44">
        <f t="shared" si="56"/>
        <v>0</v>
      </c>
      <c r="N35" s="44">
        <f t="shared" si="56"/>
        <v>0</v>
      </c>
      <c r="O35" s="44">
        <f t="shared" si="56"/>
        <v>0</v>
      </c>
      <c r="P35" s="44">
        <f t="shared" si="56"/>
        <v>0</v>
      </c>
      <c r="Q35" s="160">
        <f t="shared" si="56"/>
        <v>0</v>
      </c>
      <c r="R35" s="160">
        <f t="shared" si="56"/>
        <v>0</v>
      </c>
      <c r="S35" s="160">
        <f t="shared" si="56"/>
        <v>0</v>
      </c>
      <c r="T35" s="44">
        <f t="shared" si="56"/>
        <v>0</v>
      </c>
      <c r="U35" s="44">
        <f t="shared" si="56"/>
        <v>0</v>
      </c>
      <c r="V35" s="44">
        <f t="shared" si="56"/>
        <v>0</v>
      </c>
      <c r="W35" s="44">
        <f t="shared" si="56"/>
        <v>0</v>
      </c>
      <c r="X35" s="160">
        <f t="shared" si="56"/>
        <v>0</v>
      </c>
      <c r="Y35" s="160">
        <f t="shared" si="56"/>
        <v>0</v>
      </c>
      <c r="Z35" s="160"/>
      <c r="AA35" s="160"/>
      <c r="AB35" s="160"/>
      <c r="AC35" s="160"/>
      <c r="AD35" s="48"/>
      <c r="AE35" s="48"/>
      <c r="AF35" s="45"/>
      <c r="AG35" s="44">
        <f t="shared" ref="AG35:BQ35" si="57">SUBTOTAL(9,AG33:AG34)</f>
        <v>0</v>
      </c>
      <c r="AH35" s="44">
        <f t="shared" si="57"/>
        <v>0</v>
      </c>
      <c r="AI35" s="44">
        <f t="shared" si="57"/>
        <v>0</v>
      </c>
      <c r="AJ35" s="45">
        <f t="shared" si="57"/>
        <v>0</v>
      </c>
      <c r="AK35" s="44">
        <f t="shared" si="57"/>
        <v>0</v>
      </c>
      <c r="AL35" s="44">
        <f t="shared" si="57"/>
        <v>0</v>
      </c>
      <c r="AM35" s="44">
        <f t="shared" si="57"/>
        <v>0</v>
      </c>
      <c r="AN35" s="44">
        <f t="shared" si="19"/>
        <v>0</v>
      </c>
      <c r="AO35" s="49">
        <f t="shared" si="57"/>
        <v>0</v>
      </c>
      <c r="AP35" s="49">
        <f t="shared" si="57"/>
        <v>0</v>
      </c>
      <c r="AQ35" s="49">
        <f t="shared" si="57"/>
        <v>0</v>
      </c>
      <c r="AR35" s="49">
        <f t="shared" si="57"/>
        <v>0</v>
      </c>
      <c r="AS35" s="49">
        <f t="shared" si="57"/>
        <v>0</v>
      </c>
      <c r="AT35" s="49">
        <f t="shared" si="57"/>
        <v>0</v>
      </c>
      <c r="AU35" s="49">
        <f>SUBTOTAL(9,AU33:AU34)</f>
        <v>0</v>
      </c>
      <c r="AV35" s="49">
        <f t="shared" si="57"/>
        <v>0</v>
      </c>
      <c r="AW35" s="49">
        <f t="shared" si="57"/>
        <v>0</v>
      </c>
      <c r="AX35" s="49">
        <f t="shared" si="57"/>
        <v>0</v>
      </c>
      <c r="AY35" s="49">
        <f t="shared" si="57"/>
        <v>0</v>
      </c>
      <c r="AZ35" s="44">
        <f t="shared" si="57"/>
        <v>0</v>
      </c>
      <c r="BA35" s="48">
        <f t="shared" si="57"/>
        <v>0</v>
      </c>
      <c r="BB35" s="48">
        <f t="shared" si="57"/>
        <v>0</v>
      </c>
      <c r="BC35" s="44">
        <f t="shared" si="57"/>
        <v>0</v>
      </c>
      <c r="BD35" s="44">
        <f t="shared" si="57"/>
        <v>0</v>
      </c>
      <c r="BE35" s="49">
        <f t="shared" si="57"/>
        <v>0</v>
      </c>
      <c r="BF35" s="49">
        <f>SUBTOTAL(9,BF33:BF34)</f>
        <v>0</v>
      </c>
      <c r="BG35" s="49">
        <f t="shared" si="57"/>
        <v>0</v>
      </c>
      <c r="BH35" s="49">
        <f t="shared" si="57"/>
        <v>0</v>
      </c>
      <c r="BI35" s="49">
        <f t="shared" si="57"/>
        <v>0</v>
      </c>
      <c r="BJ35" s="49">
        <f t="shared" si="57"/>
        <v>0</v>
      </c>
      <c r="BK35" s="49">
        <f t="shared" si="57"/>
        <v>0</v>
      </c>
      <c r="BL35" s="49">
        <f t="shared" si="57"/>
        <v>0</v>
      </c>
      <c r="BM35" s="49">
        <f t="shared" si="57"/>
        <v>0</v>
      </c>
      <c r="BN35" s="49">
        <f t="shared" si="57"/>
        <v>0</v>
      </c>
      <c r="BO35" s="49">
        <f t="shared" si="57"/>
        <v>0</v>
      </c>
      <c r="BP35" s="49">
        <f t="shared" si="57"/>
        <v>0</v>
      </c>
      <c r="BQ35" s="49">
        <f t="shared" si="57"/>
        <v>0</v>
      </c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215">
        <f>+A33+1</f>
        <v>43444</v>
      </c>
      <c r="B36" s="15" t="s">
        <v>43</v>
      </c>
      <c r="C36" s="33">
        <v>27661.83</v>
      </c>
      <c r="D36" s="34">
        <v>18429.830000000002</v>
      </c>
      <c r="E36" s="34">
        <v>18438</v>
      </c>
      <c r="F36" s="35">
        <v>43383</v>
      </c>
      <c r="G36" s="33">
        <f>IF(E36-D36&lt;0,E36-D36,0)*-1</f>
        <v>0</v>
      </c>
      <c r="H36" s="33">
        <f>IF(E36-D36&gt;0,E36-D36,0)</f>
        <v>8.1699999999982538</v>
      </c>
      <c r="I36" s="34"/>
      <c r="J36" s="34"/>
      <c r="K36" s="34">
        <v>6941.21</v>
      </c>
      <c r="L36" s="34"/>
      <c r="M36" s="36">
        <f>(+K36)*M$5</f>
        <v>149.23601499999998</v>
      </c>
      <c r="N36" s="36">
        <f>(+K36)*N$5</f>
        <v>34.706049999999998</v>
      </c>
      <c r="O36" s="36">
        <f>+K36-M36-N36+P36</f>
        <v>6757.2679349999999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96.75</v>
      </c>
      <c r="AA36" s="34"/>
      <c r="AB36" s="34"/>
      <c r="AC36" s="34">
        <v>424.04</v>
      </c>
      <c r="AD36" s="38" t="s">
        <v>138</v>
      </c>
      <c r="AE36" s="38">
        <v>1770</v>
      </c>
      <c r="AF36" s="34">
        <v>2058.2600000000002</v>
      </c>
      <c r="AG36" s="33">
        <f>(AF36*0.8)*0.85</f>
        <v>1399.6168</v>
      </c>
      <c r="AH36" s="33">
        <f>(AF36*0.8)*0.15</f>
        <v>246.99120000000002</v>
      </c>
      <c r="AI36" s="33">
        <f>AF36*0.2</f>
        <v>411.65200000000004</v>
      </c>
      <c r="AJ36" s="34">
        <v>0</v>
      </c>
      <c r="AK36" s="33">
        <f t="shared" ref="AK36:AK37" si="58">(C36-AF36-AJ36)/1.12</f>
        <v>22860.330357142855</v>
      </c>
      <c r="AL36" s="33">
        <f t="shared" ref="AL36:AL37" si="59">AK36-SUM(Y36:AC36)</f>
        <v>22339.540357142854</v>
      </c>
      <c r="AM36" s="33">
        <f t="shared" ref="AM36:AM37" si="60">+AL36*0.12</f>
        <v>2680.7448428571424</v>
      </c>
      <c r="AN36" s="33">
        <f t="shared" ref="AN36:AN37" si="61">+AM36+AL36+AJ36</f>
        <v>25020.285199999998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" thickBot="1">
      <c r="A37" s="216"/>
      <c r="B37" s="15" t="s">
        <v>44</v>
      </c>
      <c r="C37" s="33">
        <v>9642.61</v>
      </c>
      <c r="D37" s="34">
        <v>5004.79</v>
      </c>
      <c r="E37" s="34">
        <v>5005</v>
      </c>
      <c r="F37" s="35">
        <v>43384</v>
      </c>
      <c r="G37" s="33">
        <f>IF(E37-D37&lt;0,E37-D37,0)*-1</f>
        <v>0</v>
      </c>
      <c r="H37" s="33">
        <f>IF(E37-D37&gt;0,E37-D37,0)</f>
        <v>0.21000000000003638</v>
      </c>
      <c r="I37" s="34"/>
      <c r="J37" s="34"/>
      <c r="K37" s="34">
        <v>3618.07</v>
      </c>
      <c r="L37" s="34"/>
      <c r="M37" s="36">
        <f>(+K37)*M$5</f>
        <v>77.788505000000001</v>
      </c>
      <c r="N37" s="36">
        <f>(+K37)*N$5</f>
        <v>18.090350000000001</v>
      </c>
      <c r="O37" s="36">
        <f>+K37-M37-N37+P37</f>
        <v>3522.1911450000002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68.5</v>
      </c>
      <c r="AA37" s="34"/>
      <c r="AB37" s="34"/>
      <c r="AC37" s="34">
        <v>81.25</v>
      </c>
      <c r="AD37" s="38" t="s">
        <v>138</v>
      </c>
      <c r="AE37" s="38">
        <v>870</v>
      </c>
      <c r="AF37" s="34">
        <v>623.36</v>
      </c>
      <c r="AG37" s="33">
        <f>(AF37*0.8)*0.85</f>
        <v>423.88480000000004</v>
      </c>
      <c r="AH37" s="33">
        <f>(AF37*0.8)*0.15</f>
        <v>74.803200000000004</v>
      </c>
      <c r="AI37" s="33">
        <f>AF37*0.2</f>
        <v>124.67200000000001</v>
      </c>
      <c r="AJ37" s="34"/>
      <c r="AK37" s="33">
        <f t="shared" si="58"/>
        <v>8052.9017857142853</v>
      </c>
      <c r="AL37" s="33">
        <f t="shared" si="59"/>
        <v>7903.1517857142853</v>
      </c>
      <c r="AM37" s="33">
        <f t="shared" si="60"/>
        <v>948.37821428571419</v>
      </c>
      <c r="AN37" s="33">
        <f t="shared" si="61"/>
        <v>8851.5299999999988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" thickBot="1">
      <c r="A38" s="42"/>
      <c r="B38" s="43"/>
      <c r="C38" s="44">
        <f>SUBTOTAL(9,C36:C37)</f>
        <v>37304.44</v>
      </c>
      <c r="D38" s="45">
        <f>SUBTOTAL(9,D36:D37)</f>
        <v>23434.620000000003</v>
      </c>
      <c r="E38" s="45">
        <f>SUBTOTAL(9,E36:E37)</f>
        <v>23443</v>
      </c>
      <c r="F38" s="47"/>
      <c r="G38" s="45">
        <f t="shared" ref="G38:P38" si="62">SUBTOTAL(9,G36:G37)</f>
        <v>0</v>
      </c>
      <c r="H38" s="45">
        <f t="shared" si="62"/>
        <v>8.3799999999982901</v>
      </c>
      <c r="I38" s="160">
        <f t="shared" si="62"/>
        <v>0</v>
      </c>
      <c r="J38" s="160">
        <f t="shared" si="62"/>
        <v>0</v>
      </c>
      <c r="K38" s="160">
        <f t="shared" si="62"/>
        <v>10559.28</v>
      </c>
      <c r="L38" s="160">
        <f t="shared" si="62"/>
        <v>0</v>
      </c>
      <c r="M38" s="46">
        <f t="shared" si="62"/>
        <v>227.02452</v>
      </c>
      <c r="N38" s="46">
        <f t="shared" si="62"/>
        <v>52.796399999999998</v>
      </c>
      <c r="O38" s="46">
        <f t="shared" si="62"/>
        <v>10279.459080000001</v>
      </c>
      <c r="P38" s="46">
        <f t="shared" si="62"/>
        <v>0</v>
      </c>
      <c r="Q38" s="47"/>
      <c r="R38" s="45">
        <f t="shared" ref="R38:BQ38" si="63">SUBTOTAL(9,R36:R37)</f>
        <v>0</v>
      </c>
      <c r="S38" s="45">
        <f t="shared" si="63"/>
        <v>0</v>
      </c>
      <c r="T38" s="46">
        <f t="shared" si="63"/>
        <v>0</v>
      </c>
      <c r="U38" s="46">
        <f t="shared" si="63"/>
        <v>0</v>
      </c>
      <c r="V38" s="46">
        <f t="shared" si="63"/>
        <v>0</v>
      </c>
      <c r="W38" s="46">
        <f t="shared" si="63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3"/>
        <v>1823.5016000000001</v>
      </c>
      <c r="AH38" s="44">
        <f t="shared" si="63"/>
        <v>321.7944</v>
      </c>
      <c r="AI38" s="44">
        <f t="shared" si="63"/>
        <v>536.32400000000007</v>
      </c>
      <c r="AJ38" s="45">
        <f t="shared" si="63"/>
        <v>0</v>
      </c>
      <c r="AK38" s="44">
        <f t="shared" si="63"/>
        <v>30913.232142857141</v>
      </c>
      <c r="AL38" s="44">
        <f t="shared" si="63"/>
        <v>30242.69214285714</v>
      </c>
      <c r="AM38" s="44">
        <f t="shared" si="63"/>
        <v>3629.1230571428569</v>
      </c>
      <c r="AN38" s="44">
        <f t="shared" si="19"/>
        <v>33871.815199999997</v>
      </c>
      <c r="AO38" s="49">
        <f t="shared" si="63"/>
        <v>0</v>
      </c>
      <c r="AP38" s="49">
        <f t="shared" si="63"/>
        <v>0</v>
      </c>
      <c r="AQ38" s="49">
        <f t="shared" si="63"/>
        <v>0</v>
      </c>
      <c r="AR38" s="49">
        <f t="shared" si="63"/>
        <v>0</v>
      </c>
      <c r="AS38" s="49">
        <f t="shared" si="63"/>
        <v>0</v>
      </c>
      <c r="AT38" s="49">
        <f t="shared" si="63"/>
        <v>0</v>
      </c>
      <c r="AU38" s="49">
        <f>SUBTOTAL(9,AU36:AU37)</f>
        <v>0</v>
      </c>
      <c r="AV38" s="49">
        <f t="shared" si="63"/>
        <v>0</v>
      </c>
      <c r="AW38" s="49">
        <f t="shared" si="63"/>
        <v>0</v>
      </c>
      <c r="AX38" s="49">
        <f t="shared" si="63"/>
        <v>0</v>
      </c>
      <c r="AY38" s="49">
        <f t="shared" si="63"/>
        <v>0</v>
      </c>
      <c r="AZ38" s="44">
        <f t="shared" si="63"/>
        <v>0</v>
      </c>
      <c r="BA38" s="48">
        <f t="shared" si="63"/>
        <v>0</v>
      </c>
      <c r="BB38" s="48">
        <f t="shared" si="63"/>
        <v>0</v>
      </c>
      <c r="BC38" s="44">
        <f t="shared" si="63"/>
        <v>0</v>
      </c>
      <c r="BD38" s="44">
        <f t="shared" si="63"/>
        <v>0</v>
      </c>
      <c r="BE38" s="49">
        <f t="shared" si="63"/>
        <v>0</v>
      </c>
      <c r="BF38" s="49">
        <f>SUBTOTAL(9,BF36:BF37)</f>
        <v>0</v>
      </c>
      <c r="BG38" s="49">
        <f t="shared" si="63"/>
        <v>0</v>
      </c>
      <c r="BH38" s="49">
        <f t="shared" si="63"/>
        <v>0</v>
      </c>
      <c r="BI38" s="49">
        <f t="shared" si="63"/>
        <v>0</v>
      </c>
      <c r="BJ38" s="49">
        <f t="shared" si="63"/>
        <v>0</v>
      </c>
      <c r="BK38" s="49">
        <f t="shared" si="63"/>
        <v>0</v>
      </c>
      <c r="BL38" s="49">
        <f t="shared" si="63"/>
        <v>0</v>
      </c>
      <c r="BM38" s="49">
        <f t="shared" si="63"/>
        <v>0</v>
      </c>
      <c r="BN38" s="49">
        <f t="shared" si="63"/>
        <v>0</v>
      </c>
      <c r="BO38" s="49">
        <f t="shared" si="63"/>
        <v>0</v>
      </c>
      <c r="BP38" s="49">
        <f t="shared" si="63"/>
        <v>0</v>
      </c>
      <c r="BQ38" s="49">
        <f t="shared" si="63"/>
        <v>0</v>
      </c>
      <c r="BR38" s="44">
        <f>SUBTOTAL(9,BR36:BR37)</f>
        <v>0</v>
      </c>
    </row>
    <row r="39" spans="1:125">
      <c r="A39" s="215">
        <f>+A36+1</f>
        <v>43445</v>
      </c>
      <c r="B39" s="16" t="s">
        <v>43</v>
      </c>
      <c r="C39" s="33">
        <v>22695.54</v>
      </c>
      <c r="D39" s="34">
        <v>20364.64</v>
      </c>
      <c r="E39" s="34">
        <v>20370</v>
      </c>
      <c r="F39" s="35">
        <v>43445</v>
      </c>
      <c r="G39" s="33">
        <f>IF(E39-D39&lt;0,E39-D39,0)*-1</f>
        <v>0</v>
      </c>
      <c r="H39" s="33">
        <f>IF(E39-D39&gt;0,E39-D39,0)</f>
        <v>5.3600000000005821</v>
      </c>
      <c r="I39" s="34"/>
      <c r="J39" s="34"/>
      <c r="K39" s="34">
        <v>1158.48</v>
      </c>
      <c r="L39" s="34"/>
      <c r="M39" s="36">
        <f>(+K39)*M$5</f>
        <v>24.907319999999999</v>
      </c>
      <c r="N39" s="36">
        <f>(+K39)*N$5</f>
        <v>5.7923999999999998</v>
      </c>
      <c r="O39" s="36">
        <f>+K39-M39-N39+P39</f>
        <v>1127.7802799999999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v>19.5</v>
      </c>
      <c r="AA39" s="34"/>
      <c r="AB39" s="34"/>
      <c r="AC39" s="34">
        <v>297.92</v>
      </c>
      <c r="AD39" s="38" t="s">
        <v>138</v>
      </c>
      <c r="AE39" s="38">
        <v>855</v>
      </c>
      <c r="AF39" s="34">
        <v>909.29</v>
      </c>
      <c r="AG39" s="33">
        <f>(AF39*0.8)*0.85</f>
        <v>618.31719999999996</v>
      </c>
      <c r="AH39" s="33">
        <f>(AF39*0.8)*0.15</f>
        <v>109.1148</v>
      </c>
      <c r="AI39" s="33">
        <f>AF39*0.2</f>
        <v>181.858</v>
      </c>
      <c r="AJ39" s="34"/>
      <c r="AK39" s="33">
        <f t="shared" ref="AK39:AK40" si="64">(C39-AF39-AJ39)/1.12</f>
        <v>19452.008928571428</v>
      </c>
      <c r="AL39" s="33">
        <f t="shared" ref="AL39:AL40" si="65">AK39-SUM(Y39:AC39)</f>
        <v>19134.588928571429</v>
      </c>
      <c r="AM39" s="33">
        <f t="shared" ref="AM39:AM40" si="66">+AL39*0.12</f>
        <v>2296.1506714285715</v>
      </c>
      <c r="AN39" s="33">
        <f t="shared" si="19"/>
        <v>21430.739600000001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" thickBot="1">
      <c r="A40" s="216"/>
      <c r="B40" s="16" t="s">
        <v>44</v>
      </c>
      <c r="C40" s="33">
        <v>25617.15</v>
      </c>
      <c r="D40" s="34">
        <v>15339.57</v>
      </c>
      <c r="E40" s="34">
        <v>15340</v>
      </c>
      <c r="F40" s="35">
        <v>43446</v>
      </c>
      <c r="G40" s="33">
        <f>IF(E40-D40&lt;0,E40-D40,0)*-1</f>
        <v>0</v>
      </c>
      <c r="H40" s="33">
        <f>IF(E40-D40&gt;0,E40-D40,0)</f>
        <v>0.43000000000029104</v>
      </c>
      <c r="I40" s="34"/>
      <c r="J40" s="34"/>
      <c r="K40" s="34">
        <v>8049.83</v>
      </c>
      <c r="L40" s="34"/>
      <c r="M40" s="36">
        <f>(+K40)*M$5</f>
        <v>173.07134499999998</v>
      </c>
      <c r="N40" s="36">
        <f>(+K40)*N$5</f>
        <v>40.24915</v>
      </c>
      <c r="O40" s="36">
        <f>+K40-M40-N40+P40</f>
        <v>7836.509505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107.75</v>
      </c>
      <c r="AA40" s="34"/>
      <c r="AB40" s="34"/>
      <c r="AC40" s="34"/>
      <c r="AD40" s="38" t="s">
        <v>138</v>
      </c>
      <c r="AE40" s="38">
        <v>2120</v>
      </c>
      <c r="AF40" s="34">
        <v>1909.15</v>
      </c>
      <c r="AG40" s="33">
        <f>(AF40*0.8)*0.85</f>
        <v>1298.2220000000002</v>
      </c>
      <c r="AH40" s="33">
        <f>(AF40*0.8)*0.15</f>
        <v>229.09800000000001</v>
      </c>
      <c r="AI40" s="33">
        <f>AF40*0.2</f>
        <v>381.83000000000004</v>
      </c>
      <c r="AJ40" s="34"/>
      <c r="AK40" s="33">
        <f t="shared" si="64"/>
        <v>21167.857142857141</v>
      </c>
      <c r="AL40" s="33">
        <f t="shared" si="65"/>
        <v>21060.107142857141</v>
      </c>
      <c r="AM40" s="33">
        <f t="shared" si="66"/>
        <v>2527.212857142857</v>
      </c>
      <c r="AN40" s="33">
        <f t="shared" si="19"/>
        <v>23587.32</v>
      </c>
      <c r="AO40" s="39">
        <v>1265</v>
      </c>
      <c r="AP40" s="40">
        <v>810</v>
      </c>
      <c r="AQ40" s="40"/>
      <c r="AR40" s="40">
        <v>265</v>
      </c>
      <c r="AS40" s="40"/>
      <c r="AT40" s="40"/>
      <c r="AU40" s="40"/>
      <c r="AV40" s="40"/>
      <c r="AW40" s="40"/>
      <c r="AX40" s="40"/>
      <c r="AY40" s="40"/>
      <c r="AZ40" s="33">
        <f>SUM(AO40:AY40)</f>
        <v>2340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2340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" thickBot="1">
      <c r="A41" s="42"/>
      <c r="B41" s="43"/>
      <c r="C41" s="44">
        <f>SUBTOTAL(9,C39:C40)</f>
        <v>48312.69</v>
      </c>
      <c r="D41" s="45">
        <f>SUBTOTAL(9,D39:D40)</f>
        <v>35704.21</v>
      </c>
      <c r="E41" s="45">
        <f>SUBTOTAL(9,E39:E40)</f>
        <v>35710</v>
      </c>
      <c r="F41" s="47"/>
      <c r="G41" s="45">
        <f t="shared" ref="G41:P41" si="67">SUBTOTAL(9,G39:G40)</f>
        <v>0</v>
      </c>
      <c r="H41" s="45">
        <f t="shared" si="67"/>
        <v>5.7900000000008731</v>
      </c>
      <c r="I41" s="160">
        <f t="shared" si="67"/>
        <v>0</v>
      </c>
      <c r="J41" s="160">
        <f t="shared" si="67"/>
        <v>0</v>
      </c>
      <c r="K41" s="160">
        <f t="shared" si="67"/>
        <v>9208.31</v>
      </c>
      <c r="L41" s="160">
        <f t="shared" si="67"/>
        <v>0</v>
      </c>
      <c r="M41" s="46">
        <f t="shared" si="67"/>
        <v>197.97866499999998</v>
      </c>
      <c r="N41" s="46">
        <f t="shared" si="67"/>
        <v>46.041550000000001</v>
      </c>
      <c r="O41" s="46">
        <f t="shared" si="67"/>
        <v>8964.2897850000008</v>
      </c>
      <c r="P41" s="46">
        <f t="shared" si="67"/>
        <v>0</v>
      </c>
      <c r="Q41" s="47"/>
      <c r="R41" s="45">
        <f t="shared" ref="R41:BQ41" si="68">SUBTOTAL(9,R39:R40)</f>
        <v>0</v>
      </c>
      <c r="S41" s="45">
        <f t="shared" si="68"/>
        <v>0</v>
      </c>
      <c r="T41" s="46">
        <f t="shared" si="68"/>
        <v>0</v>
      </c>
      <c r="U41" s="46">
        <f t="shared" si="68"/>
        <v>0</v>
      </c>
      <c r="V41" s="46">
        <f t="shared" si="68"/>
        <v>0</v>
      </c>
      <c r="W41" s="46">
        <f t="shared" si="68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8"/>
        <v>1916.5392000000002</v>
      </c>
      <c r="AH41" s="44">
        <f t="shared" si="68"/>
        <v>338.21280000000002</v>
      </c>
      <c r="AI41" s="44">
        <f t="shared" si="68"/>
        <v>563.6880000000001</v>
      </c>
      <c r="AJ41" s="45">
        <f t="shared" si="68"/>
        <v>0</v>
      </c>
      <c r="AK41" s="44">
        <f t="shared" si="68"/>
        <v>40619.866071428565</v>
      </c>
      <c r="AL41" s="44">
        <f t="shared" si="68"/>
        <v>40194.696071428567</v>
      </c>
      <c r="AM41" s="44">
        <f t="shared" si="68"/>
        <v>4823.3635285714281</v>
      </c>
      <c r="AN41" s="44">
        <f t="shared" si="19"/>
        <v>45018.059599999993</v>
      </c>
      <c r="AO41" s="49">
        <f t="shared" si="68"/>
        <v>1265</v>
      </c>
      <c r="AP41" s="49">
        <f t="shared" si="68"/>
        <v>810</v>
      </c>
      <c r="AQ41" s="49">
        <f t="shared" si="68"/>
        <v>0</v>
      </c>
      <c r="AR41" s="49">
        <f t="shared" si="68"/>
        <v>265</v>
      </c>
      <c r="AS41" s="49">
        <f t="shared" si="68"/>
        <v>0</v>
      </c>
      <c r="AT41" s="49">
        <f t="shared" si="68"/>
        <v>0</v>
      </c>
      <c r="AU41" s="49">
        <f>SUBTOTAL(9,AU39:AU40)</f>
        <v>0</v>
      </c>
      <c r="AV41" s="49">
        <f t="shared" si="68"/>
        <v>0</v>
      </c>
      <c r="AW41" s="49">
        <f t="shared" si="68"/>
        <v>0</v>
      </c>
      <c r="AX41" s="49">
        <f t="shared" si="68"/>
        <v>0</v>
      </c>
      <c r="AY41" s="49">
        <f t="shared" si="68"/>
        <v>0</v>
      </c>
      <c r="AZ41" s="44">
        <f t="shared" si="68"/>
        <v>2340</v>
      </c>
      <c r="BA41" s="48">
        <f t="shared" si="68"/>
        <v>0</v>
      </c>
      <c r="BB41" s="48">
        <f t="shared" si="68"/>
        <v>0</v>
      </c>
      <c r="BC41" s="44">
        <f t="shared" si="68"/>
        <v>0</v>
      </c>
      <c r="BD41" s="44">
        <f t="shared" si="68"/>
        <v>0</v>
      </c>
      <c r="BE41" s="49">
        <f t="shared" si="68"/>
        <v>0</v>
      </c>
      <c r="BF41" s="49">
        <f>SUBTOTAL(9,BF39:BF40)</f>
        <v>0</v>
      </c>
      <c r="BG41" s="49">
        <f t="shared" si="68"/>
        <v>0</v>
      </c>
      <c r="BH41" s="49">
        <f t="shared" si="68"/>
        <v>0</v>
      </c>
      <c r="BI41" s="49">
        <f t="shared" si="68"/>
        <v>0</v>
      </c>
      <c r="BJ41" s="49">
        <f t="shared" si="68"/>
        <v>0</v>
      </c>
      <c r="BK41" s="49">
        <f t="shared" si="68"/>
        <v>0</v>
      </c>
      <c r="BL41" s="49">
        <f t="shared" si="68"/>
        <v>0</v>
      </c>
      <c r="BM41" s="49">
        <f t="shared" si="68"/>
        <v>0</v>
      </c>
      <c r="BN41" s="49">
        <f t="shared" si="68"/>
        <v>0</v>
      </c>
      <c r="BO41" s="49">
        <f t="shared" si="68"/>
        <v>0</v>
      </c>
      <c r="BP41" s="49">
        <f t="shared" si="68"/>
        <v>0</v>
      </c>
      <c r="BQ41" s="49">
        <f t="shared" si="68"/>
        <v>0</v>
      </c>
      <c r="BR41" s="44">
        <f>SUBTOTAL(9,BR39:BR40)</f>
        <v>2340</v>
      </c>
    </row>
    <row r="42" spans="1:125">
      <c r="A42" s="215">
        <f>+A39+1</f>
        <v>43446</v>
      </c>
      <c r="B42" s="15" t="s">
        <v>43</v>
      </c>
      <c r="C42" s="33">
        <v>57040.6</v>
      </c>
      <c r="D42" s="34">
        <v>31003.53</v>
      </c>
      <c r="E42" s="34">
        <v>31004</v>
      </c>
      <c r="F42" s="35">
        <v>43446</v>
      </c>
      <c r="G42" s="33">
        <f>IF(E42-D42&lt;0,E42-D42,0)*-1</f>
        <v>0</v>
      </c>
      <c r="H42" s="33">
        <f>IF(E42-D42&gt;0,E42-D42,0)</f>
        <v>0.47000000000116415</v>
      </c>
      <c r="I42" s="34"/>
      <c r="J42" s="34"/>
      <c r="K42" s="34">
        <v>21482.41</v>
      </c>
      <c r="L42" s="34"/>
      <c r="M42" s="36">
        <f>(+K42)*M$5</f>
        <v>461.87181499999997</v>
      </c>
      <c r="N42" s="36">
        <f>(+K42)*N$5</f>
        <v>107.41205000000001</v>
      </c>
      <c r="O42" s="36">
        <f>+K42-M42-N42+P42</f>
        <v>20913.126135000002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f>20+79.75</f>
        <v>99.75</v>
      </c>
      <c r="AA42" s="34"/>
      <c r="AB42" s="34"/>
      <c r="AC42" s="34">
        <v>387.91</v>
      </c>
      <c r="AD42" s="38" t="s">
        <v>138</v>
      </c>
      <c r="AE42" s="38">
        <v>4067</v>
      </c>
      <c r="AF42" s="34">
        <v>4187.3500000000004</v>
      </c>
      <c r="AG42" s="33">
        <f>(AF42*0.8)*0.85</f>
        <v>2847.3980000000006</v>
      </c>
      <c r="AH42" s="33">
        <f>(AF42*0.8)*0.15</f>
        <v>502.48200000000008</v>
      </c>
      <c r="AI42" s="33">
        <f>AF42*0.2</f>
        <v>837.47000000000014</v>
      </c>
      <c r="AJ42" s="34"/>
      <c r="AK42" s="33">
        <f>(C42-AF42-AJ42)/1.12</f>
        <v>47190.401785714283</v>
      </c>
      <c r="AL42" s="33">
        <f>AK42-SUM(Y42:AC42)</f>
        <v>46702.741785714279</v>
      </c>
      <c r="AM42" s="33">
        <f>+AL42*0.12</f>
        <v>5604.3290142857131</v>
      </c>
      <c r="AN42" s="33">
        <f>+AM42+AL42+AJ42</f>
        <v>52307.070799999994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" thickBot="1">
      <c r="A43" s="216"/>
      <c r="B43" s="15" t="s">
        <v>44</v>
      </c>
      <c r="C43" s="33">
        <v>38172.629999999997</v>
      </c>
      <c r="D43" s="34">
        <v>8459.9599999999991</v>
      </c>
      <c r="E43" s="34">
        <v>8460</v>
      </c>
      <c r="F43" s="35">
        <v>43447</v>
      </c>
      <c r="G43" s="33">
        <f>IF(E43-D43&lt;0,E43-D43,0)*-1</f>
        <v>0</v>
      </c>
      <c r="H43" s="33">
        <f>IF(E43-D43&gt;0,E43-D43,0)</f>
        <v>4.0000000000873115E-2</v>
      </c>
      <c r="I43" s="34"/>
      <c r="J43" s="34"/>
      <c r="K43" s="34">
        <v>10976.35</v>
      </c>
      <c r="L43" s="34"/>
      <c r="M43" s="36">
        <f>(+K43)*M$5</f>
        <v>235.991525</v>
      </c>
      <c r="N43" s="36">
        <f>(+K43)*N$5</f>
        <v>54.881750000000004</v>
      </c>
      <c r="O43" s="36">
        <f>+K43-M43-N43+P43</f>
        <v>10685.476725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v>25.5</v>
      </c>
      <c r="AA43" s="34"/>
      <c r="AB43" s="34"/>
      <c r="AC43" s="34">
        <v>59.82</v>
      </c>
      <c r="AD43" s="38" t="s">
        <v>138</v>
      </c>
      <c r="AE43" s="38">
        <v>18651</v>
      </c>
      <c r="AF43" s="34">
        <v>2836.66</v>
      </c>
      <c r="AG43" s="33">
        <f>(AF43*0.8)*0.85</f>
        <v>1928.9287999999999</v>
      </c>
      <c r="AH43" s="33">
        <f>(AF43*0.8)*0.15</f>
        <v>340.39920000000001</v>
      </c>
      <c r="AI43" s="33">
        <f>AF43*0.2</f>
        <v>567.33199999999999</v>
      </c>
      <c r="AJ43" s="34"/>
      <c r="AK43" s="33">
        <f>(C43-AF43-AJ43)/1.12</f>
        <v>31549.973214285714</v>
      </c>
      <c r="AL43" s="33">
        <f>AK43-SUM(Y43:AC43)</f>
        <v>31464.653214285714</v>
      </c>
      <c r="AM43" s="33">
        <f>+AL43*0.12</f>
        <v>3775.7583857142854</v>
      </c>
      <c r="AN43" s="33">
        <f>+AM43+AL43+AJ43</f>
        <v>35240.411599999999</v>
      </c>
      <c r="AO43" s="39">
        <v>185</v>
      </c>
      <c r="AP43" s="40">
        <v>295</v>
      </c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480</v>
      </c>
      <c r="BA43" s="38">
        <v>230</v>
      </c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710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" thickBot="1">
      <c r="A44" s="42"/>
      <c r="B44" s="43"/>
      <c r="C44" s="44">
        <f>SUBTOTAL(9,C42:C43)</f>
        <v>95213.23</v>
      </c>
      <c r="D44" s="45">
        <f>SUBTOTAL(9,D42:D43)</f>
        <v>39463.49</v>
      </c>
      <c r="E44" s="45">
        <f>SUBTOTAL(9,E42:E43)</f>
        <v>39464</v>
      </c>
      <c r="F44" s="47"/>
      <c r="G44" s="45">
        <f t="shared" ref="G44:P44" si="69">SUBTOTAL(9,G42:G43)</f>
        <v>0</v>
      </c>
      <c r="H44" s="45">
        <f t="shared" si="69"/>
        <v>0.51000000000203727</v>
      </c>
      <c r="I44" s="160">
        <f t="shared" si="69"/>
        <v>0</v>
      </c>
      <c r="J44" s="160">
        <f t="shared" si="69"/>
        <v>0</v>
      </c>
      <c r="K44" s="160">
        <f t="shared" si="69"/>
        <v>32458.760000000002</v>
      </c>
      <c r="L44" s="160">
        <f t="shared" si="69"/>
        <v>0</v>
      </c>
      <c r="M44" s="46">
        <f t="shared" si="69"/>
        <v>697.86333999999999</v>
      </c>
      <c r="N44" s="46">
        <f t="shared" si="69"/>
        <v>162.2938</v>
      </c>
      <c r="O44" s="46">
        <f t="shared" si="69"/>
        <v>31598.602860000003</v>
      </c>
      <c r="P44" s="46">
        <f t="shared" si="69"/>
        <v>0</v>
      </c>
      <c r="Q44" s="47"/>
      <c r="R44" s="45">
        <f t="shared" ref="R44:BQ44" si="70">SUBTOTAL(9,R42:R43)</f>
        <v>0</v>
      </c>
      <c r="S44" s="45">
        <f t="shared" si="70"/>
        <v>0</v>
      </c>
      <c r="T44" s="46">
        <f t="shared" si="70"/>
        <v>0</v>
      </c>
      <c r="U44" s="46">
        <f t="shared" si="70"/>
        <v>0</v>
      </c>
      <c r="V44" s="46">
        <f t="shared" si="70"/>
        <v>0</v>
      </c>
      <c r="W44" s="46">
        <f t="shared" si="70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0"/>
        <v>4776.3268000000007</v>
      </c>
      <c r="AH44" s="44">
        <f t="shared" si="70"/>
        <v>842.88120000000004</v>
      </c>
      <c r="AI44" s="44">
        <f t="shared" si="70"/>
        <v>1404.8020000000001</v>
      </c>
      <c r="AJ44" s="45">
        <f t="shared" si="70"/>
        <v>0</v>
      </c>
      <c r="AK44" s="44">
        <f t="shared" si="70"/>
        <v>78740.375</v>
      </c>
      <c r="AL44" s="44">
        <f t="shared" si="70"/>
        <v>78167.39499999999</v>
      </c>
      <c r="AM44" s="44">
        <f t="shared" si="70"/>
        <v>9380.0873999999985</v>
      </c>
      <c r="AN44" s="44">
        <f t="shared" ref="AN44:AN74" si="71">+AM44+AL44+AJ44</f>
        <v>87547.482399999994</v>
      </c>
      <c r="AO44" s="49">
        <f t="shared" si="70"/>
        <v>185</v>
      </c>
      <c r="AP44" s="49">
        <f t="shared" si="70"/>
        <v>295</v>
      </c>
      <c r="AQ44" s="49">
        <f t="shared" si="70"/>
        <v>0</v>
      </c>
      <c r="AR44" s="49">
        <f t="shared" si="70"/>
        <v>0</v>
      </c>
      <c r="AS44" s="49">
        <f t="shared" si="70"/>
        <v>0</v>
      </c>
      <c r="AT44" s="49">
        <f t="shared" si="70"/>
        <v>0</v>
      </c>
      <c r="AU44" s="49">
        <f>SUBTOTAL(9,AU42:AU43)</f>
        <v>0</v>
      </c>
      <c r="AV44" s="49">
        <f t="shared" si="70"/>
        <v>0</v>
      </c>
      <c r="AW44" s="49">
        <f t="shared" si="70"/>
        <v>0</v>
      </c>
      <c r="AX44" s="49">
        <f t="shared" si="70"/>
        <v>0</v>
      </c>
      <c r="AY44" s="49">
        <f t="shared" si="70"/>
        <v>0</v>
      </c>
      <c r="AZ44" s="44">
        <f t="shared" si="70"/>
        <v>480</v>
      </c>
      <c r="BA44" s="48">
        <f t="shared" si="70"/>
        <v>230</v>
      </c>
      <c r="BB44" s="48">
        <f t="shared" si="70"/>
        <v>0</v>
      </c>
      <c r="BC44" s="44">
        <f t="shared" si="70"/>
        <v>0</v>
      </c>
      <c r="BD44" s="44">
        <f t="shared" si="70"/>
        <v>0</v>
      </c>
      <c r="BE44" s="49">
        <f t="shared" si="70"/>
        <v>0</v>
      </c>
      <c r="BF44" s="49">
        <f>SUBTOTAL(9,BF42:BF43)</f>
        <v>0</v>
      </c>
      <c r="BG44" s="49">
        <f t="shared" si="70"/>
        <v>0</v>
      </c>
      <c r="BH44" s="49">
        <f t="shared" si="70"/>
        <v>0</v>
      </c>
      <c r="BI44" s="49">
        <f t="shared" si="70"/>
        <v>0</v>
      </c>
      <c r="BJ44" s="49">
        <f t="shared" si="70"/>
        <v>0</v>
      </c>
      <c r="BK44" s="49">
        <f t="shared" si="70"/>
        <v>0</v>
      </c>
      <c r="BL44" s="49">
        <f t="shared" si="70"/>
        <v>0</v>
      </c>
      <c r="BM44" s="49">
        <f t="shared" si="70"/>
        <v>0</v>
      </c>
      <c r="BN44" s="49">
        <f t="shared" si="70"/>
        <v>0</v>
      </c>
      <c r="BO44" s="49">
        <f t="shared" si="70"/>
        <v>0</v>
      </c>
      <c r="BP44" s="49">
        <f t="shared" si="70"/>
        <v>0</v>
      </c>
      <c r="BQ44" s="49">
        <f t="shared" si="70"/>
        <v>0</v>
      </c>
      <c r="BR44" s="44">
        <f>SUBTOTAL(9,BR42:BR43)</f>
        <v>710</v>
      </c>
    </row>
    <row r="45" spans="1:125">
      <c r="A45" s="215">
        <f>+A42+1</f>
        <v>43447</v>
      </c>
      <c r="B45" s="15" t="s">
        <v>43</v>
      </c>
      <c r="C45" s="33">
        <v>36098.949999999997</v>
      </c>
      <c r="D45" s="34">
        <v>7131.83</v>
      </c>
      <c r="E45" s="34">
        <v>7132</v>
      </c>
      <c r="F45" s="35">
        <v>43447</v>
      </c>
      <c r="G45" s="33">
        <v>0</v>
      </c>
      <c r="H45" s="33">
        <f>IF(E45-D45&gt;0,E45-D45,0)</f>
        <v>0.17000000000007276</v>
      </c>
      <c r="I45" s="34"/>
      <c r="J45" s="34"/>
      <c r="K45" s="34">
        <v>13902.02</v>
      </c>
      <c r="L45" s="34"/>
      <c r="M45" s="36">
        <f>(+K45)*M$5</f>
        <v>298.89342999999997</v>
      </c>
      <c r="N45" s="36">
        <f>(+K45)*N$5</f>
        <v>69.510100000000008</v>
      </c>
      <c r="O45" s="36">
        <f>+K45-M45-N45+P45</f>
        <v>13533.616470000001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f>18+277.5</f>
        <v>295.5</v>
      </c>
      <c r="AA45" s="34"/>
      <c r="AB45" s="34"/>
      <c r="AC45" s="34">
        <v>134.46</v>
      </c>
      <c r="AD45" s="38" t="s">
        <v>138</v>
      </c>
      <c r="AE45" s="38">
        <v>14635.14</v>
      </c>
      <c r="AF45" s="34">
        <v>2660.63</v>
      </c>
      <c r="AG45" s="33">
        <f>(AF45*0.8)*0.85</f>
        <v>1809.2284000000002</v>
      </c>
      <c r="AH45" s="33">
        <f>(AF45*0.8)*0.15</f>
        <v>319.27560000000005</v>
      </c>
      <c r="AI45" s="33">
        <f>AF45*0.2</f>
        <v>532.12600000000009</v>
      </c>
      <c r="AJ45" s="34"/>
      <c r="AK45" s="33">
        <f>(C45-AF45-AJ45)/1.12</f>
        <v>29855.642857142855</v>
      </c>
      <c r="AL45" s="33">
        <f>AK45-SUM(Y45:AC45)</f>
        <v>29425.682857142856</v>
      </c>
      <c r="AM45" s="33">
        <f>+AL45*0.12</f>
        <v>3531.0819428571426</v>
      </c>
      <c r="AN45" s="33">
        <f>+AM45+AL45+AJ45</f>
        <v>32956.764799999997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" thickBot="1">
      <c r="A46" s="216"/>
      <c r="B46" s="15" t="s">
        <v>44</v>
      </c>
      <c r="C46" s="33">
        <v>32113.84</v>
      </c>
      <c r="D46" s="34">
        <v>10877.09</v>
      </c>
      <c r="E46" s="34">
        <v>10878</v>
      </c>
      <c r="F46" s="35">
        <v>43448</v>
      </c>
      <c r="G46" s="33">
        <f>IF(E46-D46&lt;0,E46-D46,0)*-1</f>
        <v>0</v>
      </c>
      <c r="H46" s="33">
        <f>IF(E46-D46&gt;0,E46-D46,0)</f>
        <v>0.90999999999985448</v>
      </c>
      <c r="I46" s="34"/>
      <c r="J46" s="34"/>
      <c r="K46" s="34">
        <v>18376.25</v>
      </c>
      <c r="L46" s="34"/>
      <c r="M46" s="36">
        <f>(+K46)*M$5</f>
        <v>395.08937499999996</v>
      </c>
      <c r="N46" s="36">
        <f>(+K46)*N$5</f>
        <v>91.881250000000009</v>
      </c>
      <c r="O46" s="36">
        <f>+K46-M46-N46+P46</f>
        <v>17889.279375000002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f>714+92.5</f>
        <v>806.5</v>
      </c>
      <c r="AA46" s="34">
        <v>44</v>
      </c>
      <c r="AB46" s="34"/>
      <c r="AC46" s="34"/>
      <c r="AD46" s="38" t="s">
        <v>138</v>
      </c>
      <c r="AE46" s="38">
        <v>2010</v>
      </c>
      <c r="AF46" s="34">
        <v>2356.84</v>
      </c>
      <c r="AG46" s="33">
        <f>(AF46*0.8)*0.85</f>
        <v>1602.6512000000002</v>
      </c>
      <c r="AH46" s="33">
        <f>(AF46*0.8)*0.15</f>
        <v>282.82080000000002</v>
      </c>
      <c r="AI46" s="33">
        <f>AF46*0.2</f>
        <v>471.36800000000005</v>
      </c>
      <c r="AJ46" s="34"/>
      <c r="AK46" s="33">
        <f>(C46-AF46-AJ46)/1.12</f>
        <v>26568.749999999996</v>
      </c>
      <c r="AL46" s="33">
        <f>AK46-SUM(Y46:AC46)</f>
        <v>25718.249999999996</v>
      </c>
      <c r="AM46" s="33">
        <f>+AL46*0.12</f>
        <v>3086.1899999999996</v>
      </c>
      <c r="AN46" s="33">
        <f>+AM46+AL46+AJ46</f>
        <v>28804.439999999995</v>
      </c>
      <c r="AO46" s="39">
        <v>135</v>
      </c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135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135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" thickBot="1">
      <c r="A47" s="42"/>
      <c r="B47" s="43"/>
      <c r="C47" s="44">
        <f>SUBTOTAL(9,C45:C46)</f>
        <v>68212.789999999994</v>
      </c>
      <c r="D47" s="45">
        <f>SUBTOTAL(9,D45:D46)</f>
        <v>18008.919999999998</v>
      </c>
      <c r="E47" s="45">
        <f>SUBTOTAL(9,E45:E46)</f>
        <v>18010</v>
      </c>
      <c r="F47" s="47"/>
      <c r="G47" s="45">
        <f t="shared" ref="G47:P47" si="72">SUBTOTAL(9,G45:G46)</f>
        <v>0</v>
      </c>
      <c r="H47" s="45">
        <f t="shared" si="72"/>
        <v>1.0799999999999272</v>
      </c>
      <c r="I47" s="160">
        <f t="shared" si="72"/>
        <v>0</v>
      </c>
      <c r="J47" s="160">
        <f t="shared" si="72"/>
        <v>0</v>
      </c>
      <c r="K47" s="160">
        <f t="shared" si="72"/>
        <v>32278.27</v>
      </c>
      <c r="L47" s="160">
        <f t="shared" si="72"/>
        <v>0</v>
      </c>
      <c r="M47" s="46">
        <f t="shared" si="72"/>
        <v>693.98280499999987</v>
      </c>
      <c r="N47" s="46">
        <f t="shared" si="72"/>
        <v>161.39135000000002</v>
      </c>
      <c r="O47" s="46">
        <f t="shared" si="72"/>
        <v>31422.895845000003</v>
      </c>
      <c r="P47" s="46">
        <f t="shared" si="72"/>
        <v>0</v>
      </c>
      <c r="Q47" s="47"/>
      <c r="R47" s="45">
        <f t="shared" ref="R47:BQ47" si="73">SUBTOTAL(9,R45:R46)</f>
        <v>0</v>
      </c>
      <c r="S47" s="45">
        <f t="shared" si="73"/>
        <v>0</v>
      </c>
      <c r="T47" s="46">
        <f t="shared" si="73"/>
        <v>0</v>
      </c>
      <c r="U47" s="46">
        <f t="shared" si="73"/>
        <v>0</v>
      </c>
      <c r="V47" s="46">
        <f t="shared" si="73"/>
        <v>0</v>
      </c>
      <c r="W47" s="46">
        <f t="shared" si="73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3"/>
        <v>3411.8796000000002</v>
      </c>
      <c r="AH47" s="44">
        <f t="shared" si="73"/>
        <v>602.09640000000013</v>
      </c>
      <c r="AI47" s="44">
        <f t="shared" si="73"/>
        <v>1003.4940000000001</v>
      </c>
      <c r="AJ47" s="45">
        <f t="shared" si="73"/>
        <v>0</v>
      </c>
      <c r="AK47" s="44">
        <f t="shared" si="73"/>
        <v>56424.392857142855</v>
      </c>
      <c r="AL47" s="44">
        <f t="shared" si="73"/>
        <v>55143.932857142849</v>
      </c>
      <c r="AM47" s="44">
        <f t="shared" si="73"/>
        <v>6617.2719428571418</v>
      </c>
      <c r="AN47" s="44">
        <f t="shared" si="71"/>
        <v>61761.204799999992</v>
      </c>
      <c r="AO47" s="49">
        <f t="shared" si="73"/>
        <v>135</v>
      </c>
      <c r="AP47" s="49">
        <f t="shared" si="73"/>
        <v>0</v>
      </c>
      <c r="AQ47" s="49">
        <f t="shared" si="73"/>
        <v>0</v>
      </c>
      <c r="AR47" s="49">
        <f t="shared" si="73"/>
        <v>0</v>
      </c>
      <c r="AS47" s="49">
        <f t="shared" si="73"/>
        <v>0</v>
      </c>
      <c r="AT47" s="49">
        <f t="shared" si="73"/>
        <v>0</v>
      </c>
      <c r="AU47" s="49">
        <f>SUBTOTAL(9,AU45:AU46)</f>
        <v>0</v>
      </c>
      <c r="AV47" s="49">
        <f t="shared" si="73"/>
        <v>0</v>
      </c>
      <c r="AW47" s="49">
        <f t="shared" si="73"/>
        <v>0</v>
      </c>
      <c r="AX47" s="49">
        <f t="shared" si="73"/>
        <v>0</v>
      </c>
      <c r="AY47" s="49">
        <f t="shared" si="73"/>
        <v>0</v>
      </c>
      <c r="AZ47" s="44">
        <f t="shared" si="73"/>
        <v>135</v>
      </c>
      <c r="BA47" s="48">
        <f t="shared" si="73"/>
        <v>0</v>
      </c>
      <c r="BB47" s="48">
        <f t="shared" si="73"/>
        <v>0</v>
      </c>
      <c r="BC47" s="44">
        <f t="shared" si="73"/>
        <v>0</v>
      </c>
      <c r="BD47" s="44">
        <f t="shared" si="73"/>
        <v>0</v>
      </c>
      <c r="BE47" s="49">
        <f t="shared" si="73"/>
        <v>0</v>
      </c>
      <c r="BF47" s="49">
        <f>SUBTOTAL(9,BF45:BF46)</f>
        <v>0</v>
      </c>
      <c r="BG47" s="49">
        <f t="shared" si="73"/>
        <v>0</v>
      </c>
      <c r="BH47" s="49">
        <f t="shared" si="73"/>
        <v>0</v>
      </c>
      <c r="BI47" s="49">
        <f t="shared" si="73"/>
        <v>0</v>
      </c>
      <c r="BJ47" s="49">
        <f t="shared" si="73"/>
        <v>0</v>
      </c>
      <c r="BK47" s="49">
        <f t="shared" si="73"/>
        <v>0</v>
      </c>
      <c r="BL47" s="49">
        <f t="shared" si="73"/>
        <v>0</v>
      </c>
      <c r="BM47" s="49">
        <f t="shared" si="73"/>
        <v>0</v>
      </c>
      <c r="BN47" s="49">
        <f t="shared" si="73"/>
        <v>0</v>
      </c>
      <c r="BO47" s="49">
        <f t="shared" si="73"/>
        <v>0</v>
      </c>
      <c r="BP47" s="49">
        <f t="shared" si="73"/>
        <v>0</v>
      </c>
      <c r="BQ47" s="49">
        <f t="shared" si="73"/>
        <v>0</v>
      </c>
      <c r="BR47" s="44">
        <f>SUBTOTAL(9,BR45:BR46)</f>
        <v>135</v>
      </c>
    </row>
    <row r="48" spans="1:125">
      <c r="A48" s="215">
        <f>A45+1</f>
        <v>43448</v>
      </c>
      <c r="B48" s="16" t="s">
        <v>43</v>
      </c>
      <c r="C48" s="33">
        <v>39184.379999999997</v>
      </c>
      <c r="D48" s="34">
        <v>24061.39</v>
      </c>
      <c r="E48" s="34">
        <v>24062</v>
      </c>
      <c r="F48" s="35">
        <v>43448</v>
      </c>
      <c r="G48" s="33"/>
      <c r="H48" s="33">
        <f>IF(E48-D48&gt;0,E48-D48,0)</f>
        <v>0.61000000000058208</v>
      </c>
      <c r="I48" s="34"/>
      <c r="J48" s="34">
        <v>0</v>
      </c>
      <c r="K48" s="34">
        <v>12015.59</v>
      </c>
      <c r="L48" s="34"/>
      <c r="M48" s="36">
        <f>(+K48)*M$5</f>
        <v>258.33518499999997</v>
      </c>
      <c r="N48" s="36">
        <f>(+K48)*N$5</f>
        <v>60.077950000000001</v>
      </c>
      <c r="O48" s="36">
        <f>+K48-M48-N48+P48</f>
        <v>11697.176864999999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203</v>
      </c>
      <c r="AA48" s="34"/>
      <c r="AB48" s="34"/>
      <c r="AC48" s="34">
        <v>1163.4000000000001</v>
      </c>
      <c r="AD48" s="38" t="s">
        <v>138</v>
      </c>
      <c r="AE48" s="38">
        <v>1741</v>
      </c>
      <c r="AF48" s="34">
        <v>2951.41</v>
      </c>
      <c r="AG48" s="33">
        <f>(AF48*0.8)*0.85</f>
        <v>2006.9588000000001</v>
      </c>
      <c r="AH48" s="33">
        <f>(AF48*0.8)*0.15</f>
        <v>354.16919999999999</v>
      </c>
      <c r="AI48" s="33">
        <f>AF48*0.2</f>
        <v>590.28200000000004</v>
      </c>
      <c r="AJ48" s="34"/>
      <c r="AK48" s="33">
        <f>(C48-AF48-AJ48)/1.12</f>
        <v>32350.866071428569</v>
      </c>
      <c r="AL48" s="33">
        <f>AK48-SUM(Y48:AC48)</f>
        <v>30984.466071428567</v>
      </c>
      <c r="AM48" s="33">
        <f>+AL48*0.12</f>
        <v>3718.1359285714279</v>
      </c>
      <c r="AN48" s="33">
        <f>+AM48+AL48+AJ48</f>
        <v>34702.601999999999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" thickBot="1">
      <c r="A49" s="216"/>
      <c r="B49" s="16" t="s">
        <v>44</v>
      </c>
      <c r="C49" s="33">
        <v>11991.63</v>
      </c>
      <c r="D49" s="34">
        <v>9768.75</v>
      </c>
      <c r="E49" s="34">
        <v>9770</v>
      </c>
      <c r="F49" s="35">
        <v>43451</v>
      </c>
      <c r="G49" s="33"/>
      <c r="H49" s="33">
        <f>IF(E49-D49&gt;0,E49-D49,0)</f>
        <v>1.25</v>
      </c>
      <c r="I49" s="34"/>
      <c r="J49" s="34"/>
      <c r="K49" s="34">
        <v>1211.8800000000001</v>
      </c>
      <c r="L49" s="34"/>
      <c r="M49" s="36">
        <f>(+K49)*M$5</f>
        <v>26.055420000000002</v>
      </c>
      <c r="N49" s="36">
        <f>(+K49)*N$5</f>
        <v>6.059400000000001</v>
      </c>
      <c r="O49" s="36">
        <f>+K49-M49-N49+P49</f>
        <v>1179.7651800000001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 t="s">
        <v>138</v>
      </c>
      <c r="AE49" s="38">
        <v>1011</v>
      </c>
      <c r="AF49" s="34">
        <v>765.63</v>
      </c>
      <c r="AG49" s="33">
        <f>(AF49*0.8)*0.85</f>
        <v>520.62840000000006</v>
      </c>
      <c r="AH49" s="33">
        <f>(AF49*0.8)*0.15</f>
        <v>91.875600000000006</v>
      </c>
      <c r="AI49" s="33">
        <f>AF49*0.2</f>
        <v>153.126</v>
      </c>
      <c r="AJ49" s="34"/>
      <c r="AK49" s="33">
        <f>(C49-AF49-AJ49)/1.12</f>
        <v>10023.214285714284</v>
      </c>
      <c r="AL49" s="33">
        <f>AK49-SUM(Y49:AC49)</f>
        <v>10023.214285714284</v>
      </c>
      <c r="AM49" s="33">
        <f>+AL49*0.12</f>
        <v>1202.785714285714</v>
      </c>
      <c r="AN49" s="33">
        <f>+AM49+AL49+AJ49</f>
        <v>11225.999999999998</v>
      </c>
      <c r="AO49" s="39"/>
      <c r="AP49" s="40">
        <v>155</v>
      </c>
      <c r="AQ49" s="40">
        <v>255</v>
      </c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410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410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" thickBot="1">
      <c r="A50" s="42"/>
      <c r="B50" s="43"/>
      <c r="C50" s="44">
        <f>SUBTOTAL(9,C48:C49)</f>
        <v>51176.009999999995</v>
      </c>
      <c r="D50" s="45">
        <f>SUBTOTAL(9,D48:D49)</f>
        <v>33830.14</v>
      </c>
      <c r="E50" s="45">
        <f>SUBTOTAL(9,E48:E49)</f>
        <v>33832</v>
      </c>
      <c r="F50" s="47"/>
      <c r="G50" s="45">
        <f t="shared" ref="G50:P50" si="74">SUBTOTAL(9,G48:G49)</f>
        <v>0</v>
      </c>
      <c r="H50" s="45">
        <f t="shared" si="74"/>
        <v>1.8600000000005821</v>
      </c>
      <c r="I50" s="160">
        <f t="shared" si="74"/>
        <v>0</v>
      </c>
      <c r="J50" s="160">
        <f t="shared" si="74"/>
        <v>0</v>
      </c>
      <c r="K50" s="160">
        <f t="shared" si="74"/>
        <v>13227.470000000001</v>
      </c>
      <c r="L50" s="160">
        <f t="shared" si="74"/>
        <v>0</v>
      </c>
      <c r="M50" s="46">
        <f t="shared" si="74"/>
        <v>284.39060499999999</v>
      </c>
      <c r="N50" s="46">
        <f t="shared" si="74"/>
        <v>66.137349999999998</v>
      </c>
      <c r="O50" s="46">
        <f t="shared" si="74"/>
        <v>12876.942045</v>
      </c>
      <c r="P50" s="46">
        <f t="shared" si="74"/>
        <v>0</v>
      </c>
      <c r="Q50" s="47"/>
      <c r="R50" s="45">
        <f t="shared" ref="R50:BQ50" si="75">SUBTOTAL(9,R48:R49)</f>
        <v>0</v>
      </c>
      <c r="S50" s="45">
        <f t="shared" si="75"/>
        <v>0</v>
      </c>
      <c r="T50" s="46">
        <f t="shared" si="75"/>
        <v>0</v>
      </c>
      <c r="U50" s="46">
        <f t="shared" si="75"/>
        <v>0</v>
      </c>
      <c r="V50" s="46">
        <f t="shared" si="75"/>
        <v>0</v>
      </c>
      <c r="W50" s="46">
        <f t="shared" si="75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75"/>
        <v>2527.5871999999999</v>
      </c>
      <c r="AH50" s="44">
        <f t="shared" si="75"/>
        <v>446.04480000000001</v>
      </c>
      <c r="AI50" s="44">
        <f t="shared" si="75"/>
        <v>743.40800000000002</v>
      </c>
      <c r="AJ50" s="45">
        <f t="shared" si="75"/>
        <v>0</v>
      </c>
      <c r="AK50" s="44">
        <f t="shared" si="75"/>
        <v>42374.080357142855</v>
      </c>
      <c r="AL50" s="44">
        <f t="shared" si="75"/>
        <v>41007.680357142854</v>
      </c>
      <c r="AM50" s="44">
        <f t="shared" si="75"/>
        <v>4920.9216428571417</v>
      </c>
      <c r="AN50" s="44">
        <f t="shared" si="71"/>
        <v>45928.601999999999</v>
      </c>
      <c r="AO50" s="49">
        <f t="shared" si="75"/>
        <v>0</v>
      </c>
      <c r="AP50" s="49">
        <f t="shared" si="75"/>
        <v>155</v>
      </c>
      <c r="AQ50" s="49">
        <f t="shared" si="75"/>
        <v>255</v>
      </c>
      <c r="AR50" s="49">
        <f t="shared" si="75"/>
        <v>0</v>
      </c>
      <c r="AS50" s="49">
        <f t="shared" si="75"/>
        <v>0</v>
      </c>
      <c r="AT50" s="49">
        <f t="shared" si="75"/>
        <v>0</v>
      </c>
      <c r="AU50" s="49">
        <f>SUBTOTAL(9,AU48:AU49)</f>
        <v>0</v>
      </c>
      <c r="AV50" s="49">
        <f t="shared" si="75"/>
        <v>0</v>
      </c>
      <c r="AW50" s="49">
        <f t="shared" si="75"/>
        <v>0</v>
      </c>
      <c r="AX50" s="49">
        <f t="shared" si="75"/>
        <v>0</v>
      </c>
      <c r="AY50" s="49">
        <f t="shared" si="75"/>
        <v>0</v>
      </c>
      <c r="AZ50" s="44">
        <f t="shared" si="75"/>
        <v>410</v>
      </c>
      <c r="BA50" s="48">
        <f t="shared" si="75"/>
        <v>0</v>
      </c>
      <c r="BB50" s="48">
        <f t="shared" si="75"/>
        <v>0</v>
      </c>
      <c r="BC50" s="44">
        <f t="shared" si="75"/>
        <v>0</v>
      </c>
      <c r="BD50" s="44">
        <f t="shared" si="75"/>
        <v>0</v>
      </c>
      <c r="BE50" s="49">
        <f t="shared" si="75"/>
        <v>0</v>
      </c>
      <c r="BF50" s="49">
        <f>SUBTOTAL(9,BF48:BF49)</f>
        <v>0</v>
      </c>
      <c r="BG50" s="49">
        <f t="shared" si="75"/>
        <v>0</v>
      </c>
      <c r="BH50" s="49">
        <f t="shared" si="75"/>
        <v>0</v>
      </c>
      <c r="BI50" s="49">
        <f t="shared" si="75"/>
        <v>0</v>
      </c>
      <c r="BJ50" s="49">
        <f t="shared" si="75"/>
        <v>0</v>
      </c>
      <c r="BK50" s="49">
        <f t="shared" si="75"/>
        <v>0</v>
      </c>
      <c r="BL50" s="49">
        <f t="shared" si="75"/>
        <v>0</v>
      </c>
      <c r="BM50" s="49">
        <f t="shared" si="75"/>
        <v>0</v>
      </c>
      <c r="BN50" s="49">
        <f t="shared" si="75"/>
        <v>0</v>
      </c>
      <c r="BO50" s="49">
        <f t="shared" si="75"/>
        <v>0</v>
      </c>
      <c r="BP50" s="49">
        <f t="shared" si="75"/>
        <v>0</v>
      </c>
      <c r="BQ50" s="49">
        <f t="shared" si="75"/>
        <v>0</v>
      </c>
      <c r="BR50" s="44">
        <f>SUBTOTAL(9,BR48:BR49)</f>
        <v>410</v>
      </c>
    </row>
    <row r="51" spans="1:97">
      <c r="A51" s="215">
        <f>+A48+1</f>
        <v>43449</v>
      </c>
      <c r="B51" s="16" t="s">
        <v>43</v>
      </c>
      <c r="C51" s="33" t="s">
        <v>137</v>
      </c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" si="76">AK51-SUM(Y51:AC51)</f>
        <v>0</v>
      </c>
      <c r="AM51" s="33">
        <f t="shared" ref="AM51" si="77">+AL51*0.12</f>
        <v>0</v>
      </c>
      <c r="AN51" s="33">
        <f t="shared" ref="AN51" si="78">+AM51+AL51+AJ51</f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" thickBot="1">
      <c r="A52" s="216"/>
      <c r="B52" s="16" t="s">
        <v>44</v>
      </c>
      <c r="C52" s="33">
        <v>5460.75</v>
      </c>
      <c r="D52" s="34">
        <v>2701.43</v>
      </c>
      <c r="E52" s="34">
        <v>2701</v>
      </c>
      <c r="F52" s="35">
        <v>43451</v>
      </c>
      <c r="G52" s="33">
        <f>IF(E52-D52&lt;0,E52-D52,0)*-1</f>
        <v>0.42999999999983629</v>
      </c>
      <c r="H52" s="33">
        <f>IF(E52-D52&gt;0,E52-D52,0)</f>
        <v>0</v>
      </c>
      <c r="I52" s="34"/>
      <c r="J52" s="34"/>
      <c r="K52" s="34">
        <v>577.32000000000005</v>
      </c>
      <c r="L52" s="34"/>
      <c r="M52" s="36">
        <f>(+K52)*M$5</f>
        <v>12.412380000000001</v>
      </c>
      <c r="N52" s="36">
        <f>(+K52)*N$5</f>
        <v>2.8866000000000005</v>
      </c>
      <c r="O52" s="36">
        <f>+K52-M52-N52+P52</f>
        <v>562.02102000000002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/>
      <c r="AF52" s="34">
        <v>268.75</v>
      </c>
      <c r="AG52" s="33">
        <f>(AF52*0.8)*0.85</f>
        <v>182.75</v>
      </c>
      <c r="AH52" s="33">
        <f>(AF52*0.8)*0.15</f>
        <v>32.25</v>
      </c>
      <c r="AI52" s="33">
        <f>AF52*0.2</f>
        <v>53.75</v>
      </c>
      <c r="AJ52" s="34"/>
      <c r="AK52" s="33">
        <f>(C52-AF52-AJ52)/1.12</f>
        <v>4635.7142857142853</v>
      </c>
      <c r="AL52" s="33">
        <f>AK52-SUM(Y52:AC52)</f>
        <v>4635.7142857142853</v>
      </c>
      <c r="AM52" s="33">
        <f>+AL52*0.12</f>
        <v>556.28571428571422</v>
      </c>
      <c r="AN52" s="33">
        <f t="shared" ref="AN52" si="79">+AM52+AL52+AJ52</f>
        <v>5192</v>
      </c>
      <c r="AO52" s="39"/>
      <c r="AP52" s="40"/>
      <c r="AQ52" s="40">
        <v>545</v>
      </c>
      <c r="AR52" s="40">
        <v>285</v>
      </c>
      <c r="AS52" s="40"/>
      <c r="AT52" s="40"/>
      <c r="AU52" s="40"/>
      <c r="AV52" s="40"/>
      <c r="AW52" s="40"/>
      <c r="AX52" s="40"/>
      <c r="AY52" s="40"/>
      <c r="AZ52" s="33">
        <f>SUM(AO52:AY52)</f>
        <v>830</v>
      </c>
      <c r="BA52" s="38"/>
      <c r="BB52" s="38"/>
      <c r="BC52" s="33"/>
      <c r="BD52" s="33"/>
      <c r="BE52" s="39"/>
      <c r="BF52" s="39"/>
      <c r="BG52" s="39">
        <v>215</v>
      </c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830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" thickBot="1">
      <c r="A53" s="42"/>
      <c r="B53" s="43"/>
      <c r="C53" s="44">
        <f>SUBTOTAL(9,C51:C52)</f>
        <v>5460.75</v>
      </c>
      <c r="D53" s="45">
        <f>SUBTOTAL(9,D51:D52)</f>
        <v>2701.43</v>
      </c>
      <c r="E53" s="45">
        <f>SUBTOTAL(9,E51:E52)</f>
        <v>2701</v>
      </c>
      <c r="F53" s="47"/>
      <c r="G53" s="45">
        <f t="shared" ref="G53:P53" si="80">SUBTOTAL(9,G51:G52)</f>
        <v>0.42999999999983629</v>
      </c>
      <c r="H53" s="45">
        <f t="shared" si="80"/>
        <v>0</v>
      </c>
      <c r="I53" s="160">
        <f t="shared" si="80"/>
        <v>0</v>
      </c>
      <c r="J53" s="160">
        <f t="shared" si="80"/>
        <v>0</v>
      </c>
      <c r="K53" s="160">
        <f t="shared" si="80"/>
        <v>577.32000000000005</v>
      </c>
      <c r="L53" s="160">
        <f t="shared" si="80"/>
        <v>0</v>
      </c>
      <c r="M53" s="46">
        <f t="shared" si="80"/>
        <v>12.412380000000001</v>
      </c>
      <c r="N53" s="46">
        <f t="shared" si="80"/>
        <v>2.8866000000000005</v>
      </c>
      <c r="O53" s="46">
        <f t="shared" si="80"/>
        <v>562.02102000000002</v>
      </c>
      <c r="P53" s="46">
        <f t="shared" si="80"/>
        <v>0</v>
      </c>
      <c r="Q53" s="47"/>
      <c r="R53" s="45">
        <f t="shared" ref="R53:BQ53" si="81">SUBTOTAL(9,R51:R52)</f>
        <v>0</v>
      </c>
      <c r="S53" s="45">
        <f t="shared" si="81"/>
        <v>0</v>
      </c>
      <c r="T53" s="46">
        <f t="shared" si="81"/>
        <v>0</v>
      </c>
      <c r="U53" s="46">
        <f t="shared" si="81"/>
        <v>0</v>
      </c>
      <c r="V53" s="46">
        <f t="shared" si="81"/>
        <v>0</v>
      </c>
      <c r="W53" s="46">
        <f t="shared" si="81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81"/>
        <v>182.75</v>
      </c>
      <c r="AH53" s="44">
        <f t="shared" si="81"/>
        <v>32.25</v>
      </c>
      <c r="AI53" s="44">
        <f t="shared" si="81"/>
        <v>53.75</v>
      </c>
      <c r="AJ53" s="45">
        <f t="shared" si="81"/>
        <v>0</v>
      </c>
      <c r="AK53" s="44">
        <f t="shared" si="81"/>
        <v>4635.7142857142853</v>
      </c>
      <c r="AL53" s="44">
        <f t="shared" si="81"/>
        <v>4635.7142857142853</v>
      </c>
      <c r="AM53" s="44">
        <f t="shared" si="81"/>
        <v>556.28571428571422</v>
      </c>
      <c r="AN53" s="44">
        <f t="shared" si="71"/>
        <v>5192</v>
      </c>
      <c r="AO53" s="49">
        <f t="shared" si="81"/>
        <v>0</v>
      </c>
      <c r="AP53" s="49">
        <f t="shared" si="81"/>
        <v>0</v>
      </c>
      <c r="AQ53" s="49">
        <f t="shared" si="81"/>
        <v>545</v>
      </c>
      <c r="AR53" s="49">
        <f t="shared" si="81"/>
        <v>285</v>
      </c>
      <c r="AS53" s="49">
        <f t="shared" si="81"/>
        <v>0</v>
      </c>
      <c r="AT53" s="49">
        <f t="shared" si="81"/>
        <v>0</v>
      </c>
      <c r="AU53" s="49">
        <f>SUBTOTAL(9,AU51:AU52)</f>
        <v>0</v>
      </c>
      <c r="AV53" s="49">
        <f t="shared" si="81"/>
        <v>0</v>
      </c>
      <c r="AW53" s="49">
        <f t="shared" si="81"/>
        <v>0</v>
      </c>
      <c r="AX53" s="49">
        <f t="shared" si="81"/>
        <v>0</v>
      </c>
      <c r="AY53" s="49">
        <f t="shared" si="81"/>
        <v>0</v>
      </c>
      <c r="AZ53" s="44">
        <f t="shared" si="81"/>
        <v>830</v>
      </c>
      <c r="BA53" s="48">
        <f t="shared" si="81"/>
        <v>0</v>
      </c>
      <c r="BB53" s="48">
        <f t="shared" si="81"/>
        <v>0</v>
      </c>
      <c r="BC53" s="44">
        <f t="shared" si="81"/>
        <v>0</v>
      </c>
      <c r="BD53" s="44">
        <f t="shared" si="81"/>
        <v>0</v>
      </c>
      <c r="BE53" s="49">
        <f t="shared" si="81"/>
        <v>0</v>
      </c>
      <c r="BF53" s="49">
        <f>SUBTOTAL(9,BF51:BF52)</f>
        <v>0</v>
      </c>
      <c r="BG53" s="49">
        <f t="shared" si="81"/>
        <v>215</v>
      </c>
      <c r="BH53" s="49">
        <f t="shared" si="81"/>
        <v>0</v>
      </c>
      <c r="BI53" s="49">
        <f t="shared" si="81"/>
        <v>0</v>
      </c>
      <c r="BJ53" s="49">
        <f t="shared" si="81"/>
        <v>0</v>
      </c>
      <c r="BK53" s="49">
        <f t="shared" si="81"/>
        <v>0</v>
      </c>
      <c r="BL53" s="49">
        <f t="shared" si="81"/>
        <v>0</v>
      </c>
      <c r="BM53" s="49">
        <f t="shared" si="81"/>
        <v>0</v>
      </c>
      <c r="BN53" s="49">
        <f t="shared" si="81"/>
        <v>0</v>
      </c>
      <c r="BO53" s="49">
        <f t="shared" si="81"/>
        <v>0</v>
      </c>
      <c r="BP53" s="49">
        <f t="shared" si="81"/>
        <v>0</v>
      </c>
      <c r="BQ53" s="49">
        <f t="shared" si="81"/>
        <v>0</v>
      </c>
      <c r="BR53" s="44">
        <f>SUBTOTAL(9,BR51:BR52)</f>
        <v>830</v>
      </c>
    </row>
    <row r="54" spans="1:97">
      <c r="A54" s="215">
        <f>+A51+1</f>
        <v>43450</v>
      </c>
      <c r="B54" s="16" t="s">
        <v>43</v>
      </c>
      <c r="C54" s="33" t="s">
        <v>136</v>
      </c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v>0</v>
      </c>
      <c r="AL54" s="33">
        <f t="shared" ref="AL54:AL55" si="82">AK54-SUM(Y54:AC54)</f>
        <v>0</v>
      </c>
      <c r="AM54" s="33">
        <f t="shared" ref="AM54:AM55" si="83">+AL54*0.12</f>
        <v>0</v>
      </c>
      <c r="AN54" s="33">
        <f t="shared" si="71"/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" thickBot="1">
      <c r="A55" s="216"/>
      <c r="B55" s="16" t="s">
        <v>44</v>
      </c>
      <c r="C55" s="33"/>
      <c r="D55" s="34"/>
      <c r="E55" s="34"/>
      <c r="F55" s="35"/>
      <c r="G55" s="33">
        <f>IF(E55-D55&lt;0,E55-D55,0)*-1</f>
        <v>0</v>
      </c>
      <c r="H55" s="33">
        <f>IF(E55-D55&gt;0,E55-D55,0)</f>
        <v>0</v>
      </c>
      <c r="I55" s="34"/>
      <c r="J55" s="34"/>
      <c r="K55" s="34"/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/>
      <c r="AG55" s="33">
        <f>(AF55*0.8)*0.85</f>
        <v>0</v>
      </c>
      <c r="AH55" s="33">
        <f>(AF55*0.8)*0.15</f>
        <v>0</v>
      </c>
      <c r="AI55" s="33">
        <f>AF55*0.2</f>
        <v>0</v>
      </c>
      <c r="AJ55" s="34"/>
      <c r="AK55" s="33">
        <f t="shared" ref="AK55" si="84">(C55-AF55-AJ55)/1.12</f>
        <v>0</v>
      </c>
      <c r="AL55" s="33">
        <f t="shared" si="82"/>
        <v>0</v>
      </c>
      <c r="AM55" s="33">
        <f t="shared" si="83"/>
        <v>0</v>
      </c>
      <c r="AN55" s="33">
        <f t="shared" si="71"/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" thickBot="1">
      <c r="A56" s="42"/>
      <c r="B56" s="43"/>
      <c r="C56" s="44">
        <f>SUBTOTAL(9,C54:C55)</f>
        <v>0</v>
      </c>
      <c r="D56" s="45">
        <f>SUBTOTAL(9,D54:D55)</f>
        <v>0</v>
      </c>
      <c r="E56" s="45">
        <f>SUBTOTAL(9,E54:E55)</f>
        <v>0</v>
      </c>
      <c r="F56" s="47"/>
      <c r="G56" s="45">
        <f t="shared" ref="G56:P56" si="85">SUBTOTAL(9,G54:G55)</f>
        <v>0</v>
      </c>
      <c r="H56" s="45">
        <f t="shared" si="85"/>
        <v>0</v>
      </c>
      <c r="I56" s="160">
        <f t="shared" si="85"/>
        <v>0</v>
      </c>
      <c r="J56" s="160">
        <f t="shared" si="85"/>
        <v>0</v>
      </c>
      <c r="K56" s="160">
        <f t="shared" si="85"/>
        <v>0</v>
      </c>
      <c r="L56" s="160">
        <f t="shared" si="85"/>
        <v>0</v>
      </c>
      <c r="M56" s="46">
        <f t="shared" si="85"/>
        <v>0</v>
      </c>
      <c r="N56" s="46">
        <f t="shared" si="85"/>
        <v>0</v>
      </c>
      <c r="O56" s="46">
        <f t="shared" si="85"/>
        <v>0</v>
      </c>
      <c r="P56" s="46">
        <f t="shared" si="85"/>
        <v>0</v>
      </c>
      <c r="Q56" s="47"/>
      <c r="R56" s="45">
        <f t="shared" ref="R56:BQ56" si="86">SUBTOTAL(9,R54:R55)</f>
        <v>0</v>
      </c>
      <c r="S56" s="45">
        <f t="shared" si="86"/>
        <v>0</v>
      </c>
      <c r="T56" s="46">
        <f t="shared" si="86"/>
        <v>0</v>
      </c>
      <c r="U56" s="46">
        <f t="shared" si="86"/>
        <v>0</v>
      </c>
      <c r="V56" s="46">
        <f t="shared" si="86"/>
        <v>0</v>
      </c>
      <c r="W56" s="46">
        <f t="shared" si="86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86"/>
        <v>0</v>
      </c>
      <c r="AH56" s="44">
        <f t="shared" si="86"/>
        <v>0</v>
      </c>
      <c r="AI56" s="44">
        <f t="shared" si="86"/>
        <v>0</v>
      </c>
      <c r="AJ56" s="45">
        <f t="shared" si="86"/>
        <v>0</v>
      </c>
      <c r="AK56" s="44">
        <f t="shared" si="86"/>
        <v>0</v>
      </c>
      <c r="AL56" s="44">
        <f t="shared" si="86"/>
        <v>0</v>
      </c>
      <c r="AM56" s="44">
        <f t="shared" si="86"/>
        <v>0</v>
      </c>
      <c r="AN56" s="44">
        <f t="shared" si="71"/>
        <v>0</v>
      </c>
      <c r="AO56" s="49">
        <f t="shared" si="86"/>
        <v>0</v>
      </c>
      <c r="AP56" s="49">
        <f t="shared" si="86"/>
        <v>0</v>
      </c>
      <c r="AQ56" s="49">
        <f t="shared" si="86"/>
        <v>0</v>
      </c>
      <c r="AR56" s="49">
        <f t="shared" si="86"/>
        <v>0</v>
      </c>
      <c r="AS56" s="49">
        <f t="shared" si="86"/>
        <v>0</v>
      </c>
      <c r="AT56" s="49">
        <f t="shared" si="86"/>
        <v>0</v>
      </c>
      <c r="AU56" s="49">
        <f>SUBTOTAL(9,AU54:AU55)</f>
        <v>0</v>
      </c>
      <c r="AV56" s="49">
        <f t="shared" si="86"/>
        <v>0</v>
      </c>
      <c r="AW56" s="49">
        <f t="shared" si="86"/>
        <v>0</v>
      </c>
      <c r="AX56" s="49">
        <f t="shared" si="86"/>
        <v>0</v>
      </c>
      <c r="AY56" s="49">
        <f t="shared" si="86"/>
        <v>0</v>
      </c>
      <c r="AZ56" s="44">
        <f t="shared" si="86"/>
        <v>0</v>
      </c>
      <c r="BA56" s="48">
        <f t="shared" si="86"/>
        <v>0</v>
      </c>
      <c r="BB56" s="48">
        <f t="shared" si="86"/>
        <v>0</v>
      </c>
      <c r="BC56" s="44">
        <f t="shared" si="86"/>
        <v>0</v>
      </c>
      <c r="BD56" s="44">
        <f t="shared" si="86"/>
        <v>0</v>
      </c>
      <c r="BE56" s="49">
        <f t="shared" si="86"/>
        <v>0</v>
      </c>
      <c r="BF56" s="49">
        <f>SUBTOTAL(9,BF54:BF55)</f>
        <v>0</v>
      </c>
      <c r="BG56" s="49">
        <f t="shared" si="86"/>
        <v>0</v>
      </c>
      <c r="BH56" s="49">
        <f t="shared" si="86"/>
        <v>0</v>
      </c>
      <c r="BI56" s="49">
        <f t="shared" si="86"/>
        <v>0</v>
      </c>
      <c r="BJ56" s="49">
        <f t="shared" si="86"/>
        <v>0</v>
      </c>
      <c r="BK56" s="49">
        <f t="shared" si="86"/>
        <v>0</v>
      </c>
      <c r="BL56" s="49">
        <f t="shared" si="86"/>
        <v>0</v>
      </c>
      <c r="BM56" s="49">
        <f t="shared" si="86"/>
        <v>0</v>
      </c>
      <c r="BN56" s="49">
        <f t="shared" si="86"/>
        <v>0</v>
      </c>
      <c r="BO56" s="49">
        <f t="shared" si="86"/>
        <v>0</v>
      </c>
      <c r="BP56" s="49">
        <f t="shared" si="86"/>
        <v>0</v>
      </c>
      <c r="BQ56" s="49">
        <f t="shared" si="86"/>
        <v>0</v>
      </c>
      <c r="BR56" s="44">
        <f>SUBTOTAL(9,BR54:BR55)</f>
        <v>0</v>
      </c>
    </row>
    <row r="57" spans="1:97">
      <c r="A57" s="215">
        <f>+A54+1</f>
        <v>43451</v>
      </c>
      <c r="B57" s="16" t="s">
        <v>43</v>
      </c>
      <c r="C57" s="33">
        <v>28943.919999999998</v>
      </c>
      <c r="D57" s="34">
        <v>17479.37</v>
      </c>
      <c r="E57" s="34">
        <v>17480</v>
      </c>
      <c r="F57" s="35">
        <v>43451</v>
      </c>
      <c r="G57" s="33"/>
      <c r="H57" s="33">
        <f>IF(E57-D57&gt;0,E57-D57,0)</f>
        <v>0.63000000000101863</v>
      </c>
      <c r="I57" s="34"/>
      <c r="J57" s="34"/>
      <c r="K57" s="34">
        <v>9719.1200000000008</v>
      </c>
      <c r="L57" s="34"/>
      <c r="M57" s="36">
        <f>(+K57)*M$5</f>
        <v>208.96108000000001</v>
      </c>
      <c r="N57" s="36">
        <f>(+K57)*N$5</f>
        <v>48.595600000000005</v>
      </c>
      <c r="O57" s="36">
        <f>+K57-M57-N57+P57</f>
        <v>9461.5633200000011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v>13.25</v>
      </c>
      <c r="AA57" s="34"/>
      <c r="AB57" s="34"/>
      <c r="AC57" s="34">
        <v>532.17999999999995</v>
      </c>
      <c r="AD57" s="38" t="s">
        <v>138</v>
      </c>
      <c r="AE57" s="38">
        <v>1200</v>
      </c>
      <c r="AF57" s="34">
        <v>2093.23</v>
      </c>
      <c r="AG57" s="33">
        <f>(AF57*0.8)*0.85</f>
        <v>1423.3964000000001</v>
      </c>
      <c r="AH57" s="33">
        <f>(AF57*0.8)*0.15</f>
        <v>251.1876</v>
      </c>
      <c r="AI57" s="33">
        <f>AF57*0.2</f>
        <v>418.64600000000002</v>
      </c>
      <c r="AJ57" s="34"/>
      <c r="AK57" s="33">
        <f>(C57-AF57-AJ57)/1.12</f>
        <v>23973.830357142855</v>
      </c>
      <c r="AL57" s="33">
        <f>AK57-SUM(Y57:AC57)</f>
        <v>23428.400357142855</v>
      </c>
      <c r="AM57" s="33">
        <f>+AL57*0.12</f>
        <v>2811.4080428571424</v>
      </c>
      <c r="AN57" s="33">
        <f t="shared" si="71"/>
        <v>26239.808399999998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" thickBot="1">
      <c r="A58" s="216"/>
      <c r="B58" s="16" t="s">
        <v>44</v>
      </c>
      <c r="C58" s="167">
        <v>10393.77</v>
      </c>
      <c r="D58" s="34">
        <v>6098.26</v>
      </c>
      <c r="E58" s="34">
        <v>6100</v>
      </c>
      <c r="F58" s="35">
        <v>43452</v>
      </c>
      <c r="G58" s="33"/>
      <c r="H58" s="33">
        <f>IF(E58-D58&gt;0,E58-D58,0)</f>
        <v>1.7399999999997817</v>
      </c>
      <c r="I58" s="34"/>
      <c r="J58" s="34"/>
      <c r="K58" s="34">
        <v>3022.76</v>
      </c>
      <c r="L58" s="34"/>
      <c r="M58" s="36">
        <f>(+K58)*M$5</f>
        <v>64.989339999999999</v>
      </c>
      <c r="N58" s="36">
        <f>(+K58)*N$5</f>
        <v>15.113800000000001</v>
      </c>
      <c r="O58" s="36">
        <f>+K58-M58-N58+P58</f>
        <v>2942.6568600000001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77.75</v>
      </c>
      <c r="AA58" s="34"/>
      <c r="AB58" s="34"/>
      <c r="AC58" s="34"/>
      <c r="AD58" s="38" t="s">
        <v>138</v>
      </c>
      <c r="AE58" s="38">
        <v>1195</v>
      </c>
      <c r="AF58" s="34">
        <v>628.77</v>
      </c>
      <c r="AG58" s="33">
        <f>(AF58*0.8)*0.85</f>
        <v>427.56360000000001</v>
      </c>
      <c r="AH58" s="33">
        <f>(AF58*0.8)*0.15</f>
        <v>75.452399999999997</v>
      </c>
      <c r="AI58" s="33">
        <f>AF58*0.2</f>
        <v>125.754</v>
      </c>
      <c r="AJ58" s="34"/>
      <c r="AK58" s="33">
        <f>(C58-AF58-AJ58)/1.12</f>
        <v>8718.75</v>
      </c>
      <c r="AL58" s="33">
        <f>AK58-SUM(Y58:AC58)</f>
        <v>8641</v>
      </c>
      <c r="AM58" s="33">
        <f>+AL58*0.12</f>
        <v>1036.92</v>
      </c>
      <c r="AN58" s="33">
        <f t="shared" ref="AN58" si="87">+AM58+AL58+AJ58</f>
        <v>9677.92</v>
      </c>
      <c r="AO58" s="39">
        <v>168</v>
      </c>
      <c r="AP58" s="40">
        <v>0</v>
      </c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168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168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" thickBot="1">
      <c r="A59" s="42"/>
      <c r="B59" s="43"/>
      <c r="C59" s="44">
        <f>SUBTOTAL(9,C57:C58)</f>
        <v>39337.69</v>
      </c>
      <c r="D59" s="45">
        <f>SUBTOTAL(9,D57:D58)</f>
        <v>23577.629999999997</v>
      </c>
      <c r="E59" s="45">
        <f>SUBTOTAL(9,E57:E58)</f>
        <v>23580</v>
      </c>
      <c r="F59" s="47"/>
      <c r="G59" s="45">
        <f t="shared" ref="G59:P59" si="88">SUBTOTAL(9,G57:G58)</f>
        <v>0</v>
      </c>
      <c r="H59" s="45">
        <f t="shared" si="88"/>
        <v>2.3700000000008004</v>
      </c>
      <c r="I59" s="160">
        <f t="shared" si="88"/>
        <v>0</v>
      </c>
      <c r="J59" s="160">
        <f t="shared" si="88"/>
        <v>0</v>
      </c>
      <c r="K59" s="160">
        <f t="shared" si="88"/>
        <v>12741.880000000001</v>
      </c>
      <c r="L59" s="160">
        <f t="shared" si="88"/>
        <v>0</v>
      </c>
      <c r="M59" s="46">
        <f t="shared" si="88"/>
        <v>273.95042000000001</v>
      </c>
      <c r="N59" s="46">
        <f t="shared" si="88"/>
        <v>63.709400000000002</v>
      </c>
      <c r="O59" s="46">
        <f t="shared" si="88"/>
        <v>12404.22018</v>
      </c>
      <c r="P59" s="46">
        <f t="shared" si="88"/>
        <v>0</v>
      </c>
      <c r="Q59" s="47"/>
      <c r="R59" s="45">
        <f t="shared" ref="R59:BQ59" si="89">SUBTOTAL(9,R57:R58)</f>
        <v>0</v>
      </c>
      <c r="S59" s="45">
        <f t="shared" si="89"/>
        <v>0</v>
      </c>
      <c r="T59" s="46">
        <f t="shared" si="89"/>
        <v>0</v>
      </c>
      <c r="U59" s="46">
        <f t="shared" si="89"/>
        <v>0</v>
      </c>
      <c r="V59" s="46">
        <f t="shared" si="89"/>
        <v>0</v>
      </c>
      <c r="W59" s="46">
        <f t="shared" si="89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89"/>
        <v>1850.96</v>
      </c>
      <c r="AH59" s="44">
        <f t="shared" si="89"/>
        <v>326.64</v>
      </c>
      <c r="AI59" s="44">
        <f t="shared" si="89"/>
        <v>544.4</v>
      </c>
      <c r="AJ59" s="45">
        <f t="shared" si="89"/>
        <v>0</v>
      </c>
      <c r="AK59" s="44">
        <f t="shared" si="89"/>
        <v>32692.580357142855</v>
      </c>
      <c r="AL59" s="44">
        <f t="shared" si="89"/>
        <v>32069.400357142855</v>
      </c>
      <c r="AM59" s="44">
        <f t="shared" si="89"/>
        <v>3848.3280428571425</v>
      </c>
      <c r="AN59" s="44">
        <f t="shared" si="71"/>
        <v>35917.7284</v>
      </c>
      <c r="AO59" s="49">
        <f t="shared" si="89"/>
        <v>168</v>
      </c>
      <c r="AP59" s="49">
        <f t="shared" si="89"/>
        <v>0</v>
      </c>
      <c r="AQ59" s="49">
        <f t="shared" si="89"/>
        <v>0</v>
      </c>
      <c r="AR59" s="49">
        <f t="shared" si="89"/>
        <v>0</v>
      </c>
      <c r="AS59" s="49">
        <f t="shared" si="89"/>
        <v>0</v>
      </c>
      <c r="AT59" s="49">
        <f t="shared" si="89"/>
        <v>0</v>
      </c>
      <c r="AU59" s="49">
        <f>SUBTOTAL(9,AU57:AU58)</f>
        <v>0</v>
      </c>
      <c r="AV59" s="49">
        <f t="shared" si="89"/>
        <v>0</v>
      </c>
      <c r="AW59" s="49">
        <f t="shared" si="89"/>
        <v>0</v>
      </c>
      <c r="AX59" s="49">
        <f t="shared" si="89"/>
        <v>0</v>
      </c>
      <c r="AY59" s="49">
        <f t="shared" si="89"/>
        <v>0</v>
      </c>
      <c r="AZ59" s="44">
        <f t="shared" si="89"/>
        <v>168</v>
      </c>
      <c r="BA59" s="48">
        <f t="shared" si="89"/>
        <v>0</v>
      </c>
      <c r="BB59" s="48">
        <f t="shared" si="89"/>
        <v>0</v>
      </c>
      <c r="BC59" s="44">
        <f t="shared" si="89"/>
        <v>0</v>
      </c>
      <c r="BD59" s="44">
        <f t="shared" si="89"/>
        <v>0</v>
      </c>
      <c r="BE59" s="49">
        <f t="shared" si="89"/>
        <v>0</v>
      </c>
      <c r="BF59" s="49">
        <f>SUBTOTAL(9,BF57:BF58)</f>
        <v>0</v>
      </c>
      <c r="BG59" s="49">
        <f t="shared" si="89"/>
        <v>0</v>
      </c>
      <c r="BH59" s="49">
        <f t="shared" si="89"/>
        <v>0</v>
      </c>
      <c r="BI59" s="49">
        <f t="shared" si="89"/>
        <v>0</v>
      </c>
      <c r="BJ59" s="49">
        <f t="shared" si="89"/>
        <v>0</v>
      </c>
      <c r="BK59" s="49">
        <f t="shared" si="89"/>
        <v>0</v>
      </c>
      <c r="BL59" s="49">
        <f t="shared" si="89"/>
        <v>0</v>
      </c>
      <c r="BM59" s="49">
        <f t="shared" si="89"/>
        <v>0</v>
      </c>
      <c r="BN59" s="49">
        <f t="shared" si="89"/>
        <v>0</v>
      </c>
      <c r="BO59" s="49">
        <f t="shared" si="89"/>
        <v>0</v>
      </c>
      <c r="BP59" s="49">
        <f t="shared" si="89"/>
        <v>0</v>
      </c>
      <c r="BQ59" s="49">
        <f t="shared" si="89"/>
        <v>0</v>
      </c>
      <c r="BR59" s="44">
        <f>SUBTOTAL(9,BR57:BR58)</f>
        <v>168</v>
      </c>
    </row>
    <row r="60" spans="1:97">
      <c r="A60" s="215">
        <f>A57+1</f>
        <v>43452</v>
      </c>
      <c r="B60" s="16" t="s">
        <v>43</v>
      </c>
      <c r="C60" s="33">
        <v>30677.119999999999</v>
      </c>
      <c r="D60" s="34">
        <v>23713.759999999998</v>
      </c>
      <c r="E60" s="34">
        <v>23718</v>
      </c>
      <c r="F60" s="35">
        <v>43452</v>
      </c>
      <c r="G60" s="33"/>
      <c r="H60" s="33">
        <f>IF(E60-D60&gt;0,E60-D60,0)</f>
        <v>4.2400000000016007</v>
      </c>
      <c r="I60" s="34"/>
      <c r="J60" s="34"/>
      <c r="K60" s="34">
        <v>3349.14</v>
      </c>
      <c r="L60" s="34"/>
      <c r="M60" s="36">
        <f>(+K60)*M$5</f>
        <v>72.006509999999992</v>
      </c>
      <c r="N60" s="36">
        <f>(+K60)*N$5</f>
        <v>16.745699999999999</v>
      </c>
      <c r="O60" s="36">
        <f>+K60-M60-N60+P60</f>
        <v>3260.3877899999998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v>13.25</v>
      </c>
      <c r="AA60" s="34"/>
      <c r="AB60" s="34"/>
      <c r="AC60" s="34">
        <v>166.97</v>
      </c>
      <c r="AD60" s="38" t="s">
        <v>138</v>
      </c>
      <c r="AE60" s="38">
        <v>3434</v>
      </c>
      <c r="AF60" s="34">
        <v>1668.3</v>
      </c>
      <c r="AG60" s="33">
        <f>(AF60*0.8)*0.85</f>
        <v>1134.444</v>
      </c>
      <c r="AH60" s="33">
        <f>(AF60*0.8)*0.15</f>
        <v>200.196</v>
      </c>
      <c r="AI60" s="33">
        <f>AF60*0.2</f>
        <v>333.66</v>
      </c>
      <c r="AJ60" s="34"/>
      <c r="AK60" s="33">
        <f>(C60-AF60-AJ60)/1.12</f>
        <v>25900.732142857141</v>
      </c>
      <c r="AL60" s="33">
        <f>AK60-SUM(Y60:AC60)</f>
        <v>25720.51214285714</v>
      </c>
      <c r="AM60" s="33">
        <f>+AL60*0.12</f>
        <v>3086.4614571428565</v>
      </c>
      <c r="AN60" s="33">
        <f t="shared" ref="AN60:AN61" si="90">+AM60+AL60+AJ60</f>
        <v>28806.973599999998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" thickBot="1">
      <c r="A61" s="216"/>
      <c r="B61" s="16" t="s">
        <v>44</v>
      </c>
      <c r="C61" s="33">
        <v>28676.36</v>
      </c>
      <c r="D61" s="34">
        <v>19480.669999999998</v>
      </c>
      <c r="E61" s="34">
        <v>19489</v>
      </c>
      <c r="F61" s="35">
        <v>43453</v>
      </c>
      <c r="G61" s="33"/>
      <c r="H61" s="33">
        <f>IF(E61-D61&gt;0,E61-D61,0)</f>
        <v>8.3300000000017462</v>
      </c>
      <c r="I61" s="34"/>
      <c r="J61" s="34"/>
      <c r="K61" s="34">
        <v>5190.4399999999996</v>
      </c>
      <c r="L61" s="34"/>
      <c r="M61" s="36">
        <f>(+K61)*M$5</f>
        <v>111.59445999999998</v>
      </c>
      <c r="N61" s="36">
        <f>(+K61)*N$5</f>
        <v>25.952199999999998</v>
      </c>
      <c r="O61" s="36">
        <f>+K61-M61-N61+P61</f>
        <v>5052.8933399999996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88</v>
      </c>
      <c r="AA61" s="34"/>
      <c r="AB61" s="34"/>
      <c r="AC61" s="34">
        <v>81.25</v>
      </c>
      <c r="AD61" s="38" t="s">
        <v>138</v>
      </c>
      <c r="AE61" s="38">
        <v>3836</v>
      </c>
      <c r="AF61" s="34">
        <v>2004.11</v>
      </c>
      <c r="AG61" s="33">
        <f>(AF61*0.8)*0.85</f>
        <v>1362.7947999999999</v>
      </c>
      <c r="AH61" s="33">
        <f>(AF61*0.8)*0.15</f>
        <v>240.4932</v>
      </c>
      <c r="AI61" s="33">
        <f>AF61*0.2</f>
        <v>400.822</v>
      </c>
      <c r="AJ61" s="34"/>
      <c r="AK61" s="33">
        <f>(C61-AF61-AJ61)/1.12</f>
        <v>23814.508928571428</v>
      </c>
      <c r="AL61" s="33">
        <f>AK61-SUM(Y61:AC61)</f>
        <v>23645.258928571428</v>
      </c>
      <c r="AM61" s="33">
        <f>+AL61*0.12</f>
        <v>2837.4310714285712</v>
      </c>
      <c r="AN61" s="33">
        <f t="shared" si="90"/>
        <v>26482.69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" thickBot="1">
      <c r="A62" s="42"/>
      <c r="B62" s="43"/>
      <c r="C62" s="44">
        <f>SUBTOTAL(9,C60:C61)</f>
        <v>59353.479999999996</v>
      </c>
      <c r="D62" s="45">
        <f>SUBTOTAL(9,D60:D61)</f>
        <v>43194.429999999993</v>
      </c>
      <c r="E62" s="45">
        <f>SUBTOTAL(9,E60:E61)</f>
        <v>43207</v>
      </c>
      <c r="F62" s="47"/>
      <c r="G62" s="45">
        <f t="shared" ref="G62:P62" si="91">SUBTOTAL(9,G60:G61)</f>
        <v>0</v>
      </c>
      <c r="H62" s="45">
        <f t="shared" si="91"/>
        <v>12.570000000003347</v>
      </c>
      <c r="I62" s="160">
        <f t="shared" si="91"/>
        <v>0</v>
      </c>
      <c r="J62" s="160">
        <f t="shared" si="91"/>
        <v>0</v>
      </c>
      <c r="K62" s="160">
        <f t="shared" si="91"/>
        <v>8539.58</v>
      </c>
      <c r="L62" s="160">
        <f t="shared" si="91"/>
        <v>0</v>
      </c>
      <c r="M62" s="46">
        <f t="shared" si="91"/>
        <v>183.60096999999996</v>
      </c>
      <c r="N62" s="46">
        <f t="shared" si="91"/>
        <v>42.697899999999997</v>
      </c>
      <c r="O62" s="46">
        <f t="shared" si="91"/>
        <v>8313.2811299999994</v>
      </c>
      <c r="P62" s="46">
        <f t="shared" si="91"/>
        <v>0</v>
      </c>
      <c r="Q62" s="47"/>
      <c r="R62" s="45">
        <f t="shared" ref="R62:BQ62" si="92">SUBTOTAL(9,R60:R61)</f>
        <v>0</v>
      </c>
      <c r="S62" s="45">
        <f t="shared" si="92"/>
        <v>0</v>
      </c>
      <c r="T62" s="46">
        <f t="shared" si="92"/>
        <v>0</v>
      </c>
      <c r="U62" s="46">
        <f t="shared" si="92"/>
        <v>0</v>
      </c>
      <c r="V62" s="46">
        <f t="shared" si="92"/>
        <v>0</v>
      </c>
      <c r="W62" s="46">
        <f t="shared" si="92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92"/>
        <v>2497.2388000000001</v>
      </c>
      <c r="AH62" s="44">
        <f t="shared" si="92"/>
        <v>440.68920000000003</v>
      </c>
      <c r="AI62" s="44">
        <f t="shared" si="92"/>
        <v>734.48199999999997</v>
      </c>
      <c r="AJ62" s="45">
        <f t="shared" si="92"/>
        <v>0</v>
      </c>
      <c r="AK62" s="44">
        <f t="shared" si="92"/>
        <v>49715.241071428565</v>
      </c>
      <c r="AL62" s="44">
        <f t="shared" si="92"/>
        <v>49365.771071428564</v>
      </c>
      <c r="AM62" s="44">
        <f t="shared" si="92"/>
        <v>5923.8925285714276</v>
      </c>
      <c r="AN62" s="44">
        <f t="shared" si="71"/>
        <v>55289.663599999993</v>
      </c>
      <c r="AO62" s="49">
        <f t="shared" si="92"/>
        <v>0</v>
      </c>
      <c r="AP62" s="49">
        <f t="shared" si="92"/>
        <v>0</v>
      </c>
      <c r="AQ62" s="49">
        <f t="shared" si="92"/>
        <v>0</v>
      </c>
      <c r="AR62" s="49">
        <f t="shared" si="92"/>
        <v>0</v>
      </c>
      <c r="AS62" s="49">
        <f t="shared" si="92"/>
        <v>0</v>
      </c>
      <c r="AT62" s="49">
        <f t="shared" si="92"/>
        <v>0</v>
      </c>
      <c r="AU62" s="49">
        <f>SUBTOTAL(9,AU60:AU61)</f>
        <v>0</v>
      </c>
      <c r="AV62" s="49">
        <f t="shared" si="92"/>
        <v>0</v>
      </c>
      <c r="AW62" s="49">
        <f t="shared" si="92"/>
        <v>0</v>
      </c>
      <c r="AX62" s="49">
        <f t="shared" si="92"/>
        <v>0</v>
      </c>
      <c r="AY62" s="49">
        <f t="shared" si="92"/>
        <v>0</v>
      </c>
      <c r="AZ62" s="44">
        <f t="shared" si="92"/>
        <v>0</v>
      </c>
      <c r="BA62" s="48">
        <f t="shared" si="92"/>
        <v>0</v>
      </c>
      <c r="BB62" s="48">
        <f t="shared" si="92"/>
        <v>0</v>
      </c>
      <c r="BC62" s="44">
        <f t="shared" si="92"/>
        <v>0</v>
      </c>
      <c r="BD62" s="44">
        <f t="shared" si="92"/>
        <v>0</v>
      </c>
      <c r="BE62" s="49">
        <f t="shared" si="92"/>
        <v>0</v>
      </c>
      <c r="BF62" s="49">
        <f>SUBTOTAL(9,BF60:BF61)</f>
        <v>0</v>
      </c>
      <c r="BG62" s="49">
        <f t="shared" si="92"/>
        <v>0</v>
      </c>
      <c r="BH62" s="49">
        <f t="shared" si="92"/>
        <v>0</v>
      </c>
      <c r="BI62" s="49">
        <f t="shared" si="92"/>
        <v>0</v>
      </c>
      <c r="BJ62" s="49">
        <f t="shared" si="92"/>
        <v>0</v>
      </c>
      <c r="BK62" s="49">
        <f t="shared" si="92"/>
        <v>0</v>
      </c>
      <c r="BL62" s="49">
        <f t="shared" si="92"/>
        <v>0</v>
      </c>
      <c r="BM62" s="49">
        <f t="shared" si="92"/>
        <v>0</v>
      </c>
      <c r="BN62" s="49">
        <f t="shared" si="92"/>
        <v>0</v>
      </c>
      <c r="BO62" s="49">
        <f t="shared" si="92"/>
        <v>0</v>
      </c>
      <c r="BP62" s="49">
        <f t="shared" si="92"/>
        <v>0</v>
      </c>
      <c r="BQ62" s="49">
        <f t="shared" si="92"/>
        <v>0</v>
      </c>
      <c r="BR62" s="44">
        <f>SUBTOTAL(9,BR60:BR61)</f>
        <v>0</v>
      </c>
    </row>
    <row r="63" spans="1:97">
      <c r="A63" s="215">
        <f>+A60+1</f>
        <v>43453</v>
      </c>
      <c r="B63" s="16" t="s">
        <v>43</v>
      </c>
      <c r="C63" s="33">
        <v>40194.07</v>
      </c>
      <c r="D63" s="34">
        <v>26888.89</v>
      </c>
      <c r="E63" s="34">
        <v>26890</v>
      </c>
      <c r="F63" s="35">
        <v>43453</v>
      </c>
      <c r="G63" s="33">
        <f>IF(E63-D63&lt;0,E63-D63,0)*-1</f>
        <v>0</v>
      </c>
      <c r="H63" s="33">
        <f>IF(E63-D63&gt;0,E63-D63,0)</f>
        <v>1.1100000000005821</v>
      </c>
      <c r="I63" s="34"/>
      <c r="J63" s="34"/>
      <c r="K63" s="34">
        <v>9992.0300000000007</v>
      </c>
      <c r="L63" s="34"/>
      <c r="M63" s="36">
        <f>(+K63)*M$5</f>
        <v>214.82864499999999</v>
      </c>
      <c r="N63" s="36">
        <f>(+K63)*N$5</f>
        <v>49.960150000000006</v>
      </c>
      <c r="O63" s="36">
        <f>+K63-M63-N63+P63</f>
        <v>9727.2412050000003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v>86.25</v>
      </c>
      <c r="AA63" s="34"/>
      <c r="AB63" s="34"/>
      <c r="AC63" s="34">
        <v>227.9</v>
      </c>
      <c r="AD63" s="38" t="s">
        <v>138</v>
      </c>
      <c r="AE63" s="38">
        <v>2999</v>
      </c>
      <c r="AF63" s="34">
        <v>2938.82</v>
      </c>
      <c r="AG63" s="33">
        <f>(AF63*0.8)*0.85</f>
        <v>1998.3976</v>
      </c>
      <c r="AH63" s="33">
        <f>(AF63*0.8)*0.15</f>
        <v>352.65839999999997</v>
      </c>
      <c r="AI63" s="33">
        <f>AF63*0.2</f>
        <v>587.76400000000001</v>
      </c>
      <c r="AJ63" s="34"/>
      <c r="AK63" s="33">
        <f>(C63-AF63-AJ63)/1.12</f>
        <v>33263.616071428565</v>
      </c>
      <c r="AL63" s="33">
        <f>AK63-SUM(Y63:AC63)</f>
        <v>32949.466071428564</v>
      </c>
      <c r="AM63" s="33">
        <f>+AL63*0.12</f>
        <v>3953.9359285714277</v>
      </c>
      <c r="AN63" s="33">
        <f t="shared" ref="AN63:AN64" si="93">+AM63+AL63+AJ63</f>
        <v>36903.401999999995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" thickBot="1">
      <c r="A64" s="216"/>
      <c r="B64" s="16" t="s">
        <v>44</v>
      </c>
      <c r="C64" s="33">
        <v>17247.88</v>
      </c>
      <c r="D64" s="34">
        <v>10270.950000000001</v>
      </c>
      <c r="E64" s="34">
        <v>10275</v>
      </c>
      <c r="F64" s="35">
        <v>43454</v>
      </c>
      <c r="G64" s="33">
        <f>IF(E64-D64&lt;0,E64-D64,0)*-1</f>
        <v>0</v>
      </c>
      <c r="H64" s="33">
        <f>IF(E64-D64&gt;0,E64-D64,0)</f>
        <v>4.0499999999992724</v>
      </c>
      <c r="I64" s="34"/>
      <c r="J64" s="34"/>
      <c r="K64" s="34">
        <v>6421.34</v>
      </c>
      <c r="L64" s="34"/>
      <c r="M64" s="36">
        <f>(+K64)*M$5</f>
        <v>138.05880999999999</v>
      </c>
      <c r="N64" s="36">
        <f>(+K64)*N$5</f>
        <v>32.106700000000004</v>
      </c>
      <c r="O64" s="36">
        <f>+K64-M64-N64+P64</f>
        <v>6251.1744899999994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>
        <v>82.59</v>
      </c>
      <c r="AD64" s="38" t="s">
        <v>138</v>
      </c>
      <c r="AE64" s="38">
        <v>473.8</v>
      </c>
      <c r="AF64" s="34">
        <v>1278.44</v>
      </c>
      <c r="AG64" s="33">
        <f>(AF64*0.8)*0.85</f>
        <v>869.33920000000001</v>
      </c>
      <c r="AH64" s="33">
        <f>(AF64*0.8)*0.15</f>
        <v>153.4128</v>
      </c>
      <c r="AI64" s="33">
        <f>AF64*0.2</f>
        <v>255.68800000000002</v>
      </c>
      <c r="AJ64" s="34"/>
      <c r="AK64" s="33">
        <f>(C64-AF64-AJ64)/1.12</f>
        <v>14258.428571428571</v>
      </c>
      <c r="AL64" s="33">
        <f>AK64-SUM(Y64:AC64)</f>
        <v>14175.838571428571</v>
      </c>
      <c r="AM64" s="33">
        <f>+AL64*0.12</f>
        <v>1701.1006285714284</v>
      </c>
      <c r="AN64" s="33">
        <f t="shared" si="93"/>
        <v>15876.939199999999</v>
      </c>
      <c r="AO64" s="39">
        <v>255</v>
      </c>
      <c r="AP64" s="40"/>
      <c r="AQ64" s="40">
        <v>265</v>
      </c>
      <c r="AR64" s="40">
        <v>333</v>
      </c>
      <c r="AS64" s="40"/>
      <c r="AT64" s="40"/>
      <c r="AU64" s="40"/>
      <c r="AV64" s="40"/>
      <c r="AW64" s="40"/>
      <c r="AX64" s="40"/>
      <c r="AY64" s="40"/>
      <c r="AZ64" s="33">
        <f>SUM(AO64:AY64)</f>
        <v>853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853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" thickBot="1">
      <c r="A65" s="42"/>
      <c r="B65" s="43"/>
      <c r="C65" s="44">
        <f>SUBTOTAL(9,C63:C64)</f>
        <v>57441.95</v>
      </c>
      <c r="D65" s="45">
        <f>SUBTOTAL(9,D63:D64)</f>
        <v>37159.839999999997</v>
      </c>
      <c r="E65" s="45">
        <f>SUBTOTAL(9,E63:E64)</f>
        <v>37165</v>
      </c>
      <c r="F65" s="47"/>
      <c r="G65" s="45">
        <f t="shared" ref="G65:P65" si="94">SUBTOTAL(9,G63:G64)</f>
        <v>0</v>
      </c>
      <c r="H65" s="45">
        <f t="shared" si="94"/>
        <v>5.1599999999998545</v>
      </c>
      <c r="I65" s="160">
        <f t="shared" si="94"/>
        <v>0</v>
      </c>
      <c r="J65" s="160">
        <f t="shared" si="94"/>
        <v>0</v>
      </c>
      <c r="K65" s="160">
        <f t="shared" si="94"/>
        <v>16413.370000000003</v>
      </c>
      <c r="L65" s="160">
        <f t="shared" si="94"/>
        <v>0</v>
      </c>
      <c r="M65" s="46">
        <f t="shared" si="94"/>
        <v>352.88745499999999</v>
      </c>
      <c r="N65" s="46">
        <f t="shared" si="94"/>
        <v>82.066850000000017</v>
      </c>
      <c r="O65" s="46">
        <f t="shared" si="94"/>
        <v>15978.415695</v>
      </c>
      <c r="P65" s="46">
        <f t="shared" si="94"/>
        <v>0</v>
      </c>
      <c r="Q65" s="47"/>
      <c r="R65" s="45">
        <f t="shared" ref="R65:BQ65" si="95">SUBTOTAL(9,R63:R64)</f>
        <v>0</v>
      </c>
      <c r="S65" s="45">
        <f t="shared" si="95"/>
        <v>0</v>
      </c>
      <c r="T65" s="46">
        <f t="shared" si="95"/>
        <v>0</v>
      </c>
      <c r="U65" s="46">
        <f t="shared" si="95"/>
        <v>0</v>
      </c>
      <c r="V65" s="46">
        <f t="shared" si="95"/>
        <v>0</v>
      </c>
      <c r="W65" s="46">
        <f t="shared" si="95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95"/>
        <v>2867.7368000000001</v>
      </c>
      <c r="AH65" s="44">
        <f t="shared" si="95"/>
        <v>506.07119999999998</v>
      </c>
      <c r="AI65" s="44">
        <f t="shared" si="95"/>
        <v>843.452</v>
      </c>
      <c r="AJ65" s="45">
        <f t="shared" si="95"/>
        <v>0</v>
      </c>
      <c r="AK65" s="44">
        <f t="shared" si="95"/>
        <v>47522.044642857138</v>
      </c>
      <c r="AL65" s="44">
        <f t="shared" si="95"/>
        <v>47125.304642857132</v>
      </c>
      <c r="AM65" s="44">
        <f t="shared" si="95"/>
        <v>5655.0365571428556</v>
      </c>
      <c r="AN65" s="44">
        <f t="shared" si="71"/>
        <v>52780.341199999988</v>
      </c>
      <c r="AO65" s="49">
        <f t="shared" si="95"/>
        <v>255</v>
      </c>
      <c r="AP65" s="49">
        <f t="shared" si="95"/>
        <v>0</v>
      </c>
      <c r="AQ65" s="49">
        <f t="shared" si="95"/>
        <v>265</v>
      </c>
      <c r="AR65" s="49">
        <f t="shared" si="95"/>
        <v>333</v>
      </c>
      <c r="AS65" s="49">
        <f t="shared" si="95"/>
        <v>0</v>
      </c>
      <c r="AT65" s="49">
        <f t="shared" si="95"/>
        <v>0</v>
      </c>
      <c r="AU65" s="49">
        <f>SUBTOTAL(9,AU63:AU64)</f>
        <v>0</v>
      </c>
      <c r="AV65" s="49">
        <f t="shared" si="95"/>
        <v>0</v>
      </c>
      <c r="AW65" s="49">
        <f t="shared" si="95"/>
        <v>0</v>
      </c>
      <c r="AX65" s="49">
        <f t="shared" si="95"/>
        <v>0</v>
      </c>
      <c r="AY65" s="49">
        <f t="shared" si="95"/>
        <v>0</v>
      </c>
      <c r="AZ65" s="44">
        <f t="shared" si="95"/>
        <v>853</v>
      </c>
      <c r="BA65" s="48">
        <f t="shared" si="95"/>
        <v>0</v>
      </c>
      <c r="BB65" s="48">
        <f t="shared" si="95"/>
        <v>0</v>
      </c>
      <c r="BC65" s="44">
        <f t="shared" si="95"/>
        <v>0</v>
      </c>
      <c r="BD65" s="44">
        <f t="shared" si="95"/>
        <v>0</v>
      </c>
      <c r="BE65" s="49">
        <f t="shared" si="95"/>
        <v>0</v>
      </c>
      <c r="BF65" s="49">
        <f>SUBTOTAL(9,BF63:BF64)</f>
        <v>0</v>
      </c>
      <c r="BG65" s="49">
        <f t="shared" si="95"/>
        <v>0</v>
      </c>
      <c r="BH65" s="49" t="s">
        <v>1</v>
      </c>
      <c r="BI65" s="49">
        <f t="shared" si="95"/>
        <v>0</v>
      </c>
      <c r="BJ65" s="49">
        <f t="shared" si="95"/>
        <v>0</v>
      </c>
      <c r="BK65" s="49">
        <f t="shared" si="95"/>
        <v>0</v>
      </c>
      <c r="BL65" s="49">
        <f t="shared" si="95"/>
        <v>0</v>
      </c>
      <c r="BM65" s="49">
        <f t="shared" si="95"/>
        <v>0</v>
      </c>
      <c r="BN65" s="49">
        <f t="shared" si="95"/>
        <v>0</v>
      </c>
      <c r="BO65" s="49">
        <f t="shared" si="95"/>
        <v>0</v>
      </c>
      <c r="BP65" s="49">
        <f t="shared" si="95"/>
        <v>0</v>
      </c>
      <c r="BQ65" s="49">
        <f t="shared" si="95"/>
        <v>0</v>
      </c>
      <c r="BR65" s="44">
        <f>SUBTOTAL(9,BR63:BR64)</f>
        <v>853</v>
      </c>
    </row>
    <row r="66" spans="1:97">
      <c r="A66" s="215">
        <f>A63+1</f>
        <v>43454</v>
      </c>
      <c r="B66" s="16" t="s">
        <v>43</v>
      </c>
      <c r="C66" s="33">
        <v>41914.9</v>
      </c>
      <c r="D66" s="34">
        <v>20892.240000000002</v>
      </c>
      <c r="E66" s="34">
        <v>20895</v>
      </c>
      <c r="F66" s="35">
        <v>43454</v>
      </c>
      <c r="G66" s="33">
        <f>IF(E66-D66&lt;0,E66-D66,0)*-1</f>
        <v>0</v>
      </c>
      <c r="H66" s="33">
        <f>IF(E66-D66&gt;0,E66-D66,0)</f>
        <v>2.7599999999983993</v>
      </c>
      <c r="I66" s="34"/>
      <c r="J66" s="34"/>
      <c r="K66" s="34">
        <v>18113.46</v>
      </c>
      <c r="L66" s="34"/>
      <c r="M66" s="36">
        <f>(+K66)*M$5</f>
        <v>389.43938999999995</v>
      </c>
      <c r="N66" s="36">
        <f>(+K66)*N$5</f>
        <v>90.567300000000003</v>
      </c>
      <c r="O66" s="36">
        <f>+K66-M66-N66+P66</f>
        <v>17633.453310000001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435</v>
      </c>
      <c r="AA66" s="34"/>
      <c r="AB66" s="34"/>
      <c r="AC66" s="34">
        <v>164.2</v>
      </c>
      <c r="AD66" s="38" t="s">
        <v>138</v>
      </c>
      <c r="AE66" s="38">
        <v>2310</v>
      </c>
      <c r="AF66" s="34">
        <v>3108.42</v>
      </c>
      <c r="AG66" s="33">
        <f>(AF66*0.8)*0.85</f>
        <v>2113.7256000000002</v>
      </c>
      <c r="AH66" s="33">
        <f>(AF66*0.8)*0.15</f>
        <v>373.01040000000006</v>
      </c>
      <c r="AI66" s="33">
        <f>AF66*0.2</f>
        <v>621.68400000000008</v>
      </c>
      <c r="AJ66" s="34"/>
      <c r="AK66" s="33">
        <f>(C66-AF66-AJ66)/1.12</f>
        <v>34648.642857142855</v>
      </c>
      <c r="AL66" s="33">
        <f>AK66-SUM(Y66:AC66)</f>
        <v>34049.442857142858</v>
      </c>
      <c r="AM66" s="33">
        <f>+AL66*0.12</f>
        <v>4085.9331428571427</v>
      </c>
      <c r="AN66" s="33">
        <f t="shared" si="71"/>
        <v>38135.376000000004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" thickBot="1">
      <c r="A67" s="216"/>
      <c r="B67" s="16" t="s">
        <v>44</v>
      </c>
      <c r="C67" s="33">
        <v>28082.45</v>
      </c>
      <c r="D67" s="34">
        <v>15887.88</v>
      </c>
      <c r="E67" s="34">
        <v>15888</v>
      </c>
      <c r="F67" s="35">
        <v>43455</v>
      </c>
      <c r="G67" s="33">
        <f>IF(E67-D67&lt;0,E67-D67,0)*-1</f>
        <v>0</v>
      </c>
      <c r="H67" s="33">
        <f>IF(E67-D67&gt;0,E67-D67,0)</f>
        <v>0.12000000000080036</v>
      </c>
      <c r="I67" s="34">
        <v>1000</v>
      </c>
      <c r="J67" s="34"/>
      <c r="K67" s="34">
        <v>6510.32</v>
      </c>
      <c r="L67" s="34"/>
      <c r="M67" s="36">
        <f>(+K67)*M$5</f>
        <v>139.97187999999997</v>
      </c>
      <c r="N67" s="36">
        <f>(+K67)*N$5</f>
        <v>32.551600000000001</v>
      </c>
      <c r="O67" s="36">
        <f>+K67-M67-N67+P67</f>
        <v>6337.7965199999999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22.5</v>
      </c>
      <c r="AA67" s="34"/>
      <c r="AB67" s="34"/>
      <c r="AC67" s="34">
        <v>368.75</v>
      </c>
      <c r="AD67" s="38" t="s">
        <v>138</v>
      </c>
      <c r="AE67" s="38">
        <v>4293</v>
      </c>
      <c r="AF67" s="34">
        <v>1439.7</v>
      </c>
      <c r="AG67" s="33">
        <f>(AF67*0.8)*0.85</f>
        <v>978.99599999999998</v>
      </c>
      <c r="AH67" s="33">
        <f>(AF67*0.8)*0.15</f>
        <v>172.76399999999998</v>
      </c>
      <c r="AI67" s="33">
        <f>AF67*0.2</f>
        <v>287.94</v>
      </c>
      <c r="AJ67" s="34"/>
      <c r="AK67" s="33">
        <f>(C67-AF67-AJ67)/1.12</f>
        <v>23788.169642857141</v>
      </c>
      <c r="AL67" s="33">
        <f>AK67-SUM(Y67:AC67)</f>
        <v>23396.919642857141</v>
      </c>
      <c r="AM67" s="33">
        <f>+AL67*0.12</f>
        <v>2807.6303571428571</v>
      </c>
      <c r="AN67" s="33">
        <f t="shared" si="71"/>
        <v>26204.55</v>
      </c>
      <c r="AO67" s="39"/>
      <c r="AP67" s="40"/>
      <c r="AQ67" s="40"/>
      <c r="AR67" s="40">
        <v>185</v>
      </c>
      <c r="AS67" s="40"/>
      <c r="AT67" s="40"/>
      <c r="AU67" s="40"/>
      <c r="AV67" s="40"/>
      <c r="AW67" s="40"/>
      <c r="AX67" s="40"/>
      <c r="AY67" s="40"/>
      <c r="AZ67" s="33">
        <f>SUM(AO67:AY67)</f>
        <v>185</v>
      </c>
      <c r="BA67" s="38">
        <v>2400</v>
      </c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0"/>
      <c r="BO67" s="39"/>
      <c r="BP67" s="39"/>
      <c r="BQ67" s="39"/>
      <c r="BR67" s="41">
        <f>AZ67+BA67+BB67+BD67-BC67</f>
        <v>2585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" thickBot="1">
      <c r="A68" s="42"/>
      <c r="B68" s="43"/>
      <c r="C68" s="44">
        <f>SUBTOTAL(9,C66:C67)</f>
        <v>69997.350000000006</v>
      </c>
      <c r="D68" s="45">
        <f>SUBTOTAL(9,D66:D67)</f>
        <v>36780.120000000003</v>
      </c>
      <c r="E68" s="45">
        <f>SUBTOTAL(9,E66:E67)</f>
        <v>36783</v>
      </c>
      <c r="F68" s="47"/>
      <c r="G68" s="45">
        <f t="shared" ref="G68:P68" si="96">SUBTOTAL(9,G66:G67)</f>
        <v>0</v>
      </c>
      <c r="H68" s="45">
        <f t="shared" si="96"/>
        <v>2.8799999999991996</v>
      </c>
      <c r="I68" s="160">
        <f t="shared" si="96"/>
        <v>1000</v>
      </c>
      <c r="J68" s="160">
        <f t="shared" si="96"/>
        <v>0</v>
      </c>
      <c r="K68" s="160">
        <f t="shared" si="96"/>
        <v>24623.78</v>
      </c>
      <c r="L68" s="160">
        <f t="shared" si="96"/>
        <v>0</v>
      </c>
      <c r="M68" s="46">
        <f t="shared" si="96"/>
        <v>529.41126999999994</v>
      </c>
      <c r="N68" s="46">
        <f t="shared" si="96"/>
        <v>123.1189</v>
      </c>
      <c r="O68" s="46">
        <f t="shared" si="96"/>
        <v>23971.249830000001</v>
      </c>
      <c r="P68" s="46">
        <f t="shared" si="96"/>
        <v>0</v>
      </c>
      <c r="Q68" s="47"/>
      <c r="R68" s="45">
        <f t="shared" ref="R68:BQ68" si="97">SUBTOTAL(9,R66:R67)</f>
        <v>0</v>
      </c>
      <c r="S68" s="45">
        <f t="shared" si="97"/>
        <v>0</v>
      </c>
      <c r="T68" s="46">
        <f t="shared" si="97"/>
        <v>0</v>
      </c>
      <c r="U68" s="46">
        <f t="shared" si="97"/>
        <v>0</v>
      </c>
      <c r="V68" s="46">
        <f t="shared" si="97"/>
        <v>0</v>
      </c>
      <c r="W68" s="46">
        <f t="shared" si="97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97"/>
        <v>3092.7216000000003</v>
      </c>
      <c r="AH68" s="44">
        <f t="shared" si="97"/>
        <v>545.77440000000001</v>
      </c>
      <c r="AI68" s="44">
        <f t="shared" si="97"/>
        <v>909.62400000000002</v>
      </c>
      <c r="AJ68" s="45">
        <f t="shared" si="97"/>
        <v>0</v>
      </c>
      <c r="AK68" s="44">
        <f t="shared" si="97"/>
        <v>58436.8125</v>
      </c>
      <c r="AL68" s="44">
        <f t="shared" si="97"/>
        <v>57446.362500000003</v>
      </c>
      <c r="AM68" s="44">
        <f t="shared" si="97"/>
        <v>6893.5635000000002</v>
      </c>
      <c r="AN68" s="44">
        <f t="shared" si="71"/>
        <v>64339.926000000007</v>
      </c>
      <c r="AO68" s="49">
        <f t="shared" si="97"/>
        <v>0</v>
      </c>
      <c r="AP68" s="49">
        <f t="shared" si="97"/>
        <v>0</v>
      </c>
      <c r="AQ68" s="49">
        <f t="shared" si="97"/>
        <v>0</v>
      </c>
      <c r="AR68" s="49">
        <f t="shared" si="97"/>
        <v>185</v>
      </c>
      <c r="AS68" s="49">
        <f t="shared" si="97"/>
        <v>0</v>
      </c>
      <c r="AT68" s="49">
        <f t="shared" si="97"/>
        <v>0</v>
      </c>
      <c r="AU68" s="49">
        <f>SUBTOTAL(9,AU66:AU67)</f>
        <v>0</v>
      </c>
      <c r="AV68" s="49">
        <f t="shared" si="97"/>
        <v>0</v>
      </c>
      <c r="AW68" s="49">
        <f t="shared" si="97"/>
        <v>0</v>
      </c>
      <c r="AX68" s="49">
        <f t="shared" si="97"/>
        <v>0</v>
      </c>
      <c r="AY68" s="49">
        <f t="shared" si="97"/>
        <v>0</v>
      </c>
      <c r="AZ68" s="44">
        <f t="shared" si="97"/>
        <v>185</v>
      </c>
      <c r="BA68" s="48">
        <f t="shared" si="97"/>
        <v>2400</v>
      </c>
      <c r="BB68" s="48">
        <f t="shared" si="97"/>
        <v>0</v>
      </c>
      <c r="BC68" s="44">
        <f t="shared" si="97"/>
        <v>0</v>
      </c>
      <c r="BD68" s="44">
        <f t="shared" si="97"/>
        <v>0</v>
      </c>
      <c r="BE68" s="49">
        <f t="shared" si="97"/>
        <v>0</v>
      </c>
      <c r="BF68" s="49">
        <f>SUBTOTAL(9,BF66:BF67)</f>
        <v>0</v>
      </c>
      <c r="BG68" s="49">
        <f t="shared" si="97"/>
        <v>0</v>
      </c>
      <c r="BH68" s="49">
        <f t="shared" si="97"/>
        <v>0</v>
      </c>
      <c r="BI68" s="49">
        <f t="shared" si="97"/>
        <v>0</v>
      </c>
      <c r="BJ68" s="49">
        <f t="shared" si="97"/>
        <v>0</v>
      </c>
      <c r="BK68" s="49">
        <f t="shared" si="97"/>
        <v>0</v>
      </c>
      <c r="BL68" s="49">
        <f t="shared" si="97"/>
        <v>0</v>
      </c>
      <c r="BM68" s="49">
        <f t="shared" si="97"/>
        <v>0</v>
      </c>
      <c r="BN68" s="49">
        <f t="shared" si="97"/>
        <v>0</v>
      </c>
      <c r="BO68" s="49">
        <f t="shared" si="97"/>
        <v>0</v>
      </c>
      <c r="BP68" s="49">
        <f t="shared" si="97"/>
        <v>0</v>
      </c>
      <c r="BQ68" s="49">
        <f t="shared" si="97"/>
        <v>0</v>
      </c>
      <c r="BR68" s="44">
        <f>SUBTOTAL(9,BR66:BR67)</f>
        <v>2585</v>
      </c>
    </row>
    <row r="69" spans="1:97">
      <c r="A69" s="215">
        <f>+A66+1</f>
        <v>43455</v>
      </c>
      <c r="B69" s="16" t="s">
        <v>43</v>
      </c>
      <c r="C69" s="33">
        <v>32344.13</v>
      </c>
      <c r="D69" s="34">
        <v>22919.24</v>
      </c>
      <c r="E69" s="34">
        <v>22920</v>
      </c>
      <c r="F69" s="35">
        <v>43455</v>
      </c>
      <c r="G69" s="33">
        <f>IF(E69-D69&lt;0,E69-D69,0)*-1</f>
        <v>0</v>
      </c>
      <c r="H69" s="33">
        <f>IF(E69-D69&gt;0,E69-D69,0)</f>
        <v>0.75999999999839929</v>
      </c>
      <c r="I69" s="34"/>
      <c r="J69" s="34"/>
      <c r="K69" s="34">
        <v>8328.6200000000008</v>
      </c>
      <c r="L69" s="34"/>
      <c r="M69" s="36">
        <f>(+K69)*M$5</f>
        <v>179.06532999999999</v>
      </c>
      <c r="N69" s="36">
        <f>(+K69)*N$5</f>
        <v>41.643100000000004</v>
      </c>
      <c r="O69" s="36">
        <f>+K69-M69-N69+P69</f>
        <v>8107.9115700000002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v>26.5</v>
      </c>
      <c r="AA69" s="34"/>
      <c r="AB69" s="34"/>
      <c r="AC69" s="34">
        <v>329.77</v>
      </c>
      <c r="AD69" s="38" t="s">
        <v>138</v>
      </c>
      <c r="AE69" s="38">
        <v>740</v>
      </c>
      <c r="AF69" s="34">
        <v>2476.9899999999998</v>
      </c>
      <c r="AG69" s="33">
        <f>(AF69*0.8)*0.85</f>
        <v>1684.3531999999998</v>
      </c>
      <c r="AH69" s="33">
        <f>(AF69*0.8)*0.15</f>
        <v>297.23879999999997</v>
      </c>
      <c r="AI69" s="33">
        <f>AF69*0.2</f>
        <v>495.39799999999997</v>
      </c>
      <c r="AJ69" s="34"/>
      <c r="AK69" s="33">
        <f>(C69-AF69-AJ69)/1.12</f>
        <v>26667.089285714283</v>
      </c>
      <c r="AL69" s="33">
        <f>AK69-SUM(Y69:AC69)</f>
        <v>26310.819285714282</v>
      </c>
      <c r="AM69" s="33">
        <f>+AL69*0.12</f>
        <v>3157.2983142857138</v>
      </c>
      <c r="AN69" s="33">
        <f t="shared" ref="AN69:AN70" si="98">+AM69+AL69+AJ69</f>
        <v>29468.117599999998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" thickBot="1">
      <c r="A70" s="216"/>
      <c r="B70" s="16" t="s">
        <v>44</v>
      </c>
      <c r="C70" s="33">
        <v>39636.639999999999</v>
      </c>
      <c r="D70" s="34">
        <v>31825.67</v>
      </c>
      <c r="E70" s="34">
        <v>31832</v>
      </c>
      <c r="F70" s="35">
        <v>43456</v>
      </c>
      <c r="G70" s="33">
        <f>IF(E70-D70&lt;0,E70-D70,0)*-1</f>
        <v>0</v>
      </c>
      <c r="H70" s="33">
        <f>IF(E70-D70&gt;0,E70-D70,0)</f>
        <v>6.3300000000017462</v>
      </c>
      <c r="I70" s="34"/>
      <c r="J70" s="34"/>
      <c r="K70" s="34">
        <v>5723.93</v>
      </c>
      <c r="L70" s="34"/>
      <c r="M70" s="36">
        <f>(+K70)*M$5</f>
        <v>123.06449499999999</v>
      </c>
      <c r="N70" s="36">
        <f>(+K70)*N$5</f>
        <v>28.619650000000004</v>
      </c>
      <c r="O70" s="36">
        <f>+K70-M70-N70+P70</f>
        <v>5572.245855000001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178.5</v>
      </c>
      <c r="AA70" s="34"/>
      <c r="AB70" s="34"/>
      <c r="AC70" s="34">
        <v>197.54</v>
      </c>
      <c r="AD70" s="38" t="s">
        <v>138</v>
      </c>
      <c r="AE70" s="38">
        <v>1711</v>
      </c>
      <c r="AF70" s="34">
        <v>2554.17</v>
      </c>
      <c r="AG70" s="33">
        <f>(AF70*0.8)*0.85</f>
        <v>1736.8356000000001</v>
      </c>
      <c r="AH70" s="33">
        <f>(AF70*0.8)*0.15</f>
        <v>306.50040000000001</v>
      </c>
      <c r="AI70" s="33">
        <f>AF70*0.2</f>
        <v>510.83400000000006</v>
      </c>
      <c r="AJ70" s="34"/>
      <c r="AK70" s="33">
        <f>(C70-AF70-AJ70)/1.12</f>
        <v>33109.34821428571</v>
      </c>
      <c r="AL70" s="33">
        <f>AK70-SUM(Y70:AC70)</f>
        <v>32733.308214285709</v>
      </c>
      <c r="AM70" s="33">
        <f>+AL70*0.12</f>
        <v>3927.9969857142851</v>
      </c>
      <c r="AN70" s="33">
        <f t="shared" si="98"/>
        <v>36661.305199999995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>
        <v>135</v>
      </c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135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" thickBot="1">
      <c r="A71" s="42"/>
      <c r="B71" s="43"/>
      <c r="C71" s="44">
        <f>SUBTOTAL(9,C69:C70)</f>
        <v>71980.77</v>
      </c>
      <c r="D71" s="45">
        <f>SUBTOTAL(9,D69:D70)</f>
        <v>54744.91</v>
      </c>
      <c r="E71" s="45">
        <f>SUBTOTAL(9,E69:E70)</f>
        <v>54752</v>
      </c>
      <c r="F71" s="47"/>
      <c r="G71" s="45">
        <f t="shared" ref="G71:P71" si="99">SUBTOTAL(9,G69:G70)</f>
        <v>0</v>
      </c>
      <c r="H71" s="45">
        <f t="shared" si="99"/>
        <v>7.0900000000001455</v>
      </c>
      <c r="I71" s="160">
        <f t="shared" si="99"/>
        <v>0</v>
      </c>
      <c r="J71" s="160">
        <f t="shared" si="99"/>
        <v>0</v>
      </c>
      <c r="K71" s="160">
        <f t="shared" si="99"/>
        <v>14052.550000000001</v>
      </c>
      <c r="L71" s="160">
        <f t="shared" si="99"/>
        <v>0</v>
      </c>
      <c r="M71" s="46">
        <f t="shared" si="99"/>
        <v>302.12982499999998</v>
      </c>
      <c r="N71" s="46">
        <f t="shared" si="99"/>
        <v>70.262750000000011</v>
      </c>
      <c r="O71" s="46">
        <f t="shared" si="99"/>
        <v>13680.157425000001</v>
      </c>
      <c r="P71" s="46">
        <f t="shared" si="99"/>
        <v>0</v>
      </c>
      <c r="Q71" s="47"/>
      <c r="R71" s="45">
        <f t="shared" ref="R71:BQ71" si="100">SUBTOTAL(9,R69:R70)</f>
        <v>0</v>
      </c>
      <c r="S71" s="45">
        <f t="shared" si="100"/>
        <v>0</v>
      </c>
      <c r="T71" s="46">
        <f t="shared" si="100"/>
        <v>0</v>
      </c>
      <c r="U71" s="46">
        <f t="shared" si="100"/>
        <v>0</v>
      </c>
      <c r="V71" s="46">
        <f t="shared" si="100"/>
        <v>0</v>
      </c>
      <c r="W71" s="46">
        <f t="shared" si="100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00"/>
        <v>3421.1887999999999</v>
      </c>
      <c r="AH71" s="44">
        <f t="shared" si="100"/>
        <v>603.73919999999998</v>
      </c>
      <c r="AI71" s="44">
        <f t="shared" si="100"/>
        <v>1006.232</v>
      </c>
      <c r="AJ71" s="45">
        <f t="shared" si="100"/>
        <v>0</v>
      </c>
      <c r="AK71" s="44">
        <f t="shared" si="100"/>
        <v>59776.437499999993</v>
      </c>
      <c r="AL71" s="44">
        <f t="shared" si="100"/>
        <v>59044.127499999988</v>
      </c>
      <c r="AM71" s="44">
        <f t="shared" si="100"/>
        <v>7085.2952999999989</v>
      </c>
      <c r="AN71" s="44">
        <f t="shared" si="71"/>
        <v>66129.422799999986</v>
      </c>
      <c r="AO71" s="49">
        <f t="shared" si="100"/>
        <v>0</v>
      </c>
      <c r="AP71" s="49">
        <f t="shared" si="100"/>
        <v>0</v>
      </c>
      <c r="AQ71" s="49">
        <f t="shared" si="100"/>
        <v>0</v>
      </c>
      <c r="AR71" s="49">
        <f t="shared" si="100"/>
        <v>0</v>
      </c>
      <c r="AS71" s="49">
        <f t="shared" si="100"/>
        <v>0</v>
      </c>
      <c r="AT71" s="49">
        <f t="shared" si="100"/>
        <v>0</v>
      </c>
      <c r="AU71" s="49">
        <f>SUBTOTAL(9,AU69:AU70)</f>
        <v>0</v>
      </c>
      <c r="AV71" s="49">
        <f t="shared" si="100"/>
        <v>0</v>
      </c>
      <c r="AW71" s="49">
        <f t="shared" si="100"/>
        <v>0</v>
      </c>
      <c r="AX71" s="49">
        <f t="shared" si="100"/>
        <v>0</v>
      </c>
      <c r="AY71" s="49">
        <f t="shared" si="100"/>
        <v>0</v>
      </c>
      <c r="AZ71" s="44">
        <f t="shared" si="100"/>
        <v>0</v>
      </c>
      <c r="BA71" s="48">
        <f t="shared" si="100"/>
        <v>135</v>
      </c>
      <c r="BB71" s="48">
        <f t="shared" si="100"/>
        <v>0</v>
      </c>
      <c r="BC71" s="44">
        <f t="shared" si="100"/>
        <v>0</v>
      </c>
      <c r="BD71" s="44">
        <f t="shared" si="100"/>
        <v>0</v>
      </c>
      <c r="BE71" s="49">
        <f t="shared" si="100"/>
        <v>0</v>
      </c>
      <c r="BF71" s="49">
        <f>SUBTOTAL(9,BF69:BF70)</f>
        <v>0</v>
      </c>
      <c r="BG71" s="49">
        <f t="shared" si="100"/>
        <v>0</v>
      </c>
      <c r="BH71" s="49">
        <f t="shared" si="100"/>
        <v>0</v>
      </c>
      <c r="BI71" s="49">
        <f t="shared" si="100"/>
        <v>0</v>
      </c>
      <c r="BJ71" s="49">
        <f t="shared" si="100"/>
        <v>0</v>
      </c>
      <c r="BK71" s="49">
        <f t="shared" si="100"/>
        <v>0</v>
      </c>
      <c r="BL71" s="49">
        <f t="shared" si="100"/>
        <v>0</v>
      </c>
      <c r="BM71" s="49">
        <f t="shared" si="100"/>
        <v>0</v>
      </c>
      <c r="BN71" s="49">
        <f t="shared" si="100"/>
        <v>0</v>
      </c>
      <c r="BO71" s="49">
        <f t="shared" si="100"/>
        <v>0</v>
      </c>
      <c r="BP71" s="49">
        <f t="shared" si="100"/>
        <v>0</v>
      </c>
      <c r="BQ71" s="49">
        <f t="shared" si="100"/>
        <v>0</v>
      </c>
      <c r="BR71" s="44">
        <f>SUBTOTAL(9,BR69:BR70)</f>
        <v>135</v>
      </c>
    </row>
    <row r="72" spans="1:97">
      <c r="A72" s="215">
        <f>+A69+1</f>
        <v>43456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 t="shared" ref="AK72" si="101">(C72-AF72-AJ72)/1.12</f>
        <v>0</v>
      </c>
      <c r="AL72" s="33">
        <f t="shared" ref="AL72" si="102">AK72-SUM(Y72:AC72)</f>
        <v>0</v>
      </c>
      <c r="AM72" s="33">
        <f t="shared" ref="AM72" si="103">+AL72*0.12</f>
        <v>0</v>
      </c>
      <c r="AN72" s="33">
        <f t="shared" si="71"/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" thickBot="1">
      <c r="A73" s="216"/>
      <c r="B73" s="16" t="s">
        <v>44</v>
      </c>
      <c r="C73" s="33"/>
      <c r="D73" s="34"/>
      <c r="E73" s="34"/>
      <c r="F73" s="35"/>
      <c r="G73" s="33">
        <f>IF(E73-D73&lt;0,E73-D73,0)*-1</f>
        <v>0</v>
      </c>
      <c r="H73" s="33">
        <f>IF(E73-D73&gt;0,E73-D73,0)</f>
        <v>0</v>
      </c>
      <c r="I73" s="34"/>
      <c r="J73" s="34"/>
      <c r="K73" s="34"/>
      <c r="L73" s="34"/>
      <c r="M73" s="36">
        <f>(+K73)*M$5</f>
        <v>0</v>
      </c>
      <c r="N73" s="36">
        <f>(+K73)*N$5</f>
        <v>0</v>
      </c>
      <c r="O73" s="36">
        <f>+K73-M73-N73+P73</f>
        <v>0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/>
      <c r="AD73" s="38"/>
      <c r="AE73" s="38"/>
      <c r="AF73" s="34"/>
      <c r="AG73" s="33">
        <f>(AF73*0.8)*0.85</f>
        <v>0</v>
      </c>
      <c r="AH73" s="33">
        <f>(AF73*0.8)*0.15</f>
        <v>0</v>
      </c>
      <c r="AI73" s="33">
        <f>AF73*0.2</f>
        <v>0</v>
      </c>
      <c r="AJ73" s="34"/>
      <c r="AK73" s="33">
        <f t="shared" ref="AK73" si="104">(C73-AF73-AJ73)/1.12</f>
        <v>0</v>
      </c>
      <c r="AL73" s="33">
        <f t="shared" ref="AL73" si="105">AK73-SUM(Y73:AC73)</f>
        <v>0</v>
      </c>
      <c r="AM73" s="33">
        <f t="shared" ref="AM73" si="106">+AL73*0.12</f>
        <v>0</v>
      </c>
      <c r="AN73" s="33">
        <f t="shared" si="71"/>
        <v>0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" thickBot="1">
      <c r="A74" s="42"/>
      <c r="B74" s="43"/>
      <c r="C74" s="44">
        <f>SUBTOTAL(9,C72:C73)</f>
        <v>0</v>
      </c>
      <c r="D74" s="45">
        <f>SUBTOTAL(9,D72:D73)</f>
        <v>0</v>
      </c>
      <c r="E74" s="45">
        <f>SUBTOTAL(9,E72:E73)</f>
        <v>0</v>
      </c>
      <c r="F74" s="47"/>
      <c r="G74" s="45">
        <f t="shared" ref="G74:P74" si="107">SUBTOTAL(9,G72:G73)</f>
        <v>0</v>
      </c>
      <c r="H74" s="45">
        <f t="shared" si="107"/>
        <v>0</v>
      </c>
      <c r="I74" s="160">
        <f t="shared" si="107"/>
        <v>0</v>
      </c>
      <c r="J74" s="160">
        <f t="shared" si="107"/>
        <v>0</v>
      </c>
      <c r="K74" s="160">
        <f t="shared" si="107"/>
        <v>0</v>
      </c>
      <c r="L74" s="160">
        <f t="shared" si="107"/>
        <v>0</v>
      </c>
      <c r="M74" s="46">
        <f t="shared" si="107"/>
        <v>0</v>
      </c>
      <c r="N74" s="46">
        <f t="shared" si="107"/>
        <v>0</v>
      </c>
      <c r="O74" s="46">
        <f t="shared" si="107"/>
        <v>0</v>
      </c>
      <c r="P74" s="46">
        <f t="shared" si="107"/>
        <v>0</v>
      </c>
      <c r="Q74" s="47"/>
      <c r="R74" s="45">
        <f t="shared" ref="R74:BQ74" si="108">SUBTOTAL(9,R72:R73)</f>
        <v>0</v>
      </c>
      <c r="S74" s="45">
        <f t="shared" si="108"/>
        <v>0</v>
      </c>
      <c r="T74" s="46">
        <f t="shared" si="108"/>
        <v>0</v>
      </c>
      <c r="U74" s="46">
        <f t="shared" si="108"/>
        <v>0</v>
      </c>
      <c r="V74" s="46">
        <f t="shared" si="108"/>
        <v>0</v>
      </c>
      <c r="W74" s="46">
        <f t="shared" si="108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08"/>
        <v>0</v>
      </c>
      <c r="AH74" s="44">
        <f t="shared" si="108"/>
        <v>0</v>
      </c>
      <c r="AI74" s="44">
        <f t="shared" si="108"/>
        <v>0</v>
      </c>
      <c r="AJ74" s="45">
        <f t="shared" si="108"/>
        <v>0</v>
      </c>
      <c r="AK74" s="44">
        <f t="shared" si="108"/>
        <v>0</v>
      </c>
      <c r="AL74" s="44">
        <f t="shared" si="108"/>
        <v>0</v>
      </c>
      <c r="AM74" s="44">
        <f t="shared" si="108"/>
        <v>0</v>
      </c>
      <c r="AN74" s="44">
        <f t="shared" si="71"/>
        <v>0</v>
      </c>
      <c r="AO74" s="49">
        <f t="shared" si="108"/>
        <v>0</v>
      </c>
      <c r="AP74" s="49">
        <f t="shared" si="108"/>
        <v>0</v>
      </c>
      <c r="AQ74" s="49">
        <f t="shared" si="108"/>
        <v>0</v>
      </c>
      <c r="AR74" s="49">
        <f t="shared" si="108"/>
        <v>0</v>
      </c>
      <c r="AS74" s="49">
        <f t="shared" si="108"/>
        <v>0</v>
      </c>
      <c r="AT74" s="49">
        <f t="shared" si="108"/>
        <v>0</v>
      </c>
      <c r="AU74" s="49">
        <f>SUBTOTAL(9,AU72:AU73)</f>
        <v>0</v>
      </c>
      <c r="AV74" s="49">
        <f t="shared" si="108"/>
        <v>0</v>
      </c>
      <c r="AW74" s="49">
        <f t="shared" si="108"/>
        <v>0</v>
      </c>
      <c r="AX74" s="49">
        <f t="shared" si="108"/>
        <v>0</v>
      </c>
      <c r="AY74" s="49">
        <f t="shared" si="108"/>
        <v>0</v>
      </c>
      <c r="AZ74" s="44">
        <f t="shared" si="108"/>
        <v>0</v>
      </c>
      <c r="BA74" s="48">
        <f t="shared" si="108"/>
        <v>0</v>
      </c>
      <c r="BB74" s="48">
        <f t="shared" si="108"/>
        <v>0</v>
      </c>
      <c r="BC74" s="44">
        <f t="shared" si="108"/>
        <v>0</v>
      </c>
      <c r="BD74" s="44">
        <f t="shared" si="108"/>
        <v>0</v>
      </c>
      <c r="BE74" s="49">
        <f t="shared" si="108"/>
        <v>0</v>
      </c>
      <c r="BF74" s="49">
        <f>SUBTOTAL(9,BF72:BF73)</f>
        <v>0</v>
      </c>
      <c r="BG74" s="49">
        <f t="shared" si="108"/>
        <v>0</v>
      </c>
      <c r="BH74" s="49">
        <f t="shared" si="108"/>
        <v>0</v>
      </c>
      <c r="BI74" s="49">
        <f t="shared" si="108"/>
        <v>0</v>
      </c>
      <c r="BJ74" s="49">
        <f t="shared" si="108"/>
        <v>0</v>
      </c>
      <c r="BK74" s="49">
        <f t="shared" si="108"/>
        <v>0</v>
      </c>
      <c r="BL74" s="49">
        <f t="shared" si="108"/>
        <v>0</v>
      </c>
      <c r="BM74" s="49">
        <f t="shared" si="108"/>
        <v>0</v>
      </c>
      <c r="BN74" s="49">
        <f t="shared" si="108"/>
        <v>0</v>
      </c>
      <c r="BO74" s="49">
        <f t="shared" si="108"/>
        <v>0</v>
      </c>
      <c r="BP74" s="49">
        <f t="shared" si="108"/>
        <v>0</v>
      </c>
      <c r="BQ74" s="49">
        <f t="shared" si="108"/>
        <v>0</v>
      </c>
      <c r="BR74" s="44">
        <f>SUBTOTAL(9,BR72:BR73)</f>
        <v>0</v>
      </c>
    </row>
    <row r="75" spans="1:97">
      <c r="A75" s="215">
        <f>+A72+1</f>
        <v>43457</v>
      </c>
      <c r="B75" s="16" t="s">
        <v>43</v>
      </c>
      <c r="C75" s="33"/>
      <c r="D75" s="34"/>
      <c r="E75" s="34"/>
      <c r="F75" s="35"/>
      <c r="G75" s="33"/>
      <c r="H75" s="33">
        <f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 t="shared" ref="AK75:AK76" si="109">(C75-AF75-AJ75)/1.12</f>
        <v>0</v>
      </c>
      <c r="AL75" s="33">
        <f t="shared" ref="AL75:AL76" si="110">AK75-SUM(Y75:AC75)</f>
        <v>0</v>
      </c>
      <c r="AM75" s="33">
        <f t="shared" ref="AM75:AM76" si="111">+AL75*0.12</f>
        <v>0</v>
      </c>
      <c r="AN75" s="33">
        <f t="shared" ref="AN75:AN76" si="112"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" thickBot="1">
      <c r="A76" s="216"/>
      <c r="B76" s="16" t="s">
        <v>44</v>
      </c>
      <c r="C76" s="33"/>
      <c r="D76" s="34"/>
      <c r="E76" s="34"/>
      <c r="F76" s="35"/>
      <c r="G76" s="33"/>
      <c r="H76" s="33">
        <f>IF(E76-D76&gt;0,E76-D76,0)</f>
        <v>0</v>
      </c>
      <c r="I76" s="34"/>
      <c r="J76" s="34"/>
      <c r="K76" s="34"/>
      <c r="L76" s="34"/>
      <c r="M76" s="36">
        <f>(+K76)*M$5</f>
        <v>0</v>
      </c>
      <c r="N76" s="36">
        <f>(+K76)*N$5</f>
        <v>0</v>
      </c>
      <c r="O76" s="36">
        <f>+K76-M76-N76+P76</f>
        <v>0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/>
      <c r="AD76" s="38"/>
      <c r="AE76" s="38"/>
      <c r="AF76" s="34"/>
      <c r="AG76" s="33">
        <f>(AF76*0.8)*0.85</f>
        <v>0</v>
      </c>
      <c r="AH76" s="33">
        <f>(AF76*0.8)*0.15</f>
        <v>0</v>
      </c>
      <c r="AI76" s="33">
        <f>AF76*0.2</f>
        <v>0</v>
      </c>
      <c r="AJ76" s="34"/>
      <c r="AK76" s="33">
        <f t="shared" si="109"/>
        <v>0</v>
      </c>
      <c r="AL76" s="33">
        <f t="shared" si="110"/>
        <v>0</v>
      </c>
      <c r="AM76" s="33">
        <f t="shared" si="111"/>
        <v>0</v>
      </c>
      <c r="AN76" s="33">
        <f t="shared" si="112"/>
        <v>0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" thickBot="1">
      <c r="A77" s="42"/>
      <c r="B77" s="43"/>
      <c r="C77" s="44">
        <f>SUBTOTAL(9,C75:C76)</f>
        <v>0</v>
      </c>
      <c r="D77" s="45">
        <f>SUBTOTAL(9,D75:D76)</f>
        <v>0</v>
      </c>
      <c r="E77" s="45">
        <f>SUBTOTAL(9,E75:E76)</f>
        <v>0</v>
      </c>
      <c r="F77" s="47"/>
      <c r="G77" s="45">
        <f t="shared" ref="G77:P77" si="113">SUBTOTAL(9,G75:G76)</f>
        <v>0</v>
      </c>
      <c r="H77" s="45">
        <f t="shared" si="113"/>
        <v>0</v>
      </c>
      <c r="I77" s="45">
        <f t="shared" si="113"/>
        <v>0</v>
      </c>
      <c r="J77" s="45">
        <f t="shared" si="113"/>
        <v>0</v>
      </c>
      <c r="K77" s="160">
        <f t="shared" si="113"/>
        <v>0</v>
      </c>
      <c r="L77" s="45">
        <f t="shared" si="113"/>
        <v>0</v>
      </c>
      <c r="M77" s="46">
        <f t="shared" si="113"/>
        <v>0</v>
      </c>
      <c r="N77" s="46">
        <f t="shared" si="113"/>
        <v>0</v>
      </c>
      <c r="O77" s="46">
        <f t="shared" si="113"/>
        <v>0</v>
      </c>
      <c r="P77" s="46">
        <f t="shared" si="113"/>
        <v>0</v>
      </c>
      <c r="Q77" s="116"/>
      <c r="R77" s="45">
        <f t="shared" ref="R77:BQ77" si="114">SUBTOTAL(9,R75:R76)</f>
        <v>0</v>
      </c>
      <c r="S77" s="45">
        <f t="shared" si="114"/>
        <v>0</v>
      </c>
      <c r="T77" s="46">
        <f t="shared" si="114"/>
        <v>0</v>
      </c>
      <c r="U77" s="46">
        <f t="shared" si="114"/>
        <v>0</v>
      </c>
      <c r="V77" s="46">
        <f t="shared" si="114"/>
        <v>0</v>
      </c>
      <c r="W77" s="46">
        <f t="shared" si="114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14"/>
        <v>0</v>
      </c>
      <c r="AH77" s="44">
        <f t="shared" si="114"/>
        <v>0</v>
      </c>
      <c r="AI77" s="44">
        <f t="shared" si="114"/>
        <v>0</v>
      </c>
      <c r="AJ77" s="45">
        <f t="shared" si="114"/>
        <v>0</v>
      </c>
      <c r="AK77" s="44">
        <f t="shared" si="114"/>
        <v>0</v>
      </c>
      <c r="AL77" s="44">
        <f t="shared" si="114"/>
        <v>0</v>
      </c>
      <c r="AM77" s="44">
        <f t="shared" si="114"/>
        <v>0</v>
      </c>
      <c r="AN77" s="44">
        <f t="shared" ref="AN77:AN102" si="115">+AM77+AL77+AJ77</f>
        <v>0</v>
      </c>
      <c r="AO77" s="49">
        <f t="shared" si="114"/>
        <v>0</v>
      </c>
      <c r="AP77" s="49">
        <f t="shared" si="114"/>
        <v>0</v>
      </c>
      <c r="AQ77" s="49">
        <f t="shared" si="114"/>
        <v>0</v>
      </c>
      <c r="AR77" s="49">
        <f t="shared" si="114"/>
        <v>0</v>
      </c>
      <c r="AS77" s="49">
        <f t="shared" si="114"/>
        <v>0</v>
      </c>
      <c r="AT77" s="49">
        <f t="shared" si="114"/>
        <v>0</v>
      </c>
      <c r="AU77" s="49">
        <f>SUBTOTAL(9,AU75:AU76)</f>
        <v>0</v>
      </c>
      <c r="AV77" s="49">
        <f t="shared" si="114"/>
        <v>0</v>
      </c>
      <c r="AW77" s="49">
        <f t="shared" si="114"/>
        <v>0</v>
      </c>
      <c r="AX77" s="49">
        <f t="shared" si="114"/>
        <v>0</v>
      </c>
      <c r="AY77" s="49">
        <f t="shared" si="114"/>
        <v>0</v>
      </c>
      <c r="AZ77" s="44">
        <f t="shared" si="114"/>
        <v>0</v>
      </c>
      <c r="BA77" s="48">
        <f t="shared" si="114"/>
        <v>0</v>
      </c>
      <c r="BB77" s="48">
        <f t="shared" si="114"/>
        <v>0</v>
      </c>
      <c r="BC77" s="44">
        <f t="shared" si="114"/>
        <v>0</v>
      </c>
      <c r="BD77" s="44">
        <f t="shared" si="114"/>
        <v>0</v>
      </c>
      <c r="BE77" s="49">
        <f t="shared" si="114"/>
        <v>0</v>
      </c>
      <c r="BF77" s="49">
        <f>SUBTOTAL(9,BF75:BF76)</f>
        <v>0</v>
      </c>
      <c r="BG77" s="49">
        <f t="shared" si="114"/>
        <v>0</v>
      </c>
      <c r="BH77" s="49">
        <f t="shared" si="114"/>
        <v>0</v>
      </c>
      <c r="BI77" s="49">
        <f t="shared" si="114"/>
        <v>0</v>
      </c>
      <c r="BJ77" s="49">
        <f t="shared" si="114"/>
        <v>0</v>
      </c>
      <c r="BK77" s="49">
        <f t="shared" si="114"/>
        <v>0</v>
      </c>
      <c r="BL77" s="49">
        <f t="shared" si="114"/>
        <v>0</v>
      </c>
      <c r="BM77" s="49">
        <f t="shared" si="114"/>
        <v>0</v>
      </c>
      <c r="BN77" s="49">
        <f t="shared" si="114"/>
        <v>0</v>
      </c>
      <c r="BO77" s="49">
        <f t="shared" si="114"/>
        <v>0</v>
      </c>
      <c r="BP77" s="49">
        <f t="shared" si="114"/>
        <v>0</v>
      </c>
      <c r="BQ77" s="49">
        <f t="shared" si="114"/>
        <v>0</v>
      </c>
      <c r="BR77" s="44">
        <f>SUBTOTAL(9,BR75:BR76)</f>
        <v>0</v>
      </c>
    </row>
    <row r="78" spans="1:97">
      <c r="A78" s="215">
        <f>+A75+1</f>
        <v>43458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 t="shared" si="115"/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" thickBot="1">
      <c r="A79" s="216"/>
      <c r="B79" s="16" t="s">
        <v>44</v>
      </c>
      <c r="C79" s="33"/>
      <c r="D79" s="34"/>
      <c r="E79" s="34"/>
      <c r="F79" s="35"/>
      <c r="G79" s="33">
        <f>IF(E79-D79&lt;0,E79-D79,0)*-1</f>
        <v>0</v>
      </c>
      <c r="H79" s="33">
        <f>IF(E79-D79&gt;0,E79-D79,0)</f>
        <v>0</v>
      </c>
      <c r="I79" s="34"/>
      <c r="J79" s="34"/>
      <c r="K79" s="34"/>
      <c r="L79" s="34"/>
      <c r="M79" s="36">
        <f>(+K79)*M$5</f>
        <v>0</v>
      </c>
      <c r="N79" s="36">
        <f>(+K79)*N$5</f>
        <v>0</v>
      </c>
      <c r="O79" s="36">
        <f>+K79-M79-N79+P79</f>
        <v>0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/>
      <c r="AF79" s="34"/>
      <c r="AG79" s="33">
        <f>(AF79*0.8)*0.85</f>
        <v>0</v>
      </c>
      <c r="AH79" s="33">
        <f>(AF79*0.8)*0.15</f>
        <v>0</v>
      </c>
      <c r="AI79" s="33">
        <f>AF79*0.2</f>
        <v>0</v>
      </c>
      <c r="AJ79" s="34"/>
      <c r="AK79" s="33">
        <f>(C79-AF79-AJ79)/1.12</f>
        <v>0</v>
      </c>
      <c r="AL79" s="33">
        <f>AK79-SUM(Y79:AC79)</f>
        <v>0</v>
      </c>
      <c r="AM79" s="33">
        <f>+AL79*0.12</f>
        <v>0</v>
      </c>
      <c r="AN79" s="33">
        <f t="shared" si="115"/>
        <v>0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" thickBot="1">
      <c r="A80" s="42"/>
      <c r="B80" s="43"/>
      <c r="C80" s="44">
        <f>SUBTOTAL(9,C78:C79)</f>
        <v>0</v>
      </c>
      <c r="D80" s="45">
        <f>SUBTOTAL(9,D78:D79)</f>
        <v>0</v>
      </c>
      <c r="E80" s="45">
        <f>SUBTOTAL(9,E78:E79)</f>
        <v>0</v>
      </c>
      <c r="F80" s="47"/>
      <c r="G80" s="45">
        <f t="shared" ref="G80:P80" si="116">SUBTOTAL(9,G78:G79)</f>
        <v>0</v>
      </c>
      <c r="H80" s="45">
        <f t="shared" si="116"/>
        <v>0</v>
      </c>
      <c r="I80" s="45"/>
      <c r="J80" s="45">
        <f t="shared" si="116"/>
        <v>0</v>
      </c>
      <c r="K80" s="160">
        <f t="shared" si="116"/>
        <v>0</v>
      </c>
      <c r="L80" s="45">
        <f t="shared" si="116"/>
        <v>0</v>
      </c>
      <c r="M80" s="46">
        <f t="shared" si="116"/>
        <v>0</v>
      </c>
      <c r="N80" s="46">
        <f t="shared" si="116"/>
        <v>0</v>
      </c>
      <c r="O80" s="46">
        <f t="shared" si="116"/>
        <v>0</v>
      </c>
      <c r="P80" s="46">
        <f t="shared" si="116"/>
        <v>0</v>
      </c>
      <c r="Q80" s="47"/>
      <c r="R80" s="45">
        <f t="shared" ref="R80:BQ80" si="117">SUBTOTAL(9,R78:R79)</f>
        <v>0</v>
      </c>
      <c r="S80" s="45">
        <f t="shared" si="117"/>
        <v>0</v>
      </c>
      <c r="T80" s="46">
        <f t="shared" si="117"/>
        <v>0</v>
      </c>
      <c r="U80" s="46">
        <f t="shared" si="117"/>
        <v>0</v>
      </c>
      <c r="V80" s="46">
        <f t="shared" si="117"/>
        <v>0</v>
      </c>
      <c r="W80" s="46">
        <f t="shared" si="117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17"/>
        <v>0</v>
      </c>
      <c r="AH80" s="44">
        <f t="shared" si="117"/>
        <v>0</v>
      </c>
      <c r="AI80" s="44">
        <f t="shared" si="117"/>
        <v>0</v>
      </c>
      <c r="AJ80" s="45">
        <f t="shared" si="117"/>
        <v>0</v>
      </c>
      <c r="AK80" s="44">
        <f t="shared" si="117"/>
        <v>0</v>
      </c>
      <c r="AL80" s="44">
        <f t="shared" si="117"/>
        <v>0</v>
      </c>
      <c r="AM80" s="44">
        <f t="shared" si="117"/>
        <v>0</v>
      </c>
      <c r="AN80" s="44">
        <f t="shared" si="115"/>
        <v>0</v>
      </c>
      <c r="AO80" s="49">
        <f t="shared" si="117"/>
        <v>0</v>
      </c>
      <c r="AP80" s="49">
        <f t="shared" si="117"/>
        <v>0</v>
      </c>
      <c r="AQ80" s="49">
        <f t="shared" si="117"/>
        <v>0</v>
      </c>
      <c r="AR80" s="49">
        <f t="shared" si="117"/>
        <v>0</v>
      </c>
      <c r="AS80" s="49">
        <f t="shared" si="117"/>
        <v>0</v>
      </c>
      <c r="AT80" s="49">
        <f t="shared" si="117"/>
        <v>0</v>
      </c>
      <c r="AU80" s="49">
        <f>SUBTOTAL(9,AU78:AU79)</f>
        <v>0</v>
      </c>
      <c r="AV80" s="49">
        <f t="shared" si="117"/>
        <v>0</v>
      </c>
      <c r="AW80" s="49">
        <f t="shared" si="117"/>
        <v>0</v>
      </c>
      <c r="AX80" s="49">
        <f t="shared" si="117"/>
        <v>0</v>
      </c>
      <c r="AY80" s="49">
        <f t="shared" si="117"/>
        <v>0</v>
      </c>
      <c r="AZ80" s="44">
        <f t="shared" si="117"/>
        <v>0</v>
      </c>
      <c r="BA80" s="48">
        <f t="shared" si="117"/>
        <v>0</v>
      </c>
      <c r="BB80" s="48">
        <f t="shared" si="117"/>
        <v>0</v>
      </c>
      <c r="BC80" s="44">
        <f t="shared" si="117"/>
        <v>0</v>
      </c>
      <c r="BD80" s="44">
        <f t="shared" si="117"/>
        <v>0</v>
      </c>
      <c r="BE80" s="49">
        <f t="shared" si="117"/>
        <v>0</v>
      </c>
      <c r="BF80" s="49">
        <f>SUBTOTAL(9,BF78:BF79)</f>
        <v>0</v>
      </c>
      <c r="BG80" s="49">
        <f t="shared" si="117"/>
        <v>0</v>
      </c>
      <c r="BH80" s="49">
        <f t="shared" si="117"/>
        <v>0</v>
      </c>
      <c r="BI80" s="49">
        <f t="shared" si="117"/>
        <v>0</v>
      </c>
      <c r="BJ80" s="49">
        <f t="shared" si="117"/>
        <v>0</v>
      </c>
      <c r="BK80" s="49">
        <f t="shared" si="117"/>
        <v>0</v>
      </c>
      <c r="BL80" s="49">
        <f t="shared" si="117"/>
        <v>0</v>
      </c>
      <c r="BM80" s="49">
        <f t="shared" si="117"/>
        <v>0</v>
      </c>
      <c r="BN80" s="49">
        <f t="shared" si="117"/>
        <v>0</v>
      </c>
      <c r="BO80" s="49">
        <f t="shared" si="117"/>
        <v>0</v>
      </c>
      <c r="BP80" s="49">
        <f t="shared" si="117"/>
        <v>0</v>
      </c>
      <c r="BQ80" s="49">
        <f t="shared" si="117"/>
        <v>0</v>
      </c>
      <c r="BR80" s="44">
        <f>SUBTOTAL(9,BR78:BR79)</f>
        <v>0</v>
      </c>
    </row>
    <row r="81" spans="1:97">
      <c r="A81" s="215">
        <f>+A78+1</f>
        <v>43459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>AK81-SUM(Y81:AC81)</f>
        <v>0</v>
      </c>
      <c r="AM81" s="33">
        <f>+AL81*0.12</f>
        <v>0</v>
      </c>
      <c r="AN81" s="33">
        <f t="shared" ref="AN81:AN82" si="118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" thickBot="1">
      <c r="A82" s="216"/>
      <c r="B82" s="16" t="s">
        <v>44</v>
      </c>
      <c r="C82" s="33"/>
      <c r="D82" s="34"/>
      <c r="E82" s="34"/>
      <c r="F82" s="35"/>
      <c r="G82" s="33">
        <f>IF(E82-D82&lt;0,E82-D82,0)*-1</f>
        <v>0</v>
      </c>
      <c r="H82" s="33">
        <f>IF(E82-D82&gt;0,E82-D82,0)</f>
        <v>0</v>
      </c>
      <c r="I82" s="34"/>
      <c r="J82" s="34"/>
      <c r="K82" s="34"/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/>
      <c r="AE82" s="38"/>
      <c r="AF82" s="34"/>
      <c r="AG82" s="33">
        <f>(AF82*0.8)*0.85</f>
        <v>0</v>
      </c>
      <c r="AH82" s="33">
        <f>(AF82*0.8)*0.15</f>
        <v>0</v>
      </c>
      <c r="AI82" s="33">
        <f>AF82*0.2</f>
        <v>0</v>
      </c>
      <c r="AJ82" s="34"/>
      <c r="AK82" s="33">
        <f>(C82-AF82-AJ82)/1.12</f>
        <v>0</v>
      </c>
      <c r="AL82" s="33">
        <f>AK82-SUM(Y82:AC82)</f>
        <v>0</v>
      </c>
      <c r="AM82" s="33">
        <f>+AL82*0.12</f>
        <v>0</v>
      </c>
      <c r="AN82" s="33">
        <f t="shared" si="118"/>
        <v>0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" thickBot="1">
      <c r="A83" s="42"/>
      <c r="B83" s="43"/>
      <c r="C83" s="44">
        <f>SUBTOTAL(9,C81:C82)</f>
        <v>0</v>
      </c>
      <c r="D83" s="45">
        <f>SUBTOTAL(9,D81:D82)</f>
        <v>0</v>
      </c>
      <c r="E83" s="45">
        <f>SUBTOTAL(9,E81:E82)</f>
        <v>0</v>
      </c>
      <c r="F83" s="47"/>
      <c r="G83" s="45">
        <f t="shared" ref="G83:P83" si="119">SUBTOTAL(9,G81:G82)</f>
        <v>0</v>
      </c>
      <c r="H83" s="45">
        <f t="shared" si="119"/>
        <v>0</v>
      </c>
      <c r="I83" s="45">
        <f t="shared" si="119"/>
        <v>0</v>
      </c>
      <c r="J83" s="45">
        <f t="shared" si="119"/>
        <v>0</v>
      </c>
      <c r="K83" s="160">
        <f t="shared" si="119"/>
        <v>0</v>
      </c>
      <c r="L83" s="45">
        <f t="shared" si="119"/>
        <v>0</v>
      </c>
      <c r="M83" s="46">
        <f t="shared" si="119"/>
        <v>0</v>
      </c>
      <c r="N83" s="46">
        <f t="shared" si="119"/>
        <v>0</v>
      </c>
      <c r="O83" s="46">
        <f t="shared" si="119"/>
        <v>0</v>
      </c>
      <c r="P83" s="46">
        <f t="shared" si="119"/>
        <v>0</v>
      </c>
      <c r="Q83" s="47"/>
      <c r="R83" s="45">
        <f t="shared" ref="R83:BQ83" si="120">SUBTOTAL(9,R81:R82)</f>
        <v>0</v>
      </c>
      <c r="S83" s="45">
        <f t="shared" si="120"/>
        <v>0</v>
      </c>
      <c r="T83" s="46">
        <f t="shared" si="120"/>
        <v>0</v>
      </c>
      <c r="U83" s="46">
        <f t="shared" si="120"/>
        <v>0</v>
      </c>
      <c r="V83" s="46">
        <f t="shared" si="120"/>
        <v>0</v>
      </c>
      <c r="W83" s="46">
        <f t="shared" si="120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20"/>
        <v>0</v>
      </c>
      <c r="AH83" s="44">
        <f t="shared" si="120"/>
        <v>0</v>
      </c>
      <c r="AI83" s="44">
        <f t="shared" si="120"/>
        <v>0</v>
      </c>
      <c r="AJ83" s="45">
        <f t="shared" si="120"/>
        <v>0</v>
      </c>
      <c r="AK83" s="44">
        <f t="shared" si="120"/>
        <v>0</v>
      </c>
      <c r="AL83" s="44">
        <f t="shared" si="120"/>
        <v>0</v>
      </c>
      <c r="AM83" s="44">
        <f t="shared" si="120"/>
        <v>0</v>
      </c>
      <c r="AN83" s="44">
        <f t="shared" si="115"/>
        <v>0</v>
      </c>
      <c r="AO83" s="49">
        <f t="shared" si="120"/>
        <v>0</v>
      </c>
      <c r="AP83" s="49">
        <f t="shared" si="120"/>
        <v>0</v>
      </c>
      <c r="AQ83" s="49">
        <f t="shared" si="120"/>
        <v>0</v>
      </c>
      <c r="AR83" s="49">
        <f t="shared" si="120"/>
        <v>0</v>
      </c>
      <c r="AS83" s="49">
        <f t="shared" si="120"/>
        <v>0</v>
      </c>
      <c r="AT83" s="49">
        <f t="shared" si="120"/>
        <v>0</v>
      </c>
      <c r="AU83" s="49">
        <f>SUBTOTAL(9,AU81:AU82)</f>
        <v>0</v>
      </c>
      <c r="AV83" s="49">
        <f t="shared" si="120"/>
        <v>0</v>
      </c>
      <c r="AW83" s="49">
        <f t="shared" si="120"/>
        <v>0</v>
      </c>
      <c r="AX83" s="49">
        <f t="shared" si="120"/>
        <v>0</v>
      </c>
      <c r="AY83" s="49">
        <f t="shared" si="120"/>
        <v>0</v>
      </c>
      <c r="AZ83" s="44">
        <f t="shared" si="120"/>
        <v>0</v>
      </c>
      <c r="BA83" s="48" t="s">
        <v>1</v>
      </c>
      <c r="BB83" s="48">
        <f t="shared" si="120"/>
        <v>0</v>
      </c>
      <c r="BC83" s="44">
        <f t="shared" si="120"/>
        <v>0</v>
      </c>
      <c r="BD83" s="44">
        <f t="shared" si="120"/>
        <v>0</v>
      </c>
      <c r="BE83" s="49">
        <f t="shared" si="120"/>
        <v>0</v>
      </c>
      <c r="BF83" s="49">
        <f>SUBTOTAL(9,BF81:BF82)</f>
        <v>0</v>
      </c>
      <c r="BG83" s="49"/>
      <c r="BH83" s="49">
        <f t="shared" si="120"/>
        <v>0</v>
      </c>
      <c r="BI83" s="49">
        <f t="shared" si="120"/>
        <v>0</v>
      </c>
      <c r="BJ83" s="49">
        <f t="shared" si="120"/>
        <v>0</v>
      </c>
      <c r="BK83" s="49">
        <f t="shared" si="120"/>
        <v>0</v>
      </c>
      <c r="BL83" s="49">
        <f t="shared" si="120"/>
        <v>0</v>
      </c>
      <c r="BM83" s="49">
        <f t="shared" si="120"/>
        <v>0</v>
      </c>
      <c r="BN83" s="49">
        <f t="shared" si="120"/>
        <v>0</v>
      </c>
      <c r="BO83" s="49">
        <f t="shared" si="120"/>
        <v>0</v>
      </c>
      <c r="BP83" s="49">
        <f t="shared" si="120"/>
        <v>0</v>
      </c>
      <c r="BQ83" s="49">
        <f t="shared" si="120"/>
        <v>0</v>
      </c>
      <c r="BR83" s="44">
        <f>SUBTOTAL(9,BR81:BR82)</f>
        <v>0</v>
      </c>
    </row>
    <row r="84" spans="1:97">
      <c r="A84" s="215">
        <f>+A81+1</f>
        <v>43460</v>
      </c>
      <c r="B84" s="32" t="s">
        <v>43</v>
      </c>
      <c r="C84" s="33">
        <v>16545.87</v>
      </c>
      <c r="D84" s="34">
        <v>10985.39</v>
      </c>
      <c r="E84" s="34">
        <v>10985</v>
      </c>
      <c r="F84" s="35">
        <v>43460</v>
      </c>
      <c r="G84" s="33">
        <f>IF(E84-D84&lt;0,E84-D84,0)*-1</f>
        <v>0.38999999999941792</v>
      </c>
      <c r="H84" s="33">
        <f>IF(E84-D84&gt;0,E84-D84,0)</f>
        <v>0</v>
      </c>
      <c r="I84" s="34"/>
      <c r="J84" s="34"/>
      <c r="K84" s="34">
        <v>3638.37</v>
      </c>
      <c r="L84" s="34"/>
      <c r="M84" s="36">
        <f>(+K84)*M$5</f>
        <v>78.224954999999994</v>
      </c>
      <c r="N84" s="36">
        <f>(+K84)*N$5</f>
        <v>18.191849999999999</v>
      </c>
      <c r="O84" s="36">
        <f>+K84-M84-N84+P84</f>
        <v>3541.9531949999996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v>11.75</v>
      </c>
      <c r="AA84" s="34"/>
      <c r="AB84" s="34"/>
      <c r="AC84" s="34">
        <v>171.76</v>
      </c>
      <c r="AD84" s="38" t="s">
        <v>138</v>
      </c>
      <c r="AE84" s="38">
        <v>1738</v>
      </c>
      <c r="AF84" s="34">
        <v>1147.93</v>
      </c>
      <c r="AG84" s="33">
        <f>(AF84*0.8)*0.85</f>
        <v>780.5924</v>
      </c>
      <c r="AH84" s="33">
        <f>(AF84*0.8)*0.15</f>
        <v>137.7516</v>
      </c>
      <c r="AI84" s="33">
        <f>AF84*0.2</f>
        <v>229.58600000000001</v>
      </c>
      <c r="AJ84" s="34"/>
      <c r="AK84" s="33">
        <f>(C84-AF84-AJ84)/1.12</f>
        <v>13748.160714285712</v>
      </c>
      <c r="AL84" s="33">
        <f>AK84-SUM(Y84:AC84)</f>
        <v>13564.650714285712</v>
      </c>
      <c r="AM84" s="33">
        <f>+AL84*0.12</f>
        <v>1627.7580857142852</v>
      </c>
      <c r="AN84" s="33">
        <f t="shared" si="115"/>
        <v>15192.408799999997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" thickBot="1">
      <c r="A85" s="216"/>
      <c r="B85" s="15" t="s">
        <v>44</v>
      </c>
      <c r="C85" s="33">
        <v>9387.85</v>
      </c>
      <c r="D85" s="34">
        <v>4769.99</v>
      </c>
      <c r="E85" s="34">
        <v>4770</v>
      </c>
      <c r="F85" s="35">
        <v>43461</v>
      </c>
      <c r="G85" s="33">
        <f>IF(E85-D85&lt;0,E85-D85,0)*-1</f>
        <v>0</v>
      </c>
      <c r="H85" s="33">
        <f>IF(E85-D85&gt;0,E85-D85,0)</f>
        <v>1.0000000000218279E-2</v>
      </c>
      <c r="I85" s="34"/>
      <c r="J85" s="34"/>
      <c r="K85" s="34">
        <v>2047.86</v>
      </c>
      <c r="L85" s="34"/>
      <c r="M85" s="36">
        <f>(+K85)*M$5</f>
        <v>44.028989999999993</v>
      </c>
      <c r="N85" s="36">
        <f>(+K85)*N$5</f>
        <v>10.2393</v>
      </c>
      <c r="O85" s="36">
        <f>+K85-M85-N85+P85</f>
        <v>1993.5917099999999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39</v>
      </c>
      <c r="AA85" s="34"/>
      <c r="AB85" s="34"/>
      <c r="AC85" s="34"/>
      <c r="AD85" s="38" t="s">
        <v>138</v>
      </c>
      <c r="AE85" s="38">
        <v>2531</v>
      </c>
      <c r="AF85" s="34">
        <v>558.85</v>
      </c>
      <c r="AG85" s="33">
        <f>(AF85*0.8)*0.85</f>
        <v>380.01800000000003</v>
      </c>
      <c r="AH85" s="33">
        <f>(AF85*0.8)*0.15</f>
        <v>67.061999999999998</v>
      </c>
      <c r="AI85" s="33">
        <f>AF85*0.2</f>
        <v>111.77000000000001</v>
      </c>
      <c r="AJ85" s="34"/>
      <c r="AK85" s="33">
        <f>(C85-AF85-AJ85)/1.12</f>
        <v>7883.0357142857138</v>
      </c>
      <c r="AL85" s="33">
        <f>AK85-SUM(Y85:AC85)</f>
        <v>7844.0357142857138</v>
      </c>
      <c r="AM85" s="33">
        <f>+AL85*0.12</f>
        <v>941.2842857142856</v>
      </c>
      <c r="AN85" s="33">
        <f t="shared" si="115"/>
        <v>8785.32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" thickBot="1">
      <c r="A86" s="42"/>
      <c r="B86" s="43"/>
      <c r="C86" s="44">
        <f>SUBTOTAL(9,C84:C85)</f>
        <v>25933.72</v>
      </c>
      <c r="D86" s="45">
        <f>SUBTOTAL(9,D84:D85)</f>
        <v>15755.38</v>
      </c>
      <c r="E86" s="45">
        <f>SUBTOTAL(9,E84:E85)</f>
        <v>15755</v>
      </c>
      <c r="F86" s="47"/>
      <c r="G86" s="45">
        <f t="shared" ref="G86:P86" si="121">SUBTOTAL(9,G84:G85)</f>
        <v>0.38999999999941792</v>
      </c>
      <c r="H86" s="45">
        <f t="shared" si="121"/>
        <v>1.0000000000218279E-2</v>
      </c>
      <c r="I86" s="45">
        <f t="shared" si="121"/>
        <v>0</v>
      </c>
      <c r="J86" s="45">
        <f t="shared" si="121"/>
        <v>0</v>
      </c>
      <c r="K86" s="160">
        <f t="shared" si="121"/>
        <v>5686.23</v>
      </c>
      <c r="L86" s="45">
        <f t="shared" si="121"/>
        <v>0</v>
      </c>
      <c r="M86" s="46">
        <f t="shared" si="121"/>
        <v>122.25394499999999</v>
      </c>
      <c r="N86" s="46">
        <f t="shared" si="121"/>
        <v>28.431149999999999</v>
      </c>
      <c r="O86" s="46">
        <f t="shared" si="121"/>
        <v>5535.5449049999997</v>
      </c>
      <c r="P86" s="46">
        <f t="shared" si="121"/>
        <v>0</v>
      </c>
      <c r="Q86" s="47"/>
      <c r="R86" s="45">
        <f t="shared" ref="R86:BQ86" si="122">SUBTOTAL(9,R84:R85)</f>
        <v>0</v>
      </c>
      <c r="S86" s="45">
        <f t="shared" si="122"/>
        <v>0</v>
      </c>
      <c r="T86" s="46">
        <f t="shared" si="122"/>
        <v>0</v>
      </c>
      <c r="U86" s="46">
        <f t="shared" si="122"/>
        <v>0</v>
      </c>
      <c r="V86" s="46">
        <f t="shared" si="122"/>
        <v>0</v>
      </c>
      <c r="W86" s="46">
        <f t="shared" si="122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22"/>
        <v>1160.6104</v>
      </c>
      <c r="AH86" s="44">
        <f t="shared" si="122"/>
        <v>204.81360000000001</v>
      </c>
      <c r="AI86" s="44">
        <f t="shared" si="122"/>
        <v>341.35599999999999</v>
      </c>
      <c r="AJ86" s="45">
        <f t="shared" si="122"/>
        <v>0</v>
      </c>
      <c r="AK86" s="44">
        <f t="shared" si="122"/>
        <v>21631.196428571428</v>
      </c>
      <c r="AL86" s="44">
        <f t="shared" si="122"/>
        <v>21408.686428571425</v>
      </c>
      <c r="AM86" s="44">
        <f t="shared" si="122"/>
        <v>2569.0423714285707</v>
      </c>
      <c r="AN86" s="44">
        <f t="shared" si="115"/>
        <v>23977.728799999997</v>
      </c>
      <c r="AO86" s="49">
        <f t="shared" si="122"/>
        <v>0</v>
      </c>
      <c r="AP86" s="49">
        <f t="shared" si="122"/>
        <v>0</v>
      </c>
      <c r="AQ86" s="49">
        <f t="shared" si="122"/>
        <v>0</v>
      </c>
      <c r="AR86" s="49">
        <f t="shared" si="122"/>
        <v>0</v>
      </c>
      <c r="AS86" s="49">
        <f t="shared" si="122"/>
        <v>0</v>
      </c>
      <c r="AT86" s="49">
        <f t="shared" si="122"/>
        <v>0</v>
      </c>
      <c r="AU86" s="49">
        <f>SUBTOTAL(9,AU84:AU85)</f>
        <v>0</v>
      </c>
      <c r="AV86" s="49">
        <f t="shared" si="122"/>
        <v>0</v>
      </c>
      <c r="AW86" s="49">
        <f t="shared" si="122"/>
        <v>0</v>
      </c>
      <c r="AX86" s="49">
        <f t="shared" si="122"/>
        <v>0</v>
      </c>
      <c r="AY86" s="49">
        <f t="shared" si="122"/>
        <v>0</v>
      </c>
      <c r="AZ86" s="44">
        <f t="shared" si="122"/>
        <v>0</v>
      </c>
      <c r="BA86" s="48">
        <f t="shared" si="122"/>
        <v>0</v>
      </c>
      <c r="BB86" s="48">
        <f t="shared" si="122"/>
        <v>0</v>
      </c>
      <c r="BC86" s="44">
        <f t="shared" si="122"/>
        <v>0</v>
      </c>
      <c r="BD86" s="44">
        <f t="shared" si="122"/>
        <v>0</v>
      </c>
      <c r="BE86" s="49">
        <f t="shared" si="122"/>
        <v>0</v>
      </c>
      <c r="BF86" s="49">
        <f>SUBTOTAL(9,BF84:BF85)</f>
        <v>0</v>
      </c>
      <c r="BG86" s="49">
        <f t="shared" si="122"/>
        <v>0</v>
      </c>
      <c r="BH86" s="49">
        <f t="shared" si="122"/>
        <v>0</v>
      </c>
      <c r="BI86" s="49">
        <f t="shared" si="122"/>
        <v>0</v>
      </c>
      <c r="BJ86" s="49">
        <f t="shared" si="122"/>
        <v>0</v>
      </c>
      <c r="BK86" s="49">
        <f t="shared" si="122"/>
        <v>0</v>
      </c>
      <c r="BL86" s="49">
        <f t="shared" si="122"/>
        <v>0</v>
      </c>
      <c r="BM86" s="49">
        <f t="shared" si="122"/>
        <v>0</v>
      </c>
      <c r="BN86" s="49">
        <f t="shared" si="122"/>
        <v>0</v>
      </c>
      <c r="BO86" s="49">
        <f t="shared" si="122"/>
        <v>0</v>
      </c>
      <c r="BP86" s="49">
        <f t="shared" si="122"/>
        <v>0</v>
      </c>
      <c r="BQ86" s="49">
        <f t="shared" si="122"/>
        <v>0</v>
      </c>
      <c r="BR86" s="44">
        <f>SUBTOTAL(9,BR84:BR85)</f>
        <v>0</v>
      </c>
    </row>
    <row r="87" spans="1:97">
      <c r="A87" s="215">
        <f>+A84+1</f>
        <v>43461</v>
      </c>
      <c r="B87" s="15" t="s">
        <v>43</v>
      </c>
      <c r="C87" s="33">
        <v>17606.75</v>
      </c>
      <c r="D87" s="34">
        <v>12588.37</v>
      </c>
      <c r="E87" s="34">
        <v>12588</v>
      </c>
      <c r="F87" s="35">
        <v>43461</v>
      </c>
      <c r="G87" s="33">
        <f>IF(E87-D87&lt;0,E87-D87,0)*-1</f>
        <v>0.37000000000080036</v>
      </c>
      <c r="H87" s="33">
        <f>IF(E87-D87&gt;0,E87-D87,0)</f>
        <v>0</v>
      </c>
      <c r="I87" s="34"/>
      <c r="J87" s="34"/>
      <c r="K87" s="34">
        <v>4072.84</v>
      </c>
      <c r="L87" s="34"/>
      <c r="M87" s="36">
        <f>(+K87)*M$5</f>
        <v>87.566059999999993</v>
      </c>
      <c r="N87" s="36">
        <f>(+K87)*N$5</f>
        <v>20.3642</v>
      </c>
      <c r="O87" s="36">
        <f>+K87-M87-N87+P87</f>
        <v>3964.9097400000001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f>106+50.25</f>
        <v>156.25</v>
      </c>
      <c r="AA87" s="34">
        <v>13.5</v>
      </c>
      <c r="AB87" s="34"/>
      <c r="AC87" s="34">
        <v>114.29</v>
      </c>
      <c r="AD87" s="38" t="s">
        <v>138</v>
      </c>
      <c r="AE87" s="38">
        <v>661.5</v>
      </c>
      <c r="AF87" s="34">
        <v>1335.32</v>
      </c>
      <c r="AG87" s="33">
        <f>(AF87*0.8)*0.85</f>
        <v>908.01760000000002</v>
      </c>
      <c r="AH87" s="33">
        <f>(AF87*0.8)*0.15</f>
        <v>160.23840000000001</v>
      </c>
      <c r="AI87" s="33">
        <f>AF87*0.2</f>
        <v>267.06400000000002</v>
      </c>
      <c r="AJ87" s="34"/>
      <c r="AK87" s="33">
        <f>(C87-AF87-AJ87)/1.12</f>
        <v>14528.062499999998</v>
      </c>
      <c r="AL87" s="33">
        <f>AK87-SUM(Y87:AC87)</f>
        <v>14244.022499999997</v>
      </c>
      <c r="AM87" s="33">
        <f>+AL87*0.12</f>
        <v>1709.2826999999995</v>
      </c>
      <c r="AN87" s="33">
        <f t="shared" ref="AN87:AN88" si="123">+AM87+AL87+AJ87</f>
        <v>15953.305199999997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" thickBot="1">
      <c r="A88" s="216"/>
      <c r="B88" s="15" t="s">
        <v>44</v>
      </c>
      <c r="C88" s="33">
        <v>25329.58</v>
      </c>
      <c r="D88" s="34">
        <v>14667.28</v>
      </c>
      <c r="E88" s="34">
        <v>14667</v>
      </c>
      <c r="F88" s="35">
        <v>43462</v>
      </c>
      <c r="G88" s="33">
        <f>IF(E88-D88&lt;0,E88-D88,0)*-1</f>
        <v>0.28000000000065484</v>
      </c>
      <c r="H88" s="33">
        <f>IF(E88-D88&gt;0,E88-D88,0)</f>
        <v>0</v>
      </c>
      <c r="I88" s="34">
        <v>3500</v>
      </c>
      <c r="J88" s="34"/>
      <c r="K88" s="34">
        <v>5171.38</v>
      </c>
      <c r="L88" s="34"/>
      <c r="M88" s="36">
        <f>(+K88)*M$5</f>
        <v>111.18467</v>
      </c>
      <c r="N88" s="36">
        <f>(+K88)*N$5</f>
        <v>25.8569</v>
      </c>
      <c r="O88" s="36">
        <f>+K88-M88-N88+P88</f>
        <v>5034.3384300000007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f>461+185</f>
        <v>646</v>
      </c>
      <c r="AA88" s="34">
        <v>76.5</v>
      </c>
      <c r="AB88" s="34"/>
      <c r="AC88" s="34">
        <v>242.42</v>
      </c>
      <c r="AD88" s="38" t="s">
        <v>138</v>
      </c>
      <c r="AE88" s="38">
        <v>1026</v>
      </c>
      <c r="AF88" s="34">
        <v>1548.02</v>
      </c>
      <c r="AG88" s="33">
        <f>(AF88*0.8)*0.85</f>
        <v>1052.6536000000001</v>
      </c>
      <c r="AH88" s="33">
        <f>(AF88*0.8)*0.15</f>
        <v>185.76240000000001</v>
      </c>
      <c r="AI88" s="33">
        <f>AF88*0.2</f>
        <v>309.60400000000004</v>
      </c>
      <c r="AJ88" s="34"/>
      <c r="AK88" s="33">
        <f>(C88-AF88-AJ88)/1.12</f>
        <v>21233.535714285714</v>
      </c>
      <c r="AL88" s="33">
        <f>AK88-SUM(Y88:AC88)</f>
        <v>20268.615714285716</v>
      </c>
      <c r="AM88" s="33">
        <f>+AL88*0.12</f>
        <v>2432.2338857142859</v>
      </c>
      <c r="AN88" s="33">
        <f t="shared" si="123"/>
        <v>22700.849600000001</v>
      </c>
      <c r="AO88" s="39"/>
      <c r="AP88" s="40"/>
      <c r="AQ88" s="40">
        <v>110</v>
      </c>
      <c r="AR88" s="40">
        <v>520</v>
      </c>
      <c r="AS88" s="40"/>
      <c r="AT88" s="40"/>
      <c r="AU88" s="40"/>
      <c r="AV88" s="40"/>
      <c r="AW88" s="40"/>
      <c r="AX88" s="40"/>
      <c r="AY88" s="40"/>
      <c r="AZ88" s="33">
        <f>SUM(AO88:AY88)</f>
        <v>630</v>
      </c>
      <c r="BA88" s="38"/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630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" thickBot="1">
      <c r="A89" s="42"/>
      <c r="B89" s="43"/>
      <c r="C89" s="44">
        <f>SUBTOTAL(9,C87:C88)</f>
        <v>42936.33</v>
      </c>
      <c r="D89" s="45">
        <f>SUBTOTAL(9,D87:D88)</f>
        <v>27255.65</v>
      </c>
      <c r="E89" s="45">
        <f>SUBTOTAL(9,E87:E88)</f>
        <v>27255</v>
      </c>
      <c r="F89" s="47"/>
      <c r="G89" s="45">
        <f t="shared" ref="G89:P89" si="124">SUBTOTAL(9,G87:G88)</f>
        <v>0.65000000000145519</v>
      </c>
      <c r="H89" s="45">
        <f t="shared" si="124"/>
        <v>0</v>
      </c>
      <c r="I89" s="45">
        <f t="shared" si="124"/>
        <v>3500</v>
      </c>
      <c r="J89" s="45">
        <f t="shared" si="124"/>
        <v>0</v>
      </c>
      <c r="K89" s="160">
        <f t="shared" si="124"/>
        <v>9244.2200000000012</v>
      </c>
      <c r="L89" s="45">
        <f t="shared" si="124"/>
        <v>0</v>
      </c>
      <c r="M89" s="46">
        <f t="shared" si="124"/>
        <v>198.75072999999998</v>
      </c>
      <c r="N89" s="46">
        <f t="shared" si="124"/>
        <v>46.2211</v>
      </c>
      <c r="O89" s="46">
        <f t="shared" si="124"/>
        <v>8999.2481700000008</v>
      </c>
      <c r="P89" s="46">
        <f t="shared" si="124"/>
        <v>0</v>
      </c>
      <c r="Q89" s="47"/>
      <c r="R89" s="45">
        <f t="shared" ref="R89:BQ89" si="125">SUBTOTAL(9,R87:R88)</f>
        <v>0</v>
      </c>
      <c r="S89" s="45">
        <f t="shared" si="125"/>
        <v>0</v>
      </c>
      <c r="T89" s="46">
        <f t="shared" si="125"/>
        <v>0</v>
      </c>
      <c r="U89" s="46">
        <f t="shared" si="125"/>
        <v>0</v>
      </c>
      <c r="V89" s="46">
        <f t="shared" si="125"/>
        <v>0</v>
      </c>
      <c r="W89" s="46">
        <f t="shared" si="125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25"/>
        <v>1960.6712000000002</v>
      </c>
      <c r="AH89" s="44">
        <f t="shared" si="125"/>
        <v>346.00080000000003</v>
      </c>
      <c r="AI89" s="44">
        <f t="shared" si="125"/>
        <v>576.66800000000012</v>
      </c>
      <c r="AJ89" s="45">
        <f t="shared" si="125"/>
        <v>0</v>
      </c>
      <c r="AK89" s="44">
        <f t="shared" si="125"/>
        <v>35761.59821428571</v>
      </c>
      <c r="AL89" s="44">
        <f t="shared" si="125"/>
        <v>34512.638214285711</v>
      </c>
      <c r="AM89" s="44">
        <f t="shared" si="125"/>
        <v>4141.5165857142856</v>
      </c>
      <c r="AN89" s="44">
        <f t="shared" si="115"/>
        <v>38654.154799999997</v>
      </c>
      <c r="AO89" s="49">
        <f t="shared" si="125"/>
        <v>0</v>
      </c>
      <c r="AP89" s="49">
        <f t="shared" si="125"/>
        <v>0</v>
      </c>
      <c r="AQ89" s="49">
        <f t="shared" si="125"/>
        <v>110</v>
      </c>
      <c r="AR89" s="49">
        <f t="shared" si="125"/>
        <v>520</v>
      </c>
      <c r="AS89" s="49">
        <f t="shared" si="125"/>
        <v>0</v>
      </c>
      <c r="AT89" s="49">
        <f t="shared" si="125"/>
        <v>0</v>
      </c>
      <c r="AU89" s="49">
        <f>SUBTOTAL(9,AU87:AU88)</f>
        <v>0</v>
      </c>
      <c r="AV89" s="49">
        <f t="shared" si="125"/>
        <v>0</v>
      </c>
      <c r="AW89" s="49">
        <f t="shared" si="125"/>
        <v>0</v>
      </c>
      <c r="AX89" s="49">
        <f t="shared" si="125"/>
        <v>0</v>
      </c>
      <c r="AY89" s="49">
        <f t="shared" si="125"/>
        <v>0</v>
      </c>
      <c r="AZ89" s="44">
        <f t="shared" si="125"/>
        <v>630</v>
      </c>
      <c r="BA89" s="48">
        <f t="shared" si="125"/>
        <v>0</v>
      </c>
      <c r="BB89" s="48">
        <f t="shared" si="125"/>
        <v>0</v>
      </c>
      <c r="BC89" s="44">
        <f t="shared" si="125"/>
        <v>0</v>
      </c>
      <c r="BD89" s="44">
        <f t="shared" si="125"/>
        <v>0</v>
      </c>
      <c r="BE89" s="49">
        <f t="shared" si="125"/>
        <v>0</v>
      </c>
      <c r="BF89" s="49">
        <f>SUBTOTAL(9,BF87:BF88)</f>
        <v>0</v>
      </c>
      <c r="BG89" s="49">
        <f t="shared" si="125"/>
        <v>0</v>
      </c>
      <c r="BH89" s="49">
        <f t="shared" si="125"/>
        <v>0</v>
      </c>
      <c r="BI89" s="49">
        <f t="shared" si="125"/>
        <v>0</v>
      </c>
      <c r="BJ89" s="49">
        <f t="shared" si="125"/>
        <v>0</v>
      </c>
      <c r="BK89" s="49">
        <f t="shared" si="125"/>
        <v>0</v>
      </c>
      <c r="BL89" s="49">
        <f t="shared" si="125"/>
        <v>0</v>
      </c>
      <c r="BM89" s="49">
        <f t="shared" si="125"/>
        <v>0</v>
      </c>
      <c r="BN89" s="49">
        <f t="shared" si="125"/>
        <v>0</v>
      </c>
      <c r="BO89" s="49">
        <f t="shared" si="125"/>
        <v>0</v>
      </c>
      <c r="BP89" s="49">
        <f t="shared" si="125"/>
        <v>0</v>
      </c>
      <c r="BQ89" s="49">
        <f t="shared" si="125"/>
        <v>0</v>
      </c>
      <c r="BR89" s="44">
        <f>SUBTOTAL(9,BR87:BR88)</f>
        <v>630</v>
      </c>
    </row>
    <row r="90" spans="1:97">
      <c r="A90" s="215">
        <f>+A87+1</f>
        <v>43462</v>
      </c>
      <c r="B90" s="16" t="s">
        <v>43</v>
      </c>
      <c r="C90" s="33">
        <v>28569.1</v>
      </c>
      <c r="D90" s="34">
        <v>20774.14</v>
      </c>
      <c r="E90" s="34">
        <v>20780</v>
      </c>
      <c r="F90" s="35">
        <v>43462</v>
      </c>
      <c r="G90" s="33">
        <f>IF(E90-D90&lt;0,E90-D90,0)*-1</f>
        <v>0</v>
      </c>
      <c r="H90" s="33">
        <f>IF(E90-D90&gt;0,E90-D90,0)</f>
        <v>5.8600000000005821</v>
      </c>
      <c r="I90" s="34"/>
      <c r="J90" s="34"/>
      <c r="K90" s="34">
        <v>4912.67</v>
      </c>
      <c r="L90" s="34"/>
      <c r="M90" s="36">
        <f>(+K90)*M$5</f>
        <v>105.62240499999999</v>
      </c>
      <c r="N90" s="36">
        <f>(+K90)*N$5</f>
        <v>24.56335</v>
      </c>
      <c r="O90" s="36">
        <f>+K90-M90-N90+P90</f>
        <v>4782.4842449999996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v>133</v>
      </c>
      <c r="AA90" s="34"/>
      <c r="AB90" s="34"/>
      <c r="AC90" s="34">
        <v>189.29</v>
      </c>
      <c r="AD90" s="38" t="s">
        <v>138</v>
      </c>
      <c r="AE90" s="38">
        <v>2560</v>
      </c>
      <c r="AF90" s="34">
        <v>1867.67</v>
      </c>
      <c r="AG90" s="33">
        <f>(AF90*0.8)*0.85</f>
        <v>1270.0156000000002</v>
      </c>
      <c r="AH90" s="33">
        <f>(AF90*0.8)*0.15</f>
        <v>224.12040000000002</v>
      </c>
      <c r="AI90" s="33">
        <f>AF90*0.2</f>
        <v>373.53400000000005</v>
      </c>
      <c r="AJ90" s="34"/>
      <c r="AK90" s="33">
        <f>(C90-AF90-AJ90)/1.12</f>
        <v>23840.562499999996</v>
      </c>
      <c r="AL90" s="33">
        <f>AK90-SUM(Y90:AC90)</f>
        <v>23518.272499999995</v>
      </c>
      <c r="AM90" s="33">
        <f>+AL90*0.12</f>
        <v>2822.1926999999991</v>
      </c>
      <c r="AN90" s="33">
        <f t="shared" si="115"/>
        <v>26340.465199999995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" thickBot="1">
      <c r="A91" s="216"/>
      <c r="B91" s="16" t="s">
        <v>44</v>
      </c>
      <c r="C91" s="33">
        <v>14915.08</v>
      </c>
      <c r="D91" s="34">
        <v>11774.72</v>
      </c>
      <c r="E91" s="34">
        <v>11775</v>
      </c>
      <c r="F91" s="35">
        <v>43467</v>
      </c>
      <c r="G91" s="33">
        <f>IF(E91-D91&lt;0,E91-D91,0)*-1</f>
        <v>0</v>
      </c>
      <c r="H91" s="33">
        <f>IF(E91-D91&gt;0,E91-D91,0)</f>
        <v>0.28000000000065484</v>
      </c>
      <c r="I91" s="34">
        <v>200</v>
      </c>
      <c r="J91" s="34"/>
      <c r="K91" s="34">
        <v>1421.52</v>
      </c>
      <c r="L91" s="34"/>
      <c r="M91" s="36">
        <f>(+K91)*M$5</f>
        <v>30.562679999999997</v>
      </c>
      <c r="N91" s="36">
        <f>(+K91)*N$5</f>
        <v>7.1075999999999997</v>
      </c>
      <c r="O91" s="36">
        <f>+K91-M91-N91+P91</f>
        <v>1383.8497199999999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>
        <v>88.84</v>
      </c>
      <c r="AD91" s="38" t="s">
        <v>138</v>
      </c>
      <c r="AE91" s="38">
        <v>1430</v>
      </c>
      <c r="AF91" s="34">
        <v>1013.38</v>
      </c>
      <c r="AG91" s="33">
        <f>(AF91*0.8)*0.85</f>
        <v>689.09840000000008</v>
      </c>
      <c r="AH91" s="33">
        <f>(AF91*0.8)*0.15</f>
        <v>121.60560000000001</v>
      </c>
      <c r="AI91" s="33">
        <f>AF91*0.2</f>
        <v>202.67600000000002</v>
      </c>
      <c r="AJ91" s="34"/>
      <c r="AK91" s="33">
        <f>(C91-AF91-AJ91)/1.12</f>
        <v>12412.232142857143</v>
      </c>
      <c r="AL91" s="33">
        <f>AK91-SUM(Y91:AC91)</f>
        <v>12323.392142857143</v>
      </c>
      <c r="AM91" s="33">
        <f>+AL91*0.12</f>
        <v>1478.807057142857</v>
      </c>
      <c r="AN91" s="33">
        <f t="shared" si="115"/>
        <v>13802.199199999999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" thickBot="1">
      <c r="A92" s="42"/>
      <c r="B92" s="43"/>
      <c r="C92" s="44">
        <f>SUBTOTAL(9,C90:C91)</f>
        <v>43484.18</v>
      </c>
      <c r="D92" s="45">
        <f>SUBTOTAL(9,D90:D91)</f>
        <v>32548.86</v>
      </c>
      <c r="E92" s="45">
        <f>SUBTOTAL(9,E90:E91)</f>
        <v>32555</v>
      </c>
      <c r="F92" s="47"/>
      <c r="G92" s="45">
        <f t="shared" ref="G92:P92" si="126">SUBTOTAL(9,G90:G91)</f>
        <v>0</v>
      </c>
      <c r="H92" s="45">
        <f t="shared" si="126"/>
        <v>6.1400000000012369</v>
      </c>
      <c r="I92" s="45">
        <f t="shared" si="126"/>
        <v>200</v>
      </c>
      <c r="J92" s="45">
        <f t="shared" si="126"/>
        <v>0</v>
      </c>
      <c r="K92" s="160">
        <f t="shared" si="126"/>
        <v>6334.1900000000005</v>
      </c>
      <c r="L92" s="45">
        <f t="shared" si="126"/>
        <v>0</v>
      </c>
      <c r="M92" s="46">
        <f t="shared" si="126"/>
        <v>136.18508499999999</v>
      </c>
      <c r="N92" s="46">
        <f t="shared" si="126"/>
        <v>31.670949999999998</v>
      </c>
      <c r="O92" s="46">
        <f t="shared" si="126"/>
        <v>6166.3339649999998</v>
      </c>
      <c r="P92" s="46">
        <f t="shared" si="126"/>
        <v>0</v>
      </c>
      <c r="Q92" s="47"/>
      <c r="R92" s="45">
        <f t="shared" ref="R92:BQ92" si="127">SUBTOTAL(9,R90:R91)</f>
        <v>0</v>
      </c>
      <c r="S92" s="45">
        <f t="shared" si="127"/>
        <v>0</v>
      </c>
      <c r="T92" s="46">
        <f t="shared" si="127"/>
        <v>0</v>
      </c>
      <c r="U92" s="46">
        <f t="shared" si="127"/>
        <v>0</v>
      </c>
      <c r="V92" s="46">
        <f t="shared" si="127"/>
        <v>0</v>
      </c>
      <c r="W92" s="46">
        <f t="shared" si="127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27"/>
        <v>1959.1140000000003</v>
      </c>
      <c r="AH92" s="44">
        <f t="shared" si="127"/>
        <v>345.726</v>
      </c>
      <c r="AI92" s="44">
        <f t="shared" si="127"/>
        <v>576.21</v>
      </c>
      <c r="AJ92" s="45">
        <f t="shared" si="127"/>
        <v>0</v>
      </c>
      <c r="AK92" s="44">
        <f t="shared" si="127"/>
        <v>36252.794642857138</v>
      </c>
      <c r="AL92" s="44">
        <f t="shared" si="127"/>
        <v>35841.66464285714</v>
      </c>
      <c r="AM92" s="44">
        <f t="shared" si="127"/>
        <v>4300.9997571428557</v>
      </c>
      <c r="AN92" s="44">
        <f t="shared" si="115"/>
        <v>40142.664399999994</v>
      </c>
      <c r="AO92" s="49">
        <f t="shared" si="127"/>
        <v>0</v>
      </c>
      <c r="AP92" s="49">
        <f t="shared" si="127"/>
        <v>0</v>
      </c>
      <c r="AQ92" s="49">
        <f t="shared" si="127"/>
        <v>0</v>
      </c>
      <c r="AR92" s="49">
        <f t="shared" si="127"/>
        <v>0</v>
      </c>
      <c r="AS92" s="49">
        <f t="shared" si="127"/>
        <v>0</v>
      </c>
      <c r="AT92" s="49">
        <f t="shared" si="127"/>
        <v>0</v>
      </c>
      <c r="AU92" s="49">
        <f>SUBTOTAL(9,AU90:AU91)</f>
        <v>0</v>
      </c>
      <c r="AV92" s="49">
        <f t="shared" si="127"/>
        <v>0</v>
      </c>
      <c r="AW92" s="49">
        <f t="shared" si="127"/>
        <v>0</v>
      </c>
      <c r="AX92" s="49">
        <f t="shared" si="127"/>
        <v>0</v>
      </c>
      <c r="AY92" s="49">
        <f t="shared" si="127"/>
        <v>0</v>
      </c>
      <c r="AZ92" s="44">
        <f t="shared" si="127"/>
        <v>0</v>
      </c>
      <c r="BA92" s="48">
        <f t="shared" si="127"/>
        <v>0</v>
      </c>
      <c r="BB92" s="48">
        <f t="shared" si="127"/>
        <v>0</v>
      </c>
      <c r="BC92" s="44">
        <f t="shared" si="127"/>
        <v>0</v>
      </c>
      <c r="BD92" s="44">
        <f t="shared" si="127"/>
        <v>0</v>
      </c>
      <c r="BE92" s="49">
        <f t="shared" si="127"/>
        <v>0</v>
      </c>
      <c r="BF92" s="49">
        <f>SUBTOTAL(9,BF90:BF91)</f>
        <v>0</v>
      </c>
      <c r="BG92" s="49">
        <f t="shared" si="127"/>
        <v>0</v>
      </c>
      <c r="BH92" s="49">
        <f t="shared" si="127"/>
        <v>0</v>
      </c>
      <c r="BI92" s="49">
        <f t="shared" si="127"/>
        <v>0</v>
      </c>
      <c r="BJ92" s="49">
        <f t="shared" si="127"/>
        <v>0</v>
      </c>
      <c r="BK92" s="49">
        <f t="shared" si="127"/>
        <v>0</v>
      </c>
      <c r="BL92" s="49">
        <f t="shared" si="127"/>
        <v>0</v>
      </c>
      <c r="BM92" s="49">
        <f t="shared" si="127"/>
        <v>0</v>
      </c>
      <c r="BN92" s="49">
        <f t="shared" si="127"/>
        <v>0</v>
      </c>
      <c r="BO92" s="49">
        <f t="shared" si="127"/>
        <v>0</v>
      </c>
      <c r="BP92" s="49">
        <f t="shared" si="127"/>
        <v>0</v>
      </c>
      <c r="BQ92" s="49">
        <f t="shared" si="127"/>
        <v>0</v>
      </c>
      <c r="BR92" s="44">
        <f>SUBTOTAL(9,BR90:BR91)</f>
        <v>0</v>
      </c>
    </row>
    <row r="93" spans="1:97">
      <c r="A93" s="215">
        <f>+A90+1</f>
        <v>43463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28">(C93-AF93-AJ93)/1.12</f>
        <v>0</v>
      </c>
      <c r="AL93" s="33">
        <f t="shared" ref="AL93:AL94" si="129">AK93-SUM(Y93:AC93)</f>
        <v>0</v>
      </c>
      <c r="AM93" s="33">
        <f t="shared" ref="AM93:AM97" si="130">+AL93*0.12</f>
        <v>0</v>
      </c>
      <c r="AN93" s="33">
        <f t="shared" si="115"/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" thickBot="1">
      <c r="A94" s="216"/>
      <c r="B94" s="16" t="s">
        <v>44</v>
      </c>
      <c r="C94" s="33">
        <v>7790.21</v>
      </c>
      <c r="D94" s="34">
        <v>6012.86</v>
      </c>
      <c r="E94" s="34">
        <v>6013</v>
      </c>
      <c r="F94" s="35">
        <v>43467</v>
      </c>
      <c r="G94" s="33">
        <f>IF(E94-D94&lt;0,E94-D94,0)*-1</f>
        <v>0</v>
      </c>
      <c r="H94" s="33">
        <f>IF(E94-D94&gt;0,E94-D94,0)</f>
        <v>0.14000000000032742</v>
      </c>
      <c r="I94" s="34"/>
      <c r="J94" s="34"/>
      <c r="K94" s="34">
        <v>1717.71</v>
      </c>
      <c r="L94" s="34"/>
      <c r="M94" s="36">
        <f>(+K94)*M$5</f>
        <v>36.930765000000001</v>
      </c>
      <c r="N94" s="36">
        <f>(+K94)*N$5</f>
        <v>8.5885499999999997</v>
      </c>
      <c r="O94" s="36">
        <f>+K94-M94-N94+P94</f>
        <v>1672.190685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>
        <v>59.64</v>
      </c>
      <c r="AD94" s="38"/>
      <c r="AE94" s="38"/>
      <c r="AF94" s="34">
        <v>636</v>
      </c>
      <c r="AG94" s="33">
        <f>(AF94*0.8)*0.85</f>
        <v>432.48</v>
      </c>
      <c r="AH94" s="33">
        <f>(AF94*0.8)*0.15</f>
        <v>76.319999999999993</v>
      </c>
      <c r="AI94" s="33">
        <f>AF94*0.2</f>
        <v>127.2</v>
      </c>
      <c r="AJ94" s="34"/>
      <c r="AK94" s="33">
        <f t="shared" si="128"/>
        <v>6387.6874999999991</v>
      </c>
      <c r="AL94" s="33">
        <f t="shared" si="129"/>
        <v>6328.0474999999988</v>
      </c>
      <c r="AM94" s="33">
        <f t="shared" si="130"/>
        <v>759.36569999999983</v>
      </c>
      <c r="AN94" s="33">
        <f t="shared" si="115"/>
        <v>7087.4131999999991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8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" thickBot="1">
      <c r="A95" s="42"/>
      <c r="B95" s="43"/>
      <c r="C95" s="44">
        <f>SUBTOTAL(9,C93:C94)</f>
        <v>7790.21</v>
      </c>
      <c r="D95" s="160">
        <f>SUBTOTAL(9,D93:D94)</f>
        <v>6012.86</v>
      </c>
      <c r="E95" s="45">
        <f>SUBTOTAL(9,E93:E94)</f>
        <v>6013</v>
      </c>
      <c r="F95" s="47"/>
      <c r="G95" s="45">
        <f t="shared" ref="G95:P95" si="131">SUBTOTAL(9,G93:G94)</f>
        <v>0</v>
      </c>
      <c r="H95" s="45">
        <f t="shared" si="131"/>
        <v>0.14000000000032742</v>
      </c>
      <c r="I95" s="45">
        <f t="shared" si="131"/>
        <v>0</v>
      </c>
      <c r="J95" s="45">
        <f t="shared" si="131"/>
        <v>0</v>
      </c>
      <c r="K95" s="160">
        <f t="shared" si="131"/>
        <v>1717.71</v>
      </c>
      <c r="L95" s="45">
        <f t="shared" si="131"/>
        <v>0</v>
      </c>
      <c r="M95" s="46">
        <f t="shared" si="131"/>
        <v>36.930765000000001</v>
      </c>
      <c r="N95" s="46">
        <f t="shared" si="131"/>
        <v>8.5885499999999997</v>
      </c>
      <c r="O95" s="46">
        <f t="shared" si="131"/>
        <v>1672.190685</v>
      </c>
      <c r="P95" s="46">
        <f t="shared" si="131"/>
        <v>0</v>
      </c>
      <c r="Q95" s="47"/>
      <c r="R95" s="45">
        <f t="shared" ref="R95:BQ95" si="132">SUBTOTAL(9,R93:R94)</f>
        <v>0</v>
      </c>
      <c r="S95" s="45">
        <f t="shared" si="132"/>
        <v>0</v>
      </c>
      <c r="T95" s="46">
        <f t="shared" si="132"/>
        <v>0</v>
      </c>
      <c r="U95" s="46">
        <f t="shared" si="132"/>
        <v>0</v>
      </c>
      <c r="V95" s="46">
        <f t="shared" si="132"/>
        <v>0</v>
      </c>
      <c r="W95" s="46">
        <f t="shared" si="132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32"/>
        <v>432.48</v>
      </c>
      <c r="AH95" s="44">
        <f t="shared" si="132"/>
        <v>76.319999999999993</v>
      </c>
      <c r="AI95" s="44">
        <f t="shared" si="132"/>
        <v>127.2</v>
      </c>
      <c r="AJ95" s="45">
        <f t="shared" si="132"/>
        <v>0</v>
      </c>
      <c r="AK95" s="44">
        <f t="shared" si="132"/>
        <v>6387.6874999999991</v>
      </c>
      <c r="AL95" s="44">
        <f t="shared" si="132"/>
        <v>6328.0474999999988</v>
      </c>
      <c r="AM95" s="44">
        <f t="shared" si="132"/>
        <v>759.36569999999983</v>
      </c>
      <c r="AN95" s="44">
        <f t="shared" si="115"/>
        <v>7087.4131999999991</v>
      </c>
      <c r="AO95" s="49">
        <f t="shared" si="132"/>
        <v>0</v>
      </c>
      <c r="AP95" s="49">
        <f t="shared" si="132"/>
        <v>0</v>
      </c>
      <c r="AQ95" s="49">
        <f t="shared" si="132"/>
        <v>0</v>
      </c>
      <c r="AR95" s="49">
        <f t="shared" si="132"/>
        <v>0</v>
      </c>
      <c r="AS95" s="49">
        <f t="shared" si="132"/>
        <v>0</v>
      </c>
      <c r="AT95" s="49">
        <f t="shared" si="132"/>
        <v>0</v>
      </c>
      <c r="AU95" s="49">
        <f>SUBTOTAL(9,AU93:AU94)</f>
        <v>0</v>
      </c>
      <c r="AV95" s="49">
        <f t="shared" si="132"/>
        <v>0</v>
      </c>
      <c r="AW95" s="49">
        <f t="shared" si="132"/>
        <v>0</v>
      </c>
      <c r="AX95" s="49">
        <f t="shared" si="132"/>
        <v>0</v>
      </c>
      <c r="AY95" s="49">
        <f t="shared" si="132"/>
        <v>0</v>
      </c>
      <c r="AZ95" s="44">
        <f t="shared" si="132"/>
        <v>0</v>
      </c>
      <c r="BA95" s="48">
        <f t="shared" si="132"/>
        <v>0</v>
      </c>
      <c r="BB95" s="48">
        <f t="shared" si="132"/>
        <v>0</v>
      </c>
      <c r="BC95" s="44">
        <f t="shared" si="132"/>
        <v>0</v>
      </c>
      <c r="BD95" s="44">
        <f t="shared" si="132"/>
        <v>0</v>
      </c>
      <c r="BE95" s="49">
        <f t="shared" si="132"/>
        <v>0</v>
      </c>
      <c r="BF95" s="49">
        <f>SUBTOTAL(9,BF93:BF94)</f>
        <v>0</v>
      </c>
      <c r="BG95" s="49">
        <f t="shared" si="132"/>
        <v>0</v>
      </c>
      <c r="BH95" s="49">
        <f t="shared" si="132"/>
        <v>0</v>
      </c>
      <c r="BI95" s="49">
        <f t="shared" si="132"/>
        <v>0</v>
      </c>
      <c r="BJ95" s="49">
        <f t="shared" si="132"/>
        <v>0</v>
      </c>
      <c r="BK95" s="49">
        <f t="shared" si="132"/>
        <v>0</v>
      </c>
      <c r="BL95" s="49">
        <f t="shared" si="132"/>
        <v>0</v>
      </c>
      <c r="BM95" s="49">
        <f t="shared" si="132"/>
        <v>0</v>
      </c>
      <c r="BN95" s="49">
        <f t="shared" si="132"/>
        <v>0</v>
      </c>
      <c r="BO95" s="49">
        <f t="shared" si="132"/>
        <v>0</v>
      </c>
      <c r="BP95" s="49">
        <f t="shared" si="132"/>
        <v>0</v>
      </c>
      <c r="BQ95" s="49">
        <f t="shared" si="132"/>
        <v>0</v>
      </c>
      <c r="BR95" s="44">
        <f>SUBTOTAL(9,BR93:BR94)</f>
        <v>0</v>
      </c>
    </row>
    <row r="96" spans="1:97">
      <c r="A96" s="221">
        <f>+A93+1</f>
        <v>43464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33">(C96-AF96-AJ96)/1.12</f>
        <v>0</v>
      </c>
      <c r="AL96" s="33">
        <f t="shared" ref="AL96:AL97" si="134">AK96-SUM(Y96:AC96)</f>
        <v>0</v>
      </c>
      <c r="AM96" s="33">
        <f t="shared" si="130"/>
        <v>0</v>
      </c>
      <c r="AN96" s="33">
        <f t="shared" ref="AN96:AN97" si="135">+AM96+AL96+AJ96</f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" thickBot="1">
      <c r="A97" s="215"/>
      <c r="B97" s="16" t="s">
        <v>44</v>
      </c>
      <c r="C97" s="33"/>
      <c r="D97" s="34"/>
      <c r="E97" s="34"/>
      <c r="F97" s="35"/>
      <c r="G97" s="33">
        <f>IF(E97-D97&lt;0,E97-D97,0)*-1</f>
        <v>0</v>
      </c>
      <c r="H97" s="33">
        <f>IF(E97-D97&gt;0,E97-D97,0)</f>
        <v>0</v>
      </c>
      <c r="I97" s="34"/>
      <c r="J97" s="34"/>
      <c r="K97" s="34"/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8"/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f t="shared" si="133"/>
        <v>0</v>
      </c>
      <c r="AL97" s="33">
        <f t="shared" si="134"/>
        <v>0</v>
      </c>
      <c r="AM97" s="33">
        <f t="shared" si="130"/>
        <v>0</v>
      </c>
      <c r="AN97" s="33">
        <f t="shared" si="135"/>
        <v>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" thickBot="1">
      <c r="A98" s="158"/>
      <c r="B98" s="43"/>
      <c r="C98" s="44">
        <f>SUBTOTAL(9,C96:C97)</f>
        <v>0</v>
      </c>
      <c r="D98" s="45">
        <f>SUBTOTAL(9,D96:D97)</f>
        <v>0</v>
      </c>
      <c r="E98" s="45">
        <f>SUBTOTAL(9,E96:E97)</f>
        <v>0</v>
      </c>
      <c r="F98" s="47"/>
      <c r="G98" s="45">
        <f t="shared" ref="G98:P98" si="136">SUBTOTAL(9,G96:G97)</f>
        <v>0</v>
      </c>
      <c r="H98" s="45">
        <f t="shared" si="136"/>
        <v>0</v>
      </c>
      <c r="I98" s="45">
        <f t="shared" si="136"/>
        <v>0</v>
      </c>
      <c r="J98" s="45">
        <f t="shared" si="136"/>
        <v>0</v>
      </c>
      <c r="K98" s="160">
        <f t="shared" si="136"/>
        <v>0</v>
      </c>
      <c r="L98" s="45">
        <f t="shared" si="136"/>
        <v>0</v>
      </c>
      <c r="M98" s="46">
        <f t="shared" si="136"/>
        <v>0</v>
      </c>
      <c r="N98" s="46">
        <f t="shared" si="136"/>
        <v>0</v>
      </c>
      <c r="O98" s="46">
        <f t="shared" si="136"/>
        <v>0</v>
      </c>
      <c r="P98" s="46">
        <f t="shared" si="136"/>
        <v>0</v>
      </c>
      <c r="Q98" s="47"/>
      <c r="R98" s="45">
        <f t="shared" ref="R98:BQ98" si="137">SUBTOTAL(9,R96:R97)</f>
        <v>0</v>
      </c>
      <c r="S98" s="45">
        <f t="shared" si="137"/>
        <v>0</v>
      </c>
      <c r="T98" s="46">
        <f t="shared" si="137"/>
        <v>0</v>
      </c>
      <c r="U98" s="46">
        <f t="shared" si="137"/>
        <v>0</v>
      </c>
      <c r="V98" s="46">
        <f t="shared" si="137"/>
        <v>0</v>
      </c>
      <c r="W98" s="46">
        <f t="shared" si="137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37"/>
        <v>0</v>
      </c>
      <c r="AH98" s="44">
        <f t="shared" si="137"/>
        <v>0</v>
      </c>
      <c r="AI98" s="44">
        <f t="shared" si="137"/>
        <v>0</v>
      </c>
      <c r="AJ98" s="45">
        <f t="shared" si="137"/>
        <v>0</v>
      </c>
      <c r="AK98" s="44">
        <f t="shared" si="137"/>
        <v>0</v>
      </c>
      <c r="AL98" s="44">
        <f t="shared" si="137"/>
        <v>0</v>
      </c>
      <c r="AM98" s="44">
        <f t="shared" si="137"/>
        <v>0</v>
      </c>
      <c r="AN98" s="44">
        <f t="shared" si="115"/>
        <v>0</v>
      </c>
      <c r="AO98" s="49">
        <f t="shared" si="137"/>
        <v>0</v>
      </c>
      <c r="AP98" s="49">
        <f t="shared" si="137"/>
        <v>0</v>
      </c>
      <c r="AQ98" s="49">
        <f t="shared" si="137"/>
        <v>0</v>
      </c>
      <c r="AR98" s="49">
        <f t="shared" si="137"/>
        <v>0</v>
      </c>
      <c r="AS98" s="49">
        <f t="shared" si="137"/>
        <v>0</v>
      </c>
      <c r="AT98" s="49">
        <f t="shared" si="137"/>
        <v>0</v>
      </c>
      <c r="AU98" s="49">
        <f>SUBTOTAL(9,AU96:AU97)</f>
        <v>0</v>
      </c>
      <c r="AV98" s="49">
        <f t="shared" si="137"/>
        <v>0</v>
      </c>
      <c r="AW98" s="49">
        <f t="shared" si="137"/>
        <v>0</v>
      </c>
      <c r="AX98" s="49">
        <f t="shared" si="137"/>
        <v>0</v>
      </c>
      <c r="AY98" s="49">
        <f t="shared" si="137"/>
        <v>0</v>
      </c>
      <c r="AZ98" s="44">
        <f t="shared" si="137"/>
        <v>0</v>
      </c>
      <c r="BA98" s="48">
        <f t="shared" si="137"/>
        <v>0</v>
      </c>
      <c r="BB98" s="48">
        <f t="shared" si="137"/>
        <v>0</v>
      </c>
      <c r="BC98" s="44">
        <f t="shared" si="137"/>
        <v>0</v>
      </c>
      <c r="BD98" s="44">
        <f t="shared" si="137"/>
        <v>0</v>
      </c>
      <c r="BE98" s="49">
        <f t="shared" si="137"/>
        <v>0</v>
      </c>
      <c r="BF98" s="49">
        <f>SUBTOTAL(9,BF96:BF97)</f>
        <v>0</v>
      </c>
      <c r="BG98" s="49">
        <f t="shared" si="137"/>
        <v>0</v>
      </c>
      <c r="BH98" s="49">
        <f t="shared" si="137"/>
        <v>0</v>
      </c>
      <c r="BI98" s="49">
        <f t="shared" si="137"/>
        <v>0</v>
      </c>
      <c r="BJ98" s="49">
        <f t="shared" si="137"/>
        <v>0</v>
      </c>
      <c r="BK98" s="49">
        <f t="shared" si="137"/>
        <v>0</v>
      </c>
      <c r="BL98" s="49">
        <f t="shared" si="137"/>
        <v>0</v>
      </c>
      <c r="BM98" s="49">
        <f t="shared" si="137"/>
        <v>0</v>
      </c>
      <c r="BN98" s="49">
        <f t="shared" si="137"/>
        <v>0</v>
      </c>
      <c r="BO98" s="49">
        <f t="shared" si="137"/>
        <v>0</v>
      </c>
      <c r="BP98" s="49">
        <f t="shared" si="137"/>
        <v>0</v>
      </c>
      <c r="BQ98" s="49">
        <f t="shared" si="137"/>
        <v>0</v>
      </c>
      <c r="BR98" s="159">
        <f>SUBTOTAL(9,BR96:BR97)</f>
        <v>0</v>
      </c>
    </row>
    <row r="99" spans="1:97" ht="15" customHeight="1">
      <c r="A99" s="222"/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>(C99-AF99-AJ99)/1.12</f>
        <v>0</v>
      </c>
      <c r="AL99" s="33">
        <f>AK99-SUM(Y99:AC99)</f>
        <v>0</v>
      </c>
      <c r="AM99" s="33">
        <f>+AL99*0.12</f>
        <v>0</v>
      </c>
      <c r="AN99" s="33">
        <f t="shared" si="115"/>
        <v>0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7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222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>(C100-AF100-AJ100)/1.12</f>
        <v>0</v>
      </c>
      <c r="AL100" s="33">
        <f>AK100-SUM(Y100:AC100)</f>
        <v>0</v>
      </c>
      <c r="AM100" s="33">
        <f>+AL100*0.12</f>
        <v>0</v>
      </c>
      <c r="AN100" s="33">
        <f t="shared" si="115"/>
        <v>0</v>
      </c>
      <c r="AO100" s="39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7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5" hidden="1" thickBot="1">
      <c r="A101" s="221">
        <f>A96+1</f>
        <v>43465</v>
      </c>
      <c r="B101" s="16" t="s">
        <v>43</v>
      </c>
      <c r="C101" s="33"/>
      <c r="D101" s="34"/>
      <c r="E101" s="34"/>
      <c r="F101" s="35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115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SUM(BE101:BM101)*0.1+(BN101*0.5)</f>
        <v>0</v>
      </c>
      <c r="BD101" s="33">
        <f>SUM(BE101:BM101)+(BN101*0.5)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41">
        <f>AZ101+BA101+BB101+BD101-BC101</f>
        <v>0</v>
      </c>
      <c r="BT101" s="146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 ht="15" hidden="1" thickBot="1">
      <c r="A102" s="215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115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41">
        <f>AZ102+BA102+BB102+BD102-BC102</f>
        <v>0</v>
      </c>
      <c r="BT102" s="146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 ht="15" thickBot="1">
      <c r="A103" s="42"/>
      <c r="B103" s="43"/>
      <c r="C103" s="44">
        <f>SUBTOTAL(9,C101:C102)</f>
        <v>0</v>
      </c>
      <c r="D103" s="45">
        <f>SUBTOTAL(9,D101:D102)</f>
        <v>0</v>
      </c>
      <c r="E103" s="45">
        <f>SUBTOTAL(9,E101:E102)</f>
        <v>0</v>
      </c>
      <c r="F103" s="47"/>
      <c r="G103" s="45">
        <f>SUBTOTAL(9,G101:G102)</f>
        <v>0</v>
      </c>
      <c r="H103" s="45">
        <f>SUBTOTAL(9,H101:H102)</f>
        <v>0</v>
      </c>
      <c r="I103" s="45">
        <f>SUBTOTAL(9,I101:I102)</f>
        <v>0</v>
      </c>
      <c r="J103" s="45">
        <f>SUBTOTAL(9,J101:J102)</f>
        <v>0</v>
      </c>
      <c r="K103" s="160">
        <f t="shared" ref="K103" si="138">SUBTOTAL(9,K101:K102)</f>
        <v>0</v>
      </c>
      <c r="L103" s="45">
        <f>SUBTOTAL(9,L101:L102)</f>
        <v>0</v>
      </c>
      <c r="M103" s="46">
        <f>SUBTOTAL(9,M101:M102)</f>
        <v>0</v>
      </c>
      <c r="N103" s="46">
        <f>SUBTOTAL(9,N101:N102)</f>
        <v>0</v>
      </c>
      <c r="O103" s="46">
        <f>SUBTOTAL(9,O101:O102)</f>
        <v>0</v>
      </c>
      <c r="P103" s="46">
        <f>SUBTOTAL(9,P101:P102)</f>
        <v>0</v>
      </c>
      <c r="Q103" s="47"/>
      <c r="R103" s="45">
        <f t="shared" ref="R103:W103" si="139">SUBTOTAL(9,R101:R102)</f>
        <v>0</v>
      </c>
      <c r="S103" s="45">
        <f t="shared" si="139"/>
        <v>0</v>
      </c>
      <c r="T103" s="46">
        <f t="shared" si="139"/>
        <v>0</v>
      </c>
      <c r="U103" s="46">
        <f t="shared" si="139"/>
        <v>0</v>
      </c>
      <c r="V103" s="46">
        <f t="shared" si="139"/>
        <v>0</v>
      </c>
      <c r="W103" s="46">
        <f t="shared" si="139"/>
        <v>0</v>
      </c>
      <c r="X103" s="47"/>
      <c r="Y103" s="45">
        <f>SUBTOTAL(9,Y101:Y102)</f>
        <v>0</v>
      </c>
      <c r="Z103" s="45">
        <v>0</v>
      </c>
      <c r="AA103" s="45"/>
      <c r="AB103" s="45"/>
      <c r="AC103" s="45"/>
      <c r="AD103" s="48"/>
      <c r="AE103" s="48"/>
      <c r="AF103" s="45"/>
      <c r="AG103" s="44">
        <f t="shared" ref="AG103:AM103" si="140">SUBTOTAL(9,AG101:AG102)</f>
        <v>0</v>
      </c>
      <c r="AH103" s="44">
        <f t="shared" si="140"/>
        <v>0</v>
      </c>
      <c r="AI103" s="44">
        <f t="shared" si="140"/>
        <v>0</v>
      </c>
      <c r="AJ103" s="45">
        <f t="shared" si="140"/>
        <v>0</v>
      </c>
      <c r="AK103" s="44">
        <f t="shared" si="140"/>
        <v>0</v>
      </c>
      <c r="AL103" s="44">
        <f t="shared" si="140"/>
        <v>0</v>
      </c>
      <c r="AM103" s="44">
        <f t="shared" si="140"/>
        <v>0</v>
      </c>
      <c r="AN103" s="44">
        <f>+AM103+AL103+AJ103</f>
        <v>0</v>
      </c>
      <c r="AO103" s="49">
        <f t="shared" ref="AO103:AZ103" si="141">SUBTOTAL(9,AO101:AO102)</f>
        <v>0</v>
      </c>
      <c r="AP103" s="49">
        <f t="shared" si="141"/>
        <v>0</v>
      </c>
      <c r="AQ103" s="49">
        <f t="shared" si="141"/>
        <v>0</v>
      </c>
      <c r="AR103" s="49">
        <f t="shared" si="141"/>
        <v>0</v>
      </c>
      <c r="AS103" s="49">
        <f t="shared" si="141"/>
        <v>0</v>
      </c>
      <c r="AT103" s="49">
        <f t="shared" si="141"/>
        <v>0</v>
      </c>
      <c r="AU103" s="49">
        <f t="shared" si="141"/>
        <v>0</v>
      </c>
      <c r="AV103" s="49">
        <f t="shared" si="141"/>
        <v>0</v>
      </c>
      <c r="AW103" s="49">
        <f t="shared" si="141"/>
        <v>0</v>
      </c>
      <c r="AX103" s="49">
        <f t="shared" si="141"/>
        <v>0</v>
      </c>
      <c r="AY103" s="49">
        <f t="shared" si="141"/>
        <v>0</v>
      </c>
      <c r="AZ103" s="44">
        <f t="shared" si="141"/>
        <v>0</v>
      </c>
      <c r="BA103" s="48"/>
      <c r="BB103" s="48">
        <f t="shared" ref="BB103:BR103" si="142">SUBTOTAL(9,BB101:BB102)</f>
        <v>0</v>
      </c>
      <c r="BC103" s="44">
        <f t="shared" si="142"/>
        <v>0</v>
      </c>
      <c r="BD103" s="44">
        <f t="shared" si="142"/>
        <v>0</v>
      </c>
      <c r="BE103" s="49">
        <f t="shared" si="142"/>
        <v>0</v>
      </c>
      <c r="BF103" s="49">
        <f t="shared" si="142"/>
        <v>0</v>
      </c>
      <c r="BG103" s="49">
        <f t="shared" si="142"/>
        <v>0</v>
      </c>
      <c r="BH103" s="49">
        <f t="shared" si="142"/>
        <v>0</v>
      </c>
      <c r="BI103" s="49">
        <f t="shared" si="142"/>
        <v>0</v>
      </c>
      <c r="BJ103" s="49">
        <f t="shared" si="142"/>
        <v>0</v>
      </c>
      <c r="BK103" s="49">
        <f t="shared" si="142"/>
        <v>0</v>
      </c>
      <c r="BL103" s="49">
        <f t="shared" si="142"/>
        <v>0</v>
      </c>
      <c r="BM103" s="49">
        <f t="shared" si="142"/>
        <v>0</v>
      </c>
      <c r="BN103" s="49">
        <f t="shared" si="142"/>
        <v>0</v>
      </c>
      <c r="BO103" s="49">
        <f t="shared" si="142"/>
        <v>0</v>
      </c>
      <c r="BP103" s="49">
        <f t="shared" si="142"/>
        <v>0</v>
      </c>
      <c r="BQ103" s="49">
        <f t="shared" si="142"/>
        <v>0</v>
      </c>
      <c r="BR103" s="44">
        <f t="shared" si="142"/>
        <v>0</v>
      </c>
    </row>
    <row r="104" spans="1:97" ht="15" thickBot="1">
      <c r="A104" s="155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6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0"/>
    </row>
    <row r="105" spans="1:97" ht="15.6" thickTop="1" thickBot="1">
      <c r="A105" s="56" t="s">
        <v>45</v>
      </c>
      <c r="B105" s="56"/>
      <c r="C105" s="57">
        <f>SUBTOTAL(9,C8:C104)</f>
        <v>959922.94999999984</v>
      </c>
      <c r="D105" s="57">
        <f>SUBTOTAL(9,D8:D104)</f>
        <v>566443.32999999996</v>
      </c>
      <c r="E105" s="57">
        <f>SUBTOTAL(9,E8:E104)</f>
        <v>566520.25</v>
      </c>
      <c r="F105" s="57"/>
      <c r="G105" s="57">
        <f t="shared" ref="G105:O105" si="143">SUBTOTAL(9,G8:G104)</f>
        <v>3.9600000000014006</v>
      </c>
      <c r="H105" s="57">
        <f t="shared" si="143"/>
        <v>80.880000000005566</v>
      </c>
      <c r="I105" s="57">
        <f t="shared" si="143"/>
        <v>4700</v>
      </c>
      <c r="J105" s="57">
        <f t="shared" si="143"/>
        <v>0</v>
      </c>
      <c r="K105" s="57">
        <f t="shared" si="143"/>
        <v>263747.85000000003</v>
      </c>
      <c r="L105" s="57">
        <f t="shared" si="143"/>
        <v>0</v>
      </c>
      <c r="M105" s="57">
        <f t="shared" si="143"/>
        <v>5670.5787749999981</v>
      </c>
      <c r="N105" s="57">
        <f t="shared" si="143"/>
        <v>1318.7392499999999</v>
      </c>
      <c r="O105" s="57">
        <f t="shared" si="143"/>
        <v>256758.53197499999</v>
      </c>
      <c r="P105" s="57"/>
      <c r="Q105" s="57"/>
      <c r="R105" s="57">
        <f t="shared" ref="R105:W105" si="144">SUBTOTAL(9,R8:R104)</f>
        <v>0</v>
      </c>
      <c r="S105" s="57">
        <f t="shared" si="144"/>
        <v>0</v>
      </c>
      <c r="T105" s="57">
        <f t="shared" si="144"/>
        <v>0</v>
      </c>
      <c r="U105" s="57">
        <f t="shared" si="144"/>
        <v>0</v>
      </c>
      <c r="V105" s="57">
        <f t="shared" si="144"/>
        <v>0</v>
      </c>
      <c r="W105" s="57">
        <f t="shared" si="144"/>
        <v>0</v>
      </c>
      <c r="X105" s="57"/>
      <c r="Y105" s="57">
        <f>SUBTOTAL(9,Y8:Y104)</f>
        <v>0</v>
      </c>
      <c r="Z105" s="57">
        <f>SUBTOTAL(9,Z8:Z104)</f>
        <v>4851.25</v>
      </c>
      <c r="AA105" s="57">
        <f>SUBTOTAL(9,AA8:AA104)</f>
        <v>134</v>
      </c>
      <c r="AB105" s="57">
        <f>SUBTOTAL(9,AB8:AB104)</f>
        <v>115</v>
      </c>
      <c r="AC105" s="57">
        <f>SUBTOTAL(9,AC8:AC104)</f>
        <v>7064.99</v>
      </c>
      <c r="AD105" s="57"/>
      <c r="AE105" s="57">
        <f t="shared" ref="AE105:AK105" si="145">SUBTOTAL(9,AE8:AE104)</f>
        <v>110683.73</v>
      </c>
      <c r="AF105" s="57">
        <f t="shared" si="145"/>
        <v>66106.109999999986</v>
      </c>
      <c r="AG105" s="57">
        <f t="shared" si="145"/>
        <v>44952.154799999997</v>
      </c>
      <c r="AH105" s="57">
        <f t="shared" si="145"/>
        <v>7932.7331999999988</v>
      </c>
      <c r="AI105" s="57">
        <f t="shared" si="145"/>
        <v>13221.222</v>
      </c>
      <c r="AJ105" s="57">
        <f t="shared" si="145"/>
        <v>0</v>
      </c>
      <c r="AK105" s="57">
        <f t="shared" si="145"/>
        <v>798050.74999999977</v>
      </c>
      <c r="AL105" s="57">
        <f>+AL11+AL14+AL17+AL20+AL23+AL26+AL29+AL32+AL35+AL38+AL41+AL44+AL47+AL50+AL53+AL56+AL59+AL62+AL65+AL68+AL71+AL74+AL77+AL80+AL83+AL86+AL89+AL92+AL95+AL98+AL102</f>
        <v>785885.51</v>
      </c>
      <c r="AM105" s="57">
        <f>+AM11+AM14+AM17+AM20+AM23+AM26+AM29+AM32+AM35+AM38+AM41+AM44+AM47+AM50+AM53+AM56+AM59+AM62+AM65+AM68+AM71+AM74+AM77+AM80+AM83+AM86+AM89+AM92+AM95+AM98+AM102</f>
        <v>94306.261199999994</v>
      </c>
      <c r="AN105" s="57">
        <f>+AN11+AN14+AN17+AN20+AN23+AN26+AN29+AN32+AN35+AN38+AN41+AN44+AN47+AN50+AN53+AN56+AN59+AN62+AN65+AN68+AN71+AN74+AN77+AN80+AN83+AN86+AN89+AN92+AN95+AN98+AN102</f>
        <v>880191.77119999984</v>
      </c>
      <c r="AO105" s="120">
        <f t="shared" ref="AO105:BR105" si="146">SUBTOTAL(9,AO8:AO104)</f>
        <v>3423</v>
      </c>
      <c r="AP105" s="120">
        <f t="shared" si="146"/>
        <v>2481</v>
      </c>
      <c r="AQ105" s="120">
        <f t="shared" si="146"/>
        <v>2125</v>
      </c>
      <c r="AR105" s="120">
        <f t="shared" si="146"/>
        <v>2123</v>
      </c>
      <c r="AS105" s="120">
        <f t="shared" si="146"/>
        <v>0</v>
      </c>
      <c r="AT105" s="120">
        <f t="shared" si="146"/>
        <v>0</v>
      </c>
      <c r="AU105" s="135">
        <f t="shared" si="146"/>
        <v>0</v>
      </c>
      <c r="AV105" s="135">
        <f t="shared" si="146"/>
        <v>0</v>
      </c>
      <c r="AW105" s="135">
        <f t="shared" si="146"/>
        <v>0</v>
      </c>
      <c r="AX105" s="135">
        <f t="shared" si="146"/>
        <v>0</v>
      </c>
      <c r="AY105" s="57">
        <f t="shared" si="146"/>
        <v>0</v>
      </c>
      <c r="AZ105" s="57">
        <f t="shared" si="146"/>
        <v>8637</v>
      </c>
      <c r="BA105" s="135">
        <f t="shared" si="146"/>
        <v>3765</v>
      </c>
      <c r="BB105" s="57">
        <f t="shared" si="146"/>
        <v>0</v>
      </c>
      <c r="BC105" s="57">
        <f t="shared" si="146"/>
        <v>0</v>
      </c>
      <c r="BD105" s="57">
        <f t="shared" si="146"/>
        <v>0</v>
      </c>
      <c r="BE105" s="134">
        <f t="shared" si="146"/>
        <v>0</v>
      </c>
      <c r="BF105" s="134">
        <f t="shared" si="146"/>
        <v>0</v>
      </c>
      <c r="BG105" s="57">
        <f t="shared" si="146"/>
        <v>215</v>
      </c>
      <c r="BH105" s="57">
        <f t="shared" si="146"/>
        <v>0</v>
      </c>
      <c r="BI105" s="57">
        <f t="shared" si="146"/>
        <v>0</v>
      </c>
      <c r="BJ105" s="57">
        <f t="shared" si="146"/>
        <v>0</v>
      </c>
      <c r="BK105" s="57">
        <f t="shared" si="146"/>
        <v>0</v>
      </c>
      <c r="BL105" s="57">
        <f t="shared" si="146"/>
        <v>0</v>
      </c>
      <c r="BM105" s="57">
        <f t="shared" si="146"/>
        <v>0</v>
      </c>
      <c r="BN105" s="57">
        <f t="shared" si="146"/>
        <v>0</v>
      </c>
      <c r="BO105" s="57">
        <f t="shared" si="146"/>
        <v>0</v>
      </c>
      <c r="BP105" s="57">
        <f t="shared" si="146"/>
        <v>0</v>
      </c>
      <c r="BQ105" s="57">
        <f t="shared" si="146"/>
        <v>0</v>
      </c>
      <c r="BR105" s="57">
        <f t="shared" si="146"/>
        <v>12402</v>
      </c>
    </row>
    <row r="106" spans="1:97" ht="15" thickTop="1">
      <c r="A106" s="4" t="s">
        <v>100</v>
      </c>
      <c r="B106" s="4"/>
      <c r="C106" s="13">
        <f>+AZ105</f>
        <v>8637</v>
      </c>
      <c r="D106" s="147"/>
      <c r="G106" s="147"/>
      <c r="AK106" s="154" t="s">
        <v>120</v>
      </c>
      <c r="AL106" s="154"/>
      <c r="AM106" s="148"/>
      <c r="AN106" s="149"/>
      <c r="AO106" s="150">
        <v>3800</v>
      </c>
      <c r="AP106" s="150">
        <v>2100</v>
      </c>
      <c r="AQ106" s="150">
        <v>2100</v>
      </c>
      <c r="AR106" s="150">
        <v>2100</v>
      </c>
      <c r="AS106" s="150">
        <v>1000</v>
      </c>
      <c r="AT106" s="150">
        <v>1500</v>
      </c>
      <c r="AW106" s="150">
        <v>1500</v>
      </c>
      <c r="AX106" s="150">
        <v>1500</v>
      </c>
      <c r="BD106" s="137" t="s">
        <v>68</v>
      </c>
      <c r="BE106" s="151">
        <f t="shared" ref="BE106:BK106" si="147">+BE11+BE14+BE17+BE20+BE23+BE26+BE29+BE32+BE35+BE38+BE41+BE44+BE47+BE50+BE53</f>
        <v>0</v>
      </c>
      <c r="BF106" s="151">
        <f t="shared" si="147"/>
        <v>0</v>
      </c>
      <c r="BG106" s="151">
        <f t="shared" si="147"/>
        <v>215</v>
      </c>
      <c r="BH106" s="151">
        <f t="shared" si="147"/>
        <v>0</v>
      </c>
      <c r="BI106" s="151">
        <f t="shared" si="147"/>
        <v>0</v>
      </c>
      <c r="BJ106" s="151">
        <f t="shared" si="147"/>
        <v>0</v>
      </c>
      <c r="BK106" s="151">
        <f t="shared" si="147"/>
        <v>0</v>
      </c>
      <c r="BL106" s="138"/>
      <c r="BM106" s="138"/>
      <c r="BN106" s="138"/>
      <c r="BO106" s="138"/>
      <c r="BP106" s="138"/>
      <c r="BQ106" s="138"/>
      <c r="BR106" s="147">
        <f>SUM(BE106:BQ106)</f>
        <v>215</v>
      </c>
    </row>
    <row r="107" spans="1:97">
      <c r="A107" s="4" t="s">
        <v>101</v>
      </c>
      <c r="B107" s="4"/>
      <c r="C107" s="13">
        <f>+BD105</f>
        <v>0</v>
      </c>
      <c r="D107" s="147"/>
      <c r="E107" s="147"/>
      <c r="AK107" s="154" t="s">
        <v>121</v>
      </c>
      <c r="AL107" s="154">
        <f>+AL105</f>
        <v>785885.51</v>
      </c>
      <c r="AM107" s="147"/>
      <c r="AN107" s="149"/>
      <c r="AO107" s="150">
        <f t="shared" ref="AO107:AX107" si="148">+AO106-AO105</f>
        <v>377</v>
      </c>
      <c r="AP107" s="150">
        <f t="shared" si="148"/>
        <v>-381</v>
      </c>
      <c r="AQ107" s="150">
        <f t="shared" si="148"/>
        <v>-25</v>
      </c>
      <c r="AR107" s="150">
        <f t="shared" si="148"/>
        <v>-23</v>
      </c>
      <c r="AS107" s="150">
        <f t="shared" si="148"/>
        <v>1000</v>
      </c>
      <c r="AT107" s="150">
        <f t="shared" si="148"/>
        <v>1500</v>
      </c>
      <c r="AU107" s="150">
        <f>+AU106-AU105</f>
        <v>0</v>
      </c>
      <c r="AV107" s="150">
        <f t="shared" si="148"/>
        <v>0</v>
      </c>
      <c r="AW107" s="150">
        <f t="shared" si="148"/>
        <v>1500</v>
      </c>
      <c r="AX107" s="150">
        <f t="shared" si="148"/>
        <v>1500</v>
      </c>
      <c r="BD107" s="138" t="s">
        <v>104</v>
      </c>
      <c r="BE107" s="151">
        <f>BE106*0.9</f>
        <v>0</v>
      </c>
      <c r="BF107" s="151">
        <f>BF106*0.9</f>
        <v>0</v>
      </c>
      <c r="BG107" s="151">
        <f>BG106*0.9</f>
        <v>193.5</v>
      </c>
      <c r="BH107" s="151">
        <f t="shared" ref="BH107:BQ107" si="149">BH106*0.9</f>
        <v>0</v>
      </c>
      <c r="BI107" s="151">
        <f t="shared" si="149"/>
        <v>0</v>
      </c>
      <c r="BJ107" s="151">
        <f t="shared" si="149"/>
        <v>0</v>
      </c>
      <c r="BK107" s="151">
        <f t="shared" si="149"/>
        <v>0</v>
      </c>
      <c r="BL107" s="151">
        <f t="shared" si="149"/>
        <v>0</v>
      </c>
      <c r="BM107" s="151">
        <f t="shared" si="149"/>
        <v>0</v>
      </c>
      <c r="BN107" s="151">
        <f t="shared" si="149"/>
        <v>0</v>
      </c>
      <c r="BO107" s="151">
        <f t="shared" si="149"/>
        <v>0</v>
      </c>
      <c r="BP107" s="151">
        <f t="shared" si="149"/>
        <v>0</v>
      </c>
      <c r="BQ107" s="151">
        <f t="shared" si="149"/>
        <v>0</v>
      </c>
      <c r="BR107" s="147">
        <f>SUM(BE107:BQ107)</f>
        <v>193.5</v>
      </c>
    </row>
    <row r="108" spans="1:97">
      <c r="A108" s="4" t="s">
        <v>102</v>
      </c>
      <c r="B108" s="4"/>
      <c r="C108" s="13">
        <f>+BC105</f>
        <v>0</v>
      </c>
      <c r="D108" s="147"/>
      <c r="AK108" s="154" t="s">
        <v>122</v>
      </c>
      <c r="AL108" s="154">
        <f>+AJ105</f>
        <v>0</v>
      </c>
      <c r="AM108" s="148"/>
      <c r="AN108" s="149"/>
      <c r="AO108" s="150">
        <f t="shared" ref="AO108:AX108" si="150">+AO107*0.9</f>
        <v>339.3</v>
      </c>
      <c r="AP108" s="150">
        <f t="shared" si="150"/>
        <v>-342.90000000000003</v>
      </c>
      <c r="AQ108" s="150">
        <f t="shared" si="150"/>
        <v>-22.5</v>
      </c>
      <c r="AR108" s="150">
        <f t="shared" si="150"/>
        <v>-20.7</v>
      </c>
      <c r="AS108" s="150">
        <f t="shared" si="150"/>
        <v>900</v>
      </c>
      <c r="AT108" s="150">
        <f t="shared" si="150"/>
        <v>1350</v>
      </c>
      <c r="AU108" s="150">
        <f>+AU107*0.9</f>
        <v>0</v>
      </c>
      <c r="AV108" s="150">
        <f t="shared" si="150"/>
        <v>0</v>
      </c>
      <c r="AW108" s="150">
        <f t="shared" si="150"/>
        <v>1350</v>
      </c>
      <c r="AX108" s="150">
        <f t="shared" si="150"/>
        <v>1350</v>
      </c>
      <c r="AZ108" s="150">
        <f>+AZ105*0.3</f>
        <v>2591.1</v>
      </c>
      <c r="BA108" s="150">
        <f>+BA105*0.3</f>
        <v>1129.5</v>
      </c>
      <c r="BD108" s="139"/>
      <c r="BE108" s="13"/>
      <c r="BF108" s="13"/>
      <c r="BG108" s="13"/>
      <c r="BH108" s="13"/>
      <c r="BI108" s="13"/>
      <c r="BJ108" s="13"/>
      <c r="BK108" s="4"/>
      <c r="BL108" s="4"/>
      <c r="BM108" s="4"/>
      <c r="BN108" s="4"/>
      <c r="BO108" s="4"/>
      <c r="BP108" s="4"/>
      <c r="BQ108" s="4"/>
    </row>
    <row r="109" spans="1:97" ht="15" thickBot="1">
      <c r="A109" s="4" t="s">
        <v>34</v>
      </c>
      <c r="B109" s="4"/>
      <c r="C109" s="152">
        <f>+BA105</f>
        <v>3765</v>
      </c>
      <c r="D109" s="147"/>
      <c r="E109" s="147"/>
      <c r="AK109" s="154" t="s">
        <v>123</v>
      </c>
      <c r="AL109" s="154">
        <f>+AL107+AL108</f>
        <v>785885.51</v>
      </c>
      <c r="AM109" s="148"/>
      <c r="AN109" s="149"/>
      <c r="BD109" s="140" t="s">
        <v>69</v>
      </c>
      <c r="BE109" s="153">
        <f t="shared" ref="BE109:BQ109" si="151">BE56+BE59+BE62+BE65+BE68+BE71+BE74+BE77+BE80+BE83+BE86+BE89+BE92+BE95+BE98+BE102</f>
        <v>0</v>
      </c>
      <c r="BF109" s="153">
        <f t="shared" si="151"/>
        <v>0</v>
      </c>
      <c r="BG109" s="153">
        <f t="shared" si="151"/>
        <v>0</v>
      </c>
      <c r="BH109" s="153" t="e">
        <f t="shared" si="151"/>
        <v>#VALUE!</v>
      </c>
      <c r="BI109" s="153">
        <f t="shared" si="151"/>
        <v>0</v>
      </c>
      <c r="BJ109" s="153">
        <f t="shared" si="151"/>
        <v>0</v>
      </c>
      <c r="BK109" s="153">
        <f t="shared" si="151"/>
        <v>0</v>
      </c>
      <c r="BL109" s="153">
        <f t="shared" si="151"/>
        <v>0</v>
      </c>
      <c r="BM109" s="153">
        <f t="shared" si="151"/>
        <v>0</v>
      </c>
      <c r="BN109" s="153">
        <f t="shared" si="151"/>
        <v>0</v>
      </c>
      <c r="BO109" s="153">
        <f t="shared" si="151"/>
        <v>0</v>
      </c>
      <c r="BP109" s="153">
        <f t="shared" si="151"/>
        <v>0</v>
      </c>
      <c r="BQ109" s="153">
        <f t="shared" si="151"/>
        <v>0</v>
      </c>
      <c r="BR109" s="147" t="e">
        <f>SUM(BE109:BQ109)</f>
        <v>#VALUE!</v>
      </c>
    </row>
    <row r="110" spans="1:97" ht="15" thickTop="1">
      <c r="C110" s="3">
        <f>+C109+C108+C107+C106+C105</f>
        <v>972324.94999999984</v>
      </c>
      <c r="D110" s="147"/>
      <c r="AM110" s="148"/>
      <c r="AN110" s="149"/>
      <c r="AR110" s="147">
        <f>+AP108+AQ108+AR108</f>
        <v>-386.1</v>
      </c>
      <c r="BD110" s="141" t="s">
        <v>104</v>
      </c>
      <c r="BE110" s="153">
        <f>+BE109*0.9</f>
        <v>0</v>
      </c>
      <c r="BF110" s="153">
        <f>+BF109*0.9</f>
        <v>0</v>
      </c>
      <c r="BG110" s="153">
        <f t="shared" ref="BG110:BQ110" si="152">+BG109*0.9</f>
        <v>0</v>
      </c>
      <c r="BH110" s="153" t="e">
        <f t="shared" si="152"/>
        <v>#VALUE!</v>
      </c>
      <c r="BI110" s="153">
        <f t="shared" si="152"/>
        <v>0</v>
      </c>
      <c r="BJ110" s="153">
        <f t="shared" si="152"/>
        <v>0</v>
      </c>
      <c r="BK110" s="153">
        <f t="shared" si="152"/>
        <v>0</v>
      </c>
      <c r="BL110" s="153">
        <f t="shared" si="152"/>
        <v>0</v>
      </c>
      <c r="BM110" s="153">
        <f t="shared" si="152"/>
        <v>0</v>
      </c>
      <c r="BN110" s="153">
        <f t="shared" si="152"/>
        <v>0</v>
      </c>
      <c r="BO110" s="153">
        <f t="shared" si="152"/>
        <v>0</v>
      </c>
      <c r="BP110" s="153">
        <f t="shared" si="152"/>
        <v>0</v>
      </c>
      <c r="BQ110" s="153">
        <f t="shared" si="152"/>
        <v>0</v>
      </c>
      <c r="BR110" s="147" t="e">
        <f>SUM(BE110:BQ110)</f>
        <v>#VALUE!</v>
      </c>
    </row>
    <row r="111" spans="1:97">
      <c r="D111" s="147"/>
      <c r="AL111" s="181"/>
      <c r="AM111" s="148"/>
      <c r="AN111" s="149"/>
      <c r="AR111" s="147">
        <f>-AR110</f>
        <v>386.1</v>
      </c>
      <c r="BD111" s="142"/>
      <c r="BE111" s="147"/>
      <c r="BF111" s="147"/>
      <c r="BG111" s="147"/>
      <c r="BH111" s="147"/>
      <c r="BI111" s="147"/>
      <c r="BJ111" s="147"/>
    </row>
    <row r="112" spans="1:97">
      <c r="A112" s="1" t="s">
        <v>117</v>
      </c>
      <c r="C112" s="147"/>
      <c r="D112" s="147"/>
      <c r="AM112" s="148"/>
      <c r="AN112" s="149"/>
      <c r="BD112" s="142"/>
      <c r="BE112" s="147"/>
      <c r="BF112" s="147"/>
      <c r="BG112" s="147"/>
      <c r="BH112" s="147"/>
      <c r="BI112" s="147"/>
      <c r="BJ112" s="147"/>
    </row>
    <row r="113" spans="1:69">
      <c r="D113" s="220" t="s">
        <v>108</v>
      </c>
      <c r="E113" s="220"/>
      <c r="F113" s="220"/>
      <c r="K113" s="4"/>
      <c r="X113" s="4"/>
      <c r="Y113" s="4"/>
      <c r="Z113" s="4"/>
      <c r="AA113" s="4"/>
      <c r="AB113" s="4"/>
      <c r="AC113" s="4"/>
      <c r="AD113" s="4"/>
      <c r="AE113" s="4"/>
      <c r="AF113" s="4"/>
      <c r="AJ113" s="4"/>
      <c r="AM113" s="147"/>
      <c r="AN113" s="147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139"/>
      <c r="BE113" s="53"/>
      <c r="BF113" s="53"/>
      <c r="BG113" s="53"/>
      <c r="BH113" s="53"/>
      <c r="BI113" s="53"/>
      <c r="BJ113" s="53"/>
      <c r="BK113" s="4"/>
      <c r="BL113" s="4"/>
      <c r="BM113" s="4"/>
      <c r="BN113" s="4"/>
      <c r="BO113" s="4"/>
      <c r="BP113" s="4"/>
      <c r="BQ113" s="4"/>
    </row>
    <row r="114" spans="1:69">
      <c r="A114" s="136" t="s">
        <v>96</v>
      </c>
      <c r="C114" s="150"/>
      <c r="D114" s="147" t="s">
        <v>109</v>
      </c>
      <c r="E114" s="136" t="s">
        <v>110</v>
      </c>
      <c r="F114" s="136" t="s">
        <v>2</v>
      </c>
      <c r="AI114" s="147"/>
      <c r="BD114" s="142" t="s">
        <v>99</v>
      </c>
      <c r="BE114" s="150"/>
      <c r="BF114" s="150"/>
      <c r="BG114" s="150"/>
      <c r="BH114" s="150"/>
    </row>
    <row r="115" spans="1:69">
      <c r="A115" s="136" t="s">
        <v>126</v>
      </c>
      <c r="C115" s="150"/>
      <c r="D115" s="147"/>
      <c r="E115" s="147"/>
      <c r="AM115" s="147"/>
      <c r="AN115" s="147"/>
      <c r="BE115" s="150"/>
      <c r="BF115" s="150"/>
      <c r="BG115" s="150"/>
      <c r="BH115" s="150"/>
    </row>
    <row r="116" spans="1:69">
      <c r="D116" s="147"/>
      <c r="E116" s="147"/>
      <c r="AM116" s="147"/>
      <c r="AN116" s="147"/>
      <c r="BE116" s="150"/>
      <c r="BF116" s="150"/>
      <c r="BG116" s="150"/>
      <c r="BH116" s="150"/>
    </row>
    <row r="117" spans="1:69">
      <c r="D117" s="147"/>
      <c r="E117" s="147"/>
      <c r="BD117" s="142"/>
      <c r="BE117" s="150"/>
      <c r="BF117" s="150"/>
      <c r="BG117" s="150"/>
      <c r="BH117" s="150"/>
    </row>
    <row r="118" spans="1:69">
      <c r="D118" s="147"/>
      <c r="E118" s="147"/>
      <c r="BE118" s="150"/>
      <c r="BF118" s="150"/>
      <c r="BG118" s="150"/>
      <c r="BH118" s="150"/>
    </row>
    <row r="119" spans="1:69">
      <c r="D119" s="147"/>
      <c r="E119" s="147"/>
      <c r="BE119" s="150"/>
      <c r="BF119" s="150"/>
      <c r="BG119" s="150"/>
      <c r="BH119" s="150"/>
    </row>
    <row r="120" spans="1:69">
      <c r="D120" s="147"/>
      <c r="E120" s="147"/>
      <c r="BE120" s="150"/>
      <c r="BF120" s="150"/>
      <c r="BG120" s="150"/>
      <c r="BH120" s="150"/>
    </row>
    <row r="121" spans="1:69">
      <c r="C121" s="147"/>
      <c r="D121" s="147"/>
      <c r="E121" s="147"/>
      <c r="F121" s="147"/>
      <c r="G121" s="147"/>
    </row>
    <row r="122" spans="1:69">
      <c r="C122" s="147"/>
      <c r="D122" s="147"/>
      <c r="E122" s="147"/>
      <c r="F122" s="147"/>
      <c r="G122" s="147"/>
    </row>
    <row r="123" spans="1:69">
      <c r="C123" s="147"/>
      <c r="D123" s="147"/>
      <c r="E123" s="147"/>
      <c r="F123" s="147"/>
      <c r="G123" s="147"/>
    </row>
    <row r="124" spans="1:69">
      <c r="C124" s="147"/>
      <c r="D124" s="147"/>
      <c r="E124" s="147"/>
      <c r="F124" s="147"/>
      <c r="G124" s="147"/>
    </row>
    <row r="125" spans="1:69">
      <c r="C125" s="147"/>
      <c r="D125" s="147"/>
      <c r="E125" s="147"/>
      <c r="F125" s="147"/>
      <c r="G125" s="147"/>
    </row>
    <row r="126" spans="1:69">
      <c r="C126" s="147"/>
      <c r="D126" s="147"/>
      <c r="E126" s="147"/>
      <c r="F126" s="147"/>
      <c r="G126" s="147"/>
    </row>
    <row r="127" spans="1:69">
      <c r="C127" s="147"/>
      <c r="D127" s="147"/>
      <c r="E127" s="147"/>
      <c r="F127" s="147"/>
      <c r="G127" s="147"/>
    </row>
    <row r="128" spans="1:69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  <row r="189" spans="3:7">
      <c r="C189" s="147"/>
      <c r="D189" s="147"/>
      <c r="E189" s="147"/>
      <c r="F189" s="147"/>
      <c r="G189" s="147"/>
    </row>
    <row r="190" spans="3:7">
      <c r="C190" s="147"/>
      <c r="D190" s="147"/>
      <c r="E190" s="147"/>
      <c r="F190" s="147"/>
      <c r="G190" s="147"/>
    </row>
  </sheetData>
  <mergeCells count="92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3:F113"/>
    <mergeCell ref="A96:A97"/>
    <mergeCell ref="A99:A100"/>
    <mergeCell ref="A87:A88"/>
    <mergeCell ref="A101:A102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V122"/>
  <sheetViews>
    <sheetView zoomScale="115" zoomScaleNormal="115" workbookViewId="0">
      <pane xSplit="3" ySplit="7" topLeftCell="AC9" activePane="bottomRight" state="frozen"/>
      <selection pane="topRight" activeCell="D1" sqref="D1"/>
      <selection pane="bottomLeft" activeCell="A8" sqref="A8"/>
      <selection pane="bottomRight" activeCell="AL52" sqref="AL9:AL52"/>
    </sheetView>
  </sheetViews>
  <sheetFormatPr defaultColWidth="9.109375" defaultRowHeight="14.4"/>
  <cols>
    <col min="1" max="1" width="13" style="136" customWidth="1"/>
    <col min="2" max="2" width="5.33203125" style="136" hidden="1" customWidth="1"/>
    <col min="3" max="3" width="21" style="136" customWidth="1"/>
    <col min="4" max="29" width="10.6640625" style="136" customWidth="1"/>
    <col min="30" max="30" width="12.109375" style="136" customWidth="1"/>
    <col min="31" max="31" width="19.33203125" style="136" customWidth="1"/>
    <col min="32" max="39" width="10.6640625" style="136" customWidth="1"/>
    <col min="40" max="40" width="11.44140625" style="136" customWidth="1"/>
    <col min="41" max="41" width="15.33203125" style="136" customWidth="1"/>
    <col min="42" max="42" width="10.6640625" style="136" customWidth="1"/>
    <col min="43" max="43" width="12" style="136" customWidth="1"/>
    <col min="44" max="58" width="10.6640625" style="136" customWidth="1"/>
    <col min="59" max="59" width="10.6640625" style="136" hidden="1" customWidth="1"/>
    <col min="60" max="60" width="10.6640625" style="136" customWidth="1"/>
    <col min="61" max="61" width="13" style="136" customWidth="1"/>
    <col min="62" max="71" width="10.6640625" style="136" customWidth="1"/>
    <col min="72" max="73" width="9.109375" style="136"/>
    <col min="74" max="126" width="12.6640625" style="4" customWidth="1"/>
    <col min="127" max="16384" width="9.109375" style="136"/>
  </cols>
  <sheetData>
    <row r="1" spans="1:126" ht="15" hidden="1" thickBot="1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2"/>
      <c r="AO1" s="2"/>
      <c r="AP1" s="2"/>
      <c r="AQ1" s="1"/>
      <c r="AR1" s="4"/>
      <c r="AS1" s="1"/>
      <c r="AT1" s="5"/>
      <c r="AU1" s="5"/>
      <c r="AV1" s="5"/>
      <c r="AW1" s="5"/>
      <c r="AX1" s="6"/>
      <c r="AY1" s="6"/>
      <c r="AZ1" s="6"/>
      <c r="BA1" s="6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126" ht="15" hidden="1" thickBot="1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2"/>
      <c r="AO2" s="2"/>
      <c r="AP2" s="2"/>
      <c r="AQ2" s="1"/>
      <c r="AR2" s="4"/>
      <c r="AS2" s="1"/>
      <c r="AT2" s="5"/>
      <c r="AU2" s="5"/>
      <c r="AV2" s="5"/>
      <c r="AW2" s="5"/>
      <c r="AX2" s="6"/>
      <c r="AY2" s="6"/>
      <c r="AZ2" s="6"/>
      <c r="BA2" s="6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126" ht="15" hidden="1" thickBot="1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1"/>
      <c r="AN3" s="2"/>
      <c r="AO3" s="2"/>
      <c r="AP3" s="2"/>
      <c r="AQ3" s="1"/>
      <c r="AR3" s="4"/>
      <c r="AS3" s="1"/>
      <c r="AT3" s="5"/>
      <c r="AU3" s="5"/>
      <c r="AV3" s="5"/>
      <c r="AW3" s="5"/>
      <c r="AX3" s="6"/>
      <c r="AY3" s="6"/>
      <c r="AZ3" s="6"/>
      <c r="BA3" s="6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126" ht="22.2" hidden="1" thickBot="1">
      <c r="A4" s="9" t="s">
        <v>135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1"/>
      <c r="AM4" s="3"/>
      <c r="AN4" s="4"/>
      <c r="AO4" s="4"/>
      <c r="AP4" s="1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/>
      <c r="DF4" s="144" t="s">
        <v>34</v>
      </c>
      <c r="DG4" s="144"/>
      <c r="DH4" s="144" t="s">
        <v>25</v>
      </c>
      <c r="DI4" s="144" t="s">
        <v>35</v>
      </c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/>
      <c r="DV4" s="144" t="s">
        <v>36</v>
      </c>
    </row>
    <row r="5" spans="1:126" ht="22.2" hidden="1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4"/>
      <c r="AN5" s="10"/>
      <c r="AO5" s="10"/>
      <c r="AP5" s="10"/>
      <c r="AQ5" s="4"/>
      <c r="AR5" s="4"/>
      <c r="AS5" s="4"/>
      <c r="AT5" s="15"/>
      <c r="AU5" s="15"/>
      <c r="AV5" s="15"/>
      <c r="AW5" s="15"/>
      <c r="AX5" s="16"/>
      <c r="AY5" s="16"/>
      <c r="AZ5" s="16"/>
      <c r="BA5" s="16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143">
        <v>0.5</v>
      </c>
      <c r="BP5" s="4"/>
      <c r="BQ5" s="4"/>
      <c r="BR5" s="4"/>
      <c r="BS5" s="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 t="s">
        <v>41</v>
      </c>
      <c r="DF5" s="144"/>
      <c r="DG5" s="144" t="s">
        <v>42</v>
      </c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  <c r="DV5" s="144"/>
    </row>
    <row r="6" spans="1:126" ht="34.5" customHeight="1" thickTop="1" thickBot="1">
      <c r="A6" s="218" t="s">
        <v>2</v>
      </c>
      <c r="B6" s="191" t="s">
        <v>3</v>
      </c>
      <c r="C6" s="199" t="s">
        <v>4</v>
      </c>
      <c r="D6" s="195" t="s">
        <v>5</v>
      </c>
      <c r="E6" s="195" t="s">
        <v>6</v>
      </c>
      <c r="F6" s="195" t="s">
        <v>7</v>
      </c>
      <c r="G6" s="199" t="s">
        <v>8</v>
      </c>
      <c r="H6" s="199" t="s">
        <v>9</v>
      </c>
      <c r="I6" s="195" t="s">
        <v>10</v>
      </c>
      <c r="J6" s="195" t="s">
        <v>11</v>
      </c>
      <c r="K6" s="195" t="s">
        <v>12</v>
      </c>
      <c r="L6" s="195" t="s">
        <v>13</v>
      </c>
      <c r="M6" s="191" t="s">
        <v>14</v>
      </c>
      <c r="N6" s="191" t="s">
        <v>15</v>
      </c>
      <c r="O6" s="191" t="s">
        <v>16</v>
      </c>
      <c r="P6" s="191" t="s">
        <v>17</v>
      </c>
      <c r="Q6" s="195" t="s">
        <v>46</v>
      </c>
      <c r="R6" s="195" t="s">
        <v>18</v>
      </c>
      <c r="S6" s="195" t="s">
        <v>19</v>
      </c>
      <c r="T6" s="191" t="s">
        <v>20</v>
      </c>
      <c r="U6" s="191" t="s">
        <v>21</v>
      </c>
      <c r="V6" s="191" t="s">
        <v>22</v>
      </c>
      <c r="W6" s="191" t="s">
        <v>47</v>
      </c>
      <c r="X6" s="195" t="s">
        <v>46</v>
      </c>
      <c r="Y6" s="174"/>
      <c r="Z6" s="195" t="s">
        <v>23</v>
      </c>
      <c r="AA6" s="204" t="s">
        <v>24</v>
      </c>
      <c r="AB6" s="195" t="s">
        <v>25</v>
      </c>
      <c r="AC6" s="195" t="s">
        <v>26</v>
      </c>
      <c r="AD6" s="210" t="s">
        <v>95</v>
      </c>
      <c r="AE6" s="211"/>
      <c r="AF6" s="198" t="s">
        <v>28</v>
      </c>
      <c r="AG6" s="206" t="s">
        <v>29</v>
      </c>
      <c r="AH6" s="207"/>
      <c r="AI6" s="199" t="s">
        <v>30</v>
      </c>
      <c r="AJ6" s="174"/>
      <c r="AK6" s="199" t="s">
        <v>31</v>
      </c>
      <c r="AL6" s="172"/>
      <c r="AM6" s="199" t="s">
        <v>32</v>
      </c>
      <c r="AN6" s="202" t="s">
        <v>33</v>
      </c>
      <c r="AO6" s="208" t="s">
        <v>103</v>
      </c>
      <c r="AP6" s="17"/>
      <c r="AQ6" s="193" t="s">
        <v>63</v>
      </c>
      <c r="AR6" s="193" t="s">
        <v>64</v>
      </c>
      <c r="AS6" s="193" t="s">
        <v>111</v>
      </c>
      <c r="AT6" s="193" t="s">
        <v>65</v>
      </c>
      <c r="AU6" s="193" t="s">
        <v>98</v>
      </c>
      <c r="AV6" s="193" t="s">
        <v>119</v>
      </c>
      <c r="AW6" s="193" t="s">
        <v>113</v>
      </c>
      <c r="AX6" s="193" t="s">
        <v>114</v>
      </c>
      <c r="AY6" s="193" t="s">
        <v>115</v>
      </c>
      <c r="AZ6" s="176"/>
      <c r="BA6" s="172"/>
      <c r="BB6" s="213" t="s">
        <v>34</v>
      </c>
      <c r="BC6" s="178"/>
      <c r="BD6" s="199" t="s">
        <v>25</v>
      </c>
      <c r="BE6" s="199" t="s">
        <v>35</v>
      </c>
      <c r="BF6" s="193" t="s">
        <v>134</v>
      </c>
      <c r="BG6" s="193" t="s">
        <v>125</v>
      </c>
      <c r="BH6" s="193" t="s">
        <v>112</v>
      </c>
      <c r="BI6" s="193" t="s">
        <v>128</v>
      </c>
      <c r="BJ6" s="193" t="s">
        <v>131</v>
      </c>
      <c r="BK6" s="193" t="s">
        <v>132</v>
      </c>
      <c r="BL6" s="193" t="s">
        <v>133</v>
      </c>
      <c r="BM6" s="193" t="s">
        <v>127</v>
      </c>
      <c r="BN6" s="193" t="s">
        <v>116</v>
      </c>
      <c r="BO6" s="193" t="s">
        <v>118</v>
      </c>
      <c r="BP6" s="18"/>
      <c r="BQ6" s="18"/>
      <c r="BR6" s="18"/>
      <c r="BS6" s="206" t="s">
        <v>36</v>
      </c>
    </row>
    <row r="7" spans="1:126" ht="31.8" thickTop="1" thickBot="1">
      <c r="A7" s="219"/>
      <c r="B7" s="192"/>
      <c r="C7" s="201"/>
      <c r="D7" s="197"/>
      <c r="E7" s="197"/>
      <c r="F7" s="196"/>
      <c r="G7" s="201"/>
      <c r="H7" s="201"/>
      <c r="I7" s="196"/>
      <c r="J7" s="196"/>
      <c r="K7" s="197"/>
      <c r="L7" s="196"/>
      <c r="M7" s="192"/>
      <c r="N7" s="192"/>
      <c r="O7" s="192"/>
      <c r="P7" s="192"/>
      <c r="Q7" s="196"/>
      <c r="R7" s="197"/>
      <c r="S7" s="196"/>
      <c r="T7" s="192"/>
      <c r="U7" s="192"/>
      <c r="V7" s="192"/>
      <c r="W7" s="192"/>
      <c r="X7" s="196"/>
      <c r="Y7" s="19" t="s">
        <v>37</v>
      </c>
      <c r="Z7" s="197"/>
      <c r="AA7" s="205"/>
      <c r="AB7" s="197"/>
      <c r="AC7" s="197"/>
      <c r="AD7" s="118" t="s">
        <v>96</v>
      </c>
      <c r="AE7" s="119" t="s">
        <v>97</v>
      </c>
      <c r="AF7" s="197"/>
      <c r="AG7" s="20" t="s">
        <v>38</v>
      </c>
      <c r="AH7" s="20" t="s">
        <v>39</v>
      </c>
      <c r="AI7" s="200"/>
      <c r="AJ7" s="175" t="s">
        <v>40</v>
      </c>
      <c r="AK7" s="201"/>
      <c r="AL7" s="173"/>
      <c r="AM7" s="201"/>
      <c r="AN7" s="203"/>
      <c r="AO7" s="209"/>
      <c r="AP7" s="21" t="s">
        <v>66</v>
      </c>
      <c r="AQ7" s="194"/>
      <c r="AR7" s="194"/>
      <c r="AS7" s="194"/>
      <c r="AT7" s="194"/>
      <c r="AU7" s="194"/>
      <c r="AV7" s="194"/>
      <c r="AW7" s="194"/>
      <c r="AX7" s="194"/>
      <c r="AY7" s="194"/>
      <c r="AZ7" s="177"/>
      <c r="BA7" s="180" t="s">
        <v>41</v>
      </c>
      <c r="BB7" s="214"/>
      <c r="BC7" s="179" t="s">
        <v>42</v>
      </c>
      <c r="BD7" s="200"/>
      <c r="BE7" s="200"/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22"/>
      <c r="BQ7" s="22"/>
      <c r="BR7" s="22"/>
      <c r="BS7" s="212"/>
      <c r="BV7" s="4" t="s">
        <v>58</v>
      </c>
      <c r="BW7" s="4" t="s">
        <v>59</v>
      </c>
      <c r="BX7" s="4" t="s">
        <v>60</v>
      </c>
      <c r="BY7" s="4" t="s">
        <v>61</v>
      </c>
      <c r="BZ7" s="4" t="s">
        <v>36</v>
      </c>
    </row>
    <row r="8" spans="1:126" ht="1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5"/>
      <c r="AP8" s="29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25"/>
      <c r="BB8" s="28"/>
      <c r="BC8" s="28"/>
      <c r="BD8" s="25"/>
      <c r="BE8" s="25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31"/>
    </row>
    <row r="9" spans="1:126">
      <c r="A9" s="215">
        <v>43435</v>
      </c>
      <c r="B9" s="32" t="s">
        <v>43</v>
      </c>
      <c r="C9" s="33"/>
      <c r="D9" s="34"/>
      <c r="E9" s="34"/>
      <c r="F9" s="35"/>
      <c r="G9" s="33">
        <f t="shared" ref="G9:G18" si="0">IF(E9-D9&lt;0,E9-D9,0)*-1</f>
        <v>0</v>
      </c>
      <c r="H9" s="33">
        <f t="shared" ref="H9:H52" si="1"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 t="shared" ref="AG9:AG52" si="2">(AF9*0.8)*0.85</f>
        <v>0</v>
      </c>
      <c r="AH9" s="33">
        <f t="shared" ref="AH9:AH52" si="3">(AF9*0.8)*0.15</f>
        <v>0</v>
      </c>
      <c r="AI9" s="33">
        <f t="shared" ref="AI9:AI52" si="4">AF9*0.2</f>
        <v>0</v>
      </c>
      <c r="AJ9" s="34"/>
      <c r="AK9" s="33">
        <v>0</v>
      </c>
      <c r="AL9" s="33">
        <f>-AK9</f>
        <v>0</v>
      </c>
      <c r="AM9" s="33">
        <f t="shared" ref="AM9" si="5">AK9-SUM(Y9:AC9)</f>
        <v>0</v>
      </c>
      <c r="AN9" s="33">
        <f t="shared" ref="AN9:AN10" si="6">+AM9*0.12</f>
        <v>0</v>
      </c>
      <c r="AO9" s="33">
        <f t="shared" ref="AO9:AO10" si="7">+AN9+AM9+AJ9</f>
        <v>0</v>
      </c>
      <c r="AP9" s="39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33">
        <f t="shared" ref="BA9:BA17" si="8">SUM(AP9:AZ9)</f>
        <v>0</v>
      </c>
      <c r="BB9" s="38"/>
      <c r="BC9" s="38"/>
      <c r="BD9" s="33">
        <f>SUM(BF9:BN9)*0.1+(BO9*0.5)</f>
        <v>0</v>
      </c>
      <c r="BE9" s="33">
        <f>SUM(BF9:BN9)+(BO9*0.5)</f>
        <v>0</v>
      </c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41">
        <f t="shared" ref="BS9:BS52" si="9">BA9+BB9+BC9+BE9-BD9</f>
        <v>0</v>
      </c>
    </row>
    <row r="10" spans="1:126" ht="15" thickBot="1">
      <c r="A10" s="217"/>
      <c r="B10" s="15" t="s">
        <v>44</v>
      </c>
      <c r="C10" s="33">
        <v>8148.28</v>
      </c>
      <c r="D10" s="34">
        <v>5356.17</v>
      </c>
      <c r="E10" s="34">
        <v>5356.75</v>
      </c>
      <c r="F10" s="35">
        <v>43437</v>
      </c>
      <c r="G10" s="33">
        <f t="shared" si="0"/>
        <v>0</v>
      </c>
      <c r="H10" s="33">
        <f t="shared" si="1"/>
        <v>0.57999999999992724</v>
      </c>
      <c r="I10" s="34"/>
      <c r="J10" s="34"/>
      <c r="K10" s="34">
        <v>2002.11</v>
      </c>
      <c r="L10" s="34"/>
      <c r="M10" s="36">
        <f>(+K10)*M$5</f>
        <v>43.045364999999997</v>
      </c>
      <c r="N10" s="36">
        <f>(+K10)*N$5</f>
        <v>10.01055</v>
      </c>
      <c r="O10" s="36">
        <f>+K10-M10-N10+P10</f>
        <v>1949.054085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>
        <v>185</v>
      </c>
      <c r="AA10" s="34"/>
      <c r="AB10" s="34"/>
      <c r="AC10" s="34"/>
      <c r="AD10" s="38" t="s">
        <v>138</v>
      </c>
      <c r="AE10" s="38">
        <v>605</v>
      </c>
      <c r="AF10" s="34">
        <v>550.28</v>
      </c>
      <c r="AG10" s="33">
        <f t="shared" si="2"/>
        <v>374.19039999999995</v>
      </c>
      <c r="AH10" s="33">
        <f t="shared" si="3"/>
        <v>66.033599999999993</v>
      </c>
      <c r="AI10" s="33">
        <f t="shared" si="4"/>
        <v>110.056</v>
      </c>
      <c r="AJ10" s="34"/>
      <c r="AK10" s="33">
        <v>6783.9285714285706</v>
      </c>
      <c r="AL10" s="33">
        <f t="shared" ref="AL10:AL52" si="10">-AK10</f>
        <v>-6783.9285714285706</v>
      </c>
      <c r="AM10" s="33">
        <f t="shared" ref="AM10" si="11">AK10-SUM(Y10:AC10)</f>
        <v>6598.9285714285706</v>
      </c>
      <c r="AN10" s="33">
        <f t="shared" si="6"/>
        <v>791.8714285714284</v>
      </c>
      <c r="AO10" s="33">
        <f t="shared" si="7"/>
        <v>7390.7999999999993</v>
      </c>
      <c r="AP10" s="39"/>
      <c r="AQ10" s="40"/>
      <c r="AR10" s="40">
        <v>545</v>
      </c>
      <c r="AS10" s="40"/>
      <c r="AT10" s="40"/>
      <c r="AU10" s="40"/>
      <c r="AV10" s="40"/>
      <c r="AW10" s="40"/>
      <c r="AX10" s="40"/>
      <c r="AY10" s="40"/>
      <c r="AZ10" s="40"/>
      <c r="BA10" s="33">
        <f t="shared" si="8"/>
        <v>545</v>
      </c>
      <c r="BB10" s="38"/>
      <c r="BC10" s="38"/>
      <c r="BD10" s="33">
        <v>0</v>
      </c>
      <c r="BE10" s="33">
        <f>SUM(BF10:BN10)+(BO10*0.5)</f>
        <v>0</v>
      </c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41">
        <f t="shared" si="9"/>
        <v>545</v>
      </c>
    </row>
    <row r="11" spans="1:126">
      <c r="A11" s="215" t="e">
        <f>+#REF!+1</f>
        <v>#REF!</v>
      </c>
      <c r="B11" s="32" t="s">
        <v>43</v>
      </c>
      <c r="C11" s="33">
        <v>20327.87</v>
      </c>
      <c r="D11" s="34">
        <v>17856.54</v>
      </c>
      <c r="E11" s="34">
        <v>17857</v>
      </c>
      <c r="F11" s="35">
        <v>43437</v>
      </c>
      <c r="G11" s="33">
        <f t="shared" si="0"/>
        <v>0</v>
      </c>
      <c r="H11" s="33">
        <f t="shared" si="1"/>
        <v>0.45999999999912689</v>
      </c>
      <c r="I11" s="34"/>
      <c r="J11" s="34"/>
      <c r="K11" s="34">
        <v>1361.61</v>
      </c>
      <c r="L11" s="34"/>
      <c r="M11" s="36">
        <f t="shared" ref="M11:M16" si="12">(+K11)*M$5</f>
        <v>29.274614999999997</v>
      </c>
      <c r="N11" s="36">
        <f t="shared" ref="N11:N16" si="13">(+K11)*N$5</f>
        <v>6.8080499999999997</v>
      </c>
      <c r="O11" s="36">
        <f t="shared" ref="O11:O16" si="14">+K11-M11-N11+P11</f>
        <v>1325.5273349999998</v>
      </c>
      <c r="P11" s="36">
        <f t="shared" ref="P11" si="15">L11-(L11*(M$5+N$5))</f>
        <v>0</v>
      </c>
      <c r="Q11" s="37"/>
      <c r="R11" s="34"/>
      <c r="S11" s="34"/>
      <c r="T11" s="36">
        <f>+R11*T$5</f>
        <v>0</v>
      </c>
      <c r="U11" s="36">
        <f>+R11*U$5</f>
        <v>0</v>
      </c>
      <c r="V11" s="36">
        <f>+R11-T11-U11+W11</f>
        <v>0</v>
      </c>
      <c r="W11" s="36">
        <f>+S11-(S11*(T$5+U$5))</f>
        <v>0</v>
      </c>
      <c r="X11" s="37"/>
      <c r="Y11" s="34"/>
      <c r="Z11" s="34">
        <f>63+13</f>
        <v>76</v>
      </c>
      <c r="AA11" s="34"/>
      <c r="AB11" s="34"/>
      <c r="AC11" s="34">
        <v>578.72</v>
      </c>
      <c r="AD11" s="38" t="s">
        <v>138</v>
      </c>
      <c r="AE11" s="38">
        <v>455</v>
      </c>
      <c r="AF11" s="34">
        <v>1500.1</v>
      </c>
      <c r="AG11" s="33">
        <f t="shared" si="2"/>
        <v>1020.0679999999999</v>
      </c>
      <c r="AH11" s="33">
        <f t="shared" si="3"/>
        <v>180.01199999999997</v>
      </c>
      <c r="AI11" s="33">
        <f t="shared" si="4"/>
        <v>300.02</v>
      </c>
      <c r="AJ11" s="34"/>
      <c r="AK11" s="33">
        <v>16810.508928571428</v>
      </c>
      <c r="AL11" s="33">
        <f t="shared" si="10"/>
        <v>-16810.508928571428</v>
      </c>
      <c r="AM11" s="33">
        <f t="shared" ref="AM11:AM12" si="16">AK11-SUM(Y11:AC11)</f>
        <v>16155.788928571428</v>
      </c>
      <c r="AN11" s="33">
        <f t="shared" ref="AN11:AN12" si="17">+AM11*0.12</f>
        <v>1938.6946714285714</v>
      </c>
      <c r="AO11" s="33">
        <f t="shared" ref="AO11:AO52" si="18">+AN11+AM11+AJ11</f>
        <v>18094.4836</v>
      </c>
      <c r="AP11" s="39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33">
        <f t="shared" si="8"/>
        <v>0</v>
      </c>
      <c r="BB11" s="38"/>
      <c r="BC11" s="38"/>
      <c r="BD11" s="33">
        <f>SUM(BF11:BN11)*0.1+(BO11*0.5)</f>
        <v>0</v>
      </c>
      <c r="BE11" s="33">
        <f>SUM(BF11:BN11)+(BO11*0.5)</f>
        <v>0</v>
      </c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41">
        <f t="shared" si="9"/>
        <v>0</v>
      </c>
      <c r="BU11" s="146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</row>
    <row r="12" spans="1:126">
      <c r="A12" s="216"/>
      <c r="B12" s="15" t="s">
        <v>44</v>
      </c>
      <c r="C12" s="33">
        <v>12407.82</v>
      </c>
      <c r="D12" s="34">
        <v>4565.72</v>
      </c>
      <c r="E12" s="34">
        <v>4565</v>
      </c>
      <c r="F12" s="35">
        <v>43438</v>
      </c>
      <c r="G12" s="33">
        <f t="shared" si="0"/>
        <v>0.72000000000025466</v>
      </c>
      <c r="H12" s="33">
        <f t="shared" si="1"/>
        <v>0</v>
      </c>
      <c r="I12" s="34"/>
      <c r="J12" s="34"/>
      <c r="K12" s="34">
        <v>6175.71</v>
      </c>
      <c r="L12" s="34"/>
      <c r="M12" s="36">
        <f>(+K12)*M$5</f>
        <v>132.77776499999999</v>
      </c>
      <c r="N12" s="36">
        <f t="shared" si="13"/>
        <v>30.878550000000001</v>
      </c>
      <c r="O12" s="36">
        <f>+K12-M12-N12+P12</f>
        <v>6012.0536849999999</v>
      </c>
      <c r="P12" s="36">
        <f>L12-(L12*(M$5+N$5))</f>
        <v>0</v>
      </c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>
        <v>63.39</v>
      </c>
      <c r="AD12" s="38" t="s">
        <v>138</v>
      </c>
      <c r="AE12" s="38">
        <v>1603</v>
      </c>
      <c r="AF12" s="34">
        <v>712.86</v>
      </c>
      <c r="AG12" s="33">
        <f t="shared" si="2"/>
        <v>484.7448</v>
      </c>
      <c r="AH12" s="33">
        <f t="shared" si="3"/>
        <v>85.543199999999999</v>
      </c>
      <c r="AI12" s="33">
        <f t="shared" si="4"/>
        <v>142.572</v>
      </c>
      <c r="AJ12" s="34">
        <v>0</v>
      </c>
      <c r="AK12" s="33">
        <v>10441.928571428569</v>
      </c>
      <c r="AL12" s="33">
        <f t="shared" si="10"/>
        <v>-10441.928571428569</v>
      </c>
      <c r="AM12" s="33">
        <f t="shared" si="16"/>
        <v>10378.538571428569</v>
      </c>
      <c r="AN12" s="33">
        <f t="shared" si="17"/>
        <v>1245.4246285714282</v>
      </c>
      <c r="AO12" s="33">
        <f t="shared" si="18"/>
        <v>11623.963199999998</v>
      </c>
      <c r="AP12" s="39">
        <v>265</v>
      </c>
      <c r="AQ12" s="40">
        <f>455+168</f>
        <v>623</v>
      </c>
      <c r="AR12" s="40"/>
      <c r="AS12" s="40"/>
      <c r="AT12" s="40"/>
      <c r="AU12" s="40"/>
      <c r="AV12" s="40"/>
      <c r="AW12" s="40"/>
      <c r="AX12" s="40"/>
      <c r="AY12" s="40"/>
      <c r="AZ12" s="40"/>
      <c r="BA12" s="33">
        <f t="shared" si="8"/>
        <v>888</v>
      </c>
      <c r="BB12" s="38"/>
      <c r="BC12" s="38"/>
      <c r="BD12" s="33">
        <v>0</v>
      </c>
      <c r="BE12" s="33">
        <v>0</v>
      </c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41">
        <f t="shared" si="9"/>
        <v>888</v>
      </c>
      <c r="BU12" s="146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</row>
    <row r="13" spans="1:126">
      <c r="A13" s="215" t="e">
        <f>+A11+1</f>
        <v>#REF!</v>
      </c>
      <c r="B13" s="32" t="s">
        <v>43</v>
      </c>
      <c r="C13" s="33">
        <v>14264.15</v>
      </c>
      <c r="D13" s="34">
        <v>9634.9699999999993</v>
      </c>
      <c r="E13" s="34">
        <v>9640</v>
      </c>
      <c r="F13" s="35">
        <v>43438</v>
      </c>
      <c r="G13" s="33">
        <f t="shared" si="0"/>
        <v>0</v>
      </c>
      <c r="H13" s="33">
        <f t="shared" si="1"/>
        <v>5.0300000000006548</v>
      </c>
      <c r="I13" s="34"/>
      <c r="J13" s="34"/>
      <c r="K13" s="34">
        <v>1399.73</v>
      </c>
      <c r="L13" s="34"/>
      <c r="M13" s="36">
        <f t="shared" si="12"/>
        <v>30.094194999999999</v>
      </c>
      <c r="N13" s="36">
        <f t="shared" si="13"/>
        <v>6.9986500000000005</v>
      </c>
      <c r="O13" s="36">
        <f t="shared" si="14"/>
        <v>1362.6371550000001</v>
      </c>
      <c r="P13" s="36"/>
      <c r="Q13" s="37"/>
      <c r="R13" s="34"/>
      <c r="S13" s="34"/>
      <c r="T13" s="36"/>
      <c r="U13" s="36"/>
      <c r="V13" s="36"/>
      <c r="W13" s="36"/>
      <c r="X13" s="37"/>
      <c r="Y13" s="34"/>
      <c r="Z13" s="34"/>
      <c r="AA13" s="34"/>
      <c r="AB13" s="34"/>
      <c r="AC13" s="34">
        <v>243.45</v>
      </c>
      <c r="AD13" s="38" t="s">
        <v>138</v>
      </c>
      <c r="AE13" s="38">
        <v>2986</v>
      </c>
      <c r="AF13" s="34">
        <v>764.22</v>
      </c>
      <c r="AG13" s="33">
        <f t="shared" si="2"/>
        <v>519.66960000000006</v>
      </c>
      <c r="AH13" s="33">
        <f t="shared" si="3"/>
        <v>91.706400000000016</v>
      </c>
      <c r="AI13" s="33">
        <f t="shared" si="4"/>
        <v>152.84400000000002</v>
      </c>
      <c r="AJ13" s="34"/>
      <c r="AK13" s="33">
        <v>12053.508928571428</v>
      </c>
      <c r="AL13" s="33">
        <f t="shared" si="10"/>
        <v>-12053.508928571428</v>
      </c>
      <c r="AM13" s="33">
        <f t="shared" ref="AM13:AM14" si="19">AK13-SUM(Y13:AC13)</f>
        <v>11810.058928571427</v>
      </c>
      <c r="AN13" s="33">
        <f t="shared" ref="AN13:AN14" si="20">+AM13*0.12</f>
        <v>1417.2070714285712</v>
      </c>
      <c r="AO13" s="33">
        <f t="shared" si="18"/>
        <v>13227.265999999998</v>
      </c>
      <c r="AP13" s="39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33">
        <f t="shared" si="8"/>
        <v>0</v>
      </c>
      <c r="BB13" s="38"/>
      <c r="BC13" s="38"/>
      <c r="BD13" s="33">
        <f>SUM(BF13:BN13)*0.1+(BO13*0.5)</f>
        <v>0</v>
      </c>
      <c r="BE13" s="33">
        <f>SUM(BF13:BN13)+(BO13*0.5)</f>
        <v>0</v>
      </c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1">
        <f t="shared" si="9"/>
        <v>0</v>
      </c>
      <c r="BU13" s="146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</row>
    <row r="14" spans="1:126">
      <c r="A14" s="216"/>
      <c r="B14" s="15" t="s">
        <v>44</v>
      </c>
      <c r="C14" s="33">
        <v>18169.18</v>
      </c>
      <c r="D14" s="34">
        <v>11831.77</v>
      </c>
      <c r="E14" s="34">
        <v>11830</v>
      </c>
      <c r="F14" s="35">
        <v>43439</v>
      </c>
      <c r="G14" s="33">
        <f t="shared" si="0"/>
        <v>1.7700000000004366</v>
      </c>
      <c r="H14" s="33">
        <f t="shared" si="1"/>
        <v>0</v>
      </c>
      <c r="I14" s="34"/>
      <c r="J14" s="34"/>
      <c r="K14" s="34">
        <v>3088.12</v>
      </c>
      <c r="L14" s="34"/>
      <c r="M14" s="36">
        <f t="shared" si="12"/>
        <v>66.394579999999991</v>
      </c>
      <c r="N14" s="36">
        <f t="shared" si="13"/>
        <v>15.4406</v>
      </c>
      <c r="O14" s="36">
        <f t="shared" si="14"/>
        <v>3006.2848199999999</v>
      </c>
      <c r="P14" s="36"/>
      <c r="Q14" s="37"/>
      <c r="R14" s="34"/>
      <c r="S14" s="34"/>
      <c r="T14" s="36"/>
      <c r="U14" s="36"/>
      <c r="V14" s="36"/>
      <c r="W14" s="36"/>
      <c r="X14" s="37"/>
      <c r="Y14" s="34"/>
      <c r="Z14" s="34">
        <v>25.25</v>
      </c>
      <c r="AA14" s="34"/>
      <c r="AB14" s="34"/>
      <c r="AC14" s="34">
        <v>58.04</v>
      </c>
      <c r="AD14" s="38" t="s">
        <v>138</v>
      </c>
      <c r="AE14" s="38">
        <v>3166</v>
      </c>
      <c r="AF14" s="34">
        <v>1208</v>
      </c>
      <c r="AG14" s="33">
        <f t="shared" si="2"/>
        <v>821.44</v>
      </c>
      <c r="AH14" s="33">
        <f t="shared" si="3"/>
        <v>144.96</v>
      </c>
      <c r="AI14" s="33">
        <f t="shared" si="4"/>
        <v>241.60000000000002</v>
      </c>
      <c r="AJ14" s="34">
        <v>0</v>
      </c>
      <c r="AK14" s="33">
        <v>15143.910714285714</v>
      </c>
      <c r="AL14" s="33">
        <f t="shared" si="10"/>
        <v>-15143.910714285714</v>
      </c>
      <c r="AM14" s="33">
        <f t="shared" si="19"/>
        <v>15060.620714285713</v>
      </c>
      <c r="AN14" s="33">
        <f t="shared" si="20"/>
        <v>1807.2744857142854</v>
      </c>
      <c r="AO14" s="33">
        <f t="shared" si="18"/>
        <v>16867.895199999999</v>
      </c>
      <c r="AP14" s="39"/>
      <c r="AQ14" s="40">
        <v>168</v>
      </c>
      <c r="AR14" s="40"/>
      <c r="AS14" s="40"/>
      <c r="AT14" s="40"/>
      <c r="AU14" s="40"/>
      <c r="AV14" s="40"/>
      <c r="AW14" s="40"/>
      <c r="AX14" s="40"/>
      <c r="AY14" s="40"/>
      <c r="AZ14" s="40"/>
      <c r="BA14" s="33">
        <f t="shared" si="8"/>
        <v>168</v>
      </c>
      <c r="BB14" s="38"/>
      <c r="BC14" s="38"/>
      <c r="BD14" s="33">
        <v>0</v>
      </c>
      <c r="BE14" s="33">
        <v>0</v>
      </c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41">
        <f t="shared" si="9"/>
        <v>168</v>
      </c>
      <c r="BU14" s="146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</row>
    <row r="15" spans="1:126">
      <c r="A15" s="215" t="e">
        <f>+A13+1</f>
        <v>#REF!</v>
      </c>
      <c r="B15" s="32" t="s">
        <v>43</v>
      </c>
      <c r="C15" s="33">
        <v>25605.66</v>
      </c>
      <c r="D15" s="34">
        <v>17847.66</v>
      </c>
      <c r="E15" s="34">
        <v>17850</v>
      </c>
      <c r="F15" s="35">
        <v>43439</v>
      </c>
      <c r="G15" s="33">
        <f t="shared" si="0"/>
        <v>0</v>
      </c>
      <c r="H15" s="33">
        <f t="shared" si="1"/>
        <v>2.3400000000001455</v>
      </c>
      <c r="I15" s="34"/>
      <c r="J15" s="34"/>
      <c r="K15" s="34">
        <v>5718.75</v>
      </c>
      <c r="L15" s="34"/>
      <c r="M15" s="36">
        <f t="shared" si="12"/>
        <v>122.95312499999999</v>
      </c>
      <c r="N15" s="36">
        <f t="shared" si="13"/>
        <v>28.59375</v>
      </c>
      <c r="O15" s="36">
        <f t="shared" si="14"/>
        <v>5567.203125</v>
      </c>
      <c r="P15" s="36"/>
      <c r="Q15" s="37"/>
      <c r="R15" s="34"/>
      <c r="S15" s="34"/>
      <c r="T15" s="36"/>
      <c r="U15" s="36"/>
      <c r="V15" s="36"/>
      <c r="W15" s="36"/>
      <c r="X15" s="37"/>
      <c r="Y15" s="34"/>
      <c r="Z15" s="34">
        <v>125.5</v>
      </c>
      <c r="AA15" s="34"/>
      <c r="AB15" s="34"/>
      <c r="AC15" s="34">
        <v>68.75</v>
      </c>
      <c r="AD15" s="38" t="s">
        <v>138</v>
      </c>
      <c r="AE15" s="38">
        <v>1845</v>
      </c>
      <c r="AF15" s="34">
        <v>1823.91</v>
      </c>
      <c r="AG15" s="33">
        <f t="shared" si="2"/>
        <v>1240.2588000000001</v>
      </c>
      <c r="AH15" s="33">
        <f t="shared" si="3"/>
        <v>218.86920000000001</v>
      </c>
      <c r="AI15" s="33">
        <f t="shared" si="4"/>
        <v>364.78200000000004</v>
      </c>
      <c r="AJ15" s="34">
        <v>0</v>
      </c>
      <c r="AK15" s="33">
        <v>21233.705357142855</v>
      </c>
      <c r="AL15" s="33">
        <f t="shared" si="10"/>
        <v>-21233.705357142855</v>
      </c>
      <c r="AM15" s="33">
        <f t="shared" ref="AM15:AM16" si="21">AK15-SUM(Y15:AC15)</f>
        <v>21039.455357142855</v>
      </c>
      <c r="AN15" s="33">
        <f t="shared" ref="AN15:AN16" si="22">+AM15*0.12</f>
        <v>2524.7346428571427</v>
      </c>
      <c r="AO15" s="33">
        <f t="shared" si="18"/>
        <v>23564.19</v>
      </c>
      <c r="AP15" s="39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33">
        <f t="shared" si="8"/>
        <v>0</v>
      </c>
      <c r="BB15" s="38"/>
      <c r="BC15" s="38"/>
      <c r="BD15" s="33">
        <f>SUM(BF15:BN15)*0.1+(BO15*0.5)</f>
        <v>0</v>
      </c>
      <c r="BE15" s="33">
        <f>SUM(BF15:BN15)+(BO15*0.5)</f>
        <v>0</v>
      </c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41">
        <f t="shared" si="9"/>
        <v>0</v>
      </c>
      <c r="BU15" s="146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</row>
    <row r="16" spans="1:126">
      <c r="A16" s="216"/>
      <c r="B16" s="15" t="s">
        <v>44</v>
      </c>
      <c r="C16" s="33">
        <v>18026.240000000002</v>
      </c>
      <c r="D16" s="34">
        <v>13864.67</v>
      </c>
      <c r="E16" s="34">
        <v>13872</v>
      </c>
      <c r="F16" s="35">
        <v>43440</v>
      </c>
      <c r="G16" s="33">
        <f t="shared" si="0"/>
        <v>0</v>
      </c>
      <c r="H16" s="33">
        <f t="shared" si="1"/>
        <v>7.3299999999999272</v>
      </c>
      <c r="I16" s="34"/>
      <c r="J16" s="34"/>
      <c r="K16" s="34">
        <v>3859.07</v>
      </c>
      <c r="L16" s="34"/>
      <c r="M16" s="36">
        <f t="shared" si="12"/>
        <v>82.970005</v>
      </c>
      <c r="N16" s="36">
        <f t="shared" si="13"/>
        <v>19.295350000000003</v>
      </c>
      <c r="O16" s="36">
        <f t="shared" si="14"/>
        <v>3756.8046450000002</v>
      </c>
      <c r="P16" s="36"/>
      <c r="Q16" s="37"/>
      <c r="R16" s="34"/>
      <c r="S16" s="34"/>
      <c r="T16" s="36"/>
      <c r="U16" s="36"/>
      <c r="V16" s="36"/>
      <c r="W16" s="36"/>
      <c r="X16" s="37"/>
      <c r="Y16" s="34"/>
      <c r="Z16" s="34">
        <f>209+92.5</f>
        <v>301.5</v>
      </c>
      <c r="AA16" s="34"/>
      <c r="AB16" s="34"/>
      <c r="AC16" s="34"/>
      <c r="AD16" s="38"/>
      <c r="AE16" s="38">
        <v>0</v>
      </c>
      <c r="AF16" s="34">
        <v>1435.24</v>
      </c>
      <c r="AG16" s="33">
        <f t="shared" si="2"/>
        <v>975.96320000000003</v>
      </c>
      <c r="AH16" s="33">
        <f t="shared" si="3"/>
        <v>172.22880000000001</v>
      </c>
      <c r="AI16" s="33">
        <f t="shared" si="4"/>
        <v>287.048</v>
      </c>
      <c r="AJ16" s="34">
        <v>0</v>
      </c>
      <c r="AK16" s="33">
        <v>14813.392857142855</v>
      </c>
      <c r="AL16" s="33">
        <f t="shared" si="10"/>
        <v>-14813.392857142855</v>
      </c>
      <c r="AM16" s="33">
        <f t="shared" si="21"/>
        <v>14511.892857142855</v>
      </c>
      <c r="AN16" s="33">
        <f t="shared" si="22"/>
        <v>1741.4271428571426</v>
      </c>
      <c r="AO16" s="33">
        <f t="shared" si="18"/>
        <v>16253.319999999998</v>
      </c>
      <c r="AP16" s="39"/>
      <c r="AQ16" s="40">
        <v>155</v>
      </c>
      <c r="AR16" s="40">
        <v>270</v>
      </c>
      <c r="AS16" s="40"/>
      <c r="AT16" s="40"/>
      <c r="AU16" s="40"/>
      <c r="AV16" s="40"/>
      <c r="AW16" s="40"/>
      <c r="AX16" s="40"/>
      <c r="AY16" s="40"/>
      <c r="AZ16" s="40"/>
      <c r="BA16" s="33">
        <f t="shared" si="8"/>
        <v>425</v>
      </c>
      <c r="BB16" s="38"/>
      <c r="BC16" s="38"/>
      <c r="BD16" s="33">
        <v>0</v>
      </c>
      <c r="BE16" s="33">
        <v>0</v>
      </c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41">
        <f t="shared" si="9"/>
        <v>425</v>
      </c>
      <c r="BU16" s="146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</row>
    <row r="17" spans="1:98">
      <c r="A17" s="215" t="e">
        <f>A15+1</f>
        <v>#REF!</v>
      </c>
      <c r="B17" s="32" t="s">
        <v>43</v>
      </c>
      <c r="C17" s="33">
        <v>16321.26</v>
      </c>
      <c r="D17" s="34">
        <v>8639.98</v>
      </c>
      <c r="E17" s="34">
        <v>8640.5</v>
      </c>
      <c r="F17" s="35">
        <v>43440</v>
      </c>
      <c r="G17" s="33">
        <f t="shared" si="0"/>
        <v>0</v>
      </c>
      <c r="H17" s="33">
        <f t="shared" si="1"/>
        <v>0.52000000000043656</v>
      </c>
      <c r="I17" s="34"/>
      <c r="J17" s="34"/>
      <c r="K17" s="34">
        <v>2614.29</v>
      </c>
      <c r="L17" s="34"/>
      <c r="M17" s="36">
        <f t="shared" ref="M17:M52" si="23">(+K17)*M$5</f>
        <v>56.207234999999997</v>
      </c>
      <c r="N17" s="36">
        <f t="shared" ref="N17:N52" si="24">(+K17)*N$5</f>
        <v>13.07145</v>
      </c>
      <c r="O17" s="36">
        <f t="shared" ref="O17:O52" si="25">+K17-M17-N17+P17</f>
        <v>2545.0113150000002</v>
      </c>
      <c r="P17" s="36"/>
      <c r="Q17" s="37"/>
      <c r="R17" s="34"/>
      <c r="S17" s="34"/>
      <c r="T17" s="36"/>
      <c r="U17" s="36"/>
      <c r="V17" s="36"/>
      <c r="W17" s="36"/>
      <c r="X17" s="37"/>
      <c r="Y17" s="34"/>
      <c r="Z17" s="34">
        <f>44.25+92.5</f>
        <v>136.75</v>
      </c>
      <c r="AA17" s="34"/>
      <c r="AB17" s="34"/>
      <c r="AC17" s="34">
        <v>188.24</v>
      </c>
      <c r="AD17" s="38" t="s">
        <v>138</v>
      </c>
      <c r="AE17" s="38">
        <v>4742</v>
      </c>
      <c r="AF17" s="34">
        <v>917.21</v>
      </c>
      <c r="AG17" s="33">
        <f t="shared" si="2"/>
        <v>623.70280000000002</v>
      </c>
      <c r="AH17" s="33">
        <f t="shared" si="3"/>
        <v>110.0652</v>
      </c>
      <c r="AI17" s="33">
        <f t="shared" si="4"/>
        <v>183.44200000000001</v>
      </c>
      <c r="AJ17" s="34">
        <v>0</v>
      </c>
      <c r="AK17" s="33">
        <v>13753.616071428569</v>
      </c>
      <c r="AL17" s="33">
        <f t="shared" si="10"/>
        <v>-13753.616071428569</v>
      </c>
      <c r="AM17" s="33">
        <f t="shared" ref="AM17:AM18" si="26">AK17-SUM(Y17:AC17)</f>
        <v>13428.626071428569</v>
      </c>
      <c r="AN17" s="33">
        <f t="shared" ref="AN17:AN18" si="27">+AM17*0.12</f>
        <v>1611.4351285714283</v>
      </c>
      <c r="AO17" s="33">
        <f t="shared" si="18"/>
        <v>15040.061199999996</v>
      </c>
      <c r="AP17" s="39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33">
        <f t="shared" si="8"/>
        <v>0</v>
      </c>
      <c r="BB17" s="38"/>
      <c r="BC17" s="38"/>
      <c r="BD17" s="33">
        <f>SUM(BF17:BN17)*0.1+(BO17*0.5)</f>
        <v>0</v>
      </c>
      <c r="BE17" s="33">
        <f>SUM(BF17:BN17)+(BO17*0.5)</f>
        <v>0</v>
      </c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41">
        <f t="shared" si="9"/>
        <v>0</v>
      </c>
      <c r="BU17" s="146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</row>
    <row r="18" spans="1:98">
      <c r="A18" s="216"/>
      <c r="B18" s="15" t="s">
        <v>44</v>
      </c>
      <c r="C18" s="33">
        <v>26718.21</v>
      </c>
      <c r="D18" s="34">
        <v>7718.29</v>
      </c>
      <c r="E18" s="34">
        <v>7719</v>
      </c>
      <c r="F18" s="35">
        <v>43441</v>
      </c>
      <c r="G18" s="33">
        <f t="shared" si="0"/>
        <v>0</v>
      </c>
      <c r="H18" s="33">
        <f t="shared" si="1"/>
        <v>0.71000000000003638</v>
      </c>
      <c r="I18" s="34"/>
      <c r="J18" s="34"/>
      <c r="K18" s="34">
        <v>15315.35</v>
      </c>
      <c r="L18" s="34"/>
      <c r="M18" s="36">
        <f t="shared" si="23"/>
        <v>329.28002499999997</v>
      </c>
      <c r="N18" s="36">
        <f t="shared" si="24"/>
        <v>76.576750000000004</v>
      </c>
      <c r="O18" s="36">
        <f t="shared" si="25"/>
        <v>14909.493225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f>209.5+38.25+92.5</f>
        <v>340.25</v>
      </c>
      <c r="AA18" s="34"/>
      <c r="AB18" s="34"/>
      <c r="AC18" s="34">
        <v>72.319999999999993</v>
      </c>
      <c r="AD18" s="38" t="s">
        <v>138</v>
      </c>
      <c r="AE18" s="38">
        <v>3272</v>
      </c>
      <c r="AF18" s="34">
        <v>1819.61</v>
      </c>
      <c r="AG18" s="33">
        <f t="shared" si="2"/>
        <v>1237.3348000000001</v>
      </c>
      <c r="AH18" s="33">
        <f t="shared" si="3"/>
        <v>218.35320000000002</v>
      </c>
      <c r="AI18" s="33">
        <f t="shared" si="4"/>
        <v>363.92200000000003</v>
      </c>
      <c r="AJ18" s="34">
        <v>0</v>
      </c>
      <c r="AK18" s="33">
        <v>22230.892857142855</v>
      </c>
      <c r="AL18" s="33">
        <f t="shared" si="10"/>
        <v>-22230.892857142855</v>
      </c>
      <c r="AM18" s="33">
        <f t="shared" si="26"/>
        <v>21818.322857142855</v>
      </c>
      <c r="AN18" s="33">
        <f t="shared" si="27"/>
        <v>2618.1987428571424</v>
      </c>
      <c r="AO18" s="33">
        <f t="shared" si="18"/>
        <v>24436.521599999996</v>
      </c>
      <c r="AP18" s="39">
        <v>570</v>
      </c>
      <c r="AQ18" s="40">
        <v>275</v>
      </c>
      <c r="AR18" s="40">
        <v>135</v>
      </c>
      <c r="AS18" s="40">
        <v>535</v>
      </c>
      <c r="AT18" s="40"/>
      <c r="AU18" s="40"/>
      <c r="AV18" s="40"/>
      <c r="AW18" s="40"/>
      <c r="AX18" s="40"/>
      <c r="AY18" s="40"/>
      <c r="AZ18" s="40"/>
      <c r="BA18" s="33"/>
      <c r="BB18" s="38"/>
      <c r="BC18" s="38"/>
      <c r="BD18" s="33">
        <f>SUM(BF18:BN18)*0.1+(BO18*0.5)</f>
        <v>0</v>
      </c>
      <c r="BE18" s="33">
        <f>SUM(BF18:BN18)+(BO18*0.5)</f>
        <v>0</v>
      </c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41">
        <f t="shared" si="9"/>
        <v>0</v>
      </c>
      <c r="BU18" s="146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</row>
    <row r="19" spans="1:98">
      <c r="A19" s="215" t="e">
        <f>+A17+1</f>
        <v>#REF!</v>
      </c>
      <c r="B19" s="32" t="s">
        <v>43</v>
      </c>
      <c r="C19" s="33">
        <v>27101.279999999999</v>
      </c>
      <c r="D19" s="34">
        <v>12644.66</v>
      </c>
      <c r="E19" s="34">
        <v>12645</v>
      </c>
      <c r="F19" s="35">
        <v>43441</v>
      </c>
      <c r="G19" s="33"/>
      <c r="H19" s="33">
        <f t="shared" si="1"/>
        <v>0.34000000000014552</v>
      </c>
      <c r="I19" s="34"/>
      <c r="J19" s="34"/>
      <c r="K19" s="34">
        <v>13855.73</v>
      </c>
      <c r="L19" s="34"/>
      <c r="M19" s="36">
        <f t="shared" si="23"/>
        <v>297.89819499999999</v>
      </c>
      <c r="N19" s="36">
        <f t="shared" si="24"/>
        <v>69.278649999999999</v>
      </c>
      <c r="O19" s="36">
        <f t="shared" si="25"/>
        <v>13488.553155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>
        <v>225.89</v>
      </c>
      <c r="AD19" s="38" t="s">
        <v>138</v>
      </c>
      <c r="AE19" s="38">
        <v>375</v>
      </c>
      <c r="AF19" s="34">
        <v>2096.8200000000002</v>
      </c>
      <c r="AG19" s="33">
        <f t="shared" si="2"/>
        <v>1425.8376000000001</v>
      </c>
      <c r="AH19" s="33">
        <f t="shared" si="3"/>
        <v>251.61840000000001</v>
      </c>
      <c r="AI19" s="33">
        <f t="shared" si="4"/>
        <v>419.36400000000003</v>
      </c>
      <c r="AJ19" s="34">
        <v>0</v>
      </c>
      <c r="AK19" s="33">
        <v>22325.41071428571</v>
      </c>
      <c r="AL19" s="33">
        <f t="shared" si="10"/>
        <v>-22325.41071428571</v>
      </c>
      <c r="AM19" s="33">
        <f t="shared" ref="AM19:AM20" si="28">AK19-SUM(Y19:AC19)</f>
        <v>22099.520714285711</v>
      </c>
      <c r="AN19" s="33">
        <f t="shared" ref="AN19:AN20" si="29">+AM19*0.12</f>
        <v>2651.9424857142853</v>
      </c>
      <c r="AO19" s="33">
        <f t="shared" si="18"/>
        <v>24751.463199999995</v>
      </c>
      <c r="AP19" s="39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33">
        <f t="shared" ref="BA19:BA52" si="30">SUM(AP19:AZ19)</f>
        <v>0</v>
      </c>
      <c r="BB19" s="38"/>
      <c r="BC19" s="38"/>
      <c r="BD19" s="33">
        <f>SUM(BF19:BN19)*0.1+(BO19*0.5)</f>
        <v>0</v>
      </c>
      <c r="BE19" s="33">
        <f>SUM(BF19:BN19)+(BO19*0.5)</f>
        <v>0</v>
      </c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41">
        <f t="shared" si="9"/>
        <v>0</v>
      </c>
      <c r="BU19" s="146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</row>
    <row r="20" spans="1:98">
      <c r="A20" s="216"/>
      <c r="B20" s="15" t="s">
        <v>44</v>
      </c>
      <c r="C20" s="33">
        <v>32554.7</v>
      </c>
      <c r="D20" s="34">
        <v>21034.99</v>
      </c>
      <c r="E20" s="34">
        <v>21040</v>
      </c>
      <c r="F20" s="35">
        <v>43442</v>
      </c>
      <c r="G20" s="33"/>
      <c r="H20" s="33">
        <f t="shared" si="1"/>
        <v>5.0099999999983993</v>
      </c>
      <c r="I20" s="34"/>
      <c r="J20" s="34"/>
      <c r="K20" s="34">
        <v>10304.459999999999</v>
      </c>
      <c r="L20" s="34"/>
      <c r="M20" s="36">
        <f t="shared" si="23"/>
        <v>221.54588999999996</v>
      </c>
      <c r="N20" s="36">
        <f t="shared" si="24"/>
        <v>51.522299999999994</v>
      </c>
      <c r="O20" s="36">
        <f t="shared" si="25"/>
        <v>10031.391809999999</v>
      </c>
      <c r="P20" s="36"/>
      <c r="Q20" s="37"/>
      <c r="R20" s="34"/>
      <c r="S20" s="34"/>
      <c r="T20" s="36"/>
      <c r="U20" s="36"/>
      <c r="V20" s="36"/>
      <c r="W20" s="36"/>
      <c r="X20" s="37"/>
      <c r="Y20" s="34"/>
      <c r="Z20" s="34">
        <v>11.25</v>
      </c>
      <c r="AA20" s="34"/>
      <c r="AB20" s="34">
        <v>115</v>
      </c>
      <c r="AC20" s="34"/>
      <c r="AD20" s="38" t="s">
        <v>138</v>
      </c>
      <c r="AE20" s="38">
        <v>1089</v>
      </c>
      <c r="AF20" s="34">
        <v>2430.6999999999998</v>
      </c>
      <c r="AG20" s="33">
        <f t="shared" si="2"/>
        <v>1652.876</v>
      </c>
      <c r="AH20" s="33">
        <f t="shared" si="3"/>
        <v>291.68399999999997</v>
      </c>
      <c r="AI20" s="33">
        <f t="shared" si="4"/>
        <v>486.14</v>
      </c>
      <c r="AJ20" s="34">
        <v>0</v>
      </c>
      <c r="AK20" s="33">
        <v>26896.428571428569</v>
      </c>
      <c r="AL20" s="33">
        <f t="shared" si="10"/>
        <v>-26896.428571428569</v>
      </c>
      <c r="AM20" s="33">
        <f t="shared" si="28"/>
        <v>26770.178571428569</v>
      </c>
      <c r="AN20" s="33">
        <f t="shared" si="29"/>
        <v>3212.4214285714284</v>
      </c>
      <c r="AO20" s="33">
        <f t="shared" si="18"/>
        <v>29982.6</v>
      </c>
      <c r="AP20" s="39">
        <v>580</v>
      </c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33">
        <f t="shared" si="30"/>
        <v>580</v>
      </c>
      <c r="BB20" s="38">
        <v>1000</v>
      </c>
      <c r="BC20" s="38"/>
      <c r="BD20" s="33">
        <v>0</v>
      </c>
      <c r="BE20" s="33">
        <f>SUM(BF20:BN20)+(BO20*0.5)</f>
        <v>0</v>
      </c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41">
        <f t="shared" si="9"/>
        <v>1580</v>
      </c>
      <c r="BU20" s="146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</row>
    <row r="21" spans="1:98">
      <c r="A21" s="215" t="e">
        <f>+A19+1</f>
        <v>#REF!</v>
      </c>
      <c r="B21" s="32" t="s">
        <v>43</v>
      </c>
      <c r="C21" s="33" t="s">
        <v>137</v>
      </c>
      <c r="D21" s="34"/>
      <c r="E21" s="34"/>
      <c r="F21" s="35"/>
      <c r="G21" s="33">
        <f t="shared" ref="G21:G28" si="31">IF(E21-D21&lt;0,E21-D21,0)*-1</f>
        <v>0</v>
      </c>
      <c r="H21" s="33">
        <f t="shared" si="1"/>
        <v>0</v>
      </c>
      <c r="I21" s="34"/>
      <c r="J21" s="34"/>
      <c r="K21" s="34"/>
      <c r="L21" s="34"/>
      <c r="M21" s="36">
        <f t="shared" si="23"/>
        <v>0</v>
      </c>
      <c r="N21" s="36">
        <f t="shared" si="24"/>
        <v>0</v>
      </c>
      <c r="O21" s="36">
        <f t="shared" si="25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 t="shared" si="2"/>
        <v>0</v>
      </c>
      <c r="AH21" s="33">
        <f t="shared" si="3"/>
        <v>0</v>
      </c>
      <c r="AI21" s="33">
        <f t="shared" si="4"/>
        <v>0</v>
      </c>
      <c r="AJ21" s="34">
        <v>0</v>
      </c>
      <c r="AK21" s="33">
        <v>0</v>
      </c>
      <c r="AL21" s="33">
        <f t="shared" si="10"/>
        <v>0</v>
      </c>
      <c r="AM21" s="33">
        <f t="shared" ref="AM21" si="32">AK21-SUM(Y21:AC21)</f>
        <v>0</v>
      </c>
      <c r="AN21" s="33">
        <f t="shared" ref="AN21" si="33">+AM21*0.12</f>
        <v>0</v>
      </c>
      <c r="AO21" s="33">
        <f t="shared" si="18"/>
        <v>0</v>
      </c>
      <c r="AP21" s="39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33">
        <f t="shared" si="30"/>
        <v>0</v>
      </c>
      <c r="BB21" s="38"/>
      <c r="BC21" s="38"/>
      <c r="BD21" s="33">
        <f>SUM(BF21:BN21)*0.1+(BO21*0.5)</f>
        <v>0</v>
      </c>
      <c r="BE21" s="33">
        <f>SUM(BF21:BN21)+(BO21*0.5)</f>
        <v>0</v>
      </c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41">
        <f t="shared" si="9"/>
        <v>0</v>
      </c>
      <c r="BU21" s="146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</row>
    <row r="22" spans="1:98">
      <c r="A22" s="216"/>
      <c r="B22" s="15" t="s">
        <v>44</v>
      </c>
      <c r="C22" s="33">
        <v>16342.71</v>
      </c>
      <c r="D22" s="34">
        <v>5275.42</v>
      </c>
      <c r="E22" s="34">
        <v>5280</v>
      </c>
      <c r="F22" s="35">
        <v>43444</v>
      </c>
      <c r="G22" s="33">
        <f t="shared" si="31"/>
        <v>0</v>
      </c>
      <c r="H22" s="33">
        <f t="shared" si="1"/>
        <v>4.5799999999999272</v>
      </c>
      <c r="I22" s="34"/>
      <c r="J22" s="34"/>
      <c r="K22" s="34">
        <v>390</v>
      </c>
      <c r="L22" s="34"/>
      <c r="M22" s="36">
        <f t="shared" si="23"/>
        <v>8.3849999999999998</v>
      </c>
      <c r="N22" s="36">
        <f t="shared" si="24"/>
        <v>1.95</v>
      </c>
      <c r="O22" s="36">
        <f t="shared" si="25"/>
        <v>379.66500000000002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 t="s">
        <v>138</v>
      </c>
      <c r="AE22" s="38">
        <v>10677.29</v>
      </c>
      <c r="AF22" s="34">
        <v>1021.71</v>
      </c>
      <c r="AG22" s="33">
        <f t="shared" si="2"/>
        <v>694.76279999999997</v>
      </c>
      <c r="AH22" s="33">
        <f t="shared" si="3"/>
        <v>122.6052</v>
      </c>
      <c r="AI22" s="33">
        <f t="shared" si="4"/>
        <v>204.34200000000001</v>
      </c>
      <c r="AJ22" s="34">
        <v>0</v>
      </c>
      <c r="AK22" s="33">
        <v>13679.464285714284</v>
      </c>
      <c r="AL22" s="33">
        <f t="shared" si="10"/>
        <v>-13679.464285714284</v>
      </c>
      <c r="AM22" s="33">
        <f>AK22-SUM(Y22:AC22)</f>
        <v>13679.464285714284</v>
      </c>
      <c r="AN22" s="33">
        <f>+AM22*0.12</f>
        <v>1641.535714285714</v>
      </c>
      <c r="AO22" s="33">
        <f t="shared" si="18"/>
        <v>15320.999999999998</v>
      </c>
      <c r="AP22" s="39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33">
        <f t="shared" si="30"/>
        <v>0</v>
      </c>
      <c r="BB22" s="38"/>
      <c r="BC22" s="38">
        <v>0</v>
      </c>
      <c r="BD22" s="33">
        <v>0</v>
      </c>
      <c r="BE22" s="33">
        <v>0</v>
      </c>
      <c r="BF22" s="39"/>
      <c r="BG22" s="39">
        <v>0</v>
      </c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41">
        <f t="shared" si="9"/>
        <v>0</v>
      </c>
      <c r="BU22" s="146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</row>
    <row r="23" spans="1:98">
      <c r="A23" s="215" t="e">
        <f>+#REF!+1</f>
        <v>#REF!</v>
      </c>
      <c r="B23" s="15" t="s">
        <v>43</v>
      </c>
      <c r="C23" s="33">
        <v>27661.83</v>
      </c>
      <c r="D23" s="34">
        <v>18429.830000000002</v>
      </c>
      <c r="E23" s="34">
        <v>18438</v>
      </c>
      <c r="F23" s="35">
        <v>43383</v>
      </c>
      <c r="G23" s="33">
        <f t="shared" si="31"/>
        <v>0</v>
      </c>
      <c r="H23" s="33">
        <f t="shared" si="1"/>
        <v>8.1699999999982538</v>
      </c>
      <c r="I23" s="34"/>
      <c r="J23" s="34"/>
      <c r="K23" s="34">
        <v>6941.21</v>
      </c>
      <c r="L23" s="34"/>
      <c r="M23" s="36">
        <f t="shared" si="23"/>
        <v>149.23601499999998</v>
      </c>
      <c r="N23" s="36">
        <f t="shared" si="24"/>
        <v>34.706049999999998</v>
      </c>
      <c r="O23" s="36">
        <f t="shared" si="25"/>
        <v>6757.2679349999999</v>
      </c>
      <c r="P23" s="36">
        <f>L23-(L23*(M$5+N$5))</f>
        <v>0</v>
      </c>
      <c r="Q23" s="37"/>
      <c r="R23" s="34"/>
      <c r="S23" s="34"/>
      <c r="T23" s="36">
        <f>+R23*T$5</f>
        <v>0</v>
      </c>
      <c r="U23" s="36">
        <f>+R23*U$5</f>
        <v>0</v>
      </c>
      <c r="V23" s="36">
        <f>+R23-T23-U23+W23</f>
        <v>0</v>
      </c>
      <c r="W23" s="36">
        <f>+S23-(S23*(T$5+U$5))</f>
        <v>0</v>
      </c>
      <c r="X23" s="37"/>
      <c r="Y23" s="34"/>
      <c r="Z23" s="34">
        <v>96.75</v>
      </c>
      <c r="AA23" s="34"/>
      <c r="AB23" s="34"/>
      <c r="AC23" s="34">
        <v>424.04</v>
      </c>
      <c r="AD23" s="38" t="s">
        <v>138</v>
      </c>
      <c r="AE23" s="38">
        <v>1770</v>
      </c>
      <c r="AF23" s="34">
        <v>2058.2600000000002</v>
      </c>
      <c r="AG23" s="33">
        <f t="shared" si="2"/>
        <v>1399.6168</v>
      </c>
      <c r="AH23" s="33">
        <f t="shared" si="3"/>
        <v>246.99120000000002</v>
      </c>
      <c r="AI23" s="33">
        <f t="shared" si="4"/>
        <v>411.65200000000004</v>
      </c>
      <c r="AJ23" s="34">
        <v>0</v>
      </c>
      <c r="AK23" s="33">
        <v>22860.330357142855</v>
      </c>
      <c r="AL23" s="33">
        <f t="shared" si="10"/>
        <v>-22860.330357142855</v>
      </c>
      <c r="AM23" s="33">
        <f t="shared" ref="AM23:AM24" si="34">AK23-SUM(Y23:AC23)</f>
        <v>22339.540357142854</v>
      </c>
      <c r="AN23" s="33">
        <f t="shared" ref="AN23:AN24" si="35">+AM23*0.12</f>
        <v>2680.7448428571424</v>
      </c>
      <c r="AO23" s="33">
        <f t="shared" si="18"/>
        <v>25020.285199999998</v>
      </c>
      <c r="AP23" s="39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33">
        <f t="shared" si="30"/>
        <v>0</v>
      </c>
      <c r="BB23" s="38"/>
      <c r="BC23" s="38"/>
      <c r="BD23" s="33">
        <f>SUM(BF23:BN23)*0.1+(BO23*0.5)</f>
        <v>0</v>
      </c>
      <c r="BE23" s="33">
        <f>SUM(BF23:BN23)+(BO23*0.5)</f>
        <v>0</v>
      </c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41">
        <f t="shared" si="9"/>
        <v>0</v>
      </c>
      <c r="BU23" s="146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</row>
    <row r="24" spans="1:98">
      <c r="A24" s="216"/>
      <c r="B24" s="15" t="s">
        <v>44</v>
      </c>
      <c r="C24" s="33">
        <v>9642.61</v>
      </c>
      <c r="D24" s="34">
        <v>5004.79</v>
      </c>
      <c r="E24" s="34">
        <v>5005</v>
      </c>
      <c r="F24" s="35">
        <v>43384</v>
      </c>
      <c r="G24" s="33">
        <f t="shared" si="31"/>
        <v>0</v>
      </c>
      <c r="H24" s="33">
        <f t="shared" si="1"/>
        <v>0.21000000000003638</v>
      </c>
      <c r="I24" s="34"/>
      <c r="J24" s="34"/>
      <c r="K24" s="34">
        <v>3618.07</v>
      </c>
      <c r="L24" s="34"/>
      <c r="M24" s="36">
        <f t="shared" si="23"/>
        <v>77.788505000000001</v>
      </c>
      <c r="N24" s="36">
        <f t="shared" si="24"/>
        <v>18.090350000000001</v>
      </c>
      <c r="O24" s="36">
        <f t="shared" si="25"/>
        <v>3522.1911450000002</v>
      </c>
      <c r="P24" s="36">
        <f>L24-(L24*(M$5+N$5))</f>
        <v>0</v>
      </c>
      <c r="Q24" s="37"/>
      <c r="R24" s="34"/>
      <c r="S24" s="34"/>
      <c r="T24" s="36">
        <f>+R24*T$5</f>
        <v>0</v>
      </c>
      <c r="U24" s="36">
        <f>+R24*U$5</f>
        <v>0</v>
      </c>
      <c r="V24" s="36">
        <f>+R24-T24-U24+W24</f>
        <v>0</v>
      </c>
      <c r="W24" s="36">
        <f>+S24-(S24*(T$5+U$5))</f>
        <v>0</v>
      </c>
      <c r="X24" s="37"/>
      <c r="Y24" s="34"/>
      <c r="Z24" s="34">
        <v>68.5</v>
      </c>
      <c r="AA24" s="34"/>
      <c r="AB24" s="34"/>
      <c r="AC24" s="34">
        <v>81.25</v>
      </c>
      <c r="AD24" s="38" t="s">
        <v>138</v>
      </c>
      <c r="AE24" s="38">
        <v>870</v>
      </c>
      <c r="AF24" s="34">
        <v>623.36</v>
      </c>
      <c r="AG24" s="33">
        <f t="shared" si="2"/>
        <v>423.88480000000004</v>
      </c>
      <c r="AH24" s="33">
        <f t="shared" si="3"/>
        <v>74.803200000000004</v>
      </c>
      <c r="AI24" s="33">
        <f t="shared" si="4"/>
        <v>124.67200000000001</v>
      </c>
      <c r="AJ24" s="34"/>
      <c r="AK24" s="33">
        <v>8052.9017857142853</v>
      </c>
      <c r="AL24" s="33">
        <f t="shared" si="10"/>
        <v>-8052.9017857142853</v>
      </c>
      <c r="AM24" s="33">
        <f t="shared" si="34"/>
        <v>7903.1517857142853</v>
      </c>
      <c r="AN24" s="33">
        <f t="shared" si="35"/>
        <v>948.37821428571419</v>
      </c>
      <c r="AO24" s="33">
        <f t="shared" si="18"/>
        <v>8851.5299999999988</v>
      </c>
      <c r="AP24" s="39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33">
        <f t="shared" si="30"/>
        <v>0</v>
      </c>
      <c r="BB24" s="38"/>
      <c r="BC24" s="38">
        <v>0</v>
      </c>
      <c r="BD24" s="33">
        <v>0</v>
      </c>
      <c r="BE24" s="33">
        <v>0</v>
      </c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41">
        <f t="shared" si="9"/>
        <v>0</v>
      </c>
      <c r="BU24" s="146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</row>
    <row r="25" spans="1:98">
      <c r="A25" s="215" t="e">
        <f>+A23+1</f>
        <v>#REF!</v>
      </c>
      <c r="B25" s="16" t="s">
        <v>43</v>
      </c>
      <c r="C25" s="33">
        <v>22695.54</v>
      </c>
      <c r="D25" s="34">
        <v>20364.64</v>
      </c>
      <c r="E25" s="34">
        <v>20370</v>
      </c>
      <c r="F25" s="35">
        <v>43445</v>
      </c>
      <c r="G25" s="33">
        <f t="shared" si="31"/>
        <v>0</v>
      </c>
      <c r="H25" s="33">
        <f t="shared" si="1"/>
        <v>5.3600000000005821</v>
      </c>
      <c r="I25" s="34"/>
      <c r="J25" s="34"/>
      <c r="K25" s="34">
        <v>1158.48</v>
      </c>
      <c r="L25" s="34"/>
      <c r="M25" s="36">
        <f t="shared" si="23"/>
        <v>24.907319999999999</v>
      </c>
      <c r="N25" s="36">
        <f t="shared" si="24"/>
        <v>5.7923999999999998</v>
      </c>
      <c r="O25" s="36">
        <f t="shared" si="25"/>
        <v>1127.7802799999999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19.5</v>
      </c>
      <c r="AA25" s="34"/>
      <c r="AB25" s="34"/>
      <c r="AC25" s="34">
        <v>297.92</v>
      </c>
      <c r="AD25" s="38" t="s">
        <v>138</v>
      </c>
      <c r="AE25" s="38">
        <v>855</v>
      </c>
      <c r="AF25" s="34">
        <v>909.29</v>
      </c>
      <c r="AG25" s="33">
        <f t="shared" si="2"/>
        <v>618.31719999999996</v>
      </c>
      <c r="AH25" s="33">
        <f t="shared" si="3"/>
        <v>109.1148</v>
      </c>
      <c r="AI25" s="33">
        <f t="shared" si="4"/>
        <v>181.858</v>
      </c>
      <c r="AJ25" s="34"/>
      <c r="AK25" s="33">
        <v>19452.008928571428</v>
      </c>
      <c r="AL25" s="33">
        <f t="shared" si="10"/>
        <v>-19452.008928571428</v>
      </c>
      <c r="AM25" s="33">
        <f t="shared" ref="AM25:AM26" si="36">AK25-SUM(Y25:AC25)</f>
        <v>19134.588928571429</v>
      </c>
      <c r="AN25" s="33">
        <f t="shared" ref="AN25:AN26" si="37">+AM25*0.12</f>
        <v>2296.1506714285715</v>
      </c>
      <c r="AO25" s="33">
        <f t="shared" si="18"/>
        <v>21430.739600000001</v>
      </c>
      <c r="AP25" s="39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33">
        <f t="shared" si="30"/>
        <v>0</v>
      </c>
      <c r="BB25" s="38"/>
      <c r="BC25" s="38"/>
      <c r="BD25" s="33">
        <f>SUM(BF25:BN25)*0.1+(BO25*0.5)</f>
        <v>0</v>
      </c>
      <c r="BE25" s="33">
        <f>SUM(BF25:BN25)+(BO25*0.5)</f>
        <v>0</v>
      </c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41">
        <f t="shared" si="9"/>
        <v>0</v>
      </c>
      <c r="BU25" s="146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</row>
    <row r="26" spans="1:98">
      <c r="A26" s="216"/>
      <c r="B26" s="16" t="s">
        <v>44</v>
      </c>
      <c r="C26" s="33">
        <v>25617.15</v>
      </c>
      <c r="D26" s="34">
        <v>15339.57</v>
      </c>
      <c r="E26" s="34">
        <v>15340</v>
      </c>
      <c r="F26" s="35">
        <v>43446</v>
      </c>
      <c r="G26" s="33">
        <f t="shared" si="31"/>
        <v>0</v>
      </c>
      <c r="H26" s="33">
        <f t="shared" si="1"/>
        <v>0.43000000000029104</v>
      </c>
      <c r="I26" s="34"/>
      <c r="J26" s="34"/>
      <c r="K26" s="34">
        <v>8049.83</v>
      </c>
      <c r="L26" s="34"/>
      <c r="M26" s="36">
        <f t="shared" si="23"/>
        <v>173.07134499999998</v>
      </c>
      <c r="N26" s="36">
        <f t="shared" si="24"/>
        <v>40.24915</v>
      </c>
      <c r="O26" s="36">
        <f t="shared" si="25"/>
        <v>7836.509505</v>
      </c>
      <c r="P26" s="36"/>
      <c r="Q26" s="37"/>
      <c r="R26" s="34"/>
      <c r="S26" s="34"/>
      <c r="T26" s="36"/>
      <c r="U26" s="36"/>
      <c r="V26" s="36"/>
      <c r="W26" s="36"/>
      <c r="X26" s="37"/>
      <c r="Y26" s="34"/>
      <c r="Z26" s="34">
        <v>107.75</v>
      </c>
      <c r="AA26" s="34"/>
      <c r="AB26" s="34"/>
      <c r="AC26" s="34"/>
      <c r="AD26" s="38" t="s">
        <v>138</v>
      </c>
      <c r="AE26" s="38">
        <v>2120</v>
      </c>
      <c r="AF26" s="34">
        <v>1909.15</v>
      </c>
      <c r="AG26" s="33">
        <f t="shared" si="2"/>
        <v>1298.2220000000002</v>
      </c>
      <c r="AH26" s="33">
        <f t="shared" si="3"/>
        <v>229.09800000000001</v>
      </c>
      <c r="AI26" s="33">
        <f t="shared" si="4"/>
        <v>381.83000000000004</v>
      </c>
      <c r="AJ26" s="34"/>
      <c r="AK26" s="33">
        <v>21167.857142857141</v>
      </c>
      <c r="AL26" s="33">
        <f t="shared" si="10"/>
        <v>-21167.857142857141</v>
      </c>
      <c r="AM26" s="33">
        <f t="shared" si="36"/>
        <v>21060.107142857141</v>
      </c>
      <c r="AN26" s="33">
        <f t="shared" si="37"/>
        <v>2527.212857142857</v>
      </c>
      <c r="AO26" s="33">
        <f t="shared" si="18"/>
        <v>23587.32</v>
      </c>
      <c r="AP26" s="39">
        <v>1265</v>
      </c>
      <c r="AQ26" s="40">
        <v>810</v>
      </c>
      <c r="AR26" s="40"/>
      <c r="AS26" s="40">
        <v>265</v>
      </c>
      <c r="AT26" s="40"/>
      <c r="AU26" s="40"/>
      <c r="AV26" s="40"/>
      <c r="AW26" s="40"/>
      <c r="AX26" s="40"/>
      <c r="AY26" s="40"/>
      <c r="AZ26" s="40"/>
      <c r="BA26" s="33">
        <f t="shared" si="30"/>
        <v>2340</v>
      </c>
      <c r="BB26" s="38"/>
      <c r="BC26" s="38"/>
      <c r="BD26" s="33"/>
      <c r="BE26" s="33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41">
        <f t="shared" si="9"/>
        <v>2340</v>
      </c>
      <c r="BU26" s="146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</row>
    <row r="27" spans="1:98">
      <c r="A27" s="215" t="e">
        <f>+A25+1</f>
        <v>#REF!</v>
      </c>
      <c r="B27" s="15" t="s">
        <v>43</v>
      </c>
      <c r="C27" s="33">
        <v>57040.6</v>
      </c>
      <c r="D27" s="34">
        <v>31003.53</v>
      </c>
      <c r="E27" s="34">
        <v>31004</v>
      </c>
      <c r="F27" s="35">
        <v>43446</v>
      </c>
      <c r="G27" s="33">
        <f t="shared" si="31"/>
        <v>0</v>
      </c>
      <c r="H27" s="33">
        <f t="shared" si="1"/>
        <v>0.47000000000116415</v>
      </c>
      <c r="I27" s="34"/>
      <c r="J27" s="34"/>
      <c r="K27" s="34">
        <v>21482.41</v>
      </c>
      <c r="L27" s="34"/>
      <c r="M27" s="36">
        <f t="shared" si="23"/>
        <v>461.87181499999997</v>
      </c>
      <c r="N27" s="36">
        <f t="shared" si="24"/>
        <v>107.41205000000001</v>
      </c>
      <c r="O27" s="36">
        <f t="shared" si="25"/>
        <v>20913.126135000002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f>20+79.75</f>
        <v>99.75</v>
      </c>
      <c r="AA27" s="34"/>
      <c r="AB27" s="34"/>
      <c r="AC27" s="34">
        <v>387.91</v>
      </c>
      <c r="AD27" s="38" t="s">
        <v>138</v>
      </c>
      <c r="AE27" s="38">
        <v>4067</v>
      </c>
      <c r="AF27" s="34">
        <v>4187.3500000000004</v>
      </c>
      <c r="AG27" s="33">
        <f t="shared" si="2"/>
        <v>2847.3980000000006</v>
      </c>
      <c r="AH27" s="33">
        <f t="shared" si="3"/>
        <v>502.48200000000008</v>
      </c>
      <c r="AI27" s="33">
        <f t="shared" si="4"/>
        <v>837.47000000000014</v>
      </c>
      <c r="AJ27" s="34"/>
      <c r="AK27" s="33">
        <v>47190.401785714283</v>
      </c>
      <c r="AL27" s="33">
        <f t="shared" si="10"/>
        <v>-47190.401785714283</v>
      </c>
      <c r="AM27" s="33">
        <f t="shared" ref="AM27:AM32" si="38">AK27-SUM(Y27:AC27)</f>
        <v>46702.741785714279</v>
      </c>
      <c r="AN27" s="33">
        <f t="shared" ref="AN27:AN32" si="39">+AM27*0.12</f>
        <v>5604.3290142857131</v>
      </c>
      <c r="AO27" s="33">
        <f t="shared" si="18"/>
        <v>52307.070799999994</v>
      </c>
      <c r="AP27" s="39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33">
        <f t="shared" si="30"/>
        <v>0</v>
      </c>
      <c r="BB27" s="38"/>
      <c r="BC27" s="38"/>
      <c r="BD27" s="33">
        <f>SUM(BF27:BN27)*0.1+(BO27*0.5)</f>
        <v>0</v>
      </c>
      <c r="BE27" s="33">
        <f>SUM(BF27:BN27)+(BO27*0.5)</f>
        <v>0</v>
      </c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41">
        <f t="shared" si="9"/>
        <v>0</v>
      </c>
      <c r="BU27" s="146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</row>
    <row r="28" spans="1:98">
      <c r="A28" s="216"/>
      <c r="B28" s="15" t="s">
        <v>44</v>
      </c>
      <c r="C28" s="33">
        <v>38172.629999999997</v>
      </c>
      <c r="D28" s="34">
        <v>8459.9599999999991</v>
      </c>
      <c r="E28" s="34">
        <v>8460</v>
      </c>
      <c r="F28" s="35">
        <v>43447</v>
      </c>
      <c r="G28" s="33">
        <f t="shared" si="31"/>
        <v>0</v>
      </c>
      <c r="H28" s="33">
        <f t="shared" si="1"/>
        <v>4.0000000000873115E-2</v>
      </c>
      <c r="I28" s="34"/>
      <c r="J28" s="34"/>
      <c r="K28" s="34">
        <v>10976.35</v>
      </c>
      <c r="L28" s="34"/>
      <c r="M28" s="36">
        <f t="shared" si="23"/>
        <v>235.991525</v>
      </c>
      <c r="N28" s="36">
        <f t="shared" si="24"/>
        <v>54.881750000000004</v>
      </c>
      <c r="O28" s="36">
        <f t="shared" si="25"/>
        <v>10685.476725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25.5</v>
      </c>
      <c r="AA28" s="34"/>
      <c r="AB28" s="34"/>
      <c r="AC28" s="34">
        <v>59.82</v>
      </c>
      <c r="AD28" s="38" t="s">
        <v>138</v>
      </c>
      <c r="AE28" s="38">
        <v>18651</v>
      </c>
      <c r="AF28" s="34">
        <v>2836.66</v>
      </c>
      <c r="AG28" s="33">
        <f t="shared" si="2"/>
        <v>1928.9287999999999</v>
      </c>
      <c r="AH28" s="33">
        <f t="shared" si="3"/>
        <v>340.39920000000001</v>
      </c>
      <c r="AI28" s="33">
        <f t="shared" si="4"/>
        <v>567.33199999999999</v>
      </c>
      <c r="AJ28" s="34"/>
      <c r="AK28" s="33">
        <v>31549.973214285714</v>
      </c>
      <c r="AL28" s="33">
        <f t="shared" si="10"/>
        <v>-31549.973214285714</v>
      </c>
      <c r="AM28" s="33">
        <f t="shared" si="38"/>
        <v>31464.653214285714</v>
      </c>
      <c r="AN28" s="33">
        <f t="shared" si="39"/>
        <v>3775.7583857142854</v>
      </c>
      <c r="AO28" s="33">
        <f t="shared" si="18"/>
        <v>35240.411599999999</v>
      </c>
      <c r="AP28" s="39">
        <v>185</v>
      </c>
      <c r="AQ28" s="40">
        <v>295</v>
      </c>
      <c r="AR28" s="40"/>
      <c r="AS28" s="40"/>
      <c r="AT28" s="40"/>
      <c r="AU28" s="40"/>
      <c r="AV28" s="40"/>
      <c r="AW28" s="40"/>
      <c r="AX28" s="40"/>
      <c r="AY28" s="40"/>
      <c r="AZ28" s="40"/>
      <c r="BA28" s="33">
        <f t="shared" si="30"/>
        <v>480</v>
      </c>
      <c r="BB28" s="38">
        <v>230</v>
      </c>
      <c r="BC28" s="38"/>
      <c r="BD28" s="33"/>
      <c r="BE28" s="33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41">
        <f t="shared" si="9"/>
        <v>710</v>
      </c>
      <c r="BU28" s="146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</row>
    <row r="29" spans="1:98">
      <c r="A29" s="215" t="e">
        <f>+A27+1</f>
        <v>#REF!</v>
      </c>
      <c r="B29" s="15" t="s">
        <v>43</v>
      </c>
      <c r="C29" s="33">
        <v>36098.949999999997</v>
      </c>
      <c r="D29" s="34">
        <v>7131.83</v>
      </c>
      <c r="E29" s="34">
        <v>7132</v>
      </c>
      <c r="F29" s="35">
        <v>43447</v>
      </c>
      <c r="G29" s="33">
        <v>0</v>
      </c>
      <c r="H29" s="33">
        <f t="shared" si="1"/>
        <v>0.17000000000007276</v>
      </c>
      <c r="I29" s="34"/>
      <c r="J29" s="34"/>
      <c r="K29" s="34">
        <v>13902.02</v>
      </c>
      <c r="L29" s="34"/>
      <c r="M29" s="36">
        <f t="shared" si="23"/>
        <v>298.89342999999997</v>
      </c>
      <c r="N29" s="36">
        <f t="shared" si="24"/>
        <v>69.510100000000008</v>
      </c>
      <c r="O29" s="36">
        <f t="shared" si="25"/>
        <v>13533.616470000001</v>
      </c>
      <c r="P29" s="36"/>
      <c r="Q29" s="37"/>
      <c r="R29" s="34"/>
      <c r="S29" s="34"/>
      <c r="T29" s="36"/>
      <c r="U29" s="36"/>
      <c r="V29" s="36"/>
      <c r="W29" s="36"/>
      <c r="X29" s="37"/>
      <c r="Y29" s="34"/>
      <c r="Z29" s="34">
        <f>18+277.5</f>
        <v>295.5</v>
      </c>
      <c r="AA29" s="34"/>
      <c r="AB29" s="34"/>
      <c r="AC29" s="34">
        <v>134.46</v>
      </c>
      <c r="AD29" s="38" t="s">
        <v>138</v>
      </c>
      <c r="AE29" s="38">
        <v>14635.14</v>
      </c>
      <c r="AF29" s="34">
        <v>2660.63</v>
      </c>
      <c r="AG29" s="33">
        <f t="shared" si="2"/>
        <v>1809.2284000000002</v>
      </c>
      <c r="AH29" s="33">
        <f t="shared" si="3"/>
        <v>319.27560000000005</v>
      </c>
      <c r="AI29" s="33">
        <f t="shared" si="4"/>
        <v>532.12600000000009</v>
      </c>
      <c r="AJ29" s="34"/>
      <c r="AK29" s="33">
        <v>29855.642857142855</v>
      </c>
      <c r="AL29" s="33">
        <f t="shared" si="10"/>
        <v>-29855.642857142855</v>
      </c>
      <c r="AM29" s="33">
        <f t="shared" si="38"/>
        <v>29425.682857142856</v>
      </c>
      <c r="AN29" s="33">
        <f t="shared" si="39"/>
        <v>3531.0819428571426</v>
      </c>
      <c r="AO29" s="33">
        <f t="shared" si="18"/>
        <v>32956.764799999997</v>
      </c>
      <c r="AP29" s="39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33">
        <f t="shared" si="30"/>
        <v>0</v>
      </c>
      <c r="BB29" s="38"/>
      <c r="BC29" s="38"/>
      <c r="BD29" s="33">
        <f>SUM(BF29:BN29)*0.1+(BO29*0.5)</f>
        <v>0</v>
      </c>
      <c r="BE29" s="33">
        <f>SUM(BF29:BN29)+(BO29*0.5)</f>
        <v>0</v>
      </c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41">
        <f t="shared" si="9"/>
        <v>0</v>
      </c>
      <c r="BU29" s="146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</row>
    <row r="30" spans="1:98">
      <c r="A30" s="216"/>
      <c r="B30" s="15" t="s">
        <v>44</v>
      </c>
      <c r="C30" s="33">
        <v>32113.84</v>
      </c>
      <c r="D30" s="34">
        <v>10877.09</v>
      </c>
      <c r="E30" s="34">
        <v>10878</v>
      </c>
      <c r="F30" s="35">
        <v>43448</v>
      </c>
      <c r="G30" s="33">
        <f>IF(E30-D30&lt;0,E30-D30,0)*-1</f>
        <v>0</v>
      </c>
      <c r="H30" s="33">
        <f t="shared" si="1"/>
        <v>0.90999999999985448</v>
      </c>
      <c r="I30" s="34"/>
      <c r="J30" s="34"/>
      <c r="K30" s="34">
        <v>18376.25</v>
      </c>
      <c r="L30" s="34"/>
      <c r="M30" s="36">
        <f t="shared" si="23"/>
        <v>395.08937499999996</v>
      </c>
      <c r="N30" s="36">
        <f t="shared" si="24"/>
        <v>91.881250000000009</v>
      </c>
      <c r="O30" s="36">
        <f t="shared" si="25"/>
        <v>17889.279375000002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f>714+92.5</f>
        <v>806.5</v>
      </c>
      <c r="AA30" s="34">
        <v>44</v>
      </c>
      <c r="AB30" s="34"/>
      <c r="AC30" s="34"/>
      <c r="AD30" s="38" t="s">
        <v>138</v>
      </c>
      <c r="AE30" s="38">
        <v>2010</v>
      </c>
      <c r="AF30" s="34">
        <v>2356.84</v>
      </c>
      <c r="AG30" s="33">
        <f t="shared" si="2"/>
        <v>1602.6512000000002</v>
      </c>
      <c r="AH30" s="33">
        <f t="shared" si="3"/>
        <v>282.82080000000002</v>
      </c>
      <c r="AI30" s="33">
        <f t="shared" si="4"/>
        <v>471.36800000000005</v>
      </c>
      <c r="AJ30" s="34"/>
      <c r="AK30" s="33">
        <v>26568.749999999996</v>
      </c>
      <c r="AL30" s="33">
        <f t="shared" si="10"/>
        <v>-26568.749999999996</v>
      </c>
      <c r="AM30" s="33">
        <f t="shared" si="38"/>
        <v>25718.249999999996</v>
      </c>
      <c r="AN30" s="33">
        <f t="shared" si="39"/>
        <v>3086.1899999999996</v>
      </c>
      <c r="AO30" s="33">
        <f t="shared" si="18"/>
        <v>28804.439999999995</v>
      </c>
      <c r="AP30" s="39">
        <v>135</v>
      </c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33">
        <f t="shared" si="30"/>
        <v>135</v>
      </c>
      <c r="BB30" s="38"/>
      <c r="BC30" s="38"/>
      <c r="BD30" s="33"/>
      <c r="BE30" s="33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41">
        <f t="shared" si="9"/>
        <v>135</v>
      </c>
      <c r="BU30" s="146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</row>
    <row r="31" spans="1:98">
      <c r="A31" s="215" t="e">
        <f>A29+1</f>
        <v>#REF!</v>
      </c>
      <c r="B31" s="16" t="s">
        <v>43</v>
      </c>
      <c r="C31" s="33">
        <v>39184.379999999997</v>
      </c>
      <c r="D31" s="34">
        <v>24061.39</v>
      </c>
      <c r="E31" s="34">
        <v>24062</v>
      </c>
      <c r="F31" s="35">
        <v>43448</v>
      </c>
      <c r="G31" s="33"/>
      <c r="H31" s="33">
        <f t="shared" si="1"/>
        <v>0.61000000000058208</v>
      </c>
      <c r="I31" s="34"/>
      <c r="J31" s="34">
        <v>0</v>
      </c>
      <c r="K31" s="34">
        <v>12015.59</v>
      </c>
      <c r="L31" s="34"/>
      <c r="M31" s="36">
        <f t="shared" si="23"/>
        <v>258.33518499999997</v>
      </c>
      <c r="N31" s="36">
        <f t="shared" si="24"/>
        <v>60.077950000000001</v>
      </c>
      <c r="O31" s="36">
        <f t="shared" si="25"/>
        <v>11697.176864999999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203</v>
      </c>
      <c r="AA31" s="34"/>
      <c r="AB31" s="34"/>
      <c r="AC31" s="34">
        <v>1163.4000000000001</v>
      </c>
      <c r="AD31" s="38" t="s">
        <v>138</v>
      </c>
      <c r="AE31" s="38">
        <v>1741</v>
      </c>
      <c r="AF31" s="34">
        <v>2951.41</v>
      </c>
      <c r="AG31" s="33">
        <f t="shared" si="2"/>
        <v>2006.9588000000001</v>
      </c>
      <c r="AH31" s="33">
        <f t="shared" si="3"/>
        <v>354.16919999999999</v>
      </c>
      <c r="AI31" s="33">
        <f t="shared" si="4"/>
        <v>590.28200000000004</v>
      </c>
      <c r="AJ31" s="34"/>
      <c r="AK31" s="33">
        <v>32350.866071428569</v>
      </c>
      <c r="AL31" s="33">
        <f t="shared" si="10"/>
        <v>-32350.866071428569</v>
      </c>
      <c r="AM31" s="33">
        <f t="shared" si="38"/>
        <v>30984.466071428567</v>
      </c>
      <c r="AN31" s="33">
        <f t="shared" si="39"/>
        <v>3718.1359285714279</v>
      </c>
      <c r="AO31" s="33">
        <f t="shared" si="18"/>
        <v>34702.601999999999</v>
      </c>
      <c r="AP31" s="39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33">
        <f t="shared" si="30"/>
        <v>0</v>
      </c>
      <c r="BB31" s="38"/>
      <c r="BC31" s="38"/>
      <c r="BD31" s="33">
        <f>SUM(BF31:BN31)*0.1+(BO31*0.5)</f>
        <v>0</v>
      </c>
      <c r="BE31" s="33">
        <f>SUM(BF31:BN31)+(BO31*0.5)</f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41">
        <f t="shared" si="9"/>
        <v>0</v>
      </c>
      <c r="BU31" s="146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</row>
    <row r="32" spans="1:98" s="4" customFormat="1">
      <c r="A32" s="216"/>
      <c r="B32" s="16" t="s">
        <v>44</v>
      </c>
      <c r="C32" s="33">
        <v>11991.63</v>
      </c>
      <c r="D32" s="34">
        <v>9768.75</v>
      </c>
      <c r="E32" s="34">
        <v>9770</v>
      </c>
      <c r="F32" s="35">
        <v>43451</v>
      </c>
      <c r="G32" s="33"/>
      <c r="H32" s="33">
        <f t="shared" si="1"/>
        <v>1.25</v>
      </c>
      <c r="I32" s="34"/>
      <c r="J32" s="34"/>
      <c r="K32" s="34">
        <v>1211.8800000000001</v>
      </c>
      <c r="L32" s="34"/>
      <c r="M32" s="36">
        <f t="shared" si="23"/>
        <v>26.055420000000002</v>
      </c>
      <c r="N32" s="36">
        <f t="shared" si="24"/>
        <v>6.059400000000001</v>
      </c>
      <c r="O32" s="36">
        <f t="shared" si="25"/>
        <v>1179.7651800000001</v>
      </c>
      <c r="P32" s="36"/>
      <c r="Q32" s="37"/>
      <c r="R32" s="34"/>
      <c r="S32" s="34"/>
      <c r="T32" s="36"/>
      <c r="U32" s="36"/>
      <c r="V32" s="36"/>
      <c r="W32" s="36"/>
      <c r="X32" s="37"/>
      <c r="Y32" s="34"/>
      <c r="Z32" s="34"/>
      <c r="AA32" s="34"/>
      <c r="AB32" s="34"/>
      <c r="AC32" s="34"/>
      <c r="AD32" s="38" t="s">
        <v>138</v>
      </c>
      <c r="AE32" s="38">
        <v>1011</v>
      </c>
      <c r="AF32" s="34">
        <v>765.63</v>
      </c>
      <c r="AG32" s="33">
        <f t="shared" si="2"/>
        <v>520.62840000000006</v>
      </c>
      <c r="AH32" s="33">
        <f t="shared" si="3"/>
        <v>91.875600000000006</v>
      </c>
      <c r="AI32" s="33">
        <f t="shared" si="4"/>
        <v>153.126</v>
      </c>
      <c r="AJ32" s="34"/>
      <c r="AK32" s="33">
        <v>10023.214285714284</v>
      </c>
      <c r="AL32" s="33">
        <f t="shared" si="10"/>
        <v>-10023.214285714284</v>
      </c>
      <c r="AM32" s="33">
        <f t="shared" si="38"/>
        <v>10023.214285714284</v>
      </c>
      <c r="AN32" s="33">
        <f t="shared" si="39"/>
        <v>1202.785714285714</v>
      </c>
      <c r="AO32" s="33">
        <f t="shared" si="18"/>
        <v>11225.999999999998</v>
      </c>
      <c r="AP32" s="39"/>
      <c r="AQ32" s="40">
        <v>155</v>
      </c>
      <c r="AR32" s="40">
        <v>255</v>
      </c>
      <c r="AS32" s="40"/>
      <c r="AT32" s="40"/>
      <c r="AU32" s="40"/>
      <c r="AV32" s="40"/>
      <c r="AW32" s="40"/>
      <c r="AX32" s="40"/>
      <c r="AY32" s="40"/>
      <c r="AZ32" s="40"/>
      <c r="BA32" s="33">
        <f t="shared" si="30"/>
        <v>410</v>
      </c>
      <c r="BB32" s="38"/>
      <c r="BC32" s="38"/>
      <c r="BD32" s="33">
        <v>0</v>
      </c>
      <c r="BE32" s="33">
        <v>0</v>
      </c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41">
        <f t="shared" si="9"/>
        <v>410</v>
      </c>
      <c r="BT32" s="136"/>
      <c r="BU32" s="146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</row>
    <row r="33" spans="1:98" s="4" customFormat="1">
      <c r="A33" s="215" t="e">
        <f>+A31+1</f>
        <v>#REF!</v>
      </c>
      <c r="B33" s="16" t="s">
        <v>43</v>
      </c>
      <c r="C33" s="33" t="s">
        <v>137</v>
      </c>
      <c r="D33" s="34"/>
      <c r="E33" s="34"/>
      <c r="F33" s="35"/>
      <c r="G33" s="33">
        <f>IF(E33-D33&lt;0,E33-D33,0)*-1</f>
        <v>0</v>
      </c>
      <c r="H33" s="33">
        <f t="shared" si="1"/>
        <v>0</v>
      </c>
      <c r="I33" s="34"/>
      <c r="J33" s="34"/>
      <c r="K33" s="34"/>
      <c r="L33" s="34"/>
      <c r="M33" s="36">
        <f t="shared" si="23"/>
        <v>0</v>
      </c>
      <c r="N33" s="36">
        <f t="shared" si="24"/>
        <v>0</v>
      </c>
      <c r="O33" s="36">
        <f t="shared" si="25"/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 t="shared" si="2"/>
        <v>0</v>
      </c>
      <c r="AH33" s="33">
        <f t="shared" si="3"/>
        <v>0</v>
      </c>
      <c r="AI33" s="33">
        <f t="shared" si="4"/>
        <v>0</v>
      </c>
      <c r="AJ33" s="34"/>
      <c r="AK33" s="33">
        <v>0</v>
      </c>
      <c r="AL33" s="33">
        <f t="shared" si="10"/>
        <v>0</v>
      </c>
      <c r="AM33" s="33">
        <f t="shared" ref="AM33" si="40">AK33-SUM(Y33:AC33)</f>
        <v>0</v>
      </c>
      <c r="AN33" s="33">
        <f t="shared" ref="AN33" si="41">+AM33*0.12</f>
        <v>0</v>
      </c>
      <c r="AO33" s="33">
        <f t="shared" si="18"/>
        <v>0</v>
      </c>
      <c r="AP33" s="39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33">
        <f t="shared" si="30"/>
        <v>0</v>
      </c>
      <c r="BB33" s="38"/>
      <c r="BC33" s="38"/>
      <c r="BD33" s="33">
        <f>SUM(BF33:BN33)*0.1+(BO33*0.5)</f>
        <v>0</v>
      </c>
      <c r="BE33" s="33">
        <f>SUM(BF33:BN33)+(BO33*0.5)</f>
        <v>0</v>
      </c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41">
        <f t="shared" si="9"/>
        <v>0</v>
      </c>
      <c r="BT33" s="136"/>
      <c r="BU33" s="146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</row>
    <row r="34" spans="1:98" s="4" customFormat="1">
      <c r="A34" s="216"/>
      <c r="B34" s="16" t="s">
        <v>44</v>
      </c>
      <c r="C34" s="33">
        <v>5460.75</v>
      </c>
      <c r="D34" s="34">
        <v>2701.43</v>
      </c>
      <c r="E34" s="34">
        <v>2701</v>
      </c>
      <c r="F34" s="35">
        <v>43451</v>
      </c>
      <c r="G34" s="33">
        <f>IF(E34-D34&lt;0,E34-D34,0)*-1</f>
        <v>0.42999999999983629</v>
      </c>
      <c r="H34" s="33">
        <f t="shared" si="1"/>
        <v>0</v>
      </c>
      <c r="I34" s="34"/>
      <c r="J34" s="34"/>
      <c r="K34" s="34">
        <v>577.32000000000005</v>
      </c>
      <c r="L34" s="34"/>
      <c r="M34" s="36">
        <f t="shared" si="23"/>
        <v>12.412380000000001</v>
      </c>
      <c r="N34" s="36">
        <f t="shared" si="24"/>
        <v>2.8866000000000005</v>
      </c>
      <c r="O34" s="36">
        <f t="shared" si="25"/>
        <v>562.02102000000002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>
        <v>268.75</v>
      </c>
      <c r="AG34" s="33">
        <f t="shared" si="2"/>
        <v>182.75</v>
      </c>
      <c r="AH34" s="33">
        <f t="shared" si="3"/>
        <v>32.25</v>
      </c>
      <c r="AI34" s="33">
        <f t="shared" si="4"/>
        <v>53.75</v>
      </c>
      <c r="AJ34" s="34"/>
      <c r="AK34" s="33">
        <v>4635.7142857142853</v>
      </c>
      <c r="AL34" s="33">
        <f t="shared" si="10"/>
        <v>-4635.7142857142853</v>
      </c>
      <c r="AM34" s="33">
        <f t="shared" ref="AM34:AM50" si="42">AK34-SUM(Y34:AC34)</f>
        <v>4635.7142857142853</v>
      </c>
      <c r="AN34" s="33">
        <f t="shared" ref="AN34:AN50" si="43">+AM34*0.12</f>
        <v>556.28571428571422</v>
      </c>
      <c r="AO34" s="33">
        <f t="shared" si="18"/>
        <v>5192</v>
      </c>
      <c r="AP34" s="39"/>
      <c r="AQ34" s="40"/>
      <c r="AR34" s="40">
        <v>545</v>
      </c>
      <c r="AS34" s="40">
        <v>285</v>
      </c>
      <c r="AT34" s="40"/>
      <c r="AU34" s="40"/>
      <c r="AV34" s="40"/>
      <c r="AW34" s="40"/>
      <c r="AX34" s="40"/>
      <c r="AY34" s="40"/>
      <c r="AZ34" s="40"/>
      <c r="BA34" s="33">
        <f t="shared" si="30"/>
        <v>830</v>
      </c>
      <c r="BB34" s="38"/>
      <c r="BC34" s="38"/>
      <c r="BD34" s="33"/>
      <c r="BE34" s="33"/>
      <c r="BF34" s="39"/>
      <c r="BG34" s="39"/>
      <c r="BH34" s="39">
        <v>215</v>
      </c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41">
        <f t="shared" si="9"/>
        <v>830</v>
      </c>
      <c r="BT34" s="136"/>
      <c r="BU34" s="146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</row>
    <row r="35" spans="1:98" s="4" customFormat="1">
      <c r="A35" s="215" t="e">
        <f>+#REF!+1</f>
        <v>#REF!</v>
      </c>
      <c r="B35" s="16" t="s">
        <v>43</v>
      </c>
      <c r="C35" s="33">
        <v>28943.919999999998</v>
      </c>
      <c r="D35" s="34">
        <v>17479.37</v>
      </c>
      <c r="E35" s="34">
        <v>17480</v>
      </c>
      <c r="F35" s="35">
        <v>43451</v>
      </c>
      <c r="G35" s="33"/>
      <c r="H35" s="33">
        <f t="shared" si="1"/>
        <v>0.63000000000101863</v>
      </c>
      <c r="I35" s="34"/>
      <c r="J35" s="34"/>
      <c r="K35" s="34">
        <v>9719.1200000000008</v>
      </c>
      <c r="L35" s="34"/>
      <c r="M35" s="36">
        <f t="shared" si="23"/>
        <v>208.96108000000001</v>
      </c>
      <c r="N35" s="36">
        <f t="shared" si="24"/>
        <v>48.595600000000005</v>
      </c>
      <c r="O35" s="36">
        <f t="shared" si="25"/>
        <v>9461.5633200000011</v>
      </c>
      <c r="P35" s="36">
        <f>L35-(L35*(M$5+N$5))</f>
        <v>0</v>
      </c>
      <c r="Q35" s="37"/>
      <c r="R35" s="34"/>
      <c r="S35" s="34"/>
      <c r="T35" s="36">
        <f>+R35*T$5</f>
        <v>0</v>
      </c>
      <c r="U35" s="36">
        <f>+R35*U$5</f>
        <v>0</v>
      </c>
      <c r="V35" s="36">
        <f>+R35-T35-U35+W35</f>
        <v>0</v>
      </c>
      <c r="W35" s="36">
        <f>+S35-(S35*(T$5+U$5))</f>
        <v>0</v>
      </c>
      <c r="X35" s="37"/>
      <c r="Y35" s="34"/>
      <c r="Z35" s="34">
        <v>13.25</v>
      </c>
      <c r="AA35" s="34"/>
      <c r="AB35" s="34"/>
      <c r="AC35" s="34">
        <v>532.17999999999995</v>
      </c>
      <c r="AD35" s="38" t="s">
        <v>138</v>
      </c>
      <c r="AE35" s="38">
        <v>1200</v>
      </c>
      <c r="AF35" s="34">
        <v>2093.23</v>
      </c>
      <c r="AG35" s="33">
        <f t="shared" si="2"/>
        <v>1423.3964000000001</v>
      </c>
      <c r="AH35" s="33">
        <f t="shared" si="3"/>
        <v>251.1876</v>
      </c>
      <c r="AI35" s="33">
        <f t="shared" si="4"/>
        <v>418.64600000000002</v>
      </c>
      <c r="AJ35" s="34"/>
      <c r="AK35" s="33">
        <v>23973.830357142855</v>
      </c>
      <c r="AL35" s="33">
        <f t="shared" si="10"/>
        <v>-23973.830357142855</v>
      </c>
      <c r="AM35" s="33">
        <f t="shared" si="42"/>
        <v>23428.400357142855</v>
      </c>
      <c r="AN35" s="33">
        <f t="shared" si="43"/>
        <v>2811.4080428571424</v>
      </c>
      <c r="AO35" s="33">
        <f t="shared" si="18"/>
        <v>26239.808399999998</v>
      </c>
      <c r="AP35" s="39"/>
      <c r="AQ35" s="40">
        <v>0</v>
      </c>
      <c r="AR35" s="40"/>
      <c r="AS35" s="40"/>
      <c r="AT35" s="40"/>
      <c r="AU35" s="40"/>
      <c r="AV35" s="40"/>
      <c r="AW35" s="40"/>
      <c r="AX35" s="40"/>
      <c r="AY35" s="40"/>
      <c r="AZ35" s="40"/>
      <c r="BA35" s="33">
        <f t="shared" si="30"/>
        <v>0</v>
      </c>
      <c r="BB35" s="38"/>
      <c r="BC35" s="38"/>
      <c r="BD35" s="33">
        <f>SUM(BF35:BN35)*0.1+(BO35*0.5)</f>
        <v>0</v>
      </c>
      <c r="BE35" s="33">
        <f>SUM(BF35:BN35)+(BO35*0.5)</f>
        <v>0</v>
      </c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41">
        <f t="shared" si="9"/>
        <v>0</v>
      </c>
      <c r="BT35" s="136"/>
      <c r="BU35" s="146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</row>
    <row r="36" spans="1:98" s="4" customFormat="1" ht="15" thickBot="1">
      <c r="A36" s="216"/>
      <c r="B36" s="16" t="s">
        <v>44</v>
      </c>
      <c r="C36" s="167">
        <v>10393.77</v>
      </c>
      <c r="D36" s="34">
        <v>6098.26</v>
      </c>
      <c r="E36" s="34">
        <v>6100</v>
      </c>
      <c r="F36" s="35">
        <v>43452</v>
      </c>
      <c r="G36" s="33"/>
      <c r="H36" s="33">
        <f t="shared" si="1"/>
        <v>1.7399999999997817</v>
      </c>
      <c r="I36" s="34"/>
      <c r="J36" s="34"/>
      <c r="K36" s="34">
        <v>3022.76</v>
      </c>
      <c r="L36" s="34"/>
      <c r="M36" s="36">
        <f t="shared" si="23"/>
        <v>64.989339999999999</v>
      </c>
      <c r="N36" s="36">
        <f t="shared" si="24"/>
        <v>15.113800000000001</v>
      </c>
      <c r="O36" s="36">
        <f t="shared" si="25"/>
        <v>2942.6568600000001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77.75</v>
      </c>
      <c r="AA36" s="34"/>
      <c r="AB36" s="34"/>
      <c r="AC36" s="34"/>
      <c r="AD36" s="38" t="s">
        <v>138</v>
      </c>
      <c r="AE36" s="38">
        <v>1195</v>
      </c>
      <c r="AF36" s="34">
        <v>628.77</v>
      </c>
      <c r="AG36" s="33">
        <f t="shared" si="2"/>
        <v>427.56360000000001</v>
      </c>
      <c r="AH36" s="33">
        <f t="shared" si="3"/>
        <v>75.452399999999997</v>
      </c>
      <c r="AI36" s="33">
        <f t="shared" si="4"/>
        <v>125.754</v>
      </c>
      <c r="AJ36" s="34"/>
      <c r="AK36" s="33">
        <v>8718.75</v>
      </c>
      <c r="AL36" s="33">
        <f t="shared" si="10"/>
        <v>-8718.75</v>
      </c>
      <c r="AM36" s="33">
        <f t="shared" si="42"/>
        <v>8641</v>
      </c>
      <c r="AN36" s="33">
        <f t="shared" si="43"/>
        <v>1036.92</v>
      </c>
      <c r="AO36" s="33">
        <f t="shared" si="18"/>
        <v>9677.92</v>
      </c>
      <c r="AP36" s="39">
        <v>168</v>
      </c>
      <c r="AQ36" s="40">
        <v>0</v>
      </c>
      <c r="AR36" s="40"/>
      <c r="AS36" s="40"/>
      <c r="AT36" s="40"/>
      <c r="AU36" s="40"/>
      <c r="AV36" s="40"/>
      <c r="AW36" s="40"/>
      <c r="AX36" s="40"/>
      <c r="AY36" s="40"/>
      <c r="AZ36" s="40"/>
      <c r="BA36" s="33">
        <f t="shared" si="30"/>
        <v>168</v>
      </c>
      <c r="BB36" s="38"/>
      <c r="BC36" s="38"/>
      <c r="BD36" s="33"/>
      <c r="BE36" s="33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41">
        <f t="shared" si="9"/>
        <v>168</v>
      </c>
      <c r="BT36" s="136"/>
      <c r="BU36" s="146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  <c r="CT36" s="145"/>
    </row>
    <row r="37" spans="1:98" s="4" customFormat="1">
      <c r="A37" s="215" t="e">
        <f>A35+1</f>
        <v>#REF!</v>
      </c>
      <c r="B37" s="16" t="s">
        <v>43</v>
      </c>
      <c r="C37" s="33">
        <v>30677.119999999999</v>
      </c>
      <c r="D37" s="34">
        <v>23713.759999999998</v>
      </c>
      <c r="E37" s="34">
        <v>23718</v>
      </c>
      <c r="F37" s="35">
        <v>43452</v>
      </c>
      <c r="G37" s="33"/>
      <c r="H37" s="33">
        <f t="shared" si="1"/>
        <v>4.2400000000016007</v>
      </c>
      <c r="I37" s="34"/>
      <c r="J37" s="34"/>
      <c r="K37" s="34">
        <v>3349.14</v>
      </c>
      <c r="L37" s="34"/>
      <c r="M37" s="36">
        <f t="shared" si="23"/>
        <v>72.006509999999992</v>
      </c>
      <c r="N37" s="36">
        <f t="shared" si="24"/>
        <v>16.745699999999999</v>
      </c>
      <c r="O37" s="36">
        <f t="shared" si="25"/>
        <v>3260.3877899999998</v>
      </c>
      <c r="P37" s="36"/>
      <c r="Q37" s="37"/>
      <c r="R37" s="34"/>
      <c r="S37" s="34"/>
      <c r="T37" s="36"/>
      <c r="U37" s="36"/>
      <c r="V37" s="36"/>
      <c r="W37" s="36"/>
      <c r="X37" s="37"/>
      <c r="Y37" s="34"/>
      <c r="Z37" s="34">
        <v>13.25</v>
      </c>
      <c r="AA37" s="34"/>
      <c r="AB37" s="34"/>
      <c r="AC37" s="34">
        <v>166.97</v>
      </c>
      <c r="AD37" s="38" t="s">
        <v>138</v>
      </c>
      <c r="AE37" s="38">
        <v>3434</v>
      </c>
      <c r="AF37" s="34">
        <v>1668.3</v>
      </c>
      <c r="AG37" s="33">
        <f t="shared" si="2"/>
        <v>1134.444</v>
      </c>
      <c r="AH37" s="33">
        <f t="shared" si="3"/>
        <v>200.196</v>
      </c>
      <c r="AI37" s="33">
        <f t="shared" si="4"/>
        <v>333.66</v>
      </c>
      <c r="AJ37" s="34"/>
      <c r="AK37" s="33">
        <v>25900.732142857141</v>
      </c>
      <c r="AL37" s="33">
        <f t="shared" si="10"/>
        <v>-25900.732142857141</v>
      </c>
      <c r="AM37" s="33">
        <f t="shared" si="42"/>
        <v>25720.51214285714</v>
      </c>
      <c r="AN37" s="33">
        <f t="shared" si="43"/>
        <v>3086.4614571428565</v>
      </c>
      <c r="AO37" s="33">
        <f t="shared" si="18"/>
        <v>28806.973599999998</v>
      </c>
      <c r="AP37" s="39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33">
        <f t="shared" si="30"/>
        <v>0</v>
      </c>
      <c r="BB37" s="38"/>
      <c r="BC37" s="38"/>
      <c r="BD37" s="33">
        <f>SUM(BF37:BN37)*0.1+(BO37*0.5)</f>
        <v>0</v>
      </c>
      <c r="BE37" s="33">
        <f>SUM(BF37:BN37)+(BO37*0.5)</f>
        <v>0</v>
      </c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41">
        <f t="shared" si="9"/>
        <v>0</v>
      </c>
      <c r="BT37" s="136"/>
      <c r="BU37" s="146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  <c r="CT37" s="145"/>
    </row>
    <row r="38" spans="1:98" s="4" customFormat="1">
      <c r="A38" s="216"/>
      <c r="B38" s="16" t="s">
        <v>44</v>
      </c>
      <c r="C38" s="33">
        <v>28676.36</v>
      </c>
      <c r="D38" s="34">
        <v>19480.669999999998</v>
      </c>
      <c r="E38" s="34">
        <v>19489</v>
      </c>
      <c r="F38" s="35">
        <v>43453</v>
      </c>
      <c r="G38" s="33"/>
      <c r="H38" s="33">
        <f t="shared" si="1"/>
        <v>8.3300000000017462</v>
      </c>
      <c r="I38" s="34"/>
      <c r="J38" s="34"/>
      <c r="K38" s="34">
        <v>5190.4399999999996</v>
      </c>
      <c r="L38" s="34"/>
      <c r="M38" s="36">
        <f t="shared" si="23"/>
        <v>111.59445999999998</v>
      </c>
      <c r="N38" s="36">
        <f t="shared" si="24"/>
        <v>25.952199999999998</v>
      </c>
      <c r="O38" s="36">
        <f t="shared" si="25"/>
        <v>5052.8933399999996</v>
      </c>
      <c r="P38" s="36">
        <f>L38-(L38*(M$5+N$5))</f>
        <v>0</v>
      </c>
      <c r="Q38" s="37"/>
      <c r="R38" s="34"/>
      <c r="S38" s="34"/>
      <c r="T38" s="36">
        <f>+R38*T$5</f>
        <v>0</v>
      </c>
      <c r="U38" s="36">
        <f>+R38*U$5</f>
        <v>0</v>
      </c>
      <c r="V38" s="36">
        <f>+R38-T38-U38+W38</f>
        <v>0</v>
      </c>
      <c r="W38" s="36">
        <f>+S38-(S38*(T$5+U$5))</f>
        <v>0</v>
      </c>
      <c r="X38" s="37"/>
      <c r="Y38" s="34"/>
      <c r="Z38" s="34">
        <v>88</v>
      </c>
      <c r="AA38" s="34"/>
      <c r="AB38" s="34"/>
      <c r="AC38" s="34">
        <v>81.25</v>
      </c>
      <c r="AD38" s="38" t="s">
        <v>138</v>
      </c>
      <c r="AE38" s="38">
        <v>3836</v>
      </c>
      <c r="AF38" s="34">
        <v>2004.11</v>
      </c>
      <c r="AG38" s="33">
        <f t="shared" si="2"/>
        <v>1362.7947999999999</v>
      </c>
      <c r="AH38" s="33">
        <f t="shared" si="3"/>
        <v>240.4932</v>
      </c>
      <c r="AI38" s="33">
        <f t="shared" si="4"/>
        <v>400.822</v>
      </c>
      <c r="AJ38" s="34"/>
      <c r="AK38" s="33">
        <v>23814.508928571428</v>
      </c>
      <c r="AL38" s="33">
        <f t="shared" si="10"/>
        <v>-23814.508928571428</v>
      </c>
      <c r="AM38" s="33">
        <f t="shared" si="42"/>
        <v>23645.258928571428</v>
      </c>
      <c r="AN38" s="33">
        <f t="shared" si="43"/>
        <v>2837.4310714285712</v>
      </c>
      <c r="AO38" s="33">
        <f t="shared" si="18"/>
        <v>26482.69</v>
      </c>
      <c r="AP38" s="39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33">
        <f t="shared" si="30"/>
        <v>0</v>
      </c>
      <c r="BB38" s="38"/>
      <c r="BC38" s="38"/>
      <c r="BD38" s="33"/>
      <c r="BE38" s="33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41">
        <f t="shared" si="9"/>
        <v>0</v>
      </c>
      <c r="BT38" s="136"/>
      <c r="BU38" s="146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</row>
    <row r="39" spans="1:98" s="4" customFormat="1">
      <c r="A39" s="215" t="e">
        <f>+A37+1</f>
        <v>#REF!</v>
      </c>
      <c r="B39" s="16" t="s">
        <v>43</v>
      </c>
      <c r="C39" s="33">
        <v>40194.07</v>
      </c>
      <c r="D39" s="34">
        <v>26888.89</v>
      </c>
      <c r="E39" s="34">
        <v>26890</v>
      </c>
      <c r="F39" s="35">
        <v>43453</v>
      </c>
      <c r="G39" s="33">
        <f t="shared" ref="G39:G52" si="44">IF(E39-D39&lt;0,E39-D39,0)*-1</f>
        <v>0</v>
      </c>
      <c r="H39" s="33">
        <f t="shared" si="1"/>
        <v>1.1100000000005821</v>
      </c>
      <c r="I39" s="34"/>
      <c r="J39" s="34"/>
      <c r="K39" s="34">
        <v>9992.0300000000007</v>
      </c>
      <c r="L39" s="34"/>
      <c r="M39" s="36">
        <f t="shared" si="23"/>
        <v>214.82864499999999</v>
      </c>
      <c r="N39" s="36">
        <f t="shared" si="24"/>
        <v>49.960150000000006</v>
      </c>
      <c r="O39" s="36">
        <f t="shared" si="25"/>
        <v>9727.2412050000003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v>86.25</v>
      </c>
      <c r="AA39" s="34"/>
      <c r="AB39" s="34"/>
      <c r="AC39" s="34">
        <v>227.9</v>
      </c>
      <c r="AD39" s="38" t="s">
        <v>138</v>
      </c>
      <c r="AE39" s="38">
        <v>2999</v>
      </c>
      <c r="AF39" s="34">
        <v>2938.82</v>
      </c>
      <c r="AG39" s="33">
        <f t="shared" si="2"/>
        <v>1998.3976</v>
      </c>
      <c r="AH39" s="33">
        <f t="shared" si="3"/>
        <v>352.65839999999997</v>
      </c>
      <c r="AI39" s="33">
        <f t="shared" si="4"/>
        <v>587.76400000000001</v>
      </c>
      <c r="AJ39" s="34"/>
      <c r="AK39" s="33">
        <v>33263.616071428565</v>
      </c>
      <c r="AL39" s="33">
        <f t="shared" si="10"/>
        <v>-33263.616071428565</v>
      </c>
      <c r="AM39" s="33">
        <f t="shared" si="42"/>
        <v>32949.466071428564</v>
      </c>
      <c r="AN39" s="33">
        <f t="shared" si="43"/>
        <v>3953.9359285714277</v>
      </c>
      <c r="AO39" s="33">
        <f t="shared" si="18"/>
        <v>36903.401999999995</v>
      </c>
      <c r="AP39" s="39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33">
        <f t="shared" si="30"/>
        <v>0</v>
      </c>
      <c r="BB39" s="38"/>
      <c r="BC39" s="38"/>
      <c r="BD39" s="33">
        <f>SUM(BF39:BN39)*0.1+(BO39*0.5)</f>
        <v>0</v>
      </c>
      <c r="BE39" s="33">
        <f>SUM(BF39:BN39)+(BO39*0.5)</f>
        <v>0</v>
      </c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41">
        <f t="shared" si="9"/>
        <v>0</v>
      </c>
      <c r="BT39" s="136"/>
      <c r="BU39" s="146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  <c r="CT39" s="145"/>
    </row>
    <row r="40" spans="1:98" s="4" customFormat="1">
      <c r="A40" s="216"/>
      <c r="B40" s="16" t="s">
        <v>44</v>
      </c>
      <c r="C40" s="33">
        <v>17247.88</v>
      </c>
      <c r="D40" s="34">
        <v>10270.950000000001</v>
      </c>
      <c r="E40" s="34">
        <v>10275</v>
      </c>
      <c r="F40" s="35">
        <v>43454</v>
      </c>
      <c r="G40" s="33">
        <f t="shared" si="44"/>
        <v>0</v>
      </c>
      <c r="H40" s="33">
        <f t="shared" si="1"/>
        <v>4.0499999999992724</v>
      </c>
      <c r="I40" s="34"/>
      <c r="J40" s="34"/>
      <c r="K40" s="34">
        <v>6421.34</v>
      </c>
      <c r="L40" s="34"/>
      <c r="M40" s="36">
        <f t="shared" si="23"/>
        <v>138.05880999999999</v>
      </c>
      <c r="N40" s="36">
        <f t="shared" si="24"/>
        <v>32.106700000000004</v>
      </c>
      <c r="O40" s="36">
        <f t="shared" si="25"/>
        <v>6251.1744899999994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>
        <v>82.59</v>
      </c>
      <c r="AD40" s="38" t="s">
        <v>138</v>
      </c>
      <c r="AE40" s="38">
        <v>473.8</v>
      </c>
      <c r="AF40" s="34">
        <v>1278.44</v>
      </c>
      <c r="AG40" s="33">
        <f t="shared" si="2"/>
        <v>869.33920000000001</v>
      </c>
      <c r="AH40" s="33">
        <f t="shared" si="3"/>
        <v>153.4128</v>
      </c>
      <c r="AI40" s="33">
        <f t="shared" si="4"/>
        <v>255.68800000000002</v>
      </c>
      <c r="AJ40" s="34"/>
      <c r="AK40" s="33">
        <v>14258.428571428571</v>
      </c>
      <c r="AL40" s="33">
        <f t="shared" si="10"/>
        <v>-14258.428571428571</v>
      </c>
      <c r="AM40" s="33">
        <f t="shared" si="42"/>
        <v>14175.838571428571</v>
      </c>
      <c r="AN40" s="33">
        <f t="shared" si="43"/>
        <v>1701.1006285714284</v>
      </c>
      <c r="AO40" s="33">
        <f t="shared" si="18"/>
        <v>15876.939199999999</v>
      </c>
      <c r="AP40" s="39">
        <v>255</v>
      </c>
      <c r="AQ40" s="40"/>
      <c r="AR40" s="40">
        <v>265</v>
      </c>
      <c r="AS40" s="40">
        <v>333</v>
      </c>
      <c r="AT40" s="40"/>
      <c r="AU40" s="40"/>
      <c r="AV40" s="40"/>
      <c r="AW40" s="40"/>
      <c r="AX40" s="40"/>
      <c r="AY40" s="40"/>
      <c r="AZ40" s="40"/>
      <c r="BA40" s="33">
        <f t="shared" si="30"/>
        <v>853</v>
      </c>
      <c r="BB40" s="38"/>
      <c r="BC40" s="38"/>
      <c r="BD40" s="33">
        <v>0</v>
      </c>
      <c r="BE40" s="33">
        <v>0</v>
      </c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41">
        <f t="shared" si="9"/>
        <v>853</v>
      </c>
      <c r="BT40" s="136"/>
      <c r="BU40" s="146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  <c r="CT40" s="145"/>
    </row>
    <row r="41" spans="1:98" s="4" customFormat="1">
      <c r="A41" s="215" t="e">
        <f>A39+1</f>
        <v>#REF!</v>
      </c>
      <c r="B41" s="16" t="s">
        <v>43</v>
      </c>
      <c r="C41" s="33">
        <v>41914.9</v>
      </c>
      <c r="D41" s="34">
        <v>20892.240000000002</v>
      </c>
      <c r="E41" s="34">
        <v>20895</v>
      </c>
      <c r="F41" s="35">
        <v>43454</v>
      </c>
      <c r="G41" s="33">
        <f t="shared" si="44"/>
        <v>0</v>
      </c>
      <c r="H41" s="33">
        <f t="shared" si="1"/>
        <v>2.7599999999983993</v>
      </c>
      <c r="I41" s="34"/>
      <c r="J41" s="34"/>
      <c r="K41" s="34">
        <v>18113.46</v>
      </c>
      <c r="L41" s="34"/>
      <c r="M41" s="36">
        <f t="shared" si="23"/>
        <v>389.43938999999995</v>
      </c>
      <c r="N41" s="36">
        <f t="shared" si="24"/>
        <v>90.567300000000003</v>
      </c>
      <c r="O41" s="36">
        <f t="shared" si="25"/>
        <v>17633.453310000001</v>
      </c>
      <c r="P41" s="36"/>
      <c r="Q41" s="37"/>
      <c r="R41" s="34"/>
      <c r="S41" s="34"/>
      <c r="T41" s="36"/>
      <c r="U41" s="36"/>
      <c r="V41" s="36"/>
      <c r="W41" s="36"/>
      <c r="X41" s="37"/>
      <c r="Y41" s="34"/>
      <c r="Z41" s="34">
        <v>435</v>
      </c>
      <c r="AA41" s="34"/>
      <c r="AB41" s="34"/>
      <c r="AC41" s="34">
        <v>164.2</v>
      </c>
      <c r="AD41" s="38" t="s">
        <v>138</v>
      </c>
      <c r="AE41" s="38">
        <v>2310</v>
      </c>
      <c r="AF41" s="34">
        <v>3108.42</v>
      </c>
      <c r="AG41" s="33">
        <f t="shared" si="2"/>
        <v>2113.7256000000002</v>
      </c>
      <c r="AH41" s="33">
        <f t="shared" si="3"/>
        <v>373.01040000000006</v>
      </c>
      <c r="AI41" s="33">
        <f t="shared" si="4"/>
        <v>621.68400000000008</v>
      </c>
      <c r="AJ41" s="34"/>
      <c r="AK41" s="33">
        <v>34648.642857142855</v>
      </c>
      <c r="AL41" s="33">
        <f t="shared" si="10"/>
        <v>-34648.642857142855</v>
      </c>
      <c r="AM41" s="33">
        <f t="shared" si="42"/>
        <v>34049.442857142858</v>
      </c>
      <c r="AN41" s="33">
        <f t="shared" si="43"/>
        <v>4085.9331428571427</v>
      </c>
      <c r="AO41" s="33">
        <f t="shared" si="18"/>
        <v>38135.376000000004</v>
      </c>
      <c r="AP41" s="39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33">
        <f t="shared" si="30"/>
        <v>0</v>
      </c>
      <c r="BB41" s="38"/>
      <c r="BC41" s="38"/>
      <c r="BD41" s="33">
        <f>SUM(BF41:BN41)*0.1+(BO41*0.5)</f>
        <v>0</v>
      </c>
      <c r="BE41" s="33">
        <f>SUM(BF41:BN41)+(BO41*0.5)</f>
        <v>0</v>
      </c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41">
        <f t="shared" si="9"/>
        <v>0</v>
      </c>
      <c r="BT41" s="136"/>
      <c r="BU41" s="146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  <c r="CT41" s="145"/>
    </row>
    <row r="42" spans="1:98" s="4" customFormat="1">
      <c r="A42" s="216"/>
      <c r="B42" s="16" t="s">
        <v>44</v>
      </c>
      <c r="C42" s="33">
        <v>28082.45</v>
      </c>
      <c r="D42" s="34">
        <v>15887.88</v>
      </c>
      <c r="E42" s="34">
        <v>15888</v>
      </c>
      <c r="F42" s="35">
        <v>43455</v>
      </c>
      <c r="G42" s="33">
        <f t="shared" si="44"/>
        <v>0</v>
      </c>
      <c r="H42" s="33">
        <f t="shared" si="1"/>
        <v>0.12000000000080036</v>
      </c>
      <c r="I42" s="34">
        <v>1000</v>
      </c>
      <c r="J42" s="34"/>
      <c r="K42" s="34">
        <v>6510.32</v>
      </c>
      <c r="L42" s="34"/>
      <c r="M42" s="36">
        <f t="shared" si="23"/>
        <v>139.97187999999997</v>
      </c>
      <c r="N42" s="36">
        <f t="shared" si="24"/>
        <v>32.551600000000001</v>
      </c>
      <c r="O42" s="36">
        <f t="shared" si="25"/>
        <v>6337.7965199999999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22.5</v>
      </c>
      <c r="AA42" s="34"/>
      <c r="AB42" s="34"/>
      <c r="AC42" s="34">
        <v>368.75</v>
      </c>
      <c r="AD42" s="38" t="s">
        <v>138</v>
      </c>
      <c r="AE42" s="38">
        <v>4293</v>
      </c>
      <c r="AF42" s="34">
        <v>1439.7</v>
      </c>
      <c r="AG42" s="33">
        <f t="shared" si="2"/>
        <v>978.99599999999998</v>
      </c>
      <c r="AH42" s="33">
        <f t="shared" si="3"/>
        <v>172.76399999999998</v>
      </c>
      <c r="AI42" s="33">
        <f t="shared" si="4"/>
        <v>287.94</v>
      </c>
      <c r="AJ42" s="34"/>
      <c r="AK42" s="33">
        <v>23788.169642857141</v>
      </c>
      <c r="AL42" s="33">
        <f t="shared" si="10"/>
        <v>-23788.169642857141</v>
      </c>
      <c r="AM42" s="33">
        <f t="shared" si="42"/>
        <v>23396.919642857141</v>
      </c>
      <c r="AN42" s="33">
        <f t="shared" si="43"/>
        <v>2807.6303571428571</v>
      </c>
      <c r="AO42" s="33">
        <f t="shared" si="18"/>
        <v>26204.55</v>
      </c>
      <c r="AP42" s="39"/>
      <c r="AQ42" s="40"/>
      <c r="AR42" s="40"/>
      <c r="AS42" s="40">
        <v>185</v>
      </c>
      <c r="AT42" s="40"/>
      <c r="AU42" s="40"/>
      <c r="AV42" s="40"/>
      <c r="AW42" s="40"/>
      <c r="AX42" s="40"/>
      <c r="AY42" s="40"/>
      <c r="AZ42" s="40"/>
      <c r="BA42" s="33">
        <f t="shared" si="30"/>
        <v>185</v>
      </c>
      <c r="BB42" s="38">
        <v>2400</v>
      </c>
      <c r="BC42" s="38"/>
      <c r="BD42" s="33">
        <v>0</v>
      </c>
      <c r="BE42" s="33">
        <v>0</v>
      </c>
      <c r="BF42" s="39"/>
      <c r="BG42" s="39"/>
      <c r="BH42" s="39"/>
      <c r="BI42" s="39"/>
      <c r="BJ42" s="39"/>
      <c r="BK42" s="39"/>
      <c r="BL42" s="39"/>
      <c r="BM42" s="39"/>
      <c r="BN42" s="39"/>
      <c r="BO42" s="170"/>
      <c r="BP42" s="39"/>
      <c r="BQ42" s="39"/>
      <c r="BR42" s="39"/>
      <c r="BS42" s="41">
        <f t="shared" si="9"/>
        <v>2585</v>
      </c>
      <c r="BT42" s="136"/>
      <c r="BU42" s="146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  <c r="CT42" s="145"/>
    </row>
    <row r="43" spans="1:98" s="4" customFormat="1">
      <c r="A43" s="215" t="e">
        <f>+A41+1</f>
        <v>#REF!</v>
      </c>
      <c r="B43" s="16" t="s">
        <v>43</v>
      </c>
      <c r="C43" s="33">
        <v>32344.13</v>
      </c>
      <c r="D43" s="34">
        <v>22919.24</v>
      </c>
      <c r="E43" s="34">
        <v>22920</v>
      </c>
      <c r="F43" s="35">
        <v>43455</v>
      </c>
      <c r="G43" s="33">
        <f t="shared" si="44"/>
        <v>0</v>
      </c>
      <c r="H43" s="33">
        <f t="shared" si="1"/>
        <v>0.75999999999839929</v>
      </c>
      <c r="I43" s="34"/>
      <c r="J43" s="34"/>
      <c r="K43" s="34">
        <v>8328.6200000000008</v>
      </c>
      <c r="L43" s="34"/>
      <c r="M43" s="36">
        <f t="shared" si="23"/>
        <v>179.06532999999999</v>
      </c>
      <c r="N43" s="36">
        <f t="shared" si="24"/>
        <v>41.643100000000004</v>
      </c>
      <c r="O43" s="36">
        <f t="shared" si="25"/>
        <v>8107.9115700000002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v>26.5</v>
      </c>
      <c r="AA43" s="34"/>
      <c r="AB43" s="34"/>
      <c r="AC43" s="34">
        <v>329.77</v>
      </c>
      <c r="AD43" s="38" t="s">
        <v>138</v>
      </c>
      <c r="AE43" s="38">
        <v>740</v>
      </c>
      <c r="AF43" s="34">
        <v>2476.9899999999998</v>
      </c>
      <c r="AG43" s="33">
        <f t="shared" si="2"/>
        <v>1684.3531999999998</v>
      </c>
      <c r="AH43" s="33">
        <f t="shared" si="3"/>
        <v>297.23879999999997</v>
      </c>
      <c r="AI43" s="33">
        <f t="shared" si="4"/>
        <v>495.39799999999997</v>
      </c>
      <c r="AJ43" s="34"/>
      <c r="AK43" s="33">
        <v>26667.089285714283</v>
      </c>
      <c r="AL43" s="33">
        <f t="shared" si="10"/>
        <v>-26667.089285714283</v>
      </c>
      <c r="AM43" s="33">
        <f t="shared" si="42"/>
        <v>26310.819285714282</v>
      </c>
      <c r="AN43" s="33">
        <f t="shared" si="43"/>
        <v>3157.2983142857138</v>
      </c>
      <c r="AO43" s="33">
        <f t="shared" si="18"/>
        <v>29468.117599999998</v>
      </c>
      <c r="AP43" s="39">
        <v>0</v>
      </c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33">
        <f t="shared" si="30"/>
        <v>0</v>
      </c>
      <c r="BB43" s="38"/>
      <c r="BC43" s="38"/>
      <c r="BD43" s="33">
        <f>SUM(BF43:BN43)*0.1+(BO43*0.5)</f>
        <v>0</v>
      </c>
      <c r="BE43" s="33">
        <f>SUM(BF43:BN43)+(BO43*0.5)</f>
        <v>0</v>
      </c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41">
        <f t="shared" si="9"/>
        <v>0</v>
      </c>
      <c r="BT43" s="136"/>
      <c r="BU43" s="146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  <c r="CT43" s="145"/>
    </row>
    <row r="44" spans="1:98" s="4" customFormat="1">
      <c r="A44" s="216"/>
      <c r="B44" s="16" t="s">
        <v>44</v>
      </c>
      <c r="C44" s="33">
        <v>39636.639999999999</v>
      </c>
      <c r="D44" s="34">
        <v>31825.67</v>
      </c>
      <c r="E44" s="34">
        <v>31832</v>
      </c>
      <c r="F44" s="35">
        <v>43456</v>
      </c>
      <c r="G44" s="33">
        <f t="shared" si="44"/>
        <v>0</v>
      </c>
      <c r="H44" s="33">
        <f t="shared" si="1"/>
        <v>6.3300000000017462</v>
      </c>
      <c r="I44" s="34"/>
      <c r="J44" s="34"/>
      <c r="K44" s="34">
        <v>5723.93</v>
      </c>
      <c r="L44" s="34"/>
      <c r="M44" s="36">
        <f t="shared" si="23"/>
        <v>123.06449499999999</v>
      </c>
      <c r="N44" s="36">
        <f t="shared" si="24"/>
        <v>28.619650000000004</v>
      </c>
      <c r="O44" s="36">
        <f t="shared" si="25"/>
        <v>5572.245855000001</v>
      </c>
      <c r="P44" s="36"/>
      <c r="Q44" s="37"/>
      <c r="R44" s="34"/>
      <c r="S44" s="34"/>
      <c r="T44" s="36"/>
      <c r="U44" s="36"/>
      <c r="V44" s="36"/>
      <c r="W44" s="36"/>
      <c r="X44" s="37"/>
      <c r="Y44" s="34"/>
      <c r="Z44" s="34">
        <v>178.5</v>
      </c>
      <c r="AA44" s="34"/>
      <c r="AB44" s="34"/>
      <c r="AC44" s="34">
        <v>197.54</v>
      </c>
      <c r="AD44" s="38" t="s">
        <v>138</v>
      </c>
      <c r="AE44" s="38">
        <v>1711</v>
      </c>
      <c r="AF44" s="34">
        <v>2554.17</v>
      </c>
      <c r="AG44" s="33">
        <f t="shared" si="2"/>
        <v>1736.8356000000001</v>
      </c>
      <c r="AH44" s="33">
        <f t="shared" si="3"/>
        <v>306.50040000000001</v>
      </c>
      <c r="AI44" s="33">
        <f t="shared" si="4"/>
        <v>510.83400000000006</v>
      </c>
      <c r="AJ44" s="34"/>
      <c r="AK44" s="33">
        <v>33109.34821428571</v>
      </c>
      <c r="AL44" s="33">
        <f t="shared" si="10"/>
        <v>-33109.34821428571</v>
      </c>
      <c r="AM44" s="33">
        <f t="shared" si="42"/>
        <v>32733.308214285709</v>
      </c>
      <c r="AN44" s="33">
        <f t="shared" si="43"/>
        <v>3927.9969857142851</v>
      </c>
      <c r="AO44" s="33">
        <f t="shared" si="18"/>
        <v>36661.305199999995</v>
      </c>
      <c r="AP44" s="39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33">
        <f t="shared" si="30"/>
        <v>0</v>
      </c>
      <c r="BB44" s="38">
        <v>135</v>
      </c>
      <c r="BC44" s="38">
        <v>0</v>
      </c>
      <c r="BD44" s="33"/>
      <c r="BE44" s="33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41">
        <f t="shared" si="9"/>
        <v>135</v>
      </c>
      <c r="BT44" s="136"/>
      <c r="BU44" s="146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  <c r="CT44" s="145"/>
    </row>
    <row r="45" spans="1:98" s="4" customFormat="1">
      <c r="A45" s="215" t="e">
        <f>+#REF!+1</f>
        <v>#REF!</v>
      </c>
      <c r="B45" s="32" t="s">
        <v>43</v>
      </c>
      <c r="C45" s="33">
        <v>16545.87</v>
      </c>
      <c r="D45" s="34">
        <v>10985.39</v>
      </c>
      <c r="E45" s="34">
        <v>10985</v>
      </c>
      <c r="F45" s="35">
        <v>43460</v>
      </c>
      <c r="G45" s="33">
        <f t="shared" si="44"/>
        <v>0.38999999999941792</v>
      </c>
      <c r="H45" s="33">
        <f t="shared" si="1"/>
        <v>0</v>
      </c>
      <c r="I45" s="34"/>
      <c r="J45" s="34"/>
      <c r="K45" s="34">
        <v>3638.37</v>
      </c>
      <c r="L45" s="34"/>
      <c r="M45" s="36">
        <f t="shared" si="23"/>
        <v>78.224954999999994</v>
      </c>
      <c r="N45" s="36">
        <f t="shared" si="24"/>
        <v>18.191849999999999</v>
      </c>
      <c r="O45" s="36">
        <f t="shared" si="25"/>
        <v>3541.9531949999996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v>11.75</v>
      </c>
      <c r="AA45" s="34"/>
      <c r="AB45" s="34"/>
      <c r="AC45" s="34">
        <v>171.76</v>
      </c>
      <c r="AD45" s="38" t="s">
        <v>138</v>
      </c>
      <c r="AE45" s="38">
        <v>1738</v>
      </c>
      <c r="AF45" s="34">
        <v>1147.93</v>
      </c>
      <c r="AG45" s="33">
        <f t="shared" si="2"/>
        <v>780.5924</v>
      </c>
      <c r="AH45" s="33">
        <f t="shared" si="3"/>
        <v>137.7516</v>
      </c>
      <c r="AI45" s="33">
        <f t="shared" si="4"/>
        <v>229.58600000000001</v>
      </c>
      <c r="AJ45" s="34"/>
      <c r="AK45" s="33">
        <v>13748.160714285712</v>
      </c>
      <c r="AL45" s="33">
        <f t="shared" si="10"/>
        <v>-13748.160714285712</v>
      </c>
      <c r="AM45" s="33">
        <f t="shared" si="42"/>
        <v>13564.650714285712</v>
      </c>
      <c r="AN45" s="33">
        <f t="shared" si="43"/>
        <v>1627.7580857142852</v>
      </c>
      <c r="AO45" s="33">
        <f t="shared" si="18"/>
        <v>15192.408799999997</v>
      </c>
      <c r="AP45" s="39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33">
        <f t="shared" si="30"/>
        <v>0</v>
      </c>
      <c r="BB45" s="38"/>
      <c r="BC45" s="38"/>
      <c r="BD45" s="33">
        <f>SUM(BF45:BN45)*0.1+(BO45*0.5)</f>
        <v>0</v>
      </c>
      <c r="BE45" s="33">
        <f>SUM(BF45:BN45)+(BO45*0.5)</f>
        <v>0</v>
      </c>
      <c r="BF45" s="39"/>
      <c r="BG45" s="39">
        <v>0</v>
      </c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41">
        <f t="shared" si="9"/>
        <v>0</v>
      </c>
      <c r="BT45" s="136"/>
      <c r="BU45" s="146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  <c r="CT45" s="145"/>
    </row>
    <row r="46" spans="1:98" s="4" customFormat="1">
      <c r="A46" s="216"/>
      <c r="B46" s="15" t="s">
        <v>44</v>
      </c>
      <c r="C46" s="33">
        <v>9387.85</v>
      </c>
      <c r="D46" s="34">
        <v>4769.99</v>
      </c>
      <c r="E46" s="34">
        <v>4770</v>
      </c>
      <c r="F46" s="35">
        <v>43461</v>
      </c>
      <c r="G46" s="33">
        <f t="shared" si="44"/>
        <v>0</v>
      </c>
      <c r="H46" s="33">
        <f t="shared" si="1"/>
        <v>1.0000000000218279E-2</v>
      </c>
      <c r="I46" s="34"/>
      <c r="J46" s="34"/>
      <c r="K46" s="34">
        <v>2047.86</v>
      </c>
      <c r="L46" s="34"/>
      <c r="M46" s="36">
        <f t="shared" si="23"/>
        <v>44.028989999999993</v>
      </c>
      <c r="N46" s="36">
        <f t="shared" si="24"/>
        <v>10.2393</v>
      </c>
      <c r="O46" s="36">
        <f t="shared" si="25"/>
        <v>1993.5917099999999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v>39</v>
      </c>
      <c r="AA46" s="34"/>
      <c r="AB46" s="34"/>
      <c r="AC46" s="34"/>
      <c r="AD46" s="38" t="s">
        <v>138</v>
      </c>
      <c r="AE46" s="38">
        <v>2531</v>
      </c>
      <c r="AF46" s="34">
        <v>558.85</v>
      </c>
      <c r="AG46" s="33">
        <f t="shared" si="2"/>
        <v>380.01800000000003</v>
      </c>
      <c r="AH46" s="33">
        <f t="shared" si="3"/>
        <v>67.061999999999998</v>
      </c>
      <c r="AI46" s="33">
        <f t="shared" si="4"/>
        <v>111.77000000000001</v>
      </c>
      <c r="AJ46" s="34"/>
      <c r="AK46" s="33">
        <v>7883.0357142857138</v>
      </c>
      <c r="AL46" s="33">
        <f t="shared" si="10"/>
        <v>-7883.0357142857138</v>
      </c>
      <c r="AM46" s="33">
        <f t="shared" si="42"/>
        <v>7844.0357142857138</v>
      </c>
      <c r="AN46" s="33">
        <f t="shared" si="43"/>
        <v>941.2842857142856</v>
      </c>
      <c r="AO46" s="33">
        <f t="shared" si="18"/>
        <v>8785.32</v>
      </c>
      <c r="AP46" s="39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33">
        <f t="shared" si="30"/>
        <v>0</v>
      </c>
      <c r="BB46" s="38"/>
      <c r="BC46" s="38"/>
      <c r="BD46" s="33"/>
      <c r="BE46" s="33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41">
        <f t="shared" si="9"/>
        <v>0</v>
      </c>
      <c r="BT46" s="136"/>
      <c r="BU46" s="146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  <c r="CT46" s="145"/>
    </row>
    <row r="47" spans="1:98" s="4" customFormat="1">
      <c r="A47" s="215" t="e">
        <f>+A45+1</f>
        <v>#REF!</v>
      </c>
      <c r="B47" s="15" t="s">
        <v>43</v>
      </c>
      <c r="C47" s="33">
        <v>17606.75</v>
      </c>
      <c r="D47" s="34">
        <v>12588.37</v>
      </c>
      <c r="E47" s="34">
        <v>12588</v>
      </c>
      <c r="F47" s="35">
        <v>43461</v>
      </c>
      <c r="G47" s="33">
        <f t="shared" si="44"/>
        <v>0.37000000000080036</v>
      </c>
      <c r="H47" s="33">
        <f t="shared" si="1"/>
        <v>0</v>
      </c>
      <c r="I47" s="34"/>
      <c r="J47" s="34"/>
      <c r="K47" s="34">
        <v>4072.84</v>
      </c>
      <c r="L47" s="34"/>
      <c r="M47" s="36">
        <f t="shared" si="23"/>
        <v>87.566059999999993</v>
      </c>
      <c r="N47" s="36">
        <f t="shared" si="24"/>
        <v>20.3642</v>
      </c>
      <c r="O47" s="36">
        <f t="shared" si="25"/>
        <v>3964.9097400000001</v>
      </c>
      <c r="P47" s="36"/>
      <c r="Q47" s="37"/>
      <c r="R47" s="34"/>
      <c r="S47" s="34"/>
      <c r="T47" s="36"/>
      <c r="U47" s="36"/>
      <c r="V47" s="36"/>
      <c r="W47" s="36"/>
      <c r="X47" s="37"/>
      <c r="Y47" s="34"/>
      <c r="Z47" s="34">
        <f>106+50.25</f>
        <v>156.25</v>
      </c>
      <c r="AA47" s="34">
        <v>13.5</v>
      </c>
      <c r="AB47" s="34"/>
      <c r="AC47" s="34">
        <v>114.29</v>
      </c>
      <c r="AD47" s="38" t="s">
        <v>138</v>
      </c>
      <c r="AE47" s="38">
        <v>661.5</v>
      </c>
      <c r="AF47" s="34">
        <v>1335.32</v>
      </c>
      <c r="AG47" s="33">
        <f t="shared" si="2"/>
        <v>908.01760000000002</v>
      </c>
      <c r="AH47" s="33">
        <f t="shared" si="3"/>
        <v>160.23840000000001</v>
      </c>
      <c r="AI47" s="33">
        <f t="shared" si="4"/>
        <v>267.06400000000002</v>
      </c>
      <c r="AJ47" s="34"/>
      <c r="AK47" s="33">
        <v>14528.062499999998</v>
      </c>
      <c r="AL47" s="33">
        <f t="shared" si="10"/>
        <v>-14528.062499999998</v>
      </c>
      <c r="AM47" s="33">
        <f t="shared" si="42"/>
        <v>14244.022499999997</v>
      </c>
      <c r="AN47" s="33">
        <f t="shared" si="43"/>
        <v>1709.2826999999995</v>
      </c>
      <c r="AO47" s="33">
        <f t="shared" si="18"/>
        <v>15953.305199999997</v>
      </c>
      <c r="AP47" s="39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33">
        <f t="shared" si="30"/>
        <v>0</v>
      </c>
      <c r="BB47" s="38"/>
      <c r="BC47" s="38"/>
      <c r="BD47" s="33">
        <f>SUM(BF47:BN47)*0.1+(BO47*0.5)</f>
        <v>0</v>
      </c>
      <c r="BE47" s="33">
        <f>SUM(BF47:BN47)+(BO47*0.5)</f>
        <v>0</v>
      </c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41">
        <f t="shared" si="9"/>
        <v>0</v>
      </c>
      <c r="BT47" s="136"/>
      <c r="BU47" s="146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  <c r="CT47" s="145"/>
    </row>
    <row r="48" spans="1:98" s="4" customFormat="1">
      <c r="A48" s="216"/>
      <c r="B48" s="15" t="s">
        <v>44</v>
      </c>
      <c r="C48" s="33">
        <v>25329.58</v>
      </c>
      <c r="D48" s="34">
        <v>14667.28</v>
      </c>
      <c r="E48" s="34">
        <v>14667</v>
      </c>
      <c r="F48" s="35">
        <v>43462</v>
      </c>
      <c r="G48" s="33">
        <f t="shared" si="44"/>
        <v>0.28000000000065484</v>
      </c>
      <c r="H48" s="33">
        <f t="shared" si="1"/>
        <v>0</v>
      </c>
      <c r="I48" s="34">
        <v>3500</v>
      </c>
      <c r="J48" s="34"/>
      <c r="K48" s="34">
        <v>5171.38</v>
      </c>
      <c r="L48" s="34"/>
      <c r="M48" s="36">
        <f t="shared" si="23"/>
        <v>111.18467</v>
      </c>
      <c r="N48" s="36">
        <f t="shared" si="24"/>
        <v>25.8569</v>
      </c>
      <c r="O48" s="36">
        <f t="shared" si="25"/>
        <v>5034.3384300000007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f>461+185</f>
        <v>646</v>
      </c>
      <c r="AA48" s="34">
        <v>76.5</v>
      </c>
      <c r="AB48" s="34"/>
      <c r="AC48" s="34">
        <v>242.42</v>
      </c>
      <c r="AD48" s="38" t="s">
        <v>138</v>
      </c>
      <c r="AE48" s="38">
        <v>1026</v>
      </c>
      <c r="AF48" s="34">
        <v>1548.02</v>
      </c>
      <c r="AG48" s="33">
        <f t="shared" si="2"/>
        <v>1052.6536000000001</v>
      </c>
      <c r="AH48" s="33">
        <f t="shared" si="3"/>
        <v>185.76240000000001</v>
      </c>
      <c r="AI48" s="33">
        <f t="shared" si="4"/>
        <v>309.60400000000004</v>
      </c>
      <c r="AJ48" s="34"/>
      <c r="AK48" s="33">
        <v>21233.535714285714</v>
      </c>
      <c r="AL48" s="33">
        <f t="shared" si="10"/>
        <v>-21233.535714285714</v>
      </c>
      <c r="AM48" s="33">
        <f t="shared" si="42"/>
        <v>20268.615714285716</v>
      </c>
      <c r="AN48" s="33">
        <f t="shared" si="43"/>
        <v>2432.2338857142859</v>
      </c>
      <c r="AO48" s="33">
        <f t="shared" si="18"/>
        <v>22700.849600000001</v>
      </c>
      <c r="AP48" s="39"/>
      <c r="AQ48" s="40"/>
      <c r="AR48" s="40">
        <v>110</v>
      </c>
      <c r="AS48" s="40">
        <v>520</v>
      </c>
      <c r="AT48" s="40"/>
      <c r="AU48" s="40"/>
      <c r="AV48" s="40"/>
      <c r="AW48" s="40"/>
      <c r="AX48" s="40"/>
      <c r="AY48" s="40"/>
      <c r="AZ48" s="40"/>
      <c r="BA48" s="33">
        <f t="shared" si="30"/>
        <v>630</v>
      </c>
      <c r="BB48" s="38"/>
      <c r="BC48" s="38"/>
      <c r="BD48" s="33"/>
      <c r="BE48" s="33"/>
      <c r="BF48" s="39"/>
      <c r="BG48" s="39"/>
      <c r="BH48" s="39"/>
      <c r="BI48" s="39"/>
      <c r="BJ48" s="39">
        <v>0</v>
      </c>
      <c r="BK48" s="39"/>
      <c r="BL48" s="39"/>
      <c r="BM48" s="39"/>
      <c r="BN48" s="39"/>
      <c r="BO48" s="39"/>
      <c r="BP48" s="39"/>
      <c r="BQ48" s="39"/>
      <c r="BR48" s="39"/>
      <c r="BS48" s="41">
        <f t="shared" si="9"/>
        <v>630</v>
      </c>
      <c r="BT48" s="136"/>
      <c r="BU48" s="146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  <c r="CT48" s="145"/>
    </row>
    <row r="49" spans="1:98" s="4" customFormat="1">
      <c r="A49" s="215" t="e">
        <f>+A47+1</f>
        <v>#REF!</v>
      </c>
      <c r="B49" s="16" t="s">
        <v>43</v>
      </c>
      <c r="C49" s="33">
        <v>28569.1</v>
      </c>
      <c r="D49" s="34">
        <v>20774.14</v>
      </c>
      <c r="E49" s="34">
        <v>20780</v>
      </c>
      <c r="F49" s="35">
        <v>43462</v>
      </c>
      <c r="G49" s="33">
        <f t="shared" si="44"/>
        <v>0</v>
      </c>
      <c r="H49" s="33">
        <f t="shared" si="1"/>
        <v>5.8600000000005821</v>
      </c>
      <c r="I49" s="34"/>
      <c r="J49" s="34"/>
      <c r="K49" s="34">
        <v>4912.67</v>
      </c>
      <c r="L49" s="34"/>
      <c r="M49" s="36">
        <f t="shared" si="23"/>
        <v>105.62240499999999</v>
      </c>
      <c r="N49" s="36">
        <f t="shared" si="24"/>
        <v>24.56335</v>
      </c>
      <c r="O49" s="36">
        <f t="shared" si="25"/>
        <v>4782.4842449999996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133</v>
      </c>
      <c r="AA49" s="34"/>
      <c r="AB49" s="34"/>
      <c r="AC49" s="34">
        <v>189.29</v>
      </c>
      <c r="AD49" s="38" t="s">
        <v>138</v>
      </c>
      <c r="AE49" s="38">
        <v>2560</v>
      </c>
      <c r="AF49" s="34">
        <v>1867.67</v>
      </c>
      <c r="AG49" s="33">
        <f t="shared" si="2"/>
        <v>1270.0156000000002</v>
      </c>
      <c r="AH49" s="33">
        <f t="shared" si="3"/>
        <v>224.12040000000002</v>
      </c>
      <c r="AI49" s="33">
        <f t="shared" si="4"/>
        <v>373.53400000000005</v>
      </c>
      <c r="AJ49" s="34"/>
      <c r="AK49" s="33">
        <v>23840.562499999996</v>
      </c>
      <c r="AL49" s="33">
        <f t="shared" si="10"/>
        <v>-23840.562499999996</v>
      </c>
      <c r="AM49" s="33">
        <f t="shared" si="42"/>
        <v>23518.272499999995</v>
      </c>
      <c r="AN49" s="33">
        <f t="shared" si="43"/>
        <v>2822.1926999999991</v>
      </c>
      <c r="AO49" s="33">
        <f t="shared" si="18"/>
        <v>26340.465199999995</v>
      </c>
      <c r="AP49" s="39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33">
        <f t="shared" si="30"/>
        <v>0</v>
      </c>
      <c r="BB49" s="38"/>
      <c r="BC49" s="38"/>
      <c r="BD49" s="33">
        <f>SUM(BF49:BN49)*0.1+(BO49*0.5)</f>
        <v>0</v>
      </c>
      <c r="BE49" s="33">
        <f>SUM(BF49:BN49)+(BO49*0.5)</f>
        <v>0</v>
      </c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41">
        <f t="shared" si="9"/>
        <v>0</v>
      </c>
      <c r="BT49" s="136"/>
      <c r="BU49" s="146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  <c r="CT49" s="145"/>
    </row>
    <row r="50" spans="1:98" s="4" customFormat="1">
      <c r="A50" s="216"/>
      <c r="B50" s="16" t="s">
        <v>44</v>
      </c>
      <c r="C50" s="33">
        <v>14915.08</v>
      </c>
      <c r="D50" s="34">
        <v>11774.72</v>
      </c>
      <c r="E50" s="34">
        <v>11775</v>
      </c>
      <c r="F50" s="35">
        <v>43467</v>
      </c>
      <c r="G50" s="33">
        <f t="shared" si="44"/>
        <v>0</v>
      </c>
      <c r="H50" s="33">
        <f t="shared" si="1"/>
        <v>0.28000000000065484</v>
      </c>
      <c r="I50" s="34">
        <v>200</v>
      </c>
      <c r="J50" s="34"/>
      <c r="K50" s="34">
        <v>1421.52</v>
      </c>
      <c r="L50" s="34"/>
      <c r="M50" s="36">
        <f t="shared" si="23"/>
        <v>30.562679999999997</v>
      </c>
      <c r="N50" s="36">
        <f t="shared" si="24"/>
        <v>7.1075999999999997</v>
      </c>
      <c r="O50" s="36">
        <f t="shared" si="25"/>
        <v>1383.8497199999999</v>
      </c>
      <c r="P50" s="36"/>
      <c r="Q50" s="37"/>
      <c r="R50" s="34"/>
      <c r="S50" s="34"/>
      <c r="T50" s="36"/>
      <c r="U50" s="36"/>
      <c r="V50" s="36"/>
      <c r="W50" s="36"/>
      <c r="X50" s="37"/>
      <c r="Y50" s="34"/>
      <c r="Z50" s="34"/>
      <c r="AA50" s="34"/>
      <c r="AB50" s="34"/>
      <c r="AC50" s="34">
        <v>88.84</v>
      </c>
      <c r="AD50" s="38" t="s">
        <v>138</v>
      </c>
      <c r="AE50" s="38">
        <v>1430</v>
      </c>
      <c r="AF50" s="34">
        <v>1013.38</v>
      </c>
      <c r="AG50" s="33">
        <f t="shared" si="2"/>
        <v>689.09840000000008</v>
      </c>
      <c r="AH50" s="33">
        <f t="shared" si="3"/>
        <v>121.60560000000001</v>
      </c>
      <c r="AI50" s="33">
        <f t="shared" si="4"/>
        <v>202.67600000000002</v>
      </c>
      <c r="AJ50" s="34"/>
      <c r="AK50" s="33">
        <v>12412.232142857143</v>
      </c>
      <c r="AL50" s="33">
        <f t="shared" si="10"/>
        <v>-12412.232142857143</v>
      </c>
      <c r="AM50" s="33">
        <f t="shared" si="42"/>
        <v>12323.392142857143</v>
      </c>
      <c r="AN50" s="33">
        <f t="shared" si="43"/>
        <v>1478.807057142857</v>
      </c>
      <c r="AO50" s="33">
        <f t="shared" si="18"/>
        <v>13802.199199999999</v>
      </c>
      <c r="AP50" s="39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33">
        <f t="shared" si="30"/>
        <v>0</v>
      </c>
      <c r="BB50" s="38"/>
      <c r="BC50" s="38"/>
      <c r="BD50" s="33">
        <v>0</v>
      </c>
      <c r="BE50" s="33">
        <v>0</v>
      </c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41">
        <f t="shared" si="9"/>
        <v>0</v>
      </c>
      <c r="BT50" s="136"/>
      <c r="BU50" s="146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  <c r="CT50" s="145"/>
    </row>
    <row r="51" spans="1:98" s="4" customFormat="1">
      <c r="A51" s="215" t="e">
        <f>+A49+1</f>
        <v>#REF!</v>
      </c>
      <c r="B51" s="16" t="s">
        <v>43</v>
      </c>
      <c r="C51" s="33"/>
      <c r="D51" s="34"/>
      <c r="E51" s="34"/>
      <c r="F51" s="35"/>
      <c r="G51" s="33">
        <f t="shared" si="44"/>
        <v>0</v>
      </c>
      <c r="H51" s="33">
        <f t="shared" si="1"/>
        <v>0</v>
      </c>
      <c r="I51" s="34"/>
      <c r="J51" s="34"/>
      <c r="K51" s="34"/>
      <c r="L51" s="34"/>
      <c r="M51" s="36">
        <f t="shared" si="23"/>
        <v>0</v>
      </c>
      <c r="N51" s="36">
        <f t="shared" si="24"/>
        <v>0</v>
      </c>
      <c r="O51" s="36">
        <f t="shared" si="25"/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 t="shared" si="2"/>
        <v>0</v>
      </c>
      <c r="AH51" s="33">
        <f t="shared" si="3"/>
        <v>0</v>
      </c>
      <c r="AI51" s="33">
        <f t="shared" si="4"/>
        <v>0</v>
      </c>
      <c r="AJ51" s="34"/>
      <c r="AK51" s="33">
        <v>0</v>
      </c>
      <c r="AL51" s="33">
        <f t="shared" si="10"/>
        <v>0</v>
      </c>
      <c r="AM51" s="33">
        <f t="shared" ref="AM51:AM52" si="45">AK51-SUM(Y51:AC51)</f>
        <v>0</v>
      </c>
      <c r="AN51" s="33">
        <f t="shared" ref="AN51:AN52" si="46">+AM51*0.12</f>
        <v>0</v>
      </c>
      <c r="AO51" s="33">
        <f t="shared" si="18"/>
        <v>0</v>
      </c>
      <c r="AP51" s="39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33">
        <f t="shared" si="30"/>
        <v>0</v>
      </c>
      <c r="BB51" s="38"/>
      <c r="BC51" s="38"/>
      <c r="BD51" s="33">
        <f>SUM(BF51:BN51)*0.1+(BO51*0.5)</f>
        <v>0</v>
      </c>
      <c r="BE51" s="33">
        <f>SUM(BF51:BN51)+(BO51*0.5)</f>
        <v>0</v>
      </c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41">
        <f t="shared" si="9"/>
        <v>0</v>
      </c>
      <c r="BT51" s="136"/>
      <c r="BU51" s="146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  <c r="CT51" s="145"/>
    </row>
    <row r="52" spans="1:98" s="4" customFormat="1">
      <c r="A52" s="216"/>
      <c r="B52" s="16" t="s">
        <v>44</v>
      </c>
      <c r="C52" s="33">
        <v>7790.21</v>
      </c>
      <c r="D52" s="34">
        <v>6012.86</v>
      </c>
      <c r="E52" s="34">
        <v>6013</v>
      </c>
      <c r="F52" s="35">
        <v>43467</v>
      </c>
      <c r="G52" s="33">
        <f t="shared" si="44"/>
        <v>0</v>
      </c>
      <c r="H52" s="33">
        <f t="shared" si="1"/>
        <v>0.14000000000032742</v>
      </c>
      <c r="I52" s="34"/>
      <c r="J52" s="34"/>
      <c r="K52" s="34">
        <v>1717.71</v>
      </c>
      <c r="L52" s="34"/>
      <c r="M52" s="36">
        <f t="shared" si="23"/>
        <v>36.930765000000001</v>
      </c>
      <c r="N52" s="36">
        <f t="shared" si="24"/>
        <v>8.5885499999999997</v>
      </c>
      <c r="O52" s="36">
        <f t="shared" si="25"/>
        <v>1672.190685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>
        <v>59.64</v>
      </c>
      <c r="AD52" s="38"/>
      <c r="AE52" s="38"/>
      <c r="AF52" s="34">
        <v>636</v>
      </c>
      <c r="AG52" s="33">
        <f t="shared" si="2"/>
        <v>432.48</v>
      </c>
      <c r="AH52" s="33">
        <f t="shared" si="3"/>
        <v>76.319999999999993</v>
      </c>
      <c r="AI52" s="33">
        <f t="shared" si="4"/>
        <v>127.2</v>
      </c>
      <c r="AJ52" s="34"/>
      <c r="AK52" s="33">
        <v>6387.6874999999991</v>
      </c>
      <c r="AL52" s="33">
        <f t="shared" si="10"/>
        <v>-6387.6874999999991</v>
      </c>
      <c r="AM52" s="33">
        <f t="shared" si="45"/>
        <v>6328.0474999999988</v>
      </c>
      <c r="AN52" s="33">
        <f t="shared" si="46"/>
        <v>759.36569999999983</v>
      </c>
      <c r="AO52" s="33">
        <f t="shared" si="18"/>
        <v>7087.4131999999991</v>
      </c>
      <c r="AP52" s="39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33">
        <f t="shared" si="30"/>
        <v>0</v>
      </c>
      <c r="BB52" s="168"/>
      <c r="BC52" s="38"/>
      <c r="BD52" s="33"/>
      <c r="BE52" s="33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41">
        <f t="shared" si="9"/>
        <v>0</v>
      </c>
      <c r="BT52" s="136"/>
      <c r="BU52" s="146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  <c r="CT52" s="145"/>
    </row>
    <row r="53" spans="1:98">
      <c r="C53" s="147"/>
      <c r="D53" s="147"/>
      <c r="E53" s="147"/>
      <c r="F53" s="147"/>
      <c r="G53" s="147"/>
    </row>
    <row r="54" spans="1:98">
      <c r="C54" s="147"/>
      <c r="D54" s="147"/>
      <c r="E54" s="147"/>
      <c r="F54" s="147"/>
      <c r="G54" s="147"/>
    </row>
    <row r="55" spans="1:98">
      <c r="C55" s="147"/>
      <c r="D55" s="147"/>
      <c r="E55" s="147"/>
      <c r="F55" s="147"/>
      <c r="G55" s="147"/>
    </row>
    <row r="56" spans="1:98">
      <c r="C56" s="147"/>
      <c r="D56" s="147"/>
      <c r="E56" s="147"/>
      <c r="F56" s="147"/>
      <c r="G56" s="147"/>
    </row>
    <row r="57" spans="1:98">
      <c r="C57" s="147"/>
      <c r="D57" s="147"/>
      <c r="E57" s="147"/>
      <c r="F57" s="147"/>
      <c r="G57" s="147"/>
    </row>
    <row r="58" spans="1:98">
      <c r="C58" s="147"/>
      <c r="D58" s="147"/>
      <c r="E58" s="147"/>
      <c r="F58" s="147"/>
      <c r="G58" s="147"/>
    </row>
    <row r="59" spans="1:98">
      <c r="C59" s="147"/>
      <c r="D59" s="147"/>
      <c r="E59" s="147"/>
      <c r="F59" s="147"/>
      <c r="G59" s="147"/>
    </row>
    <row r="60" spans="1:98">
      <c r="C60" s="147"/>
      <c r="D60" s="147"/>
      <c r="E60" s="147"/>
      <c r="F60" s="147"/>
      <c r="G60" s="147"/>
    </row>
    <row r="61" spans="1:98">
      <c r="C61" s="147"/>
      <c r="D61" s="147"/>
      <c r="E61" s="147"/>
      <c r="F61" s="147"/>
      <c r="G61" s="147"/>
    </row>
    <row r="62" spans="1:98">
      <c r="C62" s="147"/>
      <c r="D62" s="147"/>
      <c r="E62" s="147"/>
      <c r="F62" s="147"/>
      <c r="G62" s="147"/>
    </row>
    <row r="63" spans="1:98">
      <c r="C63" s="147"/>
      <c r="D63" s="147"/>
      <c r="E63" s="147"/>
      <c r="F63" s="147"/>
      <c r="G63" s="147"/>
    </row>
    <row r="64" spans="1:98">
      <c r="C64" s="147"/>
      <c r="D64" s="147"/>
      <c r="E64" s="147"/>
      <c r="F64" s="147"/>
      <c r="G64" s="147"/>
    </row>
    <row r="65" spans="3:7">
      <c r="C65" s="147"/>
      <c r="D65" s="147"/>
      <c r="E65" s="147"/>
      <c r="F65" s="147"/>
      <c r="G65" s="147"/>
    </row>
    <row r="66" spans="3:7">
      <c r="C66" s="147"/>
      <c r="D66" s="147"/>
      <c r="E66" s="147"/>
      <c r="F66" s="147"/>
      <c r="G66" s="147"/>
    </row>
    <row r="67" spans="3:7">
      <c r="C67" s="147"/>
      <c r="D67" s="147"/>
      <c r="E67" s="147"/>
      <c r="F67" s="147"/>
      <c r="G67" s="147"/>
    </row>
    <row r="68" spans="3:7">
      <c r="C68" s="147"/>
      <c r="D68" s="147"/>
      <c r="E68" s="147"/>
      <c r="F68" s="147"/>
      <c r="G68" s="147"/>
    </row>
    <row r="69" spans="3:7">
      <c r="C69" s="147"/>
      <c r="D69" s="147"/>
      <c r="E69" s="147"/>
      <c r="F69" s="147"/>
      <c r="G69" s="147"/>
    </row>
    <row r="70" spans="3:7">
      <c r="C70" s="147"/>
      <c r="D70" s="147"/>
      <c r="E70" s="147"/>
      <c r="F70" s="147"/>
      <c r="G70" s="147"/>
    </row>
    <row r="71" spans="3:7">
      <c r="C71" s="147"/>
      <c r="D71" s="147"/>
      <c r="E71" s="147"/>
      <c r="F71" s="147"/>
      <c r="G71" s="147"/>
    </row>
    <row r="72" spans="3:7">
      <c r="C72" s="147"/>
      <c r="D72" s="147"/>
      <c r="E72" s="147"/>
      <c r="F72" s="147"/>
      <c r="G72" s="147"/>
    </row>
    <row r="73" spans="3:7">
      <c r="C73" s="147"/>
      <c r="D73" s="147"/>
      <c r="E73" s="147"/>
      <c r="F73" s="147"/>
      <c r="G73" s="147"/>
    </row>
    <row r="74" spans="3:7">
      <c r="C74" s="147"/>
      <c r="D74" s="147"/>
      <c r="E74" s="147"/>
      <c r="F74" s="147"/>
      <c r="G74" s="147"/>
    </row>
    <row r="75" spans="3:7">
      <c r="C75" s="147"/>
      <c r="D75" s="147"/>
      <c r="E75" s="147"/>
      <c r="F75" s="147"/>
      <c r="G75" s="147"/>
    </row>
    <row r="76" spans="3:7">
      <c r="C76" s="147"/>
      <c r="D76" s="147"/>
      <c r="E76" s="147"/>
      <c r="F76" s="147"/>
      <c r="G76" s="147"/>
    </row>
    <row r="77" spans="3:7">
      <c r="C77" s="147"/>
      <c r="D77" s="147"/>
      <c r="E77" s="147"/>
      <c r="F77" s="147"/>
      <c r="G77" s="147"/>
    </row>
    <row r="78" spans="3:7">
      <c r="C78" s="147"/>
      <c r="D78" s="147"/>
      <c r="E78" s="147"/>
      <c r="F78" s="147"/>
      <c r="G78" s="147"/>
    </row>
    <row r="79" spans="3:7">
      <c r="C79" s="147"/>
      <c r="D79" s="147"/>
      <c r="E79" s="147"/>
      <c r="F79" s="147"/>
      <c r="G79" s="147"/>
    </row>
    <row r="80" spans="3:7">
      <c r="C80" s="147"/>
      <c r="D80" s="147"/>
      <c r="E80" s="147"/>
      <c r="F80" s="147"/>
      <c r="G80" s="147"/>
    </row>
    <row r="81" spans="3:7">
      <c r="C81" s="147"/>
      <c r="D81" s="147"/>
      <c r="E81" s="147"/>
      <c r="F81" s="147"/>
      <c r="G81" s="147"/>
    </row>
    <row r="82" spans="3:7">
      <c r="C82" s="147"/>
      <c r="D82" s="147"/>
      <c r="E82" s="147"/>
      <c r="F82" s="147"/>
      <c r="G82" s="147"/>
    </row>
    <row r="83" spans="3:7">
      <c r="C83" s="147"/>
      <c r="D83" s="147"/>
      <c r="E83" s="147"/>
      <c r="F83" s="147"/>
      <c r="G83" s="147"/>
    </row>
    <row r="84" spans="3:7">
      <c r="C84" s="147"/>
      <c r="D84" s="147"/>
      <c r="E84" s="147"/>
      <c r="F84" s="147"/>
      <c r="G84" s="147"/>
    </row>
    <row r="85" spans="3:7">
      <c r="C85" s="147"/>
      <c r="D85" s="147"/>
      <c r="E85" s="147"/>
      <c r="F85" s="147"/>
      <c r="G85" s="147"/>
    </row>
    <row r="86" spans="3:7">
      <c r="C86" s="147"/>
      <c r="D86" s="147"/>
      <c r="E86" s="147"/>
      <c r="F86" s="147"/>
      <c r="G86" s="147"/>
    </row>
    <row r="87" spans="3:7">
      <c r="C87" s="147"/>
      <c r="D87" s="147"/>
      <c r="E87" s="147"/>
      <c r="F87" s="147"/>
      <c r="G87" s="147"/>
    </row>
    <row r="88" spans="3:7">
      <c r="C88" s="147"/>
      <c r="D88" s="147"/>
      <c r="E88" s="147"/>
      <c r="F88" s="147"/>
      <c r="G88" s="147"/>
    </row>
    <row r="89" spans="3:7">
      <c r="C89" s="147"/>
      <c r="D89" s="147"/>
      <c r="E89" s="147"/>
      <c r="F89" s="147"/>
      <c r="G89" s="147"/>
    </row>
    <row r="90" spans="3:7">
      <c r="C90" s="147"/>
      <c r="D90" s="147"/>
      <c r="E90" s="147"/>
      <c r="F90" s="147"/>
      <c r="G90" s="147"/>
    </row>
    <row r="91" spans="3:7">
      <c r="C91" s="147"/>
      <c r="D91" s="147"/>
      <c r="E91" s="147"/>
      <c r="F91" s="147"/>
      <c r="G91" s="147"/>
    </row>
    <row r="92" spans="3:7">
      <c r="C92" s="147"/>
      <c r="D92" s="147"/>
      <c r="E92" s="147"/>
      <c r="F92" s="147"/>
      <c r="G92" s="147"/>
    </row>
    <row r="93" spans="3:7">
      <c r="C93" s="147"/>
      <c r="D93" s="147"/>
      <c r="E93" s="147"/>
      <c r="F93" s="147"/>
      <c r="G93" s="147"/>
    </row>
    <row r="94" spans="3:7">
      <c r="C94" s="147"/>
      <c r="D94" s="147"/>
      <c r="E94" s="147"/>
      <c r="F94" s="147"/>
      <c r="G94" s="147"/>
    </row>
    <row r="95" spans="3:7">
      <c r="C95" s="147"/>
      <c r="D95" s="147"/>
      <c r="E95" s="147"/>
      <c r="F95" s="147"/>
      <c r="G95" s="147"/>
    </row>
    <row r="96" spans="3:7">
      <c r="C96" s="147"/>
      <c r="D96" s="147"/>
      <c r="E96" s="147"/>
      <c r="F96" s="147"/>
      <c r="G96" s="147"/>
    </row>
    <row r="97" spans="3:7">
      <c r="C97" s="147"/>
      <c r="D97" s="147"/>
      <c r="E97" s="147"/>
      <c r="F97" s="147"/>
      <c r="G97" s="147"/>
    </row>
    <row r="98" spans="3:7">
      <c r="C98" s="147"/>
      <c r="D98" s="147"/>
      <c r="E98" s="147"/>
      <c r="F98" s="147"/>
      <c r="G98" s="147"/>
    </row>
    <row r="99" spans="3:7">
      <c r="C99" s="147"/>
      <c r="D99" s="147"/>
      <c r="E99" s="147"/>
      <c r="F99" s="147"/>
      <c r="G99" s="147"/>
    </row>
    <row r="100" spans="3:7">
      <c r="C100" s="147"/>
      <c r="D100" s="147"/>
      <c r="E100" s="147"/>
      <c r="F100" s="147"/>
      <c r="G100" s="147"/>
    </row>
    <row r="101" spans="3:7">
      <c r="C101" s="147"/>
      <c r="D101" s="147"/>
      <c r="E101" s="147"/>
      <c r="F101" s="147"/>
      <c r="G101" s="147"/>
    </row>
    <row r="102" spans="3:7">
      <c r="C102" s="147"/>
      <c r="D102" s="147"/>
      <c r="E102" s="147"/>
      <c r="F102" s="147"/>
      <c r="G102" s="147"/>
    </row>
    <row r="103" spans="3:7">
      <c r="C103" s="147"/>
      <c r="D103" s="147"/>
      <c r="E103" s="147"/>
      <c r="F103" s="147"/>
      <c r="G103" s="147"/>
    </row>
    <row r="104" spans="3:7">
      <c r="C104" s="147"/>
      <c r="D104" s="147"/>
      <c r="E104" s="147"/>
      <c r="F104" s="147"/>
      <c r="G104" s="147"/>
    </row>
    <row r="105" spans="3:7">
      <c r="C105" s="147"/>
      <c r="D105" s="147"/>
      <c r="E105" s="147"/>
      <c r="F105" s="147"/>
      <c r="G105" s="147"/>
    </row>
    <row r="106" spans="3:7">
      <c r="C106" s="147"/>
      <c r="D106" s="147"/>
      <c r="E106" s="147"/>
      <c r="F106" s="147"/>
      <c r="G106" s="147"/>
    </row>
    <row r="107" spans="3:7">
      <c r="C107" s="147"/>
      <c r="D107" s="147"/>
      <c r="E107" s="147"/>
      <c r="F107" s="147"/>
      <c r="G107" s="147"/>
    </row>
    <row r="108" spans="3:7">
      <c r="C108" s="147"/>
      <c r="D108" s="147"/>
      <c r="E108" s="147"/>
      <c r="F108" s="147"/>
      <c r="G108" s="147"/>
    </row>
    <row r="109" spans="3:7">
      <c r="C109" s="147"/>
      <c r="D109" s="147"/>
      <c r="E109" s="147"/>
      <c r="F109" s="147"/>
      <c r="G109" s="147"/>
    </row>
    <row r="110" spans="3:7">
      <c r="C110" s="147"/>
      <c r="D110" s="147"/>
      <c r="E110" s="147"/>
      <c r="F110" s="147"/>
      <c r="G110" s="147"/>
    </row>
    <row r="111" spans="3:7">
      <c r="C111" s="147"/>
      <c r="D111" s="147"/>
      <c r="E111" s="147"/>
      <c r="F111" s="147"/>
      <c r="G111" s="147"/>
    </row>
    <row r="112" spans="3:7">
      <c r="C112" s="147"/>
      <c r="D112" s="147"/>
      <c r="E112" s="147"/>
      <c r="F112" s="147"/>
      <c r="G112" s="147"/>
    </row>
    <row r="113" spans="3:7">
      <c r="C113" s="147"/>
      <c r="D113" s="147"/>
      <c r="E113" s="147"/>
      <c r="F113" s="147"/>
      <c r="G113" s="147"/>
    </row>
    <row r="114" spans="3:7">
      <c r="C114" s="147"/>
      <c r="D114" s="147"/>
      <c r="E114" s="147"/>
      <c r="F114" s="147"/>
      <c r="G114" s="147"/>
    </row>
    <row r="115" spans="3:7">
      <c r="C115" s="147"/>
      <c r="D115" s="147"/>
      <c r="E115" s="147"/>
      <c r="F115" s="147"/>
      <c r="G115" s="147"/>
    </row>
    <row r="116" spans="3:7">
      <c r="C116" s="147"/>
      <c r="D116" s="147"/>
      <c r="E116" s="147"/>
      <c r="F116" s="147"/>
      <c r="G116" s="147"/>
    </row>
    <row r="117" spans="3:7">
      <c r="C117" s="147"/>
      <c r="D117" s="147"/>
      <c r="E117" s="147"/>
      <c r="F117" s="147"/>
      <c r="G117" s="147"/>
    </row>
    <row r="118" spans="3:7">
      <c r="C118" s="147"/>
      <c r="D118" s="147"/>
      <c r="E118" s="147"/>
      <c r="F118" s="147"/>
      <c r="G118" s="147"/>
    </row>
    <row r="119" spans="3:7">
      <c r="C119" s="147"/>
      <c r="D119" s="147"/>
      <c r="E119" s="147"/>
      <c r="F119" s="147"/>
      <c r="G119" s="147"/>
    </row>
    <row r="120" spans="3:7">
      <c r="C120" s="147"/>
      <c r="D120" s="147"/>
      <c r="E120" s="147"/>
      <c r="F120" s="147"/>
      <c r="G120" s="147"/>
    </row>
    <row r="121" spans="3:7">
      <c r="C121" s="147"/>
      <c r="D121" s="147"/>
      <c r="E121" s="147"/>
      <c r="F121" s="147"/>
      <c r="G121" s="147"/>
    </row>
    <row r="122" spans="3:7">
      <c r="C122" s="147"/>
      <c r="D122" s="147"/>
      <c r="E122" s="147"/>
      <c r="F122" s="147"/>
      <c r="G122" s="147"/>
    </row>
  </sheetData>
  <mergeCells count="81">
    <mergeCell ref="A45:A46"/>
    <mergeCell ref="A47:A48"/>
    <mergeCell ref="A49:A50"/>
    <mergeCell ref="A51:A52"/>
    <mergeCell ref="A41:A42"/>
    <mergeCell ref="A43:A44"/>
    <mergeCell ref="A31:A32"/>
    <mergeCell ref="A33:A34"/>
    <mergeCell ref="A35:A36"/>
    <mergeCell ref="A37:A38"/>
    <mergeCell ref="A39:A40"/>
    <mergeCell ref="A21:A22"/>
    <mergeCell ref="A23:A24"/>
    <mergeCell ref="A25:A26"/>
    <mergeCell ref="A27:A28"/>
    <mergeCell ref="A29:A30"/>
    <mergeCell ref="A11:A12"/>
    <mergeCell ref="A13:A14"/>
    <mergeCell ref="A15:A16"/>
    <mergeCell ref="A17:A18"/>
    <mergeCell ref="A19:A20"/>
    <mergeCell ref="BL6:BL7"/>
    <mergeCell ref="BM6:BM7"/>
    <mergeCell ref="BN6:BN7"/>
    <mergeCell ref="BO6:BO7"/>
    <mergeCell ref="BS6:BS7"/>
    <mergeCell ref="A9:A10"/>
    <mergeCell ref="BF6:BF7"/>
    <mergeCell ref="BG6:BG7"/>
    <mergeCell ref="BH6:BH7"/>
    <mergeCell ref="BI6:BI7"/>
    <mergeCell ref="AQ6:AQ7"/>
    <mergeCell ref="AR6:AR7"/>
    <mergeCell ref="AS6:AS7"/>
    <mergeCell ref="AT6:AT7"/>
    <mergeCell ref="AU6:AU7"/>
    <mergeCell ref="AV6:AV7"/>
    <mergeCell ref="AG6:AH6"/>
    <mergeCell ref="AI6:AI7"/>
    <mergeCell ref="AK6:AK7"/>
    <mergeCell ref="AM6:AM7"/>
    <mergeCell ref="AN6:AN7"/>
    <mergeCell ref="BJ6:BJ7"/>
    <mergeCell ref="BK6:BK7"/>
    <mergeCell ref="AW6:AW7"/>
    <mergeCell ref="AX6:AX7"/>
    <mergeCell ref="AY6:AY7"/>
    <mergeCell ref="BB6:BB7"/>
    <mergeCell ref="BD6:BD7"/>
    <mergeCell ref="BE6:BE7"/>
    <mergeCell ref="AO6:AO7"/>
    <mergeCell ref="Z6:Z7"/>
    <mergeCell ref="AA6:AA7"/>
    <mergeCell ref="AB6:AB7"/>
    <mergeCell ref="AC6:AC7"/>
    <mergeCell ref="AD6:AE6"/>
    <mergeCell ref="AF6:AF7"/>
    <mergeCell ref="X6:X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L6:L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X120"/>
  <sheetViews>
    <sheetView zoomScale="115" zoomScaleNormal="115" workbookViewId="0">
      <pane xSplit="2" ySplit="7" topLeftCell="J8" activePane="bottomRight" state="frozen"/>
      <selection pane="topRight" activeCell="D1" sqref="D1"/>
      <selection pane="bottomLeft" activeCell="A8" sqref="A8"/>
      <selection pane="bottomRight" activeCell="N10" sqref="N10"/>
    </sheetView>
  </sheetViews>
  <sheetFormatPr defaultColWidth="9.109375" defaultRowHeight="14.4"/>
  <cols>
    <col min="1" max="1" width="13" style="136" customWidth="1"/>
    <col min="2" max="2" width="5.33203125" style="136" customWidth="1"/>
    <col min="3" max="8" width="10.6640625" style="136" customWidth="1"/>
    <col min="9" max="9" width="11" style="136" bestFit="1" customWidth="1"/>
    <col min="10" max="17" width="10.6640625" style="136" customWidth="1"/>
    <col min="18" max="18" width="12.109375" style="136" customWidth="1"/>
    <col min="19" max="19" width="19.33203125" style="136" customWidth="1"/>
    <col min="20" max="23" width="10.6640625" style="136" customWidth="1"/>
    <col min="24" max="24" width="11.44140625" style="136" customWidth="1"/>
    <col min="25" max="26" width="15.33203125" style="136" customWidth="1"/>
    <col min="27" max="27" width="10.6640625" style="136" customWidth="1"/>
    <col min="28" max="28" width="12" style="136" customWidth="1"/>
    <col min="29" max="43" width="10.6640625" style="136" customWidth="1"/>
    <col min="44" max="44" width="10.6640625" style="136" hidden="1" customWidth="1"/>
    <col min="45" max="45" width="10.6640625" style="136" customWidth="1"/>
    <col min="46" max="46" width="13" style="136" customWidth="1"/>
    <col min="47" max="56" width="10.6640625" style="136" customWidth="1"/>
    <col min="57" max="58" width="9.109375" style="136"/>
    <col min="59" max="111" width="12.6640625" style="4" customWidth="1"/>
    <col min="112" max="16384" width="9.109375" style="136"/>
  </cols>
  <sheetData>
    <row r="1" spans="1:111" ht="15" hidden="1" thickBot="1">
      <c r="A1" s="1" t="s">
        <v>94</v>
      </c>
      <c r="B1" s="1"/>
      <c r="C1" s="2"/>
      <c r="D1" s="2"/>
      <c r="E1" s="2"/>
      <c r="F1" s="2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2"/>
      <c r="Y1" s="2"/>
      <c r="Z1" s="2"/>
      <c r="AA1" s="2"/>
      <c r="AB1" s="1"/>
      <c r="AC1" s="4"/>
      <c r="AD1" s="1"/>
      <c r="AE1" s="5"/>
      <c r="AF1" s="5"/>
      <c r="AG1" s="5"/>
      <c r="AH1" s="5"/>
      <c r="AI1" s="6"/>
      <c r="AJ1" s="6"/>
      <c r="AK1" s="6"/>
      <c r="AL1" s="6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111" ht="15" hidden="1" thickBot="1">
      <c r="A2" s="1" t="s">
        <v>67</v>
      </c>
      <c r="B2" s="1"/>
      <c r="C2" s="2"/>
      <c r="D2" s="2"/>
      <c r="E2" s="2"/>
      <c r="F2" s="2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2"/>
      <c r="Y2" s="2"/>
      <c r="Z2" s="2"/>
      <c r="AA2" s="2"/>
      <c r="AB2" s="1"/>
      <c r="AC2" s="4"/>
      <c r="AD2" s="1"/>
      <c r="AE2" s="5"/>
      <c r="AF2" s="5"/>
      <c r="AG2" s="5"/>
      <c r="AH2" s="5"/>
      <c r="AI2" s="6"/>
      <c r="AJ2" s="6"/>
      <c r="AK2" s="6"/>
      <c r="AL2" s="6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111" ht="15" hidden="1" thickBot="1">
      <c r="A3" s="1" t="s">
        <v>0</v>
      </c>
      <c r="B3" s="1"/>
      <c r="C3" s="7"/>
      <c r="D3" s="7"/>
      <c r="E3" s="7"/>
      <c r="F3" s="2"/>
      <c r="G3" s="1"/>
      <c r="H3" s="1"/>
      <c r="I3" s="1"/>
      <c r="J3" s="2"/>
      <c r="K3" s="2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2"/>
      <c r="Y3" s="2"/>
      <c r="Z3" s="2"/>
      <c r="AA3" s="2"/>
      <c r="AB3" s="1"/>
      <c r="AC3" s="4"/>
      <c r="AD3" s="1"/>
      <c r="AE3" s="5"/>
      <c r="AF3" s="5"/>
      <c r="AG3" s="5"/>
      <c r="AH3" s="5"/>
      <c r="AI3" s="6"/>
      <c r="AJ3" s="6"/>
      <c r="AK3" s="6"/>
      <c r="AL3" s="6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111" ht="22.2" hidden="1" thickBot="1">
      <c r="A4" s="9" t="s">
        <v>135</v>
      </c>
      <c r="B4" s="1"/>
      <c r="C4" s="7"/>
      <c r="D4" s="7"/>
      <c r="E4" s="7"/>
      <c r="F4" s="7"/>
      <c r="G4" s="1"/>
      <c r="H4" s="1"/>
      <c r="I4" s="1"/>
      <c r="J4" s="7"/>
      <c r="K4" s="2"/>
      <c r="L4" s="7"/>
      <c r="M4" s="1"/>
      <c r="N4" s="1"/>
      <c r="O4" s="1"/>
      <c r="P4" s="1"/>
      <c r="Q4" s="1"/>
      <c r="R4" s="1"/>
      <c r="S4" s="2"/>
      <c r="T4" s="2"/>
      <c r="U4" s="2"/>
      <c r="V4" s="2"/>
      <c r="W4" s="3"/>
      <c r="X4" s="4"/>
      <c r="Y4" s="4"/>
      <c r="Z4" s="4"/>
      <c r="AA4" s="1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 t="s">
        <v>34</v>
      </c>
      <c r="CR4" s="144"/>
      <c r="CS4" s="144" t="s">
        <v>25</v>
      </c>
      <c r="CT4" s="144" t="s">
        <v>35</v>
      </c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/>
      <c r="DF4" s="144"/>
      <c r="DG4" s="144" t="s">
        <v>36</v>
      </c>
    </row>
    <row r="5" spans="1:111" ht="22.2" hidden="1" thickBot="1">
      <c r="A5" s="4"/>
      <c r="B5" s="4"/>
      <c r="C5" s="10"/>
      <c r="D5" s="10"/>
      <c r="E5" s="10"/>
      <c r="F5" s="10"/>
      <c r="G5" s="11">
        <v>2.1499999999999998E-2</v>
      </c>
      <c r="H5" s="12">
        <v>5.0000000000000001E-3</v>
      </c>
      <c r="I5" s="1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4"/>
      <c r="X5" s="10"/>
      <c r="Y5" s="10"/>
      <c r="Z5" s="10"/>
      <c r="AA5" s="10"/>
      <c r="AB5" s="4"/>
      <c r="AC5" s="4"/>
      <c r="AD5" s="4"/>
      <c r="AE5" s="15"/>
      <c r="AF5" s="15"/>
      <c r="AG5" s="15"/>
      <c r="AH5" s="15"/>
      <c r="AI5" s="16"/>
      <c r="AJ5" s="16"/>
      <c r="AK5" s="16"/>
      <c r="AL5" s="16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143">
        <v>0.5</v>
      </c>
      <c r="BA5" s="4"/>
      <c r="BB5" s="4"/>
      <c r="BC5" s="4"/>
      <c r="BD5" s="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 t="s">
        <v>41</v>
      </c>
      <c r="CQ5" s="144"/>
      <c r="CR5" s="144" t="s">
        <v>42</v>
      </c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/>
      <c r="DF5" s="144"/>
      <c r="DG5" s="144"/>
    </row>
    <row r="6" spans="1:111" ht="34.5" customHeight="1" thickTop="1" thickBot="1">
      <c r="A6" s="218" t="s">
        <v>2</v>
      </c>
      <c r="B6" s="191" t="s">
        <v>3</v>
      </c>
      <c r="C6" s="195" t="s">
        <v>6</v>
      </c>
      <c r="D6" s="199" t="s">
        <v>8</v>
      </c>
      <c r="E6" s="199" t="s">
        <v>9</v>
      </c>
      <c r="F6" s="195" t="s">
        <v>10</v>
      </c>
      <c r="G6" s="191" t="s">
        <v>14</v>
      </c>
      <c r="H6" s="191" t="s">
        <v>15</v>
      </c>
      <c r="I6" s="191" t="s">
        <v>16</v>
      </c>
      <c r="J6" s="195" t="s">
        <v>23</v>
      </c>
      <c r="K6" s="204" t="s">
        <v>24</v>
      </c>
      <c r="L6" s="195" t="s">
        <v>25</v>
      </c>
      <c r="M6" s="195" t="s">
        <v>26</v>
      </c>
      <c r="N6" s="189"/>
      <c r="O6" s="189"/>
      <c r="P6" s="189"/>
      <c r="Q6" s="189"/>
      <c r="R6" s="210" t="s">
        <v>95</v>
      </c>
      <c r="S6" s="211"/>
      <c r="T6" s="206" t="s">
        <v>29</v>
      </c>
      <c r="U6" s="207"/>
      <c r="V6" s="199" t="s">
        <v>30</v>
      </c>
      <c r="W6" s="199" t="s">
        <v>32</v>
      </c>
      <c r="X6" s="202" t="s">
        <v>33</v>
      </c>
      <c r="Y6" s="208"/>
      <c r="Z6" s="186"/>
      <c r="AA6" s="17"/>
      <c r="AB6" s="193" t="s">
        <v>63</v>
      </c>
      <c r="AC6" s="193" t="s">
        <v>64</v>
      </c>
      <c r="AD6" s="193" t="s">
        <v>111</v>
      </c>
      <c r="AE6" s="193" t="s">
        <v>65</v>
      </c>
      <c r="AF6" s="193" t="s">
        <v>98</v>
      </c>
      <c r="AG6" s="193" t="s">
        <v>119</v>
      </c>
      <c r="AH6" s="193" t="s">
        <v>113</v>
      </c>
      <c r="AI6" s="193" t="s">
        <v>114</v>
      </c>
      <c r="AJ6" s="193" t="s">
        <v>115</v>
      </c>
      <c r="AK6" s="176"/>
      <c r="AL6" s="172"/>
      <c r="AM6" s="213" t="s">
        <v>34</v>
      </c>
      <c r="AN6" s="178"/>
      <c r="AO6" s="199" t="s">
        <v>25</v>
      </c>
      <c r="AP6" s="199" t="s">
        <v>35</v>
      </c>
      <c r="AQ6" s="193" t="s">
        <v>134</v>
      </c>
      <c r="AR6" s="193" t="s">
        <v>125</v>
      </c>
      <c r="AS6" s="193" t="s">
        <v>112</v>
      </c>
      <c r="AT6" s="193" t="s">
        <v>128</v>
      </c>
      <c r="AU6" s="193" t="s">
        <v>131</v>
      </c>
      <c r="AV6" s="193" t="s">
        <v>132</v>
      </c>
      <c r="AW6" s="193" t="s">
        <v>133</v>
      </c>
      <c r="AX6" s="193" t="s">
        <v>127</v>
      </c>
      <c r="AY6" s="193" t="s">
        <v>116</v>
      </c>
      <c r="AZ6" s="193" t="s">
        <v>118</v>
      </c>
      <c r="BA6" s="18"/>
      <c r="BB6" s="18"/>
      <c r="BC6" s="18"/>
      <c r="BD6" s="206" t="s">
        <v>36</v>
      </c>
    </row>
    <row r="7" spans="1:111" ht="31.8" thickTop="1" thickBot="1">
      <c r="A7" s="219"/>
      <c r="B7" s="192"/>
      <c r="C7" s="197"/>
      <c r="D7" s="201"/>
      <c r="E7" s="201"/>
      <c r="F7" s="196"/>
      <c r="G7" s="192"/>
      <c r="H7" s="192"/>
      <c r="I7" s="192"/>
      <c r="J7" s="197"/>
      <c r="K7" s="205"/>
      <c r="L7" s="197"/>
      <c r="M7" s="197"/>
      <c r="N7" s="190"/>
      <c r="O7" s="190"/>
      <c r="P7" s="190"/>
      <c r="Q7" s="190"/>
      <c r="R7" s="118" t="s">
        <v>96</v>
      </c>
      <c r="S7" s="119" t="s">
        <v>97</v>
      </c>
      <c r="T7" s="20" t="s">
        <v>38</v>
      </c>
      <c r="U7" s="20" t="s">
        <v>39</v>
      </c>
      <c r="V7" s="200"/>
      <c r="W7" s="201"/>
      <c r="X7" s="203"/>
      <c r="Y7" s="209"/>
      <c r="Z7" s="187"/>
      <c r="AA7" s="21" t="s">
        <v>66</v>
      </c>
      <c r="AB7" s="194"/>
      <c r="AC7" s="194"/>
      <c r="AD7" s="194"/>
      <c r="AE7" s="194"/>
      <c r="AF7" s="194"/>
      <c r="AG7" s="194"/>
      <c r="AH7" s="194"/>
      <c r="AI7" s="194"/>
      <c r="AJ7" s="194"/>
      <c r="AK7" s="177"/>
      <c r="AL7" s="180" t="s">
        <v>41</v>
      </c>
      <c r="AM7" s="214"/>
      <c r="AN7" s="179" t="s">
        <v>42</v>
      </c>
      <c r="AO7" s="200"/>
      <c r="AP7" s="200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22"/>
      <c r="BB7" s="22"/>
      <c r="BC7" s="22"/>
      <c r="BD7" s="212"/>
      <c r="BG7" s="4" t="s">
        <v>58</v>
      </c>
      <c r="BH7" s="4" t="s">
        <v>59</v>
      </c>
      <c r="BI7" s="4" t="s">
        <v>60</v>
      </c>
      <c r="BJ7" s="4" t="s">
        <v>61</v>
      </c>
      <c r="BK7" s="4" t="s">
        <v>36</v>
      </c>
    </row>
    <row r="8" spans="1:111" ht="15" thickTop="1">
      <c r="A8" s="23"/>
      <c r="B8" s="24"/>
      <c r="C8" s="26"/>
      <c r="D8" s="25"/>
      <c r="E8" s="25"/>
      <c r="F8" s="26"/>
      <c r="G8" s="24"/>
      <c r="H8" s="24"/>
      <c r="I8" s="24"/>
      <c r="J8" s="26"/>
      <c r="K8" s="26"/>
      <c r="L8" s="26"/>
      <c r="M8" s="34"/>
      <c r="N8" s="34"/>
      <c r="O8" s="34"/>
      <c r="P8" s="34"/>
      <c r="Q8" s="34"/>
      <c r="R8" s="28"/>
      <c r="S8" s="28"/>
      <c r="T8" s="25"/>
      <c r="U8" s="25"/>
      <c r="V8" s="25"/>
      <c r="W8" s="25"/>
      <c r="X8" s="31"/>
      <c r="Y8" s="25"/>
      <c r="Z8" s="25"/>
      <c r="AA8" s="29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25"/>
      <c r="AM8" s="28"/>
      <c r="AN8" s="28"/>
      <c r="AO8" s="25"/>
      <c r="AP8" s="25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1"/>
    </row>
    <row r="9" spans="1:111">
      <c r="A9" s="182">
        <v>43435</v>
      </c>
      <c r="B9" s="32" t="s">
        <v>43</v>
      </c>
      <c r="C9" s="34"/>
      <c r="D9" s="33">
        <v>0</v>
      </c>
      <c r="E9" s="33">
        <v>0</v>
      </c>
      <c r="F9" s="34"/>
      <c r="G9" s="36">
        <v>0</v>
      </c>
      <c r="H9" s="36">
        <v>0</v>
      </c>
      <c r="I9" s="36">
        <v>0</v>
      </c>
      <c r="J9" s="34"/>
      <c r="K9" s="34"/>
      <c r="L9" s="34"/>
      <c r="M9" s="34"/>
      <c r="N9" s="34"/>
      <c r="O9" s="34"/>
      <c r="P9" s="34"/>
      <c r="Q9" s="34"/>
      <c r="R9" s="38"/>
      <c r="S9" s="38"/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188"/>
      <c r="Z9" s="33"/>
      <c r="AA9" s="39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33">
        <v>0</v>
      </c>
      <c r="AM9" s="38"/>
      <c r="AN9" s="38"/>
      <c r="AO9" s="33">
        <v>0</v>
      </c>
      <c r="AP9" s="33">
        <v>0</v>
      </c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1">
        <v>0</v>
      </c>
    </row>
    <row r="10" spans="1:111" ht="15" thickBot="1">
      <c r="A10" s="183"/>
      <c r="B10" s="15" t="s">
        <v>44</v>
      </c>
      <c r="C10" s="34">
        <v>5356.75</v>
      </c>
      <c r="D10" s="33">
        <v>0</v>
      </c>
      <c r="E10" s="33">
        <v>-0.57999999999992724</v>
      </c>
      <c r="F10" s="34"/>
      <c r="G10" s="36">
        <v>43.045364999999997</v>
      </c>
      <c r="H10" s="36">
        <v>10.01055</v>
      </c>
      <c r="I10" s="36">
        <v>1949.054085</v>
      </c>
      <c r="J10" s="34">
        <v>185</v>
      </c>
      <c r="K10" s="34"/>
      <c r="L10" s="34"/>
      <c r="M10" s="34"/>
      <c r="N10" s="34">
        <f>J10/1.12</f>
        <v>165.17857142857142</v>
      </c>
      <c r="O10" s="34">
        <f>K10/1.12</f>
        <v>0</v>
      </c>
      <c r="P10" s="34">
        <f>L10/1.12</f>
        <v>0</v>
      </c>
      <c r="Q10" s="34">
        <f>M10/1.12</f>
        <v>0</v>
      </c>
      <c r="R10" s="38" t="s">
        <v>138</v>
      </c>
      <c r="S10" s="38">
        <v>605</v>
      </c>
      <c r="T10" s="33">
        <v>-374.19039999999995</v>
      </c>
      <c r="U10" s="33">
        <v>-66.033599999999993</v>
      </c>
      <c r="V10" s="33">
        <v>-110.056</v>
      </c>
      <c r="W10" s="33">
        <v>-6783.9285714285706</v>
      </c>
      <c r="X10" s="33">
        <v>-791.8714285714284</v>
      </c>
      <c r="Y10" s="33">
        <f>+C10+D10+E10+F10+G10+H10+I10+J10+K10+L10++S10+T10+U10+V10+W10+X10</f>
        <v>22.200000000000955</v>
      </c>
      <c r="Z10" s="33"/>
      <c r="AA10" s="39"/>
      <c r="AB10" s="40"/>
      <c r="AC10" s="40">
        <v>545</v>
      </c>
      <c r="AD10" s="40"/>
      <c r="AE10" s="40"/>
      <c r="AF10" s="40"/>
      <c r="AG10" s="40"/>
      <c r="AH10" s="40"/>
      <c r="AI10" s="40"/>
      <c r="AJ10" s="40"/>
      <c r="AK10" s="40"/>
      <c r="AL10" s="33">
        <v>545</v>
      </c>
      <c r="AM10" s="38"/>
      <c r="AN10" s="38"/>
      <c r="AO10" s="33">
        <v>0</v>
      </c>
      <c r="AP10" s="33">
        <v>0</v>
      </c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1">
        <v>545</v>
      </c>
    </row>
    <row r="11" spans="1:111">
      <c r="A11" s="184">
        <v>43437</v>
      </c>
      <c r="B11" s="32" t="s">
        <v>43</v>
      </c>
      <c r="C11" s="34">
        <v>17857</v>
      </c>
      <c r="D11" s="33">
        <v>0</v>
      </c>
      <c r="E11" s="33">
        <v>-0.45999999999912689</v>
      </c>
      <c r="F11" s="34"/>
      <c r="G11" s="36">
        <v>29.274614999999997</v>
      </c>
      <c r="H11" s="36">
        <v>6.8080499999999997</v>
      </c>
      <c r="I11" s="36">
        <v>1325.5273349999998</v>
      </c>
      <c r="J11" s="34">
        <v>76</v>
      </c>
      <c r="K11" s="34"/>
      <c r="L11" s="34"/>
      <c r="M11" s="34">
        <v>578.72</v>
      </c>
      <c r="N11" s="34">
        <f t="shared" ref="N11:N52" si="0">J11/1.12</f>
        <v>67.857142857142847</v>
      </c>
      <c r="O11" s="34">
        <f t="shared" ref="O11:O52" si="1">K11/1.12</f>
        <v>0</v>
      </c>
      <c r="P11" s="34">
        <f t="shared" ref="P11:P52" si="2">L11/1.12</f>
        <v>0</v>
      </c>
      <c r="Q11" s="34">
        <f t="shared" ref="Q11:Q52" si="3">M11/1.12</f>
        <v>516.71428571428567</v>
      </c>
      <c r="R11" s="38" t="s">
        <v>138</v>
      </c>
      <c r="S11" s="38">
        <v>455</v>
      </c>
      <c r="T11" s="33">
        <v>-1020.0679999999999</v>
      </c>
      <c r="U11" s="33">
        <v>-180.01199999999997</v>
      </c>
      <c r="V11" s="33">
        <v>-300.02</v>
      </c>
      <c r="W11" s="33">
        <v>-16810.508928571428</v>
      </c>
      <c r="X11" s="33">
        <v>-1938.6946714285714</v>
      </c>
      <c r="Y11" s="33">
        <f t="shared" ref="Y11:Y52" si="4">+C11+D11+E11+F11+G11+H11+I11+J11+K11+L11++S11+T11+U11+V11+W11+X11</f>
        <v>-500.15359999999964</v>
      </c>
      <c r="Z11" s="33"/>
      <c r="AA11" s="39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33">
        <v>0</v>
      </c>
      <c r="AM11" s="38"/>
      <c r="AN11" s="38"/>
      <c r="AO11" s="33">
        <v>0</v>
      </c>
      <c r="AP11" s="33">
        <v>0</v>
      </c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41">
        <v>0</v>
      </c>
      <c r="BF11" s="146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</row>
    <row r="12" spans="1:111">
      <c r="A12" s="185"/>
      <c r="B12" s="15" t="s">
        <v>44</v>
      </c>
      <c r="C12" s="34">
        <v>4565</v>
      </c>
      <c r="D12" s="33">
        <v>0.72000000000025466</v>
      </c>
      <c r="E12" s="33">
        <v>0</v>
      </c>
      <c r="F12" s="34"/>
      <c r="G12" s="36">
        <v>132.77776499999999</v>
      </c>
      <c r="H12" s="36">
        <v>30.878550000000001</v>
      </c>
      <c r="I12" s="36">
        <v>6012.0536849999999</v>
      </c>
      <c r="J12" s="34"/>
      <c r="K12" s="34"/>
      <c r="L12" s="34"/>
      <c r="M12" s="34">
        <v>63.39</v>
      </c>
      <c r="N12" s="34">
        <f t="shared" si="0"/>
        <v>0</v>
      </c>
      <c r="O12" s="34">
        <f t="shared" si="1"/>
        <v>0</v>
      </c>
      <c r="P12" s="34">
        <f t="shared" si="2"/>
        <v>0</v>
      </c>
      <c r="Q12" s="34">
        <f t="shared" si="3"/>
        <v>56.598214285714278</v>
      </c>
      <c r="R12" s="38" t="s">
        <v>138</v>
      </c>
      <c r="S12" s="38">
        <v>1603</v>
      </c>
      <c r="T12" s="33">
        <v>-484.7448</v>
      </c>
      <c r="U12" s="33">
        <v>-85.543199999999999</v>
      </c>
      <c r="V12" s="33">
        <v>-142.572</v>
      </c>
      <c r="W12" s="33">
        <v>-10441.928571428569</v>
      </c>
      <c r="X12" s="33">
        <v>-1245.4246285714282</v>
      </c>
      <c r="Y12" s="33">
        <f t="shared" si="4"/>
        <v>-55.78319999999735</v>
      </c>
      <c r="Z12" s="33"/>
      <c r="AA12" s="39">
        <v>265</v>
      </c>
      <c r="AB12" s="40">
        <v>623</v>
      </c>
      <c r="AC12" s="40"/>
      <c r="AD12" s="40"/>
      <c r="AE12" s="40"/>
      <c r="AF12" s="40"/>
      <c r="AG12" s="40"/>
      <c r="AH12" s="40"/>
      <c r="AI12" s="40"/>
      <c r="AJ12" s="40"/>
      <c r="AK12" s="40"/>
      <c r="AL12" s="33">
        <v>888</v>
      </c>
      <c r="AM12" s="38"/>
      <c r="AN12" s="38"/>
      <c r="AO12" s="33">
        <v>0</v>
      </c>
      <c r="AP12" s="33">
        <v>0</v>
      </c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41">
        <v>888</v>
      </c>
      <c r="BF12" s="146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</row>
    <row r="13" spans="1:111">
      <c r="A13" s="182">
        <v>43438</v>
      </c>
      <c r="B13" s="32" t="s">
        <v>43</v>
      </c>
      <c r="C13" s="34">
        <v>9640</v>
      </c>
      <c r="D13" s="33">
        <v>0</v>
      </c>
      <c r="E13" s="33">
        <v>-5.0300000000006548</v>
      </c>
      <c r="F13" s="34"/>
      <c r="G13" s="36">
        <v>30.094194999999999</v>
      </c>
      <c r="H13" s="36">
        <v>6.9986500000000005</v>
      </c>
      <c r="I13" s="36">
        <v>1362.6371550000001</v>
      </c>
      <c r="J13" s="34"/>
      <c r="K13" s="34"/>
      <c r="L13" s="34"/>
      <c r="M13" s="34">
        <v>243.45</v>
      </c>
      <c r="N13" s="34">
        <f t="shared" si="0"/>
        <v>0</v>
      </c>
      <c r="O13" s="34">
        <f t="shared" si="1"/>
        <v>0</v>
      </c>
      <c r="P13" s="34">
        <f t="shared" si="2"/>
        <v>0</v>
      </c>
      <c r="Q13" s="34">
        <f t="shared" si="3"/>
        <v>217.36607142857139</v>
      </c>
      <c r="R13" s="38" t="s">
        <v>138</v>
      </c>
      <c r="S13" s="38">
        <v>2986</v>
      </c>
      <c r="T13" s="33">
        <v>-519.66960000000006</v>
      </c>
      <c r="U13" s="33">
        <v>-91.706400000000016</v>
      </c>
      <c r="V13" s="33">
        <v>-152.84400000000002</v>
      </c>
      <c r="W13" s="33">
        <v>-12053.508928571428</v>
      </c>
      <c r="X13" s="33">
        <v>-1417.2070714285712</v>
      </c>
      <c r="Y13" s="33">
        <f t="shared" si="4"/>
        <v>-214.23599999999738</v>
      </c>
      <c r="Z13" s="33"/>
      <c r="AA13" s="39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33">
        <v>0</v>
      </c>
      <c r="AM13" s="38"/>
      <c r="AN13" s="38"/>
      <c r="AO13" s="33">
        <v>0</v>
      </c>
      <c r="AP13" s="33">
        <v>0</v>
      </c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41">
        <v>0</v>
      </c>
      <c r="BF13" s="146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</row>
    <row r="14" spans="1:111">
      <c r="A14" s="185"/>
      <c r="B14" s="15" t="s">
        <v>44</v>
      </c>
      <c r="C14" s="34">
        <v>11830</v>
      </c>
      <c r="D14" s="33">
        <v>1.7700000000004366</v>
      </c>
      <c r="E14" s="33">
        <v>0</v>
      </c>
      <c r="F14" s="34"/>
      <c r="G14" s="36">
        <v>66.394579999999991</v>
      </c>
      <c r="H14" s="36">
        <v>15.4406</v>
      </c>
      <c r="I14" s="36">
        <v>3006.2848199999999</v>
      </c>
      <c r="J14" s="34">
        <v>25.25</v>
      </c>
      <c r="K14" s="34"/>
      <c r="L14" s="34"/>
      <c r="M14" s="34">
        <v>58.04</v>
      </c>
      <c r="N14" s="34">
        <f t="shared" si="0"/>
        <v>22.544642857142854</v>
      </c>
      <c r="O14" s="34">
        <f t="shared" si="1"/>
        <v>0</v>
      </c>
      <c r="P14" s="34">
        <f t="shared" si="2"/>
        <v>0</v>
      </c>
      <c r="Q14" s="34">
        <f t="shared" si="3"/>
        <v>51.821428571428562</v>
      </c>
      <c r="R14" s="38" t="s">
        <v>138</v>
      </c>
      <c r="S14" s="38">
        <v>3166</v>
      </c>
      <c r="T14" s="33">
        <v>-821.44</v>
      </c>
      <c r="U14" s="33">
        <v>-144.96</v>
      </c>
      <c r="V14" s="33">
        <v>-241.60000000000002</v>
      </c>
      <c r="W14" s="33">
        <v>-15143.910714285714</v>
      </c>
      <c r="X14" s="33">
        <v>-1807.2744857142854</v>
      </c>
      <c r="Y14" s="33">
        <f t="shared" si="4"/>
        <v>-48.045199999996157</v>
      </c>
      <c r="Z14" s="33"/>
      <c r="AA14" s="39"/>
      <c r="AB14" s="40">
        <v>168</v>
      </c>
      <c r="AC14" s="40"/>
      <c r="AD14" s="40"/>
      <c r="AE14" s="40"/>
      <c r="AF14" s="40"/>
      <c r="AG14" s="40"/>
      <c r="AH14" s="40"/>
      <c r="AI14" s="40"/>
      <c r="AJ14" s="40"/>
      <c r="AK14" s="40"/>
      <c r="AL14" s="33">
        <v>168</v>
      </c>
      <c r="AM14" s="38"/>
      <c r="AN14" s="38"/>
      <c r="AO14" s="33">
        <v>0</v>
      </c>
      <c r="AP14" s="33">
        <v>0</v>
      </c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41">
        <v>168</v>
      </c>
      <c r="BF14" s="146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</row>
    <row r="15" spans="1:111">
      <c r="A15" s="182">
        <v>43439</v>
      </c>
      <c r="B15" s="32" t="s">
        <v>43</v>
      </c>
      <c r="C15" s="34">
        <v>17850</v>
      </c>
      <c r="D15" s="33">
        <v>0</v>
      </c>
      <c r="E15" s="33">
        <v>-2.3400000000001455</v>
      </c>
      <c r="F15" s="34"/>
      <c r="G15" s="36">
        <v>122.95312499999999</v>
      </c>
      <c r="H15" s="36">
        <v>28.59375</v>
      </c>
      <c r="I15" s="36">
        <v>5567.203125</v>
      </c>
      <c r="J15" s="34">
        <v>125.5</v>
      </c>
      <c r="K15" s="34"/>
      <c r="L15" s="34"/>
      <c r="M15" s="34">
        <v>68.75</v>
      </c>
      <c r="N15" s="34">
        <f t="shared" si="0"/>
        <v>112.05357142857142</v>
      </c>
      <c r="O15" s="34">
        <f t="shared" si="1"/>
        <v>0</v>
      </c>
      <c r="P15" s="34">
        <f t="shared" si="2"/>
        <v>0</v>
      </c>
      <c r="Q15" s="34">
        <f t="shared" si="3"/>
        <v>61.383928571428562</v>
      </c>
      <c r="R15" s="38" t="s">
        <v>138</v>
      </c>
      <c r="S15" s="38">
        <v>1845</v>
      </c>
      <c r="T15" s="33">
        <v>-1240.2588000000001</v>
      </c>
      <c r="U15" s="33">
        <v>-218.86920000000001</v>
      </c>
      <c r="V15" s="33">
        <v>-364.78200000000004</v>
      </c>
      <c r="W15" s="33">
        <v>-21233.705357142855</v>
      </c>
      <c r="X15" s="33">
        <v>-2524.7346428571427</v>
      </c>
      <c r="Y15" s="33">
        <f t="shared" si="4"/>
        <v>-45.439999999997781</v>
      </c>
      <c r="Z15" s="33"/>
      <c r="AA15" s="39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33">
        <v>0</v>
      </c>
      <c r="AM15" s="38"/>
      <c r="AN15" s="38"/>
      <c r="AO15" s="33">
        <v>0</v>
      </c>
      <c r="AP15" s="33">
        <v>0</v>
      </c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41">
        <v>0</v>
      </c>
      <c r="BF15" s="146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</row>
    <row r="16" spans="1:111">
      <c r="A16" s="185"/>
      <c r="B16" s="15" t="s">
        <v>44</v>
      </c>
      <c r="C16" s="34">
        <v>13872</v>
      </c>
      <c r="D16" s="33">
        <v>0</v>
      </c>
      <c r="E16" s="33">
        <v>-7.3299999999999272</v>
      </c>
      <c r="F16" s="34"/>
      <c r="G16" s="36">
        <v>82.970005</v>
      </c>
      <c r="H16" s="36">
        <v>19.295350000000003</v>
      </c>
      <c r="I16" s="36">
        <v>3756.8046450000002</v>
      </c>
      <c r="J16" s="34">
        <v>301.5</v>
      </c>
      <c r="K16" s="34"/>
      <c r="L16" s="34"/>
      <c r="M16" s="34"/>
      <c r="N16" s="34">
        <f t="shared" si="0"/>
        <v>269.19642857142856</v>
      </c>
      <c r="O16" s="34">
        <f t="shared" si="1"/>
        <v>0</v>
      </c>
      <c r="P16" s="34">
        <f t="shared" si="2"/>
        <v>0</v>
      </c>
      <c r="Q16" s="34">
        <f t="shared" si="3"/>
        <v>0</v>
      </c>
      <c r="R16" s="38"/>
      <c r="S16" s="38">
        <v>0</v>
      </c>
      <c r="T16" s="33">
        <v>-975.96320000000003</v>
      </c>
      <c r="U16" s="33">
        <v>-172.22880000000001</v>
      </c>
      <c r="V16" s="33">
        <v>-287.048</v>
      </c>
      <c r="W16" s="33">
        <v>-14813.392857142855</v>
      </c>
      <c r="X16" s="33">
        <v>-1741.4271428571426</v>
      </c>
      <c r="Y16" s="33">
        <f t="shared" si="4"/>
        <v>35.180000000002337</v>
      </c>
      <c r="Z16" s="33"/>
      <c r="AA16" s="39"/>
      <c r="AB16" s="40">
        <v>155</v>
      </c>
      <c r="AC16" s="40">
        <v>270</v>
      </c>
      <c r="AD16" s="40"/>
      <c r="AE16" s="40"/>
      <c r="AF16" s="40"/>
      <c r="AG16" s="40"/>
      <c r="AH16" s="40"/>
      <c r="AI16" s="40"/>
      <c r="AJ16" s="40"/>
      <c r="AK16" s="40"/>
      <c r="AL16" s="33">
        <v>425</v>
      </c>
      <c r="AM16" s="38"/>
      <c r="AN16" s="38"/>
      <c r="AO16" s="33">
        <v>0</v>
      </c>
      <c r="AP16" s="33">
        <v>0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41">
        <v>425</v>
      </c>
      <c r="BF16" s="146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</row>
    <row r="17" spans="1:128">
      <c r="A17" s="182">
        <v>43440</v>
      </c>
      <c r="B17" s="32" t="s">
        <v>43</v>
      </c>
      <c r="C17" s="34">
        <v>8640.5</v>
      </c>
      <c r="D17" s="33">
        <v>0</v>
      </c>
      <c r="E17" s="33">
        <v>-0.52000000000043656</v>
      </c>
      <c r="F17" s="34"/>
      <c r="G17" s="36">
        <v>56.207234999999997</v>
      </c>
      <c r="H17" s="36">
        <v>13.07145</v>
      </c>
      <c r="I17" s="36">
        <v>2545.0113150000002</v>
      </c>
      <c r="J17" s="34">
        <v>136.75</v>
      </c>
      <c r="K17" s="34"/>
      <c r="L17" s="34"/>
      <c r="M17" s="34">
        <v>188.24</v>
      </c>
      <c r="N17" s="34">
        <f t="shared" si="0"/>
        <v>122.09821428571428</v>
      </c>
      <c r="O17" s="34">
        <f t="shared" si="1"/>
        <v>0</v>
      </c>
      <c r="P17" s="34">
        <f t="shared" si="2"/>
        <v>0</v>
      </c>
      <c r="Q17" s="34">
        <f t="shared" si="3"/>
        <v>168.07142857142856</v>
      </c>
      <c r="R17" s="38" t="s">
        <v>138</v>
      </c>
      <c r="S17" s="38">
        <v>4742</v>
      </c>
      <c r="T17" s="33">
        <v>-623.70280000000002</v>
      </c>
      <c r="U17" s="33">
        <v>-110.0652</v>
      </c>
      <c r="V17" s="33">
        <v>-183.44200000000001</v>
      </c>
      <c r="W17" s="33">
        <v>-13753.616071428569</v>
      </c>
      <c r="X17" s="33">
        <v>-1611.4351285714283</v>
      </c>
      <c r="Y17" s="33">
        <f t="shared" si="4"/>
        <v>-149.24119999999948</v>
      </c>
      <c r="Z17" s="33"/>
      <c r="AA17" s="39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33">
        <v>0</v>
      </c>
      <c r="AM17" s="38"/>
      <c r="AN17" s="38"/>
      <c r="AO17" s="33">
        <v>0</v>
      </c>
      <c r="AP17" s="33">
        <v>0</v>
      </c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41">
        <v>0</v>
      </c>
      <c r="BF17" s="146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</row>
    <row r="18" spans="1:128">
      <c r="A18" s="185"/>
      <c r="B18" s="15" t="s">
        <v>44</v>
      </c>
      <c r="C18" s="34">
        <v>7719</v>
      </c>
      <c r="D18" s="33">
        <v>0</v>
      </c>
      <c r="E18" s="33">
        <v>-0.71000000000003638</v>
      </c>
      <c r="F18" s="34"/>
      <c r="G18" s="36">
        <v>329.28002499999997</v>
      </c>
      <c r="H18" s="36">
        <v>76.576750000000004</v>
      </c>
      <c r="I18" s="36">
        <v>14909.493225</v>
      </c>
      <c r="J18" s="34">
        <v>340.25</v>
      </c>
      <c r="K18" s="34"/>
      <c r="L18" s="34"/>
      <c r="M18" s="34">
        <v>72.319999999999993</v>
      </c>
      <c r="N18" s="34">
        <f t="shared" si="0"/>
        <v>303.79464285714283</v>
      </c>
      <c r="O18" s="34">
        <f t="shared" si="1"/>
        <v>0</v>
      </c>
      <c r="P18" s="34">
        <f t="shared" si="2"/>
        <v>0</v>
      </c>
      <c r="Q18" s="34">
        <f t="shared" si="3"/>
        <v>64.571428571428555</v>
      </c>
      <c r="R18" s="38" t="s">
        <v>138</v>
      </c>
      <c r="S18" s="38">
        <v>3272</v>
      </c>
      <c r="T18" s="33">
        <v>-1237.3348000000001</v>
      </c>
      <c r="U18" s="33">
        <v>-218.35320000000002</v>
      </c>
      <c r="V18" s="33">
        <v>-363.92200000000003</v>
      </c>
      <c r="W18" s="33">
        <v>-22230.892857142855</v>
      </c>
      <c r="X18" s="33">
        <v>-2618.1987428571424</v>
      </c>
      <c r="Y18" s="33">
        <f t="shared" si="4"/>
        <v>-22.811599999998634</v>
      </c>
      <c r="Z18" s="33"/>
      <c r="AA18" s="39">
        <v>570</v>
      </c>
      <c r="AB18" s="40">
        <v>275</v>
      </c>
      <c r="AC18" s="40">
        <v>135</v>
      </c>
      <c r="AD18" s="40">
        <v>535</v>
      </c>
      <c r="AE18" s="40"/>
      <c r="AF18" s="40"/>
      <c r="AG18" s="40"/>
      <c r="AH18" s="40"/>
      <c r="AI18" s="40"/>
      <c r="AJ18" s="40"/>
      <c r="AK18" s="40"/>
      <c r="AL18" s="33"/>
      <c r="AM18" s="38"/>
      <c r="AN18" s="38"/>
      <c r="AO18" s="33">
        <v>0</v>
      </c>
      <c r="AP18" s="33">
        <v>0</v>
      </c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41">
        <v>0</v>
      </c>
      <c r="BF18" s="146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</row>
    <row r="19" spans="1:128">
      <c r="A19" s="182">
        <v>43441</v>
      </c>
      <c r="B19" s="32" t="s">
        <v>43</v>
      </c>
      <c r="C19" s="34">
        <v>12645</v>
      </c>
      <c r="D19" s="33"/>
      <c r="E19" s="33">
        <v>-0.34000000000014552</v>
      </c>
      <c r="F19" s="34"/>
      <c r="G19" s="36">
        <v>297.89819499999999</v>
      </c>
      <c r="H19" s="36">
        <v>69.278649999999999</v>
      </c>
      <c r="I19" s="36">
        <v>13488.553155</v>
      </c>
      <c r="J19" s="34"/>
      <c r="K19" s="34"/>
      <c r="L19" s="34"/>
      <c r="M19" s="34">
        <v>225.89</v>
      </c>
      <c r="N19" s="34">
        <f t="shared" si="0"/>
        <v>0</v>
      </c>
      <c r="O19" s="34">
        <f t="shared" si="1"/>
        <v>0</v>
      </c>
      <c r="P19" s="34">
        <f t="shared" si="2"/>
        <v>0</v>
      </c>
      <c r="Q19" s="34">
        <f t="shared" si="3"/>
        <v>201.68749999999997</v>
      </c>
      <c r="R19" s="38" t="s">
        <v>138</v>
      </c>
      <c r="S19" s="38">
        <v>375</v>
      </c>
      <c r="T19" s="33">
        <v>-1425.8376000000001</v>
      </c>
      <c r="U19" s="33">
        <v>-251.61840000000001</v>
      </c>
      <c r="V19" s="33">
        <v>-419.36400000000003</v>
      </c>
      <c r="W19" s="33">
        <v>-22325.41071428571</v>
      </c>
      <c r="X19" s="33">
        <v>-2651.9424857142853</v>
      </c>
      <c r="Y19" s="33">
        <f t="shared" si="4"/>
        <v>-198.78319999999576</v>
      </c>
      <c r="Z19" s="33"/>
      <c r="AA19" s="39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33">
        <v>0</v>
      </c>
      <c r="AM19" s="38"/>
      <c r="AN19" s="38"/>
      <c r="AO19" s="33">
        <v>0</v>
      </c>
      <c r="AP19" s="33">
        <v>0</v>
      </c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41">
        <v>0</v>
      </c>
      <c r="BF19" s="146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</row>
    <row r="20" spans="1:128">
      <c r="A20" s="185"/>
      <c r="B20" s="15" t="s">
        <v>44</v>
      </c>
      <c r="C20" s="34">
        <v>21040</v>
      </c>
      <c r="D20" s="33"/>
      <c r="E20" s="33">
        <v>-5.0099999999983993</v>
      </c>
      <c r="F20" s="34"/>
      <c r="G20" s="36">
        <v>221.54588999999996</v>
      </c>
      <c r="H20" s="36">
        <v>51.522299999999994</v>
      </c>
      <c r="I20" s="36">
        <v>10031.391809999999</v>
      </c>
      <c r="J20" s="34">
        <v>11.25</v>
      </c>
      <c r="K20" s="34"/>
      <c r="L20" s="34">
        <v>115</v>
      </c>
      <c r="M20" s="34"/>
      <c r="N20" s="34">
        <f t="shared" si="0"/>
        <v>10.044642857142856</v>
      </c>
      <c r="O20" s="34">
        <f t="shared" si="1"/>
        <v>0</v>
      </c>
      <c r="P20" s="34">
        <f t="shared" si="2"/>
        <v>102.67857142857142</v>
      </c>
      <c r="Q20" s="34">
        <f t="shared" si="3"/>
        <v>0</v>
      </c>
      <c r="R20" s="38" t="s">
        <v>138</v>
      </c>
      <c r="S20" s="38">
        <v>1089</v>
      </c>
      <c r="T20" s="33">
        <v>-1652.876</v>
      </c>
      <c r="U20" s="33">
        <v>-291.68399999999997</v>
      </c>
      <c r="V20" s="33">
        <v>-486.14</v>
      </c>
      <c r="W20" s="33">
        <v>-26896.428571428569</v>
      </c>
      <c r="X20" s="33">
        <v>-3212.4214285714284</v>
      </c>
      <c r="Y20" s="33">
        <f t="shared" si="4"/>
        <v>15.150000000006457</v>
      </c>
      <c r="Z20" s="33"/>
      <c r="AA20" s="39">
        <v>580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33">
        <v>580</v>
      </c>
      <c r="AM20" s="38">
        <v>1000</v>
      </c>
      <c r="AN20" s="38"/>
      <c r="AO20" s="33">
        <v>0</v>
      </c>
      <c r="AP20" s="33">
        <v>0</v>
      </c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41">
        <v>1580</v>
      </c>
      <c r="BF20" s="146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</row>
    <row r="21" spans="1:128">
      <c r="A21" s="182">
        <v>43442</v>
      </c>
      <c r="B21" s="32" t="s">
        <v>43</v>
      </c>
      <c r="C21" s="34"/>
      <c r="D21" s="33">
        <v>0</v>
      </c>
      <c r="E21" s="33">
        <v>0</v>
      </c>
      <c r="F21" s="34"/>
      <c r="G21" s="36">
        <v>0</v>
      </c>
      <c r="H21" s="36">
        <v>0</v>
      </c>
      <c r="I21" s="36">
        <v>0</v>
      </c>
      <c r="J21" s="34"/>
      <c r="K21" s="34"/>
      <c r="L21" s="34"/>
      <c r="M21" s="34"/>
      <c r="N21" s="34">
        <f t="shared" si="0"/>
        <v>0</v>
      </c>
      <c r="O21" s="34">
        <f t="shared" si="1"/>
        <v>0</v>
      </c>
      <c r="P21" s="34">
        <f t="shared" si="2"/>
        <v>0</v>
      </c>
      <c r="Q21" s="34">
        <f t="shared" si="3"/>
        <v>0</v>
      </c>
      <c r="R21" s="38"/>
      <c r="S21" s="38"/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f t="shared" si="4"/>
        <v>0</v>
      </c>
      <c r="Z21" s="33"/>
      <c r="AA21" s="39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33">
        <v>0</v>
      </c>
      <c r="AM21" s="38"/>
      <c r="AN21" s="38"/>
      <c r="AO21" s="33">
        <v>0</v>
      </c>
      <c r="AP21" s="33">
        <v>0</v>
      </c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1">
        <v>0</v>
      </c>
      <c r="BF21" s="146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</row>
    <row r="22" spans="1:128">
      <c r="A22" s="185"/>
      <c r="B22" s="15" t="s">
        <v>44</v>
      </c>
      <c r="C22" s="34">
        <v>5280</v>
      </c>
      <c r="D22" s="33">
        <v>0</v>
      </c>
      <c r="E22" s="33">
        <v>-4.5799999999999272</v>
      </c>
      <c r="F22" s="34"/>
      <c r="G22" s="36">
        <v>8.3849999999999998</v>
      </c>
      <c r="H22" s="36">
        <v>1.95</v>
      </c>
      <c r="I22" s="36">
        <v>379.66500000000002</v>
      </c>
      <c r="J22" s="34"/>
      <c r="K22" s="34"/>
      <c r="L22" s="34"/>
      <c r="M22" s="34"/>
      <c r="N22" s="34">
        <f t="shared" si="0"/>
        <v>0</v>
      </c>
      <c r="O22" s="34">
        <f t="shared" si="1"/>
        <v>0</v>
      </c>
      <c r="P22" s="34">
        <f t="shared" si="2"/>
        <v>0</v>
      </c>
      <c r="Q22" s="34">
        <f t="shared" si="3"/>
        <v>0</v>
      </c>
      <c r="R22" s="38" t="s">
        <v>138</v>
      </c>
      <c r="S22" s="38">
        <v>10677.29</v>
      </c>
      <c r="T22" s="33">
        <v>-694.76279999999997</v>
      </c>
      <c r="U22" s="33">
        <v>-122.6052</v>
      </c>
      <c r="V22" s="33">
        <v>-204.34200000000001</v>
      </c>
      <c r="W22" s="33">
        <v>-13679.464285714284</v>
      </c>
      <c r="X22" s="33">
        <v>-1641.535714285714</v>
      </c>
      <c r="Y22" s="33">
        <f t="shared" si="4"/>
        <v>0</v>
      </c>
      <c r="Z22" s="33"/>
      <c r="AA22" s="39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33">
        <v>0</v>
      </c>
      <c r="AM22" s="38"/>
      <c r="AN22" s="38">
        <v>0</v>
      </c>
      <c r="AO22" s="33">
        <v>0</v>
      </c>
      <c r="AP22" s="33">
        <v>0</v>
      </c>
      <c r="AQ22" s="39"/>
      <c r="AR22" s="39">
        <v>0</v>
      </c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41">
        <v>0</v>
      </c>
      <c r="BF22" s="146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</row>
    <row r="23" spans="1:128">
      <c r="A23" s="182">
        <v>43444</v>
      </c>
      <c r="B23" s="15" t="s">
        <v>43</v>
      </c>
      <c r="C23" s="34">
        <v>18438</v>
      </c>
      <c r="D23" s="33">
        <v>0</v>
      </c>
      <c r="E23" s="33">
        <v>-8.1699999999982538</v>
      </c>
      <c r="F23" s="34"/>
      <c r="G23" s="36">
        <v>149.23601499999998</v>
      </c>
      <c r="H23" s="36">
        <v>34.706049999999998</v>
      </c>
      <c r="I23" s="36">
        <v>6757.2679349999999</v>
      </c>
      <c r="J23" s="34">
        <v>96.75</v>
      </c>
      <c r="K23" s="34"/>
      <c r="L23" s="34"/>
      <c r="M23" s="34">
        <v>424.04</v>
      </c>
      <c r="N23" s="34">
        <f t="shared" si="0"/>
        <v>86.383928571428569</v>
      </c>
      <c r="O23" s="34">
        <f t="shared" si="1"/>
        <v>0</v>
      </c>
      <c r="P23" s="34">
        <f t="shared" si="2"/>
        <v>0</v>
      </c>
      <c r="Q23" s="34">
        <f t="shared" si="3"/>
        <v>378.60714285714283</v>
      </c>
      <c r="R23" s="38" t="s">
        <v>138</v>
      </c>
      <c r="S23" s="38">
        <v>1770</v>
      </c>
      <c r="T23" s="33">
        <v>-1399.6168</v>
      </c>
      <c r="U23" s="33">
        <v>-246.99120000000002</v>
      </c>
      <c r="V23" s="33">
        <v>-411.65200000000004</v>
      </c>
      <c r="W23" s="33">
        <v>-22860.330357142855</v>
      </c>
      <c r="X23" s="33">
        <v>-2680.7448428571424</v>
      </c>
      <c r="Y23" s="33">
        <f t="shared" si="4"/>
        <v>-361.54519999999866</v>
      </c>
      <c r="Z23" s="33"/>
      <c r="AA23" s="39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33">
        <v>0</v>
      </c>
      <c r="AM23" s="38"/>
      <c r="AN23" s="38"/>
      <c r="AO23" s="33">
        <v>0</v>
      </c>
      <c r="AP23" s="33">
        <v>0</v>
      </c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41">
        <v>0</v>
      </c>
      <c r="BF23" s="146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</row>
    <row r="24" spans="1:128">
      <c r="A24" s="185"/>
      <c r="B24" s="15" t="s">
        <v>44</v>
      </c>
      <c r="C24" s="34">
        <v>5005</v>
      </c>
      <c r="D24" s="33">
        <v>0</v>
      </c>
      <c r="E24" s="33">
        <v>-0.21000000000003638</v>
      </c>
      <c r="F24" s="34"/>
      <c r="G24" s="36">
        <v>77.788505000000001</v>
      </c>
      <c r="H24" s="36">
        <v>18.090350000000001</v>
      </c>
      <c r="I24" s="36">
        <v>3522.1911450000002</v>
      </c>
      <c r="J24" s="34">
        <v>68.5</v>
      </c>
      <c r="K24" s="34"/>
      <c r="L24" s="34"/>
      <c r="M24" s="34">
        <v>81.25</v>
      </c>
      <c r="N24" s="34">
        <f t="shared" si="0"/>
        <v>61.160714285714278</v>
      </c>
      <c r="O24" s="34">
        <f t="shared" si="1"/>
        <v>0</v>
      </c>
      <c r="P24" s="34">
        <f t="shared" si="2"/>
        <v>0</v>
      </c>
      <c r="Q24" s="34">
        <f t="shared" si="3"/>
        <v>72.544642857142847</v>
      </c>
      <c r="R24" s="38" t="s">
        <v>138</v>
      </c>
      <c r="S24" s="38">
        <v>870</v>
      </c>
      <c r="T24" s="33">
        <v>-423.88480000000004</v>
      </c>
      <c r="U24" s="33">
        <v>-74.803200000000004</v>
      </c>
      <c r="V24" s="33">
        <v>-124.67200000000001</v>
      </c>
      <c r="W24" s="33">
        <v>-8052.9017857142853</v>
      </c>
      <c r="X24" s="33">
        <v>-948.37821428571419</v>
      </c>
      <c r="Y24" s="33">
        <f t="shared" si="4"/>
        <v>-63.279999999999518</v>
      </c>
      <c r="Z24" s="33"/>
      <c r="AA24" s="39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33">
        <v>0</v>
      </c>
      <c r="AM24" s="38"/>
      <c r="AN24" s="38">
        <v>0</v>
      </c>
      <c r="AO24" s="33">
        <v>0</v>
      </c>
      <c r="AP24" s="33">
        <v>0</v>
      </c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41">
        <v>0</v>
      </c>
      <c r="BF24" s="146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</row>
    <row r="25" spans="1:128">
      <c r="A25" s="182">
        <v>43445</v>
      </c>
      <c r="B25" s="16" t="s">
        <v>43</v>
      </c>
      <c r="C25" s="34">
        <v>20370</v>
      </c>
      <c r="D25" s="33">
        <v>0</v>
      </c>
      <c r="E25" s="33">
        <v>-5.3600000000005821</v>
      </c>
      <c r="F25" s="34"/>
      <c r="G25" s="36">
        <v>24.907319999999999</v>
      </c>
      <c r="H25" s="36">
        <v>5.7923999999999998</v>
      </c>
      <c r="I25" s="36">
        <v>1127.7802799999999</v>
      </c>
      <c r="J25" s="34">
        <v>19.5</v>
      </c>
      <c r="K25" s="34"/>
      <c r="L25" s="34"/>
      <c r="M25" s="34">
        <v>297.92</v>
      </c>
      <c r="N25" s="34">
        <f t="shared" si="0"/>
        <v>17.410714285714285</v>
      </c>
      <c r="O25" s="34">
        <f t="shared" si="1"/>
        <v>0</v>
      </c>
      <c r="P25" s="34">
        <f t="shared" si="2"/>
        <v>0</v>
      </c>
      <c r="Q25" s="34">
        <f t="shared" si="3"/>
        <v>266</v>
      </c>
      <c r="R25" s="38" t="s">
        <v>138</v>
      </c>
      <c r="S25" s="38">
        <v>855</v>
      </c>
      <c r="T25" s="33">
        <v>-618.31719999999996</v>
      </c>
      <c r="U25" s="33">
        <v>-109.1148</v>
      </c>
      <c r="V25" s="33">
        <v>-181.858</v>
      </c>
      <c r="W25" s="33">
        <v>-19452.008928571428</v>
      </c>
      <c r="X25" s="33">
        <v>-2296.1506714285715</v>
      </c>
      <c r="Y25" s="33">
        <f t="shared" si="4"/>
        <v>-259.82960000000458</v>
      </c>
      <c r="Z25" s="33"/>
      <c r="AA25" s="39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33">
        <v>0</v>
      </c>
      <c r="AM25" s="38"/>
      <c r="AN25" s="38"/>
      <c r="AO25" s="33">
        <v>0</v>
      </c>
      <c r="AP25" s="33">
        <v>0</v>
      </c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41">
        <v>0</v>
      </c>
      <c r="BF25" s="146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</row>
    <row r="26" spans="1:128">
      <c r="A26" s="185"/>
      <c r="B26" s="16" t="s">
        <v>44</v>
      </c>
      <c r="C26" s="34">
        <v>15340</v>
      </c>
      <c r="D26" s="33">
        <v>0</v>
      </c>
      <c r="E26" s="33">
        <v>-0.43000000000029104</v>
      </c>
      <c r="F26" s="34"/>
      <c r="G26" s="36">
        <v>173.07134499999998</v>
      </c>
      <c r="H26" s="36">
        <v>40.24915</v>
      </c>
      <c r="I26" s="36">
        <v>7836.509505</v>
      </c>
      <c r="J26" s="34">
        <v>107.75</v>
      </c>
      <c r="K26" s="34"/>
      <c r="L26" s="34"/>
      <c r="M26" s="34"/>
      <c r="N26" s="34">
        <f t="shared" si="0"/>
        <v>96.205357142857139</v>
      </c>
      <c r="O26" s="34">
        <f t="shared" si="1"/>
        <v>0</v>
      </c>
      <c r="P26" s="34">
        <f t="shared" si="2"/>
        <v>0</v>
      </c>
      <c r="Q26" s="34">
        <f t="shared" si="3"/>
        <v>0</v>
      </c>
      <c r="R26" s="38" t="s">
        <v>138</v>
      </c>
      <c r="S26" s="38">
        <v>2120</v>
      </c>
      <c r="T26" s="33">
        <v>-1298.2220000000002</v>
      </c>
      <c r="U26" s="33">
        <v>-229.09800000000001</v>
      </c>
      <c r="V26" s="33">
        <v>-381.83000000000004</v>
      </c>
      <c r="W26" s="33">
        <v>-21167.857142857141</v>
      </c>
      <c r="X26" s="33">
        <v>-2527.212857142857</v>
      </c>
      <c r="Y26" s="33">
        <f t="shared" si="4"/>
        <v>12.929999999998017</v>
      </c>
      <c r="Z26" s="33"/>
      <c r="AA26" s="39">
        <v>1265</v>
      </c>
      <c r="AB26" s="40">
        <v>810</v>
      </c>
      <c r="AC26" s="40"/>
      <c r="AD26" s="40">
        <v>265</v>
      </c>
      <c r="AE26" s="40"/>
      <c r="AF26" s="40"/>
      <c r="AG26" s="40"/>
      <c r="AH26" s="40"/>
      <c r="AI26" s="40"/>
      <c r="AJ26" s="40"/>
      <c r="AK26" s="40"/>
      <c r="AL26" s="33">
        <v>2340</v>
      </c>
      <c r="AM26" s="38"/>
      <c r="AN26" s="38"/>
      <c r="AO26" s="33"/>
      <c r="AP26" s="33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41">
        <v>2340</v>
      </c>
      <c r="BF26" s="146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</row>
    <row r="27" spans="1:128">
      <c r="A27" s="182">
        <v>43446</v>
      </c>
      <c r="B27" s="15" t="s">
        <v>43</v>
      </c>
      <c r="C27" s="34">
        <v>31004</v>
      </c>
      <c r="D27" s="33">
        <v>0</v>
      </c>
      <c r="E27" s="33">
        <v>-0.47000000000116415</v>
      </c>
      <c r="F27" s="34"/>
      <c r="G27" s="36">
        <v>461.87181499999997</v>
      </c>
      <c r="H27" s="36">
        <v>107.41205000000001</v>
      </c>
      <c r="I27" s="36">
        <v>20913.126135000002</v>
      </c>
      <c r="J27" s="34">
        <v>99.75</v>
      </c>
      <c r="K27" s="34"/>
      <c r="L27" s="34"/>
      <c r="M27" s="34">
        <v>387.91</v>
      </c>
      <c r="N27" s="34">
        <f t="shared" si="0"/>
        <v>89.062499999999986</v>
      </c>
      <c r="O27" s="34">
        <f t="shared" si="1"/>
        <v>0</v>
      </c>
      <c r="P27" s="34">
        <f t="shared" si="2"/>
        <v>0</v>
      </c>
      <c r="Q27" s="34">
        <f t="shared" si="3"/>
        <v>346.34821428571428</v>
      </c>
      <c r="R27" s="38" t="s">
        <v>138</v>
      </c>
      <c r="S27" s="38">
        <v>4067</v>
      </c>
      <c r="T27" s="33">
        <v>-2847.3980000000006</v>
      </c>
      <c r="U27" s="33">
        <v>-502.48200000000008</v>
      </c>
      <c r="V27" s="33">
        <v>-837.47000000000014</v>
      </c>
      <c r="W27" s="33">
        <v>-47190.401785714283</v>
      </c>
      <c r="X27" s="33">
        <v>-5604.3290142857131</v>
      </c>
      <c r="Y27" s="33">
        <f t="shared" si="4"/>
        <v>-329.39079999999922</v>
      </c>
      <c r="Z27" s="33"/>
      <c r="AA27" s="39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33">
        <v>0</v>
      </c>
      <c r="AM27" s="38"/>
      <c r="AN27" s="38"/>
      <c r="AO27" s="33">
        <v>0</v>
      </c>
      <c r="AP27" s="33">
        <v>0</v>
      </c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41">
        <v>0</v>
      </c>
      <c r="BF27" s="146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</row>
    <row r="28" spans="1:128">
      <c r="A28" s="185"/>
      <c r="B28" s="15" t="s">
        <v>44</v>
      </c>
      <c r="C28" s="34">
        <v>8460</v>
      </c>
      <c r="D28" s="33">
        <v>0</v>
      </c>
      <c r="E28" s="33">
        <v>-4.0000000000873115E-2</v>
      </c>
      <c r="F28" s="34"/>
      <c r="G28" s="36">
        <v>235.991525</v>
      </c>
      <c r="H28" s="36">
        <v>54.881750000000004</v>
      </c>
      <c r="I28" s="36">
        <v>10685.476725</v>
      </c>
      <c r="J28" s="34">
        <v>25.5</v>
      </c>
      <c r="K28" s="34"/>
      <c r="L28" s="34"/>
      <c r="M28" s="34">
        <v>59.82</v>
      </c>
      <c r="N28" s="34">
        <f t="shared" si="0"/>
        <v>22.767857142857142</v>
      </c>
      <c r="O28" s="34">
        <f t="shared" si="1"/>
        <v>0</v>
      </c>
      <c r="P28" s="34">
        <f t="shared" si="2"/>
        <v>0</v>
      </c>
      <c r="Q28" s="34">
        <f t="shared" si="3"/>
        <v>53.410714285714278</v>
      </c>
      <c r="R28" s="38" t="s">
        <v>138</v>
      </c>
      <c r="S28" s="38">
        <v>18651</v>
      </c>
      <c r="T28" s="33">
        <v>-1928.9287999999999</v>
      </c>
      <c r="U28" s="33">
        <v>-340.39920000000001</v>
      </c>
      <c r="V28" s="33">
        <v>-567.33199999999999</v>
      </c>
      <c r="W28" s="33">
        <v>-31549.973214285714</v>
      </c>
      <c r="X28" s="33">
        <v>-3775.7583857142854</v>
      </c>
      <c r="Y28" s="33">
        <f t="shared" si="4"/>
        <v>-49.581600000004983</v>
      </c>
      <c r="Z28" s="33"/>
      <c r="AA28" s="39">
        <v>185</v>
      </c>
      <c r="AB28" s="40">
        <v>295</v>
      </c>
      <c r="AC28" s="40"/>
      <c r="AD28" s="40"/>
      <c r="AE28" s="40"/>
      <c r="AF28" s="40"/>
      <c r="AG28" s="40"/>
      <c r="AH28" s="40"/>
      <c r="AI28" s="40"/>
      <c r="AJ28" s="40"/>
      <c r="AK28" s="40"/>
      <c r="AL28" s="33">
        <v>480</v>
      </c>
      <c r="AM28" s="38">
        <v>230</v>
      </c>
      <c r="AN28" s="38"/>
      <c r="AO28" s="33"/>
      <c r="AP28" s="33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41">
        <v>710</v>
      </c>
      <c r="BF28" s="146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</row>
    <row r="29" spans="1:128">
      <c r="A29" s="182">
        <v>43447</v>
      </c>
      <c r="B29" s="15" t="s">
        <v>43</v>
      </c>
      <c r="C29" s="34">
        <v>7132</v>
      </c>
      <c r="D29" s="33">
        <v>0</v>
      </c>
      <c r="E29" s="33">
        <v>-0.17000000000007276</v>
      </c>
      <c r="F29" s="34"/>
      <c r="G29" s="36">
        <v>298.89342999999997</v>
      </c>
      <c r="H29" s="36">
        <v>69.510100000000008</v>
      </c>
      <c r="I29" s="36">
        <v>13533.616470000001</v>
      </c>
      <c r="J29" s="34">
        <v>295.5</v>
      </c>
      <c r="K29" s="34"/>
      <c r="L29" s="34"/>
      <c r="M29" s="34">
        <v>134.46</v>
      </c>
      <c r="N29" s="34">
        <f t="shared" si="0"/>
        <v>263.83928571428567</v>
      </c>
      <c r="O29" s="34">
        <f t="shared" si="1"/>
        <v>0</v>
      </c>
      <c r="P29" s="34">
        <f t="shared" si="2"/>
        <v>0</v>
      </c>
      <c r="Q29" s="34">
        <f t="shared" si="3"/>
        <v>120.05357142857143</v>
      </c>
      <c r="R29" s="38" t="s">
        <v>138</v>
      </c>
      <c r="S29" s="38">
        <v>14635.14</v>
      </c>
      <c r="T29" s="33">
        <v>-1809.2284000000002</v>
      </c>
      <c r="U29" s="33">
        <v>-319.27560000000005</v>
      </c>
      <c r="V29" s="33">
        <v>-532.12600000000009</v>
      </c>
      <c r="W29" s="33">
        <v>-29855.642857142855</v>
      </c>
      <c r="X29" s="33">
        <v>-3531.0819428571426</v>
      </c>
      <c r="Y29" s="33">
        <f t="shared" si="4"/>
        <v>-82.864799999989827</v>
      </c>
      <c r="Z29" s="33"/>
      <c r="AA29" s="39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33">
        <v>0</v>
      </c>
      <c r="AM29" s="38"/>
      <c r="AN29" s="38"/>
      <c r="AO29" s="33">
        <v>0</v>
      </c>
      <c r="AP29" s="33">
        <v>0</v>
      </c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41">
        <v>0</v>
      </c>
      <c r="BF29" s="146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</row>
    <row r="30" spans="1:128">
      <c r="A30" s="185"/>
      <c r="B30" s="15" t="s">
        <v>44</v>
      </c>
      <c r="C30" s="34">
        <v>10878</v>
      </c>
      <c r="D30" s="33">
        <v>0</v>
      </c>
      <c r="E30" s="33">
        <v>-0.90999999999985448</v>
      </c>
      <c r="F30" s="34"/>
      <c r="G30" s="36">
        <v>395.08937499999996</v>
      </c>
      <c r="H30" s="36">
        <v>91.881250000000009</v>
      </c>
      <c r="I30" s="36">
        <v>17889.279375000002</v>
      </c>
      <c r="J30" s="34">
        <v>806.5</v>
      </c>
      <c r="K30" s="34">
        <v>44</v>
      </c>
      <c r="L30" s="34"/>
      <c r="M30" s="34"/>
      <c r="N30" s="34">
        <f t="shared" si="0"/>
        <v>720.08928571428567</v>
      </c>
      <c r="O30" s="34">
        <f t="shared" si="1"/>
        <v>39.285714285714285</v>
      </c>
      <c r="P30" s="34">
        <f t="shared" si="2"/>
        <v>0</v>
      </c>
      <c r="Q30" s="34">
        <f t="shared" si="3"/>
        <v>0</v>
      </c>
      <c r="R30" s="38" t="s">
        <v>138</v>
      </c>
      <c r="S30" s="38">
        <v>2010</v>
      </c>
      <c r="T30" s="33">
        <v>-1602.6512000000002</v>
      </c>
      <c r="U30" s="33">
        <v>-282.82080000000002</v>
      </c>
      <c r="V30" s="33">
        <v>-471.36800000000005</v>
      </c>
      <c r="W30" s="33">
        <v>-26568.749999999996</v>
      </c>
      <c r="X30" s="33">
        <v>-3086.1899999999996</v>
      </c>
      <c r="Y30" s="33">
        <f t="shared" si="4"/>
        <v>102.06000000000768</v>
      </c>
      <c r="Z30" s="33"/>
      <c r="AA30" s="39">
        <v>135</v>
      </c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33">
        <v>135</v>
      </c>
      <c r="AM30" s="38"/>
      <c r="AN30" s="38"/>
      <c r="AO30" s="33"/>
      <c r="AP30" s="33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41">
        <v>135</v>
      </c>
      <c r="BF30" s="146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</row>
    <row r="31" spans="1:128">
      <c r="A31" s="182">
        <v>43448</v>
      </c>
      <c r="B31" s="16" t="s">
        <v>43</v>
      </c>
      <c r="C31" s="34">
        <v>24062</v>
      </c>
      <c r="D31" s="33"/>
      <c r="E31" s="33">
        <v>-0.61000000000058208</v>
      </c>
      <c r="F31" s="34"/>
      <c r="G31" s="36">
        <v>258.33518499999997</v>
      </c>
      <c r="H31" s="36">
        <v>60.077950000000001</v>
      </c>
      <c r="I31" s="36">
        <v>11697.176864999999</v>
      </c>
      <c r="J31" s="34">
        <v>203</v>
      </c>
      <c r="K31" s="34"/>
      <c r="L31" s="34"/>
      <c r="M31" s="34">
        <v>1163.4000000000001</v>
      </c>
      <c r="N31" s="34">
        <f t="shared" si="0"/>
        <v>181.24999999999997</v>
      </c>
      <c r="O31" s="34">
        <f t="shared" si="1"/>
        <v>0</v>
      </c>
      <c r="P31" s="34">
        <f t="shared" si="2"/>
        <v>0</v>
      </c>
      <c r="Q31" s="34">
        <f t="shared" si="3"/>
        <v>1038.75</v>
      </c>
      <c r="R31" s="38" t="s">
        <v>138</v>
      </c>
      <c r="S31" s="38">
        <v>1741</v>
      </c>
      <c r="T31" s="33">
        <v>-2006.9588000000001</v>
      </c>
      <c r="U31" s="33">
        <v>-354.16919999999999</v>
      </c>
      <c r="V31" s="33">
        <v>-590.28200000000004</v>
      </c>
      <c r="W31" s="33">
        <v>-32350.866071428569</v>
      </c>
      <c r="X31" s="33">
        <v>-3718.1359285714279</v>
      </c>
      <c r="Y31" s="33">
        <f t="shared" si="4"/>
        <v>-999.43199999999706</v>
      </c>
      <c r="Z31" s="33"/>
      <c r="AA31" s="39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33">
        <v>0</v>
      </c>
      <c r="AM31" s="38"/>
      <c r="AN31" s="38"/>
      <c r="AO31" s="33">
        <v>0</v>
      </c>
      <c r="AP31" s="33">
        <v>0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41">
        <v>0</v>
      </c>
      <c r="BF31" s="146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</row>
    <row r="32" spans="1:128" s="4" customFormat="1">
      <c r="A32" s="185"/>
      <c r="B32" s="16" t="s">
        <v>44</v>
      </c>
      <c r="C32" s="34">
        <v>9770</v>
      </c>
      <c r="D32" s="33"/>
      <c r="E32" s="33">
        <v>-1.25</v>
      </c>
      <c r="F32" s="34"/>
      <c r="G32" s="36">
        <v>26.055420000000002</v>
      </c>
      <c r="H32" s="36">
        <v>6.059400000000001</v>
      </c>
      <c r="I32" s="36">
        <v>1179.7651800000001</v>
      </c>
      <c r="J32" s="34"/>
      <c r="K32" s="34"/>
      <c r="L32" s="34"/>
      <c r="M32" s="34"/>
      <c r="N32" s="34">
        <f t="shared" si="0"/>
        <v>0</v>
      </c>
      <c r="O32" s="34">
        <f t="shared" si="1"/>
        <v>0</v>
      </c>
      <c r="P32" s="34">
        <f t="shared" si="2"/>
        <v>0</v>
      </c>
      <c r="Q32" s="34">
        <f t="shared" si="3"/>
        <v>0</v>
      </c>
      <c r="R32" s="38" t="s">
        <v>138</v>
      </c>
      <c r="S32" s="38">
        <v>1011</v>
      </c>
      <c r="T32" s="33">
        <v>-520.62840000000006</v>
      </c>
      <c r="U32" s="33">
        <v>-91.875600000000006</v>
      </c>
      <c r="V32" s="33">
        <v>-153.126</v>
      </c>
      <c r="W32" s="33">
        <v>-10023.214285714284</v>
      </c>
      <c r="X32" s="33">
        <v>-1202.785714285714</v>
      </c>
      <c r="Y32" s="33">
        <f t="shared" si="4"/>
        <v>3.4106051316484809E-12</v>
      </c>
      <c r="Z32" s="33"/>
      <c r="AA32" s="39"/>
      <c r="AB32" s="40">
        <v>155</v>
      </c>
      <c r="AC32" s="40">
        <v>255</v>
      </c>
      <c r="AD32" s="40"/>
      <c r="AE32" s="40"/>
      <c r="AF32" s="40"/>
      <c r="AG32" s="40"/>
      <c r="AH32" s="40"/>
      <c r="AI32" s="40"/>
      <c r="AJ32" s="40"/>
      <c r="AK32" s="40"/>
      <c r="AL32" s="33">
        <v>410</v>
      </c>
      <c r="AM32" s="38"/>
      <c r="AN32" s="38"/>
      <c r="AO32" s="33">
        <v>0</v>
      </c>
      <c r="AP32" s="33">
        <v>0</v>
      </c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41">
        <v>410</v>
      </c>
      <c r="BE32" s="136"/>
      <c r="BF32" s="146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</row>
    <row r="33" spans="1:128" s="4" customFormat="1">
      <c r="A33" s="182">
        <v>43449</v>
      </c>
      <c r="B33" s="16" t="s">
        <v>43</v>
      </c>
      <c r="C33" s="34"/>
      <c r="D33" s="33">
        <v>0</v>
      </c>
      <c r="E33" s="33">
        <v>0</v>
      </c>
      <c r="F33" s="34"/>
      <c r="G33" s="36">
        <v>0</v>
      </c>
      <c r="H33" s="36">
        <v>0</v>
      </c>
      <c r="I33" s="36">
        <v>0</v>
      </c>
      <c r="J33" s="34"/>
      <c r="K33" s="34"/>
      <c r="L33" s="34"/>
      <c r="M33" s="34"/>
      <c r="N33" s="34">
        <f t="shared" si="0"/>
        <v>0</v>
      </c>
      <c r="O33" s="34">
        <f t="shared" si="1"/>
        <v>0</v>
      </c>
      <c r="P33" s="34">
        <f t="shared" si="2"/>
        <v>0</v>
      </c>
      <c r="Q33" s="34">
        <f t="shared" si="3"/>
        <v>0</v>
      </c>
      <c r="R33" s="38"/>
      <c r="S33" s="38"/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f t="shared" si="4"/>
        <v>0</v>
      </c>
      <c r="Z33" s="33"/>
      <c r="AA33" s="39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33">
        <v>0</v>
      </c>
      <c r="AM33" s="38"/>
      <c r="AN33" s="38"/>
      <c r="AO33" s="33">
        <v>0</v>
      </c>
      <c r="AP33" s="33">
        <v>0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41">
        <v>0</v>
      </c>
      <c r="BE33" s="136"/>
      <c r="BF33" s="146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</row>
    <row r="34" spans="1:128" s="4" customFormat="1">
      <c r="A34" s="185"/>
      <c r="B34" s="16" t="s">
        <v>44</v>
      </c>
      <c r="C34" s="34">
        <v>2701</v>
      </c>
      <c r="D34" s="33">
        <v>0.42999999999983629</v>
      </c>
      <c r="E34" s="33">
        <v>0</v>
      </c>
      <c r="F34" s="34"/>
      <c r="G34" s="36">
        <v>12.412380000000001</v>
      </c>
      <c r="H34" s="36">
        <v>2.8866000000000005</v>
      </c>
      <c r="I34" s="36">
        <v>562.02102000000002</v>
      </c>
      <c r="J34" s="34"/>
      <c r="K34" s="34"/>
      <c r="L34" s="34"/>
      <c r="M34" s="34"/>
      <c r="N34" s="34">
        <f t="shared" si="0"/>
        <v>0</v>
      </c>
      <c r="O34" s="34">
        <f t="shared" si="1"/>
        <v>0</v>
      </c>
      <c r="P34" s="34">
        <f t="shared" si="2"/>
        <v>0</v>
      </c>
      <c r="Q34" s="34">
        <f t="shared" si="3"/>
        <v>0</v>
      </c>
      <c r="R34" s="38"/>
      <c r="S34" s="38"/>
      <c r="T34" s="33">
        <v>-182.75</v>
      </c>
      <c r="U34" s="33">
        <v>-32.25</v>
      </c>
      <c r="V34" s="33">
        <v>-53.75</v>
      </c>
      <c r="W34" s="33">
        <v>-4635.7142857142853</v>
      </c>
      <c r="X34" s="33">
        <v>-556.28571428571422</v>
      </c>
      <c r="Y34" s="33">
        <f t="shared" si="4"/>
        <v>-2181.9999999999995</v>
      </c>
      <c r="Z34" s="33"/>
      <c r="AA34" s="39"/>
      <c r="AB34" s="40"/>
      <c r="AC34" s="40">
        <v>545</v>
      </c>
      <c r="AD34" s="40">
        <v>285</v>
      </c>
      <c r="AE34" s="40"/>
      <c r="AF34" s="40"/>
      <c r="AG34" s="40"/>
      <c r="AH34" s="40"/>
      <c r="AI34" s="40"/>
      <c r="AJ34" s="40"/>
      <c r="AK34" s="40"/>
      <c r="AL34" s="33">
        <v>830</v>
      </c>
      <c r="AM34" s="38"/>
      <c r="AN34" s="38"/>
      <c r="AO34" s="33"/>
      <c r="AP34" s="33"/>
      <c r="AQ34" s="39"/>
      <c r="AR34" s="39"/>
      <c r="AS34" s="39">
        <v>215</v>
      </c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41">
        <v>830</v>
      </c>
      <c r="BE34" s="136"/>
      <c r="BF34" s="146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</row>
    <row r="35" spans="1:128" s="4" customFormat="1">
      <c r="A35" s="182">
        <v>43451</v>
      </c>
      <c r="B35" s="16" t="s">
        <v>43</v>
      </c>
      <c r="C35" s="34">
        <v>17480</v>
      </c>
      <c r="D35" s="33"/>
      <c r="E35" s="33">
        <v>-0.63000000000101863</v>
      </c>
      <c r="F35" s="34"/>
      <c r="G35" s="36">
        <v>208.96108000000001</v>
      </c>
      <c r="H35" s="36">
        <v>48.595600000000005</v>
      </c>
      <c r="I35" s="36">
        <v>9461.5633200000011</v>
      </c>
      <c r="J35" s="34">
        <v>13.25</v>
      </c>
      <c r="K35" s="34"/>
      <c r="L35" s="34"/>
      <c r="M35" s="34">
        <v>532.17999999999995</v>
      </c>
      <c r="N35" s="34">
        <f t="shared" si="0"/>
        <v>11.830357142857142</v>
      </c>
      <c r="O35" s="34">
        <f t="shared" si="1"/>
        <v>0</v>
      </c>
      <c r="P35" s="34">
        <f t="shared" si="2"/>
        <v>0</v>
      </c>
      <c r="Q35" s="34">
        <f t="shared" si="3"/>
        <v>475.16071428571422</v>
      </c>
      <c r="R35" s="38" t="s">
        <v>138</v>
      </c>
      <c r="S35" s="38">
        <v>1200</v>
      </c>
      <c r="T35" s="33">
        <v>-1423.3964000000001</v>
      </c>
      <c r="U35" s="33">
        <v>-251.1876</v>
      </c>
      <c r="V35" s="33">
        <v>-418.64600000000002</v>
      </c>
      <c r="W35" s="33">
        <v>-23973.830357142855</v>
      </c>
      <c r="X35" s="33">
        <v>-2811.4080428571424</v>
      </c>
      <c r="Y35" s="33">
        <f t="shared" si="4"/>
        <v>-466.72839999999906</v>
      </c>
      <c r="Z35" s="33"/>
      <c r="AA35" s="39"/>
      <c r="AB35" s="40">
        <v>0</v>
      </c>
      <c r="AC35" s="40"/>
      <c r="AD35" s="40"/>
      <c r="AE35" s="40"/>
      <c r="AF35" s="40"/>
      <c r="AG35" s="40"/>
      <c r="AH35" s="40"/>
      <c r="AI35" s="40"/>
      <c r="AJ35" s="40"/>
      <c r="AK35" s="40"/>
      <c r="AL35" s="33">
        <v>0</v>
      </c>
      <c r="AM35" s="38"/>
      <c r="AN35" s="38"/>
      <c r="AO35" s="33">
        <v>0</v>
      </c>
      <c r="AP35" s="33">
        <v>0</v>
      </c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41">
        <v>0</v>
      </c>
      <c r="BE35" s="136"/>
      <c r="BF35" s="146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</row>
    <row r="36" spans="1:128" s="4" customFormat="1">
      <c r="A36" s="185"/>
      <c r="B36" s="16" t="s">
        <v>44</v>
      </c>
      <c r="C36" s="34">
        <v>6100</v>
      </c>
      <c r="D36" s="33"/>
      <c r="E36" s="33">
        <v>-1.7399999999997817</v>
      </c>
      <c r="F36" s="34"/>
      <c r="G36" s="36">
        <v>64.989339999999999</v>
      </c>
      <c r="H36" s="36">
        <v>15.113800000000001</v>
      </c>
      <c r="I36" s="36">
        <v>2942.6568600000001</v>
      </c>
      <c r="J36" s="34">
        <v>77.75</v>
      </c>
      <c r="K36" s="34"/>
      <c r="L36" s="34"/>
      <c r="M36" s="34"/>
      <c r="N36" s="34">
        <f t="shared" si="0"/>
        <v>69.419642857142847</v>
      </c>
      <c r="O36" s="34">
        <f t="shared" si="1"/>
        <v>0</v>
      </c>
      <c r="P36" s="34">
        <f t="shared" si="2"/>
        <v>0</v>
      </c>
      <c r="Q36" s="34">
        <f t="shared" si="3"/>
        <v>0</v>
      </c>
      <c r="R36" s="38" t="s">
        <v>138</v>
      </c>
      <c r="S36" s="38">
        <v>1195</v>
      </c>
      <c r="T36" s="33">
        <v>-427.56360000000001</v>
      </c>
      <c r="U36" s="33">
        <v>-75.452399999999997</v>
      </c>
      <c r="V36" s="33">
        <v>-125.754</v>
      </c>
      <c r="W36" s="33">
        <v>-8718.75</v>
      </c>
      <c r="X36" s="33">
        <v>-1036.92</v>
      </c>
      <c r="Y36" s="33">
        <f t="shared" si="4"/>
        <v>9.3299999999999272</v>
      </c>
      <c r="Z36" s="33"/>
      <c r="AA36" s="39">
        <v>168</v>
      </c>
      <c r="AB36" s="40">
        <v>0</v>
      </c>
      <c r="AC36" s="40"/>
      <c r="AD36" s="40"/>
      <c r="AE36" s="40"/>
      <c r="AF36" s="40"/>
      <c r="AG36" s="40"/>
      <c r="AH36" s="40"/>
      <c r="AI36" s="40"/>
      <c r="AJ36" s="40"/>
      <c r="AK36" s="40"/>
      <c r="AL36" s="33">
        <v>168</v>
      </c>
      <c r="AM36" s="38"/>
      <c r="AN36" s="38"/>
      <c r="AO36" s="33"/>
      <c r="AP36" s="33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41">
        <v>168</v>
      </c>
      <c r="BE36" s="136"/>
      <c r="BF36" s="146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</row>
    <row r="37" spans="1:128" s="4" customFormat="1">
      <c r="A37" s="182">
        <v>43452</v>
      </c>
      <c r="B37" s="16" t="s">
        <v>43</v>
      </c>
      <c r="C37" s="34">
        <v>23718</v>
      </c>
      <c r="D37" s="33"/>
      <c r="E37" s="33">
        <v>-4.2400000000016007</v>
      </c>
      <c r="F37" s="34"/>
      <c r="G37" s="36">
        <v>72.006509999999992</v>
      </c>
      <c r="H37" s="36">
        <v>16.745699999999999</v>
      </c>
      <c r="I37" s="36">
        <v>3260.3877899999998</v>
      </c>
      <c r="J37" s="34">
        <v>13.25</v>
      </c>
      <c r="K37" s="34"/>
      <c r="L37" s="34"/>
      <c r="M37" s="34">
        <v>166.97</v>
      </c>
      <c r="N37" s="34">
        <f t="shared" si="0"/>
        <v>11.830357142857142</v>
      </c>
      <c r="O37" s="34">
        <f t="shared" si="1"/>
        <v>0</v>
      </c>
      <c r="P37" s="34">
        <f t="shared" si="2"/>
        <v>0</v>
      </c>
      <c r="Q37" s="34">
        <f t="shared" si="3"/>
        <v>149.08035714285714</v>
      </c>
      <c r="R37" s="38" t="s">
        <v>138</v>
      </c>
      <c r="S37" s="38">
        <v>3434</v>
      </c>
      <c r="T37" s="33">
        <v>-1134.444</v>
      </c>
      <c r="U37" s="33">
        <v>-200.196</v>
      </c>
      <c r="V37" s="33">
        <v>-333.66</v>
      </c>
      <c r="W37" s="33">
        <v>-25900.732142857141</v>
      </c>
      <c r="X37" s="33">
        <v>-3086.4614571428565</v>
      </c>
      <c r="Y37" s="33">
        <f t="shared" si="4"/>
        <v>-145.34359999999924</v>
      </c>
      <c r="Z37" s="33"/>
      <c r="AA37" s="39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33">
        <v>0</v>
      </c>
      <c r="AM37" s="38"/>
      <c r="AN37" s="38"/>
      <c r="AO37" s="33">
        <v>0</v>
      </c>
      <c r="AP37" s="33">
        <v>0</v>
      </c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41">
        <v>0</v>
      </c>
      <c r="BE37" s="136"/>
      <c r="BF37" s="146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</row>
    <row r="38" spans="1:128" s="4" customFormat="1">
      <c r="A38" s="185"/>
      <c r="B38" s="16" t="s">
        <v>44</v>
      </c>
      <c r="C38" s="34">
        <v>19489</v>
      </c>
      <c r="D38" s="33"/>
      <c r="E38" s="33">
        <v>-8.3300000000017462</v>
      </c>
      <c r="F38" s="34"/>
      <c r="G38" s="36">
        <v>111.59445999999998</v>
      </c>
      <c r="H38" s="36">
        <v>25.952199999999998</v>
      </c>
      <c r="I38" s="36">
        <v>5052.8933399999996</v>
      </c>
      <c r="J38" s="34">
        <v>88</v>
      </c>
      <c r="K38" s="34"/>
      <c r="L38" s="34"/>
      <c r="M38" s="34">
        <v>81.25</v>
      </c>
      <c r="N38" s="34">
        <f t="shared" si="0"/>
        <v>78.571428571428569</v>
      </c>
      <c r="O38" s="34">
        <f t="shared" si="1"/>
        <v>0</v>
      </c>
      <c r="P38" s="34">
        <f t="shared" si="2"/>
        <v>0</v>
      </c>
      <c r="Q38" s="34">
        <f t="shared" si="3"/>
        <v>72.544642857142847</v>
      </c>
      <c r="R38" s="38" t="s">
        <v>138</v>
      </c>
      <c r="S38" s="38">
        <v>3836</v>
      </c>
      <c r="T38" s="33">
        <v>-1362.7947999999999</v>
      </c>
      <c r="U38" s="33">
        <v>-240.4932</v>
      </c>
      <c r="V38" s="33">
        <v>-400.822</v>
      </c>
      <c r="W38" s="33">
        <v>-23814.508928571428</v>
      </c>
      <c r="X38" s="33">
        <v>-2837.4310714285712</v>
      </c>
      <c r="Y38" s="33">
        <f t="shared" si="4"/>
        <v>-60.940000000002328</v>
      </c>
      <c r="Z38" s="33"/>
      <c r="AA38" s="39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33">
        <v>0</v>
      </c>
      <c r="AM38" s="38"/>
      <c r="AN38" s="38"/>
      <c r="AO38" s="33"/>
      <c r="AP38" s="33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41">
        <v>0</v>
      </c>
      <c r="BE38" s="136"/>
      <c r="BF38" s="146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</row>
    <row r="39" spans="1:128" s="4" customFormat="1">
      <c r="A39" s="182">
        <v>43453</v>
      </c>
      <c r="B39" s="16" t="s">
        <v>43</v>
      </c>
      <c r="C39" s="34">
        <v>26890</v>
      </c>
      <c r="D39" s="33">
        <v>0</v>
      </c>
      <c r="E39" s="33">
        <v>-1.1100000000005821</v>
      </c>
      <c r="F39" s="34"/>
      <c r="G39" s="36">
        <v>214.82864499999999</v>
      </c>
      <c r="H39" s="36">
        <v>49.960150000000006</v>
      </c>
      <c r="I39" s="36">
        <v>9727.2412050000003</v>
      </c>
      <c r="J39" s="34">
        <v>86.25</v>
      </c>
      <c r="K39" s="34"/>
      <c r="L39" s="34"/>
      <c r="M39" s="34">
        <v>227.9</v>
      </c>
      <c r="N39" s="34">
        <f t="shared" si="0"/>
        <v>77.008928571428569</v>
      </c>
      <c r="O39" s="34">
        <f t="shared" si="1"/>
        <v>0</v>
      </c>
      <c r="P39" s="34">
        <f t="shared" si="2"/>
        <v>0</v>
      </c>
      <c r="Q39" s="34">
        <f t="shared" si="3"/>
        <v>203.48214285714283</v>
      </c>
      <c r="R39" s="38" t="s">
        <v>138</v>
      </c>
      <c r="S39" s="38">
        <v>2999</v>
      </c>
      <c r="T39" s="33">
        <v>-1998.3976</v>
      </c>
      <c r="U39" s="33">
        <v>-352.65839999999997</v>
      </c>
      <c r="V39" s="33">
        <v>-587.76400000000001</v>
      </c>
      <c r="W39" s="33">
        <v>-33263.616071428565</v>
      </c>
      <c r="X39" s="33">
        <v>-3953.9359285714277</v>
      </c>
      <c r="Y39" s="33">
        <f t="shared" si="4"/>
        <v>-190.20199999999431</v>
      </c>
      <c r="Z39" s="33"/>
      <c r="AA39" s="39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33">
        <v>0</v>
      </c>
      <c r="AM39" s="38"/>
      <c r="AN39" s="38"/>
      <c r="AO39" s="33">
        <v>0</v>
      </c>
      <c r="AP39" s="33">
        <v>0</v>
      </c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41">
        <v>0</v>
      </c>
      <c r="BE39" s="136"/>
      <c r="BF39" s="146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</row>
    <row r="40" spans="1:128" s="4" customFormat="1">
      <c r="A40" s="185"/>
      <c r="B40" s="16" t="s">
        <v>44</v>
      </c>
      <c r="C40" s="34">
        <v>10275</v>
      </c>
      <c r="D40" s="33">
        <v>0</v>
      </c>
      <c r="E40" s="33">
        <v>-4.0499999999992724</v>
      </c>
      <c r="F40" s="34"/>
      <c r="G40" s="36">
        <v>138.05880999999999</v>
      </c>
      <c r="H40" s="36">
        <v>32.106700000000004</v>
      </c>
      <c r="I40" s="36">
        <v>6251.1744899999994</v>
      </c>
      <c r="J40" s="34"/>
      <c r="K40" s="34"/>
      <c r="L40" s="34"/>
      <c r="M40" s="34">
        <v>82.59</v>
      </c>
      <c r="N40" s="34">
        <f t="shared" si="0"/>
        <v>0</v>
      </c>
      <c r="O40" s="34">
        <f t="shared" si="1"/>
        <v>0</v>
      </c>
      <c r="P40" s="34">
        <f t="shared" si="2"/>
        <v>0</v>
      </c>
      <c r="Q40" s="34">
        <f t="shared" si="3"/>
        <v>73.741071428571431</v>
      </c>
      <c r="R40" s="38" t="s">
        <v>138</v>
      </c>
      <c r="S40" s="38">
        <v>473.8</v>
      </c>
      <c r="T40" s="33">
        <v>-869.33920000000001</v>
      </c>
      <c r="U40" s="33">
        <v>-153.4128</v>
      </c>
      <c r="V40" s="33">
        <v>-255.68800000000002</v>
      </c>
      <c r="W40" s="33">
        <v>-14258.428571428571</v>
      </c>
      <c r="X40" s="33">
        <v>-1701.1006285714284</v>
      </c>
      <c r="Y40" s="33">
        <f t="shared" si="4"/>
        <v>-71.8791999999994</v>
      </c>
      <c r="Z40" s="33"/>
      <c r="AA40" s="39">
        <v>255</v>
      </c>
      <c r="AB40" s="40"/>
      <c r="AC40" s="40">
        <v>265</v>
      </c>
      <c r="AD40" s="40">
        <v>333</v>
      </c>
      <c r="AE40" s="40"/>
      <c r="AF40" s="40"/>
      <c r="AG40" s="40"/>
      <c r="AH40" s="40"/>
      <c r="AI40" s="40"/>
      <c r="AJ40" s="40"/>
      <c r="AK40" s="40"/>
      <c r="AL40" s="33">
        <v>853</v>
      </c>
      <c r="AM40" s="38"/>
      <c r="AN40" s="38"/>
      <c r="AO40" s="33">
        <v>0</v>
      </c>
      <c r="AP40" s="33">
        <v>0</v>
      </c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41">
        <v>853</v>
      </c>
      <c r="BE40" s="136"/>
      <c r="BF40" s="146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</row>
    <row r="41" spans="1:128" s="4" customFormat="1">
      <c r="A41" s="182">
        <v>43454</v>
      </c>
      <c r="B41" s="16" t="s">
        <v>43</v>
      </c>
      <c r="C41" s="34">
        <v>20895</v>
      </c>
      <c r="D41" s="33">
        <v>0</v>
      </c>
      <c r="E41" s="33">
        <v>-2.7599999999983993</v>
      </c>
      <c r="F41" s="34"/>
      <c r="G41" s="36">
        <v>389.43938999999995</v>
      </c>
      <c r="H41" s="36">
        <v>90.567300000000003</v>
      </c>
      <c r="I41" s="36">
        <v>17633.453310000001</v>
      </c>
      <c r="J41" s="34">
        <v>435</v>
      </c>
      <c r="K41" s="34"/>
      <c r="L41" s="34"/>
      <c r="M41" s="34">
        <v>164.2</v>
      </c>
      <c r="N41" s="34">
        <f t="shared" si="0"/>
        <v>388.39285714285711</v>
      </c>
      <c r="O41" s="34">
        <f t="shared" si="1"/>
        <v>0</v>
      </c>
      <c r="P41" s="34">
        <f t="shared" si="2"/>
        <v>0</v>
      </c>
      <c r="Q41" s="34">
        <f t="shared" si="3"/>
        <v>146.60714285714283</v>
      </c>
      <c r="R41" s="38" t="s">
        <v>138</v>
      </c>
      <c r="S41" s="38">
        <v>2310</v>
      </c>
      <c r="T41" s="33">
        <v>-2113.7256000000002</v>
      </c>
      <c r="U41" s="33">
        <v>-373.01040000000006</v>
      </c>
      <c r="V41" s="33">
        <v>-621.68400000000008</v>
      </c>
      <c r="W41" s="33">
        <v>-34648.642857142855</v>
      </c>
      <c r="X41" s="33">
        <v>-4085.9331428571427</v>
      </c>
      <c r="Y41" s="33">
        <f t="shared" si="4"/>
        <v>-92.295999999998912</v>
      </c>
      <c r="Z41" s="33"/>
      <c r="AA41" s="39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33">
        <v>0</v>
      </c>
      <c r="AM41" s="38"/>
      <c r="AN41" s="38"/>
      <c r="AO41" s="33">
        <v>0</v>
      </c>
      <c r="AP41" s="33">
        <v>0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41">
        <v>0</v>
      </c>
      <c r="BE41" s="136"/>
      <c r="BF41" s="146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DH41" s="136"/>
      <c r="DI41" s="136"/>
      <c r="DJ41" s="136"/>
      <c r="DK41" s="136"/>
      <c r="DL41" s="136"/>
      <c r="DM41" s="136"/>
      <c r="DN41" s="136"/>
      <c r="DO41" s="136"/>
      <c r="DP41" s="136"/>
      <c r="DQ41" s="136"/>
      <c r="DR41" s="136"/>
      <c r="DS41" s="136"/>
      <c r="DT41" s="136"/>
      <c r="DU41" s="136"/>
      <c r="DV41" s="136"/>
      <c r="DW41" s="136"/>
      <c r="DX41" s="136"/>
    </row>
    <row r="42" spans="1:128" s="4" customFormat="1">
      <c r="A42" s="185"/>
      <c r="B42" s="16" t="s">
        <v>44</v>
      </c>
      <c r="C42" s="34">
        <v>15888</v>
      </c>
      <c r="D42" s="33">
        <v>0</v>
      </c>
      <c r="E42" s="33">
        <v>-0.12000000000080036</v>
      </c>
      <c r="F42" s="34">
        <v>1000</v>
      </c>
      <c r="G42" s="36">
        <v>139.97187999999997</v>
      </c>
      <c r="H42" s="36">
        <v>32.551600000000001</v>
      </c>
      <c r="I42" s="36">
        <v>6337.7965199999999</v>
      </c>
      <c r="J42" s="34">
        <v>22.5</v>
      </c>
      <c r="K42" s="34"/>
      <c r="L42" s="34"/>
      <c r="M42" s="34">
        <v>368.75</v>
      </c>
      <c r="N42" s="34">
        <f t="shared" si="0"/>
        <v>20.089285714285712</v>
      </c>
      <c r="O42" s="34">
        <f t="shared" si="1"/>
        <v>0</v>
      </c>
      <c r="P42" s="34">
        <f t="shared" si="2"/>
        <v>0</v>
      </c>
      <c r="Q42" s="34">
        <f t="shared" si="3"/>
        <v>329.24107142857139</v>
      </c>
      <c r="R42" s="38" t="s">
        <v>138</v>
      </c>
      <c r="S42" s="38">
        <v>4293</v>
      </c>
      <c r="T42" s="33">
        <v>-978.99599999999998</v>
      </c>
      <c r="U42" s="33">
        <v>-172.76399999999998</v>
      </c>
      <c r="V42" s="33">
        <v>-287.94</v>
      </c>
      <c r="W42" s="33">
        <v>-23788.169642857141</v>
      </c>
      <c r="X42" s="33">
        <v>-2807.6303571428571</v>
      </c>
      <c r="Y42" s="33">
        <f t="shared" si="4"/>
        <v>-321.79999999999836</v>
      </c>
      <c r="Z42" s="33"/>
      <c r="AA42" s="39"/>
      <c r="AB42" s="40"/>
      <c r="AC42" s="40"/>
      <c r="AD42" s="40">
        <v>185</v>
      </c>
      <c r="AE42" s="40"/>
      <c r="AF42" s="40"/>
      <c r="AG42" s="40"/>
      <c r="AH42" s="40"/>
      <c r="AI42" s="40"/>
      <c r="AJ42" s="40"/>
      <c r="AK42" s="40"/>
      <c r="AL42" s="33">
        <v>185</v>
      </c>
      <c r="AM42" s="38">
        <v>2400</v>
      </c>
      <c r="AN42" s="38"/>
      <c r="AO42" s="33">
        <v>0</v>
      </c>
      <c r="AP42" s="33">
        <v>0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170"/>
      <c r="BA42" s="39"/>
      <c r="BB42" s="39"/>
      <c r="BC42" s="39"/>
      <c r="BD42" s="41">
        <v>2585</v>
      </c>
      <c r="BE42" s="136"/>
      <c r="BF42" s="146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DH42" s="136"/>
      <c r="DI42" s="136"/>
      <c r="DJ42" s="136"/>
      <c r="DK42" s="136"/>
      <c r="DL42" s="136"/>
      <c r="DM42" s="136"/>
      <c r="DN42" s="136"/>
      <c r="DO42" s="136"/>
      <c r="DP42" s="136"/>
      <c r="DQ42" s="136"/>
      <c r="DR42" s="136"/>
      <c r="DS42" s="136"/>
      <c r="DT42" s="136"/>
      <c r="DU42" s="136"/>
      <c r="DV42" s="136"/>
      <c r="DW42" s="136"/>
      <c r="DX42" s="136"/>
    </row>
    <row r="43" spans="1:128" s="4" customFormat="1">
      <c r="A43" s="182">
        <v>43455</v>
      </c>
      <c r="B43" s="16" t="s">
        <v>43</v>
      </c>
      <c r="C43" s="34">
        <v>22920</v>
      </c>
      <c r="D43" s="33">
        <v>0</v>
      </c>
      <c r="E43" s="33">
        <v>-0.75999999999839929</v>
      </c>
      <c r="F43" s="34"/>
      <c r="G43" s="36">
        <v>179.06532999999999</v>
      </c>
      <c r="H43" s="36">
        <v>41.643100000000004</v>
      </c>
      <c r="I43" s="36">
        <v>8107.9115700000002</v>
      </c>
      <c r="J43" s="34">
        <v>26.5</v>
      </c>
      <c r="K43" s="34"/>
      <c r="L43" s="34"/>
      <c r="M43" s="34">
        <v>329.77</v>
      </c>
      <c r="N43" s="34">
        <f t="shared" si="0"/>
        <v>23.660714285714285</v>
      </c>
      <c r="O43" s="34">
        <f t="shared" si="1"/>
        <v>0</v>
      </c>
      <c r="P43" s="34">
        <f t="shared" si="2"/>
        <v>0</v>
      </c>
      <c r="Q43" s="34">
        <f t="shared" si="3"/>
        <v>294.43749999999994</v>
      </c>
      <c r="R43" s="38" t="s">
        <v>138</v>
      </c>
      <c r="S43" s="38">
        <v>740</v>
      </c>
      <c r="T43" s="33">
        <v>-1684.3531999999998</v>
      </c>
      <c r="U43" s="33">
        <v>-297.23879999999997</v>
      </c>
      <c r="V43" s="33">
        <v>-495.39799999999997</v>
      </c>
      <c r="W43" s="33">
        <v>-26667.089285714283</v>
      </c>
      <c r="X43" s="33">
        <v>-3157.2983142857138</v>
      </c>
      <c r="Y43" s="33">
        <f t="shared" si="4"/>
        <v>-287.01759999999376</v>
      </c>
      <c r="Z43" s="33"/>
      <c r="AA43" s="39">
        <v>0</v>
      </c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33">
        <v>0</v>
      </c>
      <c r="AM43" s="38"/>
      <c r="AN43" s="38"/>
      <c r="AO43" s="33">
        <v>0</v>
      </c>
      <c r="AP43" s="33">
        <v>0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41">
        <v>0</v>
      </c>
      <c r="BE43" s="136"/>
      <c r="BF43" s="146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DH43" s="136"/>
      <c r="DI43" s="136"/>
      <c r="DJ43" s="136"/>
      <c r="DK43" s="136"/>
      <c r="DL43" s="136"/>
      <c r="DM43" s="136"/>
      <c r="DN43" s="136"/>
      <c r="DO43" s="136"/>
      <c r="DP43" s="136"/>
      <c r="DQ43" s="136"/>
      <c r="DR43" s="136"/>
      <c r="DS43" s="136"/>
      <c r="DT43" s="136"/>
      <c r="DU43" s="136"/>
      <c r="DV43" s="136"/>
      <c r="DW43" s="136"/>
      <c r="DX43" s="136"/>
    </row>
    <row r="44" spans="1:128" s="4" customFormat="1">
      <c r="A44" s="185"/>
      <c r="B44" s="16" t="s">
        <v>44</v>
      </c>
      <c r="C44" s="34">
        <v>31832</v>
      </c>
      <c r="D44" s="33">
        <v>0</v>
      </c>
      <c r="E44" s="33">
        <v>-6.3300000000017462</v>
      </c>
      <c r="F44" s="34"/>
      <c r="G44" s="36">
        <v>123.06449499999999</v>
      </c>
      <c r="H44" s="36">
        <v>28.619650000000004</v>
      </c>
      <c r="I44" s="36">
        <v>5572.245855000001</v>
      </c>
      <c r="J44" s="34">
        <v>178.5</v>
      </c>
      <c r="K44" s="34"/>
      <c r="L44" s="34"/>
      <c r="M44" s="34">
        <v>197.54</v>
      </c>
      <c r="N44" s="34">
        <f t="shared" si="0"/>
        <v>159.37499999999997</v>
      </c>
      <c r="O44" s="34">
        <f t="shared" si="1"/>
        <v>0</v>
      </c>
      <c r="P44" s="34">
        <f t="shared" si="2"/>
        <v>0</v>
      </c>
      <c r="Q44" s="34">
        <f t="shared" si="3"/>
        <v>176.37499999999997</v>
      </c>
      <c r="R44" s="38" t="s">
        <v>138</v>
      </c>
      <c r="S44" s="38">
        <v>1711</v>
      </c>
      <c r="T44" s="33">
        <v>-1736.8356000000001</v>
      </c>
      <c r="U44" s="33">
        <v>-306.50040000000001</v>
      </c>
      <c r="V44" s="33">
        <v>-510.83400000000006</v>
      </c>
      <c r="W44" s="33">
        <v>-33109.34821428571</v>
      </c>
      <c r="X44" s="33">
        <v>-3927.9969857142851</v>
      </c>
      <c r="Y44" s="33">
        <f t="shared" si="4"/>
        <v>-152.41519999999491</v>
      </c>
      <c r="Z44" s="33"/>
      <c r="AA44" s="39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33">
        <v>0</v>
      </c>
      <c r="AM44" s="38">
        <v>135</v>
      </c>
      <c r="AN44" s="38">
        <v>0</v>
      </c>
      <c r="AO44" s="33"/>
      <c r="AP44" s="33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41">
        <v>135</v>
      </c>
      <c r="BE44" s="136"/>
      <c r="BF44" s="146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DH44" s="136"/>
      <c r="DI44" s="136"/>
      <c r="DJ44" s="136"/>
      <c r="DK44" s="136"/>
      <c r="DL44" s="136"/>
      <c r="DM44" s="136"/>
      <c r="DN44" s="136"/>
      <c r="DO44" s="136"/>
      <c r="DP44" s="136"/>
      <c r="DQ44" s="136"/>
      <c r="DR44" s="136"/>
      <c r="DS44" s="136"/>
      <c r="DT44" s="136"/>
      <c r="DU44" s="136"/>
      <c r="DV44" s="136"/>
      <c r="DW44" s="136"/>
      <c r="DX44" s="136"/>
    </row>
    <row r="45" spans="1:128" s="4" customFormat="1">
      <c r="A45" s="182">
        <v>43460</v>
      </c>
      <c r="B45" s="32" t="s">
        <v>43</v>
      </c>
      <c r="C45" s="34">
        <v>10985</v>
      </c>
      <c r="D45" s="33">
        <v>0.38999999999941792</v>
      </c>
      <c r="E45" s="33">
        <v>0</v>
      </c>
      <c r="F45" s="34"/>
      <c r="G45" s="36">
        <v>78.224954999999994</v>
      </c>
      <c r="H45" s="36">
        <v>18.191849999999999</v>
      </c>
      <c r="I45" s="36">
        <v>3541.9531949999996</v>
      </c>
      <c r="J45" s="34">
        <v>11.75</v>
      </c>
      <c r="K45" s="34"/>
      <c r="L45" s="34"/>
      <c r="M45" s="34">
        <v>171.76</v>
      </c>
      <c r="N45" s="34">
        <f t="shared" si="0"/>
        <v>10.491071428571427</v>
      </c>
      <c r="O45" s="34">
        <f t="shared" si="1"/>
        <v>0</v>
      </c>
      <c r="P45" s="34">
        <f t="shared" si="2"/>
        <v>0</v>
      </c>
      <c r="Q45" s="34">
        <f t="shared" si="3"/>
        <v>153.35714285714283</v>
      </c>
      <c r="R45" s="38" t="s">
        <v>138</v>
      </c>
      <c r="S45" s="38">
        <v>1738</v>
      </c>
      <c r="T45" s="33">
        <v>-780.5924</v>
      </c>
      <c r="U45" s="33">
        <v>-137.7516</v>
      </c>
      <c r="V45" s="33">
        <v>-229.58600000000001</v>
      </c>
      <c r="W45" s="33">
        <v>-13748.160714285712</v>
      </c>
      <c r="X45" s="33">
        <v>-1627.7580857142852</v>
      </c>
      <c r="Y45" s="33">
        <f t="shared" si="4"/>
        <v>-150.33879999999726</v>
      </c>
      <c r="Z45" s="33"/>
      <c r="AA45" s="39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33">
        <v>0</v>
      </c>
      <c r="AM45" s="38"/>
      <c r="AN45" s="38"/>
      <c r="AO45" s="33">
        <v>0</v>
      </c>
      <c r="AP45" s="33">
        <v>0</v>
      </c>
      <c r="AQ45" s="39"/>
      <c r="AR45" s="39">
        <v>0</v>
      </c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41">
        <v>0</v>
      </c>
      <c r="BE45" s="136"/>
      <c r="BF45" s="146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DH45" s="136"/>
      <c r="DI45" s="136"/>
      <c r="DJ45" s="136"/>
      <c r="DK45" s="136"/>
      <c r="DL45" s="136"/>
      <c r="DM45" s="136"/>
      <c r="DN45" s="136"/>
      <c r="DO45" s="136"/>
      <c r="DP45" s="136"/>
      <c r="DQ45" s="136"/>
      <c r="DR45" s="136"/>
      <c r="DS45" s="136"/>
      <c r="DT45" s="136"/>
      <c r="DU45" s="136"/>
      <c r="DV45" s="136"/>
      <c r="DW45" s="136"/>
      <c r="DX45" s="136"/>
    </row>
    <row r="46" spans="1:128" s="4" customFormat="1">
      <c r="A46" s="185"/>
      <c r="B46" s="15" t="s">
        <v>44</v>
      </c>
      <c r="C46" s="34">
        <v>4770</v>
      </c>
      <c r="D46" s="33">
        <v>0</v>
      </c>
      <c r="E46" s="33">
        <v>-1.0000000000218279E-2</v>
      </c>
      <c r="F46" s="34"/>
      <c r="G46" s="36">
        <v>44.028989999999993</v>
      </c>
      <c r="H46" s="36">
        <v>10.2393</v>
      </c>
      <c r="I46" s="36">
        <v>1993.5917099999999</v>
      </c>
      <c r="J46" s="34">
        <v>39</v>
      </c>
      <c r="K46" s="34"/>
      <c r="L46" s="34"/>
      <c r="M46" s="34"/>
      <c r="N46" s="34">
        <f t="shared" si="0"/>
        <v>34.821428571428569</v>
      </c>
      <c r="O46" s="34">
        <f t="shared" si="1"/>
        <v>0</v>
      </c>
      <c r="P46" s="34">
        <f t="shared" si="2"/>
        <v>0</v>
      </c>
      <c r="Q46" s="34">
        <f t="shared" si="3"/>
        <v>0</v>
      </c>
      <c r="R46" s="38" t="s">
        <v>138</v>
      </c>
      <c r="S46" s="38">
        <v>2531</v>
      </c>
      <c r="T46" s="33">
        <v>-380.01800000000003</v>
      </c>
      <c r="U46" s="33">
        <v>-67.061999999999998</v>
      </c>
      <c r="V46" s="33">
        <v>-111.77000000000001</v>
      </c>
      <c r="W46" s="33">
        <v>-7883.0357142857138</v>
      </c>
      <c r="X46" s="33">
        <v>-941.2842857142856</v>
      </c>
      <c r="Y46" s="33">
        <f t="shared" si="4"/>
        <v>4.6799999999988131</v>
      </c>
      <c r="Z46" s="33"/>
      <c r="AA46" s="39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33">
        <v>0</v>
      </c>
      <c r="AM46" s="38"/>
      <c r="AN46" s="38"/>
      <c r="AO46" s="33"/>
      <c r="AP46" s="33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41">
        <v>0</v>
      </c>
      <c r="BE46" s="136"/>
      <c r="BF46" s="146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DH46" s="136"/>
      <c r="DI46" s="136"/>
      <c r="DJ46" s="136"/>
      <c r="DK46" s="136"/>
      <c r="DL46" s="136"/>
      <c r="DM46" s="136"/>
      <c r="DN46" s="136"/>
      <c r="DO46" s="136"/>
      <c r="DP46" s="136"/>
      <c r="DQ46" s="136"/>
      <c r="DR46" s="136"/>
      <c r="DS46" s="136"/>
      <c r="DT46" s="136"/>
      <c r="DU46" s="136"/>
      <c r="DV46" s="136"/>
      <c r="DW46" s="136"/>
      <c r="DX46" s="136"/>
    </row>
    <row r="47" spans="1:128" s="4" customFormat="1">
      <c r="A47" s="182">
        <v>43461</v>
      </c>
      <c r="B47" s="15" t="s">
        <v>43</v>
      </c>
      <c r="C47" s="34">
        <v>12588</v>
      </c>
      <c r="D47" s="33">
        <v>0.37000000000080036</v>
      </c>
      <c r="E47" s="33">
        <v>0</v>
      </c>
      <c r="F47" s="34"/>
      <c r="G47" s="36">
        <v>87.566059999999993</v>
      </c>
      <c r="H47" s="36">
        <v>20.3642</v>
      </c>
      <c r="I47" s="36">
        <v>3964.9097400000001</v>
      </c>
      <c r="J47" s="34">
        <v>156.25</v>
      </c>
      <c r="K47" s="34">
        <v>13.5</v>
      </c>
      <c r="L47" s="34"/>
      <c r="M47" s="34">
        <v>114.29</v>
      </c>
      <c r="N47" s="34">
        <f t="shared" si="0"/>
        <v>139.50892857142856</v>
      </c>
      <c r="O47" s="34">
        <f t="shared" si="1"/>
        <v>12.053571428571427</v>
      </c>
      <c r="P47" s="34">
        <f t="shared" si="2"/>
        <v>0</v>
      </c>
      <c r="Q47" s="34">
        <f t="shared" si="3"/>
        <v>102.04464285714285</v>
      </c>
      <c r="R47" s="38" t="s">
        <v>138</v>
      </c>
      <c r="S47" s="38">
        <v>661.5</v>
      </c>
      <c r="T47" s="33">
        <v>-908.01760000000002</v>
      </c>
      <c r="U47" s="33">
        <v>-160.23840000000001</v>
      </c>
      <c r="V47" s="33">
        <v>-267.06400000000002</v>
      </c>
      <c r="W47" s="33">
        <v>-14528.062499999998</v>
      </c>
      <c r="X47" s="33">
        <v>-1709.2826999999995</v>
      </c>
      <c r="Y47" s="33">
        <f t="shared" si="4"/>
        <v>-80.205199999996466</v>
      </c>
      <c r="Z47" s="33"/>
      <c r="AA47" s="39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33">
        <v>0</v>
      </c>
      <c r="AM47" s="38"/>
      <c r="AN47" s="38"/>
      <c r="AO47" s="33">
        <v>0</v>
      </c>
      <c r="AP47" s="33">
        <v>0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41">
        <v>0</v>
      </c>
      <c r="BE47" s="136"/>
      <c r="BF47" s="146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DH47" s="136"/>
      <c r="DI47" s="136"/>
      <c r="DJ47" s="136"/>
      <c r="DK47" s="136"/>
      <c r="DL47" s="136"/>
      <c r="DM47" s="136"/>
      <c r="DN47" s="136"/>
      <c r="DO47" s="136"/>
      <c r="DP47" s="136"/>
      <c r="DQ47" s="136"/>
      <c r="DR47" s="136"/>
      <c r="DS47" s="136"/>
      <c r="DT47" s="136"/>
      <c r="DU47" s="136"/>
      <c r="DV47" s="136"/>
      <c r="DW47" s="136"/>
      <c r="DX47" s="136"/>
    </row>
    <row r="48" spans="1:128" s="4" customFormat="1">
      <c r="A48" s="185"/>
      <c r="B48" s="15" t="s">
        <v>44</v>
      </c>
      <c r="C48" s="34">
        <v>14667</v>
      </c>
      <c r="D48" s="33">
        <v>0.28000000000065484</v>
      </c>
      <c r="E48" s="33">
        <v>0</v>
      </c>
      <c r="F48" s="34">
        <v>3500</v>
      </c>
      <c r="G48" s="36">
        <v>111.18467</v>
      </c>
      <c r="H48" s="36">
        <v>25.8569</v>
      </c>
      <c r="I48" s="36">
        <v>5034.3384300000007</v>
      </c>
      <c r="J48" s="34">
        <v>646</v>
      </c>
      <c r="K48" s="34">
        <v>76.5</v>
      </c>
      <c r="L48" s="34"/>
      <c r="M48" s="34">
        <v>242.42</v>
      </c>
      <c r="N48" s="34">
        <f t="shared" si="0"/>
        <v>576.78571428571422</v>
      </c>
      <c r="O48" s="34">
        <f t="shared" si="1"/>
        <v>68.303571428571416</v>
      </c>
      <c r="P48" s="34">
        <f t="shared" si="2"/>
        <v>0</v>
      </c>
      <c r="Q48" s="34">
        <f t="shared" si="3"/>
        <v>216.44642857142853</v>
      </c>
      <c r="R48" s="38" t="s">
        <v>138</v>
      </c>
      <c r="S48" s="38">
        <v>1026</v>
      </c>
      <c r="T48" s="33">
        <v>-1052.6536000000001</v>
      </c>
      <c r="U48" s="33">
        <v>-185.76240000000001</v>
      </c>
      <c r="V48" s="33">
        <v>-309.60400000000004</v>
      </c>
      <c r="W48" s="33">
        <v>-21233.535714285714</v>
      </c>
      <c r="X48" s="33">
        <v>-2432.2338857142859</v>
      </c>
      <c r="Y48" s="33">
        <f t="shared" si="4"/>
        <v>-126.62960000000385</v>
      </c>
      <c r="Z48" s="33"/>
      <c r="AA48" s="39"/>
      <c r="AB48" s="40"/>
      <c r="AC48" s="40">
        <v>110</v>
      </c>
      <c r="AD48" s="40">
        <v>520</v>
      </c>
      <c r="AE48" s="40"/>
      <c r="AF48" s="40"/>
      <c r="AG48" s="40"/>
      <c r="AH48" s="40"/>
      <c r="AI48" s="40"/>
      <c r="AJ48" s="40"/>
      <c r="AK48" s="40"/>
      <c r="AL48" s="33">
        <v>630</v>
      </c>
      <c r="AM48" s="38"/>
      <c r="AN48" s="38"/>
      <c r="AO48" s="33"/>
      <c r="AP48" s="33"/>
      <c r="AQ48" s="39"/>
      <c r="AR48" s="39"/>
      <c r="AS48" s="39"/>
      <c r="AT48" s="39"/>
      <c r="AU48" s="39">
        <v>0</v>
      </c>
      <c r="AV48" s="39"/>
      <c r="AW48" s="39"/>
      <c r="AX48" s="39"/>
      <c r="AY48" s="39"/>
      <c r="AZ48" s="39"/>
      <c r="BA48" s="39"/>
      <c r="BB48" s="39"/>
      <c r="BC48" s="39"/>
      <c r="BD48" s="41">
        <v>630</v>
      </c>
      <c r="BE48" s="136"/>
      <c r="BF48" s="146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DH48" s="136"/>
      <c r="DI48" s="136"/>
      <c r="DJ48" s="136"/>
      <c r="DK48" s="136"/>
      <c r="DL48" s="136"/>
      <c r="DM48" s="136"/>
      <c r="DN48" s="136"/>
      <c r="DO48" s="136"/>
      <c r="DP48" s="136"/>
      <c r="DQ48" s="136"/>
      <c r="DR48" s="136"/>
      <c r="DS48" s="136"/>
      <c r="DT48" s="136"/>
      <c r="DU48" s="136"/>
      <c r="DV48" s="136"/>
      <c r="DW48" s="136"/>
      <c r="DX48" s="136"/>
    </row>
    <row r="49" spans="1:128" s="4" customFormat="1">
      <c r="A49" s="182">
        <v>43462</v>
      </c>
      <c r="B49" s="16" t="s">
        <v>43</v>
      </c>
      <c r="C49" s="34">
        <v>20780</v>
      </c>
      <c r="D49" s="33">
        <v>0</v>
      </c>
      <c r="E49" s="33">
        <v>-5.8600000000005821</v>
      </c>
      <c r="F49" s="34"/>
      <c r="G49" s="36">
        <v>105.62240499999999</v>
      </c>
      <c r="H49" s="36">
        <v>24.56335</v>
      </c>
      <c r="I49" s="36">
        <v>4782.4842449999996</v>
      </c>
      <c r="J49" s="34">
        <v>133</v>
      </c>
      <c r="K49" s="34"/>
      <c r="L49" s="34"/>
      <c r="M49" s="34">
        <v>189.29</v>
      </c>
      <c r="N49" s="34">
        <f t="shared" si="0"/>
        <v>118.74999999999999</v>
      </c>
      <c r="O49" s="34">
        <f t="shared" si="1"/>
        <v>0</v>
      </c>
      <c r="P49" s="34">
        <f t="shared" si="2"/>
        <v>0</v>
      </c>
      <c r="Q49" s="34">
        <f t="shared" si="3"/>
        <v>169.00892857142856</v>
      </c>
      <c r="R49" s="38" t="s">
        <v>138</v>
      </c>
      <c r="S49" s="38">
        <v>2560</v>
      </c>
      <c r="T49" s="33">
        <v>-1270.0156000000002</v>
      </c>
      <c r="U49" s="33">
        <v>-224.12040000000002</v>
      </c>
      <c r="V49" s="33">
        <v>-373.53400000000005</v>
      </c>
      <c r="W49" s="33">
        <v>-23840.562499999996</v>
      </c>
      <c r="X49" s="33">
        <v>-2822.1926999999991</v>
      </c>
      <c r="Y49" s="33">
        <f t="shared" si="4"/>
        <v>-150.61519999999609</v>
      </c>
      <c r="Z49" s="33"/>
      <c r="AA49" s="39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33">
        <v>0</v>
      </c>
      <c r="AM49" s="38"/>
      <c r="AN49" s="38"/>
      <c r="AO49" s="33">
        <v>0</v>
      </c>
      <c r="AP49" s="33">
        <v>0</v>
      </c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41">
        <v>0</v>
      </c>
      <c r="BE49" s="136"/>
      <c r="BF49" s="146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DH49" s="136"/>
      <c r="DI49" s="136"/>
      <c r="DJ49" s="136"/>
      <c r="DK49" s="136"/>
      <c r="DL49" s="136"/>
      <c r="DM49" s="136"/>
      <c r="DN49" s="136"/>
      <c r="DO49" s="136"/>
      <c r="DP49" s="136"/>
      <c r="DQ49" s="136"/>
      <c r="DR49" s="136"/>
      <c r="DS49" s="136"/>
      <c r="DT49" s="136"/>
      <c r="DU49" s="136"/>
      <c r="DV49" s="136"/>
      <c r="DW49" s="136"/>
      <c r="DX49" s="136"/>
    </row>
    <row r="50" spans="1:128" s="4" customFormat="1">
      <c r="A50" s="185"/>
      <c r="B50" s="16" t="s">
        <v>44</v>
      </c>
      <c r="C50" s="34">
        <v>11775</v>
      </c>
      <c r="D50" s="33">
        <v>0</v>
      </c>
      <c r="E50" s="33">
        <v>-0.28000000000065484</v>
      </c>
      <c r="F50" s="34">
        <v>200</v>
      </c>
      <c r="G50" s="36">
        <v>30.562679999999997</v>
      </c>
      <c r="H50" s="36">
        <v>7.1075999999999997</v>
      </c>
      <c r="I50" s="36">
        <v>1383.8497199999999</v>
      </c>
      <c r="J50" s="34"/>
      <c r="K50" s="34"/>
      <c r="L50" s="34"/>
      <c r="M50" s="34">
        <v>88.84</v>
      </c>
      <c r="N50" s="34">
        <f t="shared" si="0"/>
        <v>0</v>
      </c>
      <c r="O50" s="34">
        <f t="shared" si="1"/>
        <v>0</v>
      </c>
      <c r="P50" s="34">
        <f t="shared" si="2"/>
        <v>0</v>
      </c>
      <c r="Q50" s="34">
        <f t="shared" si="3"/>
        <v>79.321428571428569</v>
      </c>
      <c r="R50" s="38" t="s">
        <v>138</v>
      </c>
      <c r="S50" s="38">
        <v>1430</v>
      </c>
      <c r="T50" s="33">
        <v>-689.09840000000008</v>
      </c>
      <c r="U50" s="33">
        <v>-121.60560000000001</v>
      </c>
      <c r="V50" s="33">
        <v>-202.67600000000002</v>
      </c>
      <c r="W50" s="33">
        <v>-12412.232142857143</v>
      </c>
      <c r="X50" s="33">
        <v>-1478.807057142857</v>
      </c>
      <c r="Y50" s="33">
        <f t="shared" si="4"/>
        <v>-78.17920000000322</v>
      </c>
      <c r="Z50" s="33"/>
      <c r="AA50" s="39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33">
        <v>0</v>
      </c>
      <c r="AM50" s="38"/>
      <c r="AN50" s="38"/>
      <c r="AO50" s="33">
        <v>0</v>
      </c>
      <c r="AP50" s="33">
        <v>0</v>
      </c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41">
        <v>0</v>
      </c>
      <c r="BE50" s="136"/>
      <c r="BF50" s="146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DH50" s="136"/>
      <c r="DI50" s="136"/>
      <c r="DJ50" s="136"/>
      <c r="DK50" s="136"/>
      <c r="DL50" s="136"/>
      <c r="DM50" s="136"/>
      <c r="DN50" s="136"/>
      <c r="DO50" s="136"/>
      <c r="DP50" s="136"/>
      <c r="DQ50" s="136"/>
      <c r="DR50" s="136"/>
      <c r="DS50" s="136"/>
      <c r="DT50" s="136"/>
      <c r="DU50" s="136"/>
      <c r="DV50" s="136"/>
      <c r="DW50" s="136"/>
      <c r="DX50" s="136"/>
    </row>
    <row r="51" spans="1:128" s="4" customFormat="1">
      <c r="A51" s="182">
        <v>43463</v>
      </c>
      <c r="B51" s="16" t="s">
        <v>43</v>
      </c>
      <c r="C51" s="34"/>
      <c r="D51" s="33">
        <v>0</v>
      </c>
      <c r="E51" s="33">
        <v>0</v>
      </c>
      <c r="F51" s="34"/>
      <c r="G51" s="36">
        <v>0</v>
      </c>
      <c r="H51" s="36">
        <v>0</v>
      </c>
      <c r="I51" s="36">
        <v>0</v>
      </c>
      <c r="J51" s="34"/>
      <c r="K51" s="34"/>
      <c r="L51" s="34"/>
      <c r="M51" s="34"/>
      <c r="N51" s="34">
        <f t="shared" si="0"/>
        <v>0</v>
      </c>
      <c r="O51" s="34">
        <f t="shared" si="1"/>
        <v>0</v>
      </c>
      <c r="P51" s="34">
        <f t="shared" si="2"/>
        <v>0</v>
      </c>
      <c r="Q51" s="34">
        <f t="shared" si="3"/>
        <v>0</v>
      </c>
      <c r="R51" s="38"/>
      <c r="S51" s="38"/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f t="shared" si="4"/>
        <v>0</v>
      </c>
      <c r="Z51" s="33"/>
      <c r="AA51" s="39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33">
        <v>0</v>
      </c>
      <c r="AM51" s="38"/>
      <c r="AN51" s="38"/>
      <c r="AO51" s="33">
        <v>0</v>
      </c>
      <c r="AP51" s="33">
        <v>0</v>
      </c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41">
        <v>0</v>
      </c>
      <c r="BE51" s="136"/>
      <c r="BF51" s="146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DH51" s="136"/>
      <c r="DI51" s="136"/>
      <c r="DJ51" s="136"/>
      <c r="DK51" s="136"/>
      <c r="DL51" s="136"/>
      <c r="DM51" s="136"/>
      <c r="DN51" s="136"/>
      <c r="DO51" s="136"/>
      <c r="DP51" s="136"/>
      <c r="DQ51" s="136"/>
      <c r="DR51" s="136"/>
      <c r="DS51" s="136"/>
      <c r="DT51" s="136"/>
      <c r="DU51" s="136"/>
      <c r="DV51" s="136"/>
      <c r="DW51" s="136"/>
      <c r="DX51" s="136"/>
    </row>
    <row r="52" spans="1:128" s="4" customFormat="1">
      <c r="A52" s="185"/>
      <c r="B52" s="16" t="s">
        <v>44</v>
      </c>
      <c r="C52" s="34">
        <v>6013</v>
      </c>
      <c r="D52" s="33">
        <v>0</v>
      </c>
      <c r="E52" s="33">
        <v>-0.14000000000032742</v>
      </c>
      <c r="F52" s="34"/>
      <c r="G52" s="36">
        <v>36.930765000000001</v>
      </c>
      <c r="H52" s="36">
        <v>8.5885499999999997</v>
      </c>
      <c r="I52" s="36">
        <v>1672.190685</v>
      </c>
      <c r="J52" s="34"/>
      <c r="K52" s="34"/>
      <c r="L52" s="34"/>
      <c r="M52" s="34">
        <v>59.64</v>
      </c>
      <c r="N52" s="34">
        <f t="shared" si="0"/>
        <v>0</v>
      </c>
      <c r="O52" s="34">
        <f t="shared" si="1"/>
        <v>0</v>
      </c>
      <c r="P52" s="34">
        <f t="shared" si="2"/>
        <v>0</v>
      </c>
      <c r="Q52" s="34">
        <f t="shared" si="3"/>
        <v>53.249999999999993</v>
      </c>
      <c r="R52" s="38"/>
      <c r="S52" s="38"/>
      <c r="T52" s="33">
        <v>-432.48</v>
      </c>
      <c r="U52" s="33">
        <v>-76.319999999999993</v>
      </c>
      <c r="V52" s="33">
        <v>-127.2</v>
      </c>
      <c r="W52" s="33">
        <v>-6387.6874999999991</v>
      </c>
      <c r="X52" s="33">
        <v>-759.36569999999983</v>
      </c>
      <c r="Y52" s="33">
        <f t="shared" si="4"/>
        <v>-52.483199999998305</v>
      </c>
      <c r="Z52" s="33"/>
      <c r="AA52" s="39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33">
        <v>0</v>
      </c>
      <c r="AM52" s="168"/>
      <c r="AN52" s="38"/>
      <c r="AO52" s="33"/>
      <c r="AP52" s="33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41">
        <v>0</v>
      </c>
      <c r="BE52" s="136"/>
      <c r="BF52" s="146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DH52" s="136"/>
      <c r="DI52" s="136"/>
      <c r="DJ52" s="136"/>
      <c r="DK52" s="136"/>
      <c r="DL52" s="136"/>
      <c r="DM52" s="136"/>
      <c r="DN52" s="136"/>
      <c r="DO52" s="136"/>
      <c r="DP52" s="136"/>
      <c r="DQ52" s="136"/>
      <c r="DR52" s="136"/>
      <c r="DS52" s="136"/>
      <c r="DT52" s="136"/>
      <c r="DU52" s="136"/>
      <c r="DV52" s="136"/>
      <c r="DW52" s="136"/>
      <c r="DX52" s="136"/>
    </row>
    <row r="53" spans="1:128">
      <c r="C53" s="147"/>
      <c r="D53" s="147"/>
    </row>
    <row r="54" spans="1:128">
      <c r="C54" s="147"/>
      <c r="D54" s="147"/>
    </row>
    <row r="55" spans="1:128">
      <c r="C55" s="147"/>
      <c r="D55" s="147"/>
    </row>
    <row r="56" spans="1:128">
      <c r="C56" s="147"/>
      <c r="D56" s="147"/>
    </row>
    <row r="57" spans="1:128">
      <c r="C57" s="147"/>
      <c r="D57" s="147"/>
    </row>
    <row r="58" spans="1:128">
      <c r="C58" s="147"/>
      <c r="D58" s="147"/>
    </row>
    <row r="59" spans="1:128">
      <c r="C59" s="147"/>
      <c r="D59" s="147"/>
    </row>
    <row r="60" spans="1:128">
      <c r="C60" s="147"/>
      <c r="D60" s="147"/>
    </row>
    <row r="61" spans="1:128">
      <c r="C61" s="147"/>
      <c r="D61" s="147"/>
    </row>
    <row r="62" spans="1:128">
      <c r="C62" s="147"/>
      <c r="D62" s="147"/>
    </row>
    <row r="63" spans="1:128">
      <c r="C63" s="147"/>
      <c r="D63" s="147"/>
    </row>
    <row r="64" spans="1:128">
      <c r="C64" s="147"/>
      <c r="D64" s="147"/>
    </row>
    <row r="65" spans="3:4">
      <c r="C65" s="147"/>
      <c r="D65" s="147"/>
    </row>
    <row r="66" spans="3:4">
      <c r="C66" s="147"/>
      <c r="D66" s="147"/>
    </row>
    <row r="67" spans="3:4">
      <c r="C67" s="147"/>
      <c r="D67" s="147"/>
    </row>
    <row r="68" spans="3:4">
      <c r="C68" s="147"/>
      <c r="D68" s="147"/>
    </row>
    <row r="69" spans="3:4">
      <c r="C69" s="147"/>
      <c r="D69" s="147"/>
    </row>
    <row r="70" spans="3:4">
      <c r="C70" s="147"/>
      <c r="D70" s="147"/>
    </row>
    <row r="71" spans="3:4">
      <c r="C71" s="147"/>
      <c r="D71" s="147"/>
    </row>
    <row r="72" spans="3:4">
      <c r="C72" s="147"/>
      <c r="D72" s="147"/>
    </row>
    <row r="73" spans="3:4">
      <c r="C73" s="147"/>
      <c r="D73" s="147"/>
    </row>
    <row r="74" spans="3:4">
      <c r="C74" s="147"/>
      <c r="D74" s="147"/>
    </row>
    <row r="75" spans="3:4">
      <c r="C75" s="147"/>
      <c r="D75" s="147"/>
    </row>
    <row r="76" spans="3:4">
      <c r="C76" s="147"/>
      <c r="D76" s="147"/>
    </row>
    <row r="77" spans="3:4">
      <c r="C77" s="147"/>
      <c r="D77" s="147"/>
    </row>
    <row r="78" spans="3:4">
      <c r="C78" s="147"/>
      <c r="D78" s="147"/>
    </row>
    <row r="79" spans="3:4">
      <c r="C79" s="147"/>
      <c r="D79" s="147"/>
    </row>
    <row r="80" spans="3:4">
      <c r="C80" s="147"/>
      <c r="D80" s="147"/>
    </row>
    <row r="81" spans="3:4">
      <c r="C81" s="147"/>
      <c r="D81" s="147"/>
    </row>
    <row r="82" spans="3:4">
      <c r="C82" s="147"/>
      <c r="D82" s="147"/>
    </row>
    <row r="83" spans="3:4">
      <c r="C83" s="147"/>
      <c r="D83" s="147"/>
    </row>
    <row r="84" spans="3:4">
      <c r="C84" s="147"/>
      <c r="D84" s="147"/>
    </row>
    <row r="85" spans="3:4">
      <c r="C85" s="147"/>
      <c r="D85" s="147"/>
    </row>
    <row r="86" spans="3:4">
      <c r="C86" s="147"/>
      <c r="D86" s="147"/>
    </row>
    <row r="87" spans="3:4">
      <c r="C87" s="147"/>
      <c r="D87" s="147"/>
    </row>
    <row r="88" spans="3:4">
      <c r="C88" s="147"/>
      <c r="D88" s="147"/>
    </row>
    <row r="89" spans="3:4">
      <c r="C89" s="147"/>
      <c r="D89" s="147"/>
    </row>
    <row r="90" spans="3:4">
      <c r="C90" s="147"/>
      <c r="D90" s="147"/>
    </row>
    <row r="91" spans="3:4">
      <c r="C91" s="147"/>
      <c r="D91" s="147"/>
    </row>
    <row r="92" spans="3:4">
      <c r="C92" s="147"/>
      <c r="D92" s="147"/>
    </row>
    <row r="93" spans="3:4">
      <c r="C93" s="147"/>
      <c r="D93" s="147"/>
    </row>
    <row r="94" spans="3:4">
      <c r="C94" s="147"/>
      <c r="D94" s="147"/>
    </row>
    <row r="95" spans="3:4">
      <c r="C95" s="147"/>
      <c r="D95" s="147"/>
    </row>
    <row r="96" spans="3:4">
      <c r="C96" s="147"/>
      <c r="D96" s="147"/>
    </row>
    <row r="97" spans="3:4">
      <c r="C97" s="147"/>
      <c r="D97" s="147"/>
    </row>
    <row r="98" spans="3:4">
      <c r="C98" s="147"/>
      <c r="D98" s="147"/>
    </row>
    <row r="99" spans="3:4">
      <c r="C99" s="147"/>
      <c r="D99" s="147"/>
    </row>
    <row r="100" spans="3:4">
      <c r="C100" s="147"/>
      <c r="D100" s="147"/>
    </row>
    <row r="101" spans="3:4">
      <c r="C101" s="147"/>
      <c r="D101" s="147"/>
    </row>
    <row r="102" spans="3:4">
      <c r="C102" s="147"/>
      <c r="D102" s="147"/>
    </row>
    <row r="103" spans="3:4">
      <c r="C103" s="147"/>
      <c r="D103" s="147"/>
    </row>
    <row r="104" spans="3:4">
      <c r="C104" s="147"/>
      <c r="D104" s="147"/>
    </row>
    <row r="105" spans="3:4">
      <c r="C105" s="147"/>
      <c r="D105" s="147"/>
    </row>
    <row r="106" spans="3:4">
      <c r="C106" s="147"/>
      <c r="D106" s="147"/>
    </row>
    <row r="107" spans="3:4">
      <c r="C107" s="147"/>
      <c r="D107" s="147"/>
    </row>
    <row r="108" spans="3:4">
      <c r="C108" s="147"/>
      <c r="D108" s="147"/>
    </row>
    <row r="109" spans="3:4">
      <c r="C109" s="147"/>
      <c r="D109" s="147"/>
    </row>
    <row r="110" spans="3:4">
      <c r="C110" s="147"/>
      <c r="D110" s="147"/>
    </row>
    <row r="111" spans="3:4">
      <c r="C111" s="147"/>
      <c r="D111" s="147"/>
    </row>
    <row r="112" spans="3:4">
      <c r="C112" s="147"/>
      <c r="D112" s="147"/>
    </row>
    <row r="113" spans="3:4">
      <c r="C113" s="147"/>
      <c r="D113" s="147"/>
    </row>
    <row r="114" spans="3:4">
      <c r="C114" s="147"/>
      <c r="D114" s="147"/>
    </row>
    <row r="115" spans="3:4">
      <c r="C115" s="147"/>
      <c r="D115" s="147"/>
    </row>
    <row r="116" spans="3:4">
      <c r="C116" s="147"/>
      <c r="D116" s="147"/>
    </row>
    <row r="117" spans="3:4">
      <c r="C117" s="147"/>
      <c r="D117" s="147"/>
    </row>
    <row r="118" spans="3:4">
      <c r="C118" s="147"/>
      <c r="D118" s="147"/>
    </row>
    <row r="119" spans="3:4">
      <c r="C119" s="147"/>
      <c r="D119" s="147"/>
    </row>
    <row r="120" spans="3:4">
      <c r="C120" s="147"/>
      <c r="D120" s="147"/>
    </row>
  </sheetData>
  <mergeCells count="42">
    <mergeCell ref="AW6:AW7"/>
    <mergeCell ref="AX6:AX7"/>
    <mergeCell ref="AY6:AY7"/>
    <mergeCell ref="AZ6:AZ7"/>
    <mergeCell ref="BD6:BD7"/>
    <mergeCell ref="AV6:AV7"/>
    <mergeCell ref="AH6:AH7"/>
    <mergeCell ref="AI6:AI7"/>
    <mergeCell ref="AJ6:AJ7"/>
    <mergeCell ref="AM6:AM7"/>
    <mergeCell ref="AO6:AO7"/>
    <mergeCell ref="AP6:AP7"/>
    <mergeCell ref="AQ6:AQ7"/>
    <mergeCell ref="AR6:AR7"/>
    <mergeCell ref="AS6:AS7"/>
    <mergeCell ref="AT6:AT7"/>
    <mergeCell ref="AU6:AU7"/>
    <mergeCell ref="K6:K7"/>
    <mergeCell ref="L6:L7"/>
    <mergeCell ref="M6:M7"/>
    <mergeCell ref="R6:S6"/>
    <mergeCell ref="AG6:AG7"/>
    <mergeCell ref="T6:U6"/>
    <mergeCell ref="V6:V7"/>
    <mergeCell ref="W6:W7"/>
    <mergeCell ref="X6:X7"/>
    <mergeCell ref="Y6:Y7"/>
    <mergeCell ref="AB6:AB7"/>
    <mergeCell ref="AC6:AC7"/>
    <mergeCell ref="AD6:AD7"/>
    <mergeCell ref="AE6:AE7"/>
    <mergeCell ref="AF6:AF7"/>
    <mergeCell ref="I6:I7"/>
    <mergeCell ref="D6:D7"/>
    <mergeCell ref="E6:E7"/>
    <mergeCell ref="F6:F7"/>
    <mergeCell ref="J6:J7"/>
    <mergeCell ref="A6:A7"/>
    <mergeCell ref="B6:B7"/>
    <mergeCell ref="C6:C7"/>
    <mergeCell ref="G6:G7"/>
    <mergeCell ref="H6:H7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RowHeight="14.4"/>
  <cols>
    <col min="1" max="1" width="22.5546875" bestFit="1" customWidth="1"/>
    <col min="11" max="11" width="10" customWidth="1"/>
    <col min="12" max="12" width="10.109375" customWidth="1"/>
    <col min="13" max="13" width="9.5546875" customWidth="1"/>
    <col min="14" max="14" width="11.33203125" customWidth="1"/>
    <col min="15" max="15" width="11.44140625" customWidth="1"/>
  </cols>
  <sheetData>
    <row r="2" spans="1:32">
      <c r="B2" s="60">
        <f>'SALES SUMMARY'!A9</f>
        <v>43435</v>
      </c>
      <c r="C2" s="60">
        <f>'SALES SUMMARY'!A12</f>
        <v>43436</v>
      </c>
      <c r="D2" s="60">
        <f>'SALES SUMMARY'!A15</f>
        <v>43437</v>
      </c>
      <c r="E2" s="60">
        <f>'SALES SUMMARY'!A18</f>
        <v>43438</v>
      </c>
      <c r="F2" s="60">
        <f>'SALES SUMMARY'!A21</f>
        <v>43439</v>
      </c>
      <c r="G2" s="60">
        <f>'SALES SUMMARY'!A24</f>
        <v>43440</v>
      </c>
      <c r="H2" s="60">
        <f>'SALES SUMMARY'!A27</f>
        <v>43441</v>
      </c>
      <c r="I2" s="60">
        <f>'SALES SUMMARY'!A30</f>
        <v>43442</v>
      </c>
      <c r="J2" s="60">
        <f>'SALES SUMMARY'!A33</f>
        <v>43443</v>
      </c>
      <c r="K2" s="60">
        <f>'SALES SUMMARY'!A36</f>
        <v>43444</v>
      </c>
      <c r="L2" s="60">
        <f>'SALES SUMMARY'!A39</f>
        <v>43445</v>
      </c>
      <c r="M2" s="60">
        <f>'SALES SUMMARY'!A42</f>
        <v>43446</v>
      </c>
      <c r="N2" s="60">
        <f>'SALES SUMMARY'!A45</f>
        <v>43447</v>
      </c>
      <c r="O2" s="60">
        <f>'SALES SUMMARY'!A48</f>
        <v>43448</v>
      </c>
      <c r="P2" s="60">
        <f>'SALES SUMMARY'!A51</f>
        <v>43449</v>
      </c>
      <c r="Q2" s="60">
        <f>'SALES SUMMARY'!A54</f>
        <v>43450</v>
      </c>
      <c r="R2" s="60">
        <f>'SALES SUMMARY'!A57</f>
        <v>43451</v>
      </c>
      <c r="S2" s="60">
        <f>'SALES SUMMARY'!A60</f>
        <v>43452</v>
      </c>
      <c r="T2" s="60">
        <f>'SALES SUMMARY'!A63</f>
        <v>43453</v>
      </c>
      <c r="U2" s="60">
        <f>'SALES SUMMARY'!A66</f>
        <v>43454</v>
      </c>
      <c r="V2" s="60">
        <f>'SALES SUMMARY'!A69</f>
        <v>43455</v>
      </c>
      <c r="W2" s="60">
        <f>'SALES SUMMARY'!A72</f>
        <v>43456</v>
      </c>
      <c r="X2" s="60">
        <f>'SALES SUMMARY'!A75</f>
        <v>43457</v>
      </c>
      <c r="Y2" s="60">
        <f>'SALES SUMMARY'!A78</f>
        <v>43458</v>
      </c>
      <c r="Z2" s="60">
        <f>'SALES SUMMARY'!A81</f>
        <v>43459</v>
      </c>
      <c r="AA2" s="60">
        <f>'SALES SUMMARY'!A84</f>
        <v>43460</v>
      </c>
      <c r="AB2" s="60">
        <f>'SALES SUMMARY'!A87</f>
        <v>43461</v>
      </c>
      <c r="AC2" s="60">
        <f>'SALES SUMMARY'!A90</f>
        <v>43462</v>
      </c>
      <c r="AD2" s="60">
        <f>'SALES SUMMARY'!A93</f>
        <v>43463</v>
      </c>
      <c r="AE2" s="60">
        <f>'SALES SUMMARY'!A96</f>
        <v>43464</v>
      </c>
      <c r="AF2" s="60">
        <f>'SALES SUMMARY'!A99</f>
        <v>0</v>
      </c>
    </row>
    <row r="3" spans="1:32">
      <c r="A3" s="59" t="s">
        <v>6</v>
      </c>
      <c r="B3" s="61">
        <f>'SALES SUMMARY'!E11</f>
        <v>5356.75</v>
      </c>
      <c r="C3" s="61">
        <f>'SALES SUMMARY'!E14</f>
        <v>0</v>
      </c>
      <c r="D3" s="61">
        <f>'SALES SUMMARY'!E17</f>
        <v>22422</v>
      </c>
      <c r="E3" s="61">
        <f>'SALES SUMMARY'!E20</f>
        <v>21470</v>
      </c>
      <c r="F3" s="61">
        <f>'SALES SUMMARY'!E23</f>
        <v>31722</v>
      </c>
      <c r="G3" s="61">
        <f>'SALES SUMMARY'!E26</f>
        <v>16359.5</v>
      </c>
      <c r="H3" s="61">
        <f>'SALES SUMMARY'!E29</f>
        <v>33685</v>
      </c>
      <c r="I3" s="61">
        <f>'SALES SUMMARY'!E32</f>
        <v>5280</v>
      </c>
      <c r="J3" s="61">
        <f>'SALES SUMMARY'!E35</f>
        <v>0</v>
      </c>
      <c r="K3" s="61">
        <f>'SALES SUMMARY'!E38</f>
        <v>23443</v>
      </c>
      <c r="L3" s="61">
        <f>'SALES SUMMARY'!E41</f>
        <v>35710</v>
      </c>
      <c r="M3" s="61">
        <f>'SALES SUMMARY'!E44</f>
        <v>39464</v>
      </c>
      <c r="N3" s="61">
        <f>'SALES SUMMARY'!E47</f>
        <v>18010</v>
      </c>
      <c r="O3" s="61">
        <f>'SALES SUMMARY'!E50</f>
        <v>33832</v>
      </c>
      <c r="P3" s="61">
        <f>'SALES SUMMARY'!E53</f>
        <v>2701</v>
      </c>
      <c r="Q3" s="61">
        <f>'SALES SUMMARY'!E56</f>
        <v>0</v>
      </c>
      <c r="R3" s="61">
        <f>'SALES SUMMARY'!E59</f>
        <v>23580</v>
      </c>
      <c r="S3" s="61">
        <f>'SALES SUMMARY'!E62</f>
        <v>43207</v>
      </c>
      <c r="T3" s="61">
        <f>'SALES SUMMARY'!E65</f>
        <v>37165</v>
      </c>
      <c r="U3" s="61">
        <f>'SALES SUMMARY'!E68</f>
        <v>36783</v>
      </c>
      <c r="V3" s="61">
        <f>'SALES SUMMARY'!E71</f>
        <v>54752</v>
      </c>
      <c r="W3" s="61">
        <f>'SALES SUMMARY'!E74</f>
        <v>0</v>
      </c>
      <c r="X3" s="61">
        <f>'SALES SUMMARY'!E77</f>
        <v>0</v>
      </c>
      <c r="Y3" s="61">
        <f>'SALES SUMMARY'!E80</f>
        <v>0</v>
      </c>
      <c r="Z3" s="61">
        <f>'SALES SUMMARY'!E83</f>
        <v>0</v>
      </c>
      <c r="AA3" s="61">
        <f>'SALES SUMMARY'!E86</f>
        <v>15755</v>
      </c>
      <c r="AB3" s="61">
        <f>'SALES SUMMARY'!E89</f>
        <v>27255</v>
      </c>
      <c r="AC3" s="61">
        <f>'SALES SUMMARY'!E92</f>
        <v>32555</v>
      </c>
      <c r="AD3" s="61">
        <f>'SALES SUMMARY'!E95</f>
        <v>6013</v>
      </c>
      <c r="AE3" s="61">
        <f>'SALES SUMMARY'!E98</f>
        <v>0</v>
      </c>
      <c r="AF3" s="61">
        <f>'SALES SUMMARY'!E102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-0.72000000000025466</v>
      </c>
      <c r="E5" s="61">
        <f>-'SALES SUMMARY'!G20</f>
        <v>-1.7700000000004366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-0.42999999999983629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-0.38999999999941792</v>
      </c>
      <c r="AB5" s="61">
        <f>-'SALES SUMMARY'!G89</f>
        <v>-0.65000000000145519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SUMMARY'!G102</f>
        <v>0</v>
      </c>
    </row>
    <row r="6" spans="1:32">
      <c r="A6" s="59" t="s">
        <v>9</v>
      </c>
      <c r="B6" s="61">
        <f>'SALES SUMMARY'!H11</f>
        <v>0.57999999999992724</v>
      </c>
      <c r="C6" s="61">
        <f>'SALES SUMMARY'!H14</f>
        <v>0</v>
      </c>
      <c r="D6" s="61">
        <f>'SALES SUMMARY'!H17</f>
        <v>0.45999999999912689</v>
      </c>
      <c r="E6" s="61">
        <f>'SALES SUMMARY'!H20</f>
        <v>5.0300000000006548</v>
      </c>
      <c r="F6" s="61">
        <f>'SALES SUMMARY'!H23</f>
        <v>9.6700000000000728</v>
      </c>
      <c r="G6" s="61">
        <f>'SALES SUMMARY'!H26</f>
        <v>1.2300000000004729</v>
      </c>
      <c r="H6" s="61">
        <f>'SALES SUMMARY'!H29</f>
        <v>5.3499999999985448</v>
      </c>
      <c r="I6" s="61">
        <f>'SALES SUMMARY'!H32</f>
        <v>4.5799999999999272</v>
      </c>
      <c r="J6" s="61">
        <f>'SALES SUMMARY'!H35</f>
        <v>0</v>
      </c>
      <c r="K6" s="61">
        <f>'SALES SUMMARY'!H38</f>
        <v>8.3799999999982901</v>
      </c>
      <c r="L6" s="61">
        <f>'SALES SUMMARY'!H41</f>
        <v>5.7900000000008731</v>
      </c>
      <c r="M6" s="61">
        <f>'SALES SUMMARY'!H44</f>
        <v>0.51000000000203727</v>
      </c>
      <c r="N6" s="61">
        <f>'SALES SUMMARY'!H47</f>
        <v>1.0799999999999272</v>
      </c>
      <c r="O6" s="61">
        <f>'SALES SUMMARY'!H50</f>
        <v>1.8600000000005821</v>
      </c>
      <c r="P6" s="61">
        <f>'SALES SUMMARY'!H53</f>
        <v>0</v>
      </c>
      <c r="Q6" s="61">
        <f>'SALES SUMMARY'!H56</f>
        <v>0</v>
      </c>
      <c r="R6" s="61">
        <f>'SALES SUMMARY'!H59</f>
        <v>2.3700000000008004</v>
      </c>
      <c r="S6" s="61">
        <f>'SALES SUMMARY'!H62</f>
        <v>12.570000000003347</v>
      </c>
      <c r="T6" s="61">
        <f>'SALES SUMMARY'!H65</f>
        <v>5.1599999999998545</v>
      </c>
      <c r="U6" s="61">
        <f>'SALES SUMMARY'!H68</f>
        <v>2.8799999999991996</v>
      </c>
      <c r="V6" s="61">
        <f>'SALES SUMMARY'!H71</f>
        <v>7.0900000000001455</v>
      </c>
      <c r="W6" s="61">
        <f>'SALES SUMMARY'!H74</f>
        <v>0</v>
      </c>
      <c r="X6" s="61">
        <f>'SALES SUMMARY'!H77</f>
        <v>0</v>
      </c>
      <c r="Y6" s="61">
        <f>'SALES SUMMARY'!H80</f>
        <v>0</v>
      </c>
      <c r="Z6" s="61">
        <f>'SALES SUMMARY'!H83</f>
        <v>0</v>
      </c>
      <c r="AA6" s="61">
        <f>'SALES SUMMARY'!H86</f>
        <v>1.0000000000218279E-2</v>
      </c>
      <c r="AB6" s="61">
        <f>'SALES SUMMARY'!H89</f>
        <v>0</v>
      </c>
      <c r="AC6" s="61">
        <f>'SALES SUMMARY'!H92</f>
        <v>6.1400000000012369</v>
      </c>
      <c r="AD6" s="61">
        <f>'SALES SUMMARY'!H95</f>
        <v>0.14000000000032742</v>
      </c>
      <c r="AE6" s="61">
        <f>'SALES SUMMARY'!H98</f>
        <v>0</v>
      </c>
      <c r="AF6" s="61">
        <f>'SALES SUMMARY'!H102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-1000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-3500</v>
      </c>
      <c r="AC7" s="61">
        <f>-'SALES SUMMARY'!I92</f>
        <v>-200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>
      <c r="A9" s="59" t="s">
        <v>14</v>
      </c>
      <c r="B9" s="61">
        <f>-'SALES SUMMARY'!M11</f>
        <v>-43.045364999999997</v>
      </c>
      <c r="C9" s="61">
        <f>-'SALES SUMMARY'!M14</f>
        <v>0</v>
      </c>
      <c r="D9" s="61">
        <f>-'SALES SUMMARY'!M17</f>
        <v>-162.05237999999997</v>
      </c>
      <c r="E9" s="61">
        <f>-'SALES SUMMARY'!M20</f>
        <v>-96.48877499999999</v>
      </c>
      <c r="F9" s="61">
        <f>-'SALES SUMMARY'!M23</f>
        <v>-205.92312999999999</v>
      </c>
      <c r="G9" s="61">
        <f>-'SALES SUMMARY'!M26</f>
        <v>-385.48725999999999</v>
      </c>
      <c r="H9" s="61">
        <f>-'SALES SUMMARY'!M29</f>
        <v>-519.44408499999997</v>
      </c>
      <c r="I9" s="61">
        <f>-'SALES SUMMARY'!M32</f>
        <v>-8.3849999999999998</v>
      </c>
      <c r="J9" s="61">
        <f>-'SALES SUMMARY'!M35</f>
        <v>0</v>
      </c>
      <c r="K9" s="61">
        <f>-'SALES SUMMARY'!M38</f>
        <v>-227.02452</v>
      </c>
      <c r="L9" s="61">
        <f>-'SALES SUMMARY'!M41</f>
        <v>-197.97866499999998</v>
      </c>
      <c r="M9" s="61">
        <f>-'SALES SUMMARY'!M44</f>
        <v>-697.86333999999999</v>
      </c>
      <c r="N9" s="61">
        <f>-'SALES SUMMARY'!M47</f>
        <v>-693.98280499999987</v>
      </c>
      <c r="O9" s="61">
        <f>-'SALES SUMMARY'!M50</f>
        <v>-284.39060499999999</v>
      </c>
      <c r="P9" s="61">
        <f>-'SALES SUMMARY'!M53</f>
        <v>-12.412380000000001</v>
      </c>
      <c r="Q9" s="61">
        <f>-'SALES SUMMARY'!M56</f>
        <v>0</v>
      </c>
      <c r="R9" s="61">
        <f>-'SALES SUMMARY'!M59</f>
        <v>-273.95042000000001</v>
      </c>
      <c r="S9" s="61">
        <f>-'SALES SUMMARY'!M62</f>
        <v>-183.60096999999996</v>
      </c>
      <c r="T9" s="61">
        <f>-'SALES SUMMARY'!M65</f>
        <v>-352.88745499999999</v>
      </c>
      <c r="U9" s="61">
        <f>-'SALES SUMMARY'!M68</f>
        <v>-529.41126999999994</v>
      </c>
      <c r="V9" s="61">
        <f>-'SALES SUMMARY'!M71</f>
        <v>-302.12982499999998</v>
      </c>
      <c r="W9" s="61">
        <f>-'SALES SUMMARY'!M74</f>
        <v>0</v>
      </c>
      <c r="X9" s="61">
        <f>-'SALES SUMMARY'!M77</f>
        <v>0</v>
      </c>
      <c r="Y9" s="61">
        <f>-'SALES SUMMARY'!M80</f>
        <v>0</v>
      </c>
      <c r="Z9" s="61">
        <f>-'SALES SUMMARY'!M83</f>
        <v>0</v>
      </c>
      <c r="AA9" s="61">
        <f>-'SALES SUMMARY'!M86</f>
        <v>-122.25394499999999</v>
      </c>
      <c r="AB9" s="61">
        <f>-'SALES SUMMARY'!M89</f>
        <v>-198.75072999999998</v>
      </c>
      <c r="AC9" s="61">
        <f>-'SALES SUMMARY'!M92</f>
        <v>-136.18508499999999</v>
      </c>
      <c r="AD9" s="61">
        <f>-'SALES SUMMARY'!M95</f>
        <v>-36.930765000000001</v>
      </c>
      <c r="AE9" s="61">
        <f>-'SALES SUMMARY'!M98</f>
        <v>0</v>
      </c>
      <c r="AF9" s="61">
        <f>-'SALES SUMMARY'!M102</f>
        <v>0</v>
      </c>
    </row>
    <row r="10" spans="1:32">
      <c r="A10" s="59" t="s">
        <v>15</v>
      </c>
      <c r="B10" s="61">
        <f>-'SALES SUMMARY'!N11</f>
        <v>-10.01055</v>
      </c>
      <c r="C10" s="61">
        <f>-'SALES SUMMARY'!N14</f>
        <v>0</v>
      </c>
      <c r="D10" s="61">
        <f>-'SALES SUMMARY'!N17</f>
        <v>-37.686599999999999</v>
      </c>
      <c r="E10" s="61">
        <f>-'SALES SUMMARY'!N20</f>
        <v>-22.439250000000001</v>
      </c>
      <c r="F10" s="61">
        <f>-'SALES SUMMARY'!N23</f>
        <v>-47.889099999999999</v>
      </c>
      <c r="G10" s="61">
        <f>-'SALES SUMMARY'!N26</f>
        <v>-89.648200000000003</v>
      </c>
      <c r="H10" s="61">
        <f>-'SALES SUMMARY'!N29</f>
        <v>-120.80095</v>
      </c>
      <c r="I10" s="61">
        <f>-'SALES SUMMARY'!N32</f>
        <v>-1.95</v>
      </c>
      <c r="J10" s="61">
        <f>-'SALES SUMMARY'!N35</f>
        <v>0</v>
      </c>
      <c r="K10" s="61">
        <f>-'SALES SUMMARY'!N38</f>
        <v>-52.796399999999998</v>
      </c>
      <c r="L10" s="61">
        <f>-'SALES SUMMARY'!N41</f>
        <v>-46.041550000000001</v>
      </c>
      <c r="M10" s="61">
        <f>-'SALES SUMMARY'!N44</f>
        <v>-162.2938</v>
      </c>
      <c r="N10" s="61">
        <f>-'SALES SUMMARY'!N47</f>
        <v>-161.39135000000002</v>
      </c>
      <c r="O10" s="61">
        <f>-'SALES SUMMARY'!N50</f>
        <v>-66.137349999999998</v>
      </c>
      <c r="P10" s="61">
        <f>-'SALES SUMMARY'!N53</f>
        <v>-2.8866000000000005</v>
      </c>
      <c r="Q10" s="61">
        <f>-'SALES SUMMARY'!N56</f>
        <v>0</v>
      </c>
      <c r="R10" s="61">
        <f>-'SALES SUMMARY'!N59</f>
        <v>-63.709400000000002</v>
      </c>
      <c r="S10" s="61">
        <f>-'SALES SUMMARY'!N62</f>
        <v>-42.697899999999997</v>
      </c>
      <c r="T10" s="61">
        <f>-'SALES SUMMARY'!N65</f>
        <v>-82.066850000000017</v>
      </c>
      <c r="U10" s="61">
        <f>-'SALES SUMMARY'!N68</f>
        <v>-123.1189</v>
      </c>
      <c r="V10" s="61">
        <f>-'SALES SUMMARY'!N71</f>
        <v>-70.262750000000011</v>
      </c>
      <c r="W10" s="61">
        <f>-'SALES SUMMARY'!N74</f>
        <v>0</v>
      </c>
      <c r="X10" s="61">
        <f>-'SALES SUMMARY'!N77</f>
        <v>0</v>
      </c>
      <c r="Y10" s="61">
        <f>-'SALES SUMMARY'!N80</f>
        <v>0</v>
      </c>
      <c r="Z10" s="61">
        <f>-'SALES SUMMARY'!N83</f>
        <v>0</v>
      </c>
      <c r="AA10" s="61">
        <f>-'SALES SUMMARY'!N86</f>
        <v>-28.431149999999999</v>
      </c>
      <c r="AB10" s="61">
        <f>-'SALES SUMMARY'!N89</f>
        <v>-46.2211</v>
      </c>
      <c r="AC10" s="61">
        <f>-'SALES SUMMARY'!N92</f>
        <v>-31.670949999999998</v>
      </c>
      <c r="AD10" s="61">
        <f>-'SALES SUMMARY'!N95</f>
        <v>-8.5885499999999997</v>
      </c>
      <c r="AE10" s="61">
        <f>-'SALES SUMMARY'!N98</f>
        <v>0</v>
      </c>
      <c r="AF10" s="61">
        <f>-'SALES SUMMARY'!N102</f>
        <v>0</v>
      </c>
    </row>
    <row r="11" spans="1:32">
      <c r="A11" s="59" t="s">
        <v>16</v>
      </c>
      <c r="B11" s="61">
        <f>-'SALES SUMMARY'!O11</f>
        <v>-1949.054085</v>
      </c>
      <c r="C11" s="61">
        <f>-'SALES SUMMARY'!O14</f>
        <v>0</v>
      </c>
      <c r="D11" s="61">
        <f>-'SALES SUMMARY'!O17</f>
        <v>-7337.5810199999996</v>
      </c>
      <c r="E11" s="61">
        <f>-'SALES SUMMARY'!O20</f>
        <v>-4368.9219750000002</v>
      </c>
      <c r="F11" s="61">
        <f>-'SALES SUMMARY'!O23</f>
        <v>-9324.0077700000002</v>
      </c>
      <c r="G11" s="61">
        <f>-'SALES SUMMARY'!O26</f>
        <v>-17454.504540000002</v>
      </c>
      <c r="H11" s="61">
        <f>-'SALES SUMMARY'!O29</f>
        <v>-23519.944964999999</v>
      </c>
      <c r="I11" s="61">
        <f>-'SALES SUMMARY'!O32</f>
        <v>-379.66500000000002</v>
      </c>
      <c r="J11" s="61">
        <f>-'SALES SUMMARY'!O35</f>
        <v>0</v>
      </c>
      <c r="K11" s="61">
        <f>-'SALES SUMMARY'!O38</f>
        <v>-10279.459080000001</v>
      </c>
      <c r="L11" s="61">
        <f>-'SALES SUMMARY'!O41</f>
        <v>-8964.2897850000008</v>
      </c>
      <c r="M11" s="61">
        <f>-'SALES SUMMARY'!O44</f>
        <v>-31598.602860000003</v>
      </c>
      <c r="N11" s="61">
        <f>-'SALES SUMMARY'!O47</f>
        <v>-31422.895845000003</v>
      </c>
      <c r="O11" s="61">
        <f>-'SALES SUMMARY'!O50</f>
        <v>-12876.942045</v>
      </c>
      <c r="P11" s="61">
        <f>-'SALES SUMMARY'!O53</f>
        <v>-562.02102000000002</v>
      </c>
      <c r="Q11" s="61">
        <f>-'SALES SUMMARY'!O56</f>
        <v>0</v>
      </c>
      <c r="R11" s="61">
        <f>-'SALES SUMMARY'!O59</f>
        <v>-12404.22018</v>
      </c>
      <c r="S11" s="61">
        <f>-'SALES SUMMARY'!O62</f>
        <v>-8313.2811299999994</v>
      </c>
      <c r="T11" s="61">
        <f>-'SALES SUMMARY'!O65</f>
        <v>-15978.415695</v>
      </c>
      <c r="U11" s="61">
        <f>-'SALES SUMMARY'!O68</f>
        <v>-23971.249830000001</v>
      </c>
      <c r="V11" s="61">
        <f>-'SALES SUMMARY'!O71</f>
        <v>-13680.157425000001</v>
      </c>
      <c r="W11" s="61">
        <f>-'SALES SUMMARY'!O74</f>
        <v>0</v>
      </c>
      <c r="X11" s="61">
        <f>-'SALES SUMMARY'!O77</f>
        <v>0</v>
      </c>
      <c r="Y11" s="61">
        <f>-'SALES SUMMARY'!O80</f>
        <v>0</v>
      </c>
      <c r="Z11" s="61">
        <f>-'SALES SUMMARY'!O83</f>
        <v>0</v>
      </c>
      <c r="AA11" s="61">
        <f>-'SALES SUMMARY'!O86</f>
        <v>-5535.5449049999997</v>
      </c>
      <c r="AB11" s="61">
        <f>-'SALES SUMMARY'!O89</f>
        <v>-8999.2481700000008</v>
      </c>
      <c r="AC11" s="61">
        <f>-'SALES SUMMARY'!O92</f>
        <v>-6166.3339649999998</v>
      </c>
      <c r="AD11" s="61">
        <f>-'SALES SUMMARY'!O95</f>
        <v>-1672.190685</v>
      </c>
      <c r="AE11" s="61">
        <f>-'SALES SUMMARY'!O98</f>
        <v>0</v>
      </c>
      <c r="AF11" s="61">
        <f>-'SALES SUMMARY'!O102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SUMMARY'!AC102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SUMMARY'!AE102</f>
        <v>0</v>
      </c>
    </row>
    <row r="23" spans="1:32">
      <c r="A23" s="59" t="s">
        <v>52</v>
      </c>
      <c r="B23" s="61">
        <f>'SALES SUMMARY'!AG11</f>
        <v>374.19039999999995</v>
      </c>
      <c r="C23" s="61">
        <f>'SALES SUMMARY'!AG14</f>
        <v>0</v>
      </c>
      <c r="D23" s="61">
        <f>'SALES SUMMARY'!AG17</f>
        <v>1504.8127999999999</v>
      </c>
      <c r="E23" s="61">
        <f>'SALES SUMMARY'!AG20</f>
        <v>1341.1096000000002</v>
      </c>
      <c r="F23" s="61">
        <f>'SALES SUMMARY'!AG23</f>
        <v>2216.2220000000002</v>
      </c>
      <c r="G23" s="61">
        <f>'SALES SUMMARY'!AG26</f>
        <v>1861.0376000000001</v>
      </c>
      <c r="H23" s="61">
        <f>'SALES SUMMARY'!AG29</f>
        <v>3078.7136</v>
      </c>
      <c r="I23" s="61">
        <f>'SALES SUMMARY'!AG32</f>
        <v>694.76279999999997</v>
      </c>
      <c r="J23" s="61">
        <f>'SALES SUMMARY'!AG35</f>
        <v>0</v>
      </c>
      <c r="K23" s="61">
        <f>'SALES SUMMARY'!AG38</f>
        <v>1823.5016000000001</v>
      </c>
      <c r="L23" s="61">
        <f>'SALES SUMMARY'!AG41</f>
        <v>1916.5392000000002</v>
      </c>
      <c r="M23" s="61">
        <f>'SALES SUMMARY'!AG44</f>
        <v>4776.3268000000007</v>
      </c>
      <c r="N23" s="61">
        <f>'SALES SUMMARY'!AG47</f>
        <v>3411.8796000000002</v>
      </c>
      <c r="O23" s="61">
        <f>'SALES SUMMARY'!AG50</f>
        <v>2527.5871999999999</v>
      </c>
      <c r="P23" s="61">
        <f>'SALES SUMMARY'!AG53</f>
        <v>182.75</v>
      </c>
      <c r="Q23" s="61">
        <f>'SALES SUMMARY'!AG56</f>
        <v>0</v>
      </c>
      <c r="R23" s="61">
        <f>'SALES SUMMARY'!AG59</f>
        <v>1850.96</v>
      </c>
      <c r="S23" s="61">
        <f>'SALES SUMMARY'!AG62</f>
        <v>2497.2388000000001</v>
      </c>
      <c r="T23" s="61">
        <f>'SALES SUMMARY'!AG65</f>
        <v>2867.7368000000001</v>
      </c>
      <c r="U23" s="61">
        <f>'SALES SUMMARY'!AG68</f>
        <v>3092.7216000000003</v>
      </c>
      <c r="V23" s="61">
        <f>'SALES SUMMARY'!AG71</f>
        <v>3421.1887999999999</v>
      </c>
      <c r="W23" s="61">
        <f>'SALES SUMMARY'!AG74</f>
        <v>0</v>
      </c>
      <c r="X23" s="61">
        <f>'SALES SUMMARY'!AG77</f>
        <v>0</v>
      </c>
      <c r="Y23" s="61">
        <f>'SALES SUMMARY'!AG80</f>
        <v>0</v>
      </c>
      <c r="Z23" s="61">
        <f>'SALES SUMMARY'!AG83</f>
        <v>0</v>
      </c>
      <c r="AA23" s="61">
        <f>'SALES SUMMARY'!AG86</f>
        <v>1160.6104</v>
      </c>
      <c r="AB23" s="61">
        <f>'SALES SUMMARY'!AG89</f>
        <v>1960.6712000000002</v>
      </c>
      <c r="AC23" s="61">
        <f>'SALES SUMMARY'!AG92</f>
        <v>1959.1140000000003</v>
      </c>
      <c r="AD23" s="61">
        <f>'SALES SUMMARY'!AG95</f>
        <v>432.48</v>
      </c>
      <c r="AE23" s="61">
        <f>'SALES SUMMARY'!AG98</f>
        <v>0</v>
      </c>
      <c r="AF23" s="61">
        <f>'SALES SUMMARY'!AG102</f>
        <v>0</v>
      </c>
    </row>
    <row r="24" spans="1:32">
      <c r="A24" s="59" t="s">
        <v>53</v>
      </c>
      <c r="B24" s="61">
        <f>'SALES SUMMARY'!AH11</f>
        <v>66.033599999999993</v>
      </c>
      <c r="C24" s="61">
        <f>'SALES SUMMARY'!AH14</f>
        <v>0</v>
      </c>
      <c r="D24" s="61">
        <f>'SALES SUMMARY'!AH17</f>
        <v>265.55519999999996</v>
      </c>
      <c r="E24" s="61">
        <f>'SALES SUMMARY'!AH20</f>
        <v>236.66640000000001</v>
      </c>
      <c r="F24" s="61">
        <f>'SALES SUMMARY'!AH23</f>
        <v>391.09800000000001</v>
      </c>
      <c r="G24" s="61">
        <f>'SALES SUMMARY'!AH26</f>
        <v>328.41840000000002</v>
      </c>
      <c r="H24" s="61">
        <f>'SALES SUMMARY'!AH29</f>
        <v>543.30240000000003</v>
      </c>
      <c r="I24" s="61">
        <f>'SALES SUMMARY'!AH32</f>
        <v>122.6052</v>
      </c>
      <c r="J24" s="61">
        <f>'SALES SUMMARY'!AH35</f>
        <v>0</v>
      </c>
      <c r="K24" s="61">
        <f>'SALES SUMMARY'!AH38</f>
        <v>321.7944</v>
      </c>
      <c r="L24" s="61">
        <f>'SALES SUMMARY'!AH41</f>
        <v>338.21280000000002</v>
      </c>
      <c r="M24" s="61">
        <f>'SALES SUMMARY'!AH44</f>
        <v>842.88120000000004</v>
      </c>
      <c r="N24" s="61">
        <f>'SALES SUMMARY'!AH47</f>
        <v>602.09640000000013</v>
      </c>
      <c r="O24" s="61">
        <f>'SALES SUMMARY'!AH50</f>
        <v>446.04480000000001</v>
      </c>
      <c r="P24" s="61">
        <f>'SALES SUMMARY'!AH53</f>
        <v>32.25</v>
      </c>
      <c r="Q24" s="61">
        <f>'SALES SUMMARY'!AH56</f>
        <v>0</v>
      </c>
      <c r="R24" s="61">
        <f>'SALES SUMMARY'!AH59</f>
        <v>326.64</v>
      </c>
      <c r="S24" s="61">
        <f>'SALES SUMMARY'!AH62</f>
        <v>440.68920000000003</v>
      </c>
      <c r="T24" s="61">
        <f>'SALES SUMMARY'!AH65</f>
        <v>506.07119999999998</v>
      </c>
      <c r="U24" s="61">
        <f>'SALES SUMMARY'!AH68</f>
        <v>545.77440000000001</v>
      </c>
      <c r="V24" s="61">
        <f>'SALES SUMMARY'!AH71</f>
        <v>603.73919999999998</v>
      </c>
      <c r="W24" s="61">
        <f>'SALES SUMMARY'!AH74</f>
        <v>0</v>
      </c>
      <c r="X24" s="61">
        <f>'SALES SUMMARY'!AH77</f>
        <v>0</v>
      </c>
      <c r="Y24" s="61">
        <f>'SALES SUMMARY'!AH80</f>
        <v>0</v>
      </c>
      <c r="Z24" s="61">
        <f>'SALES SUMMARY'!AH83</f>
        <v>0</v>
      </c>
      <c r="AA24" s="61">
        <f>'SALES SUMMARY'!AH86</f>
        <v>204.81360000000001</v>
      </c>
      <c r="AB24" s="61">
        <f>'SALES SUMMARY'!AH89</f>
        <v>346.00080000000003</v>
      </c>
      <c r="AC24" s="61">
        <f>'SALES SUMMARY'!AH92</f>
        <v>345.726</v>
      </c>
      <c r="AD24" s="61">
        <f>'SALES SUMMARY'!AH95</f>
        <v>76.319999999999993</v>
      </c>
      <c r="AE24" s="61">
        <f>'SALES SUMMARY'!AH98</f>
        <v>0</v>
      </c>
      <c r="AF24" s="61">
        <f>'SALES SUMMARY'!AH102</f>
        <v>0</v>
      </c>
    </row>
    <row r="25" spans="1:32">
      <c r="A25" s="59" t="s">
        <v>54</v>
      </c>
      <c r="B25" s="61">
        <f>'SALES SUMMARY'!AI11</f>
        <v>110.056</v>
      </c>
      <c r="C25" s="61">
        <f>'SALES SUMMARY'!AI14</f>
        <v>0</v>
      </c>
      <c r="D25" s="61">
        <f>'SALES SUMMARY'!AI17</f>
        <v>442.59199999999998</v>
      </c>
      <c r="E25" s="61">
        <f>'SALES SUMMARY'!AI20</f>
        <v>394.44400000000007</v>
      </c>
      <c r="F25" s="61">
        <f>'SALES SUMMARY'!AI23</f>
        <v>651.83000000000004</v>
      </c>
      <c r="G25" s="61">
        <f>'SALES SUMMARY'!AI26</f>
        <v>547.36400000000003</v>
      </c>
      <c r="H25" s="61">
        <f>'SALES SUMMARY'!AI29</f>
        <v>905.50400000000002</v>
      </c>
      <c r="I25" s="61">
        <f>'SALES SUMMARY'!AI32</f>
        <v>204.34200000000001</v>
      </c>
      <c r="J25" s="61">
        <f>'SALES SUMMARY'!AI35</f>
        <v>0</v>
      </c>
      <c r="K25" s="61">
        <f>'SALES SUMMARY'!AI38</f>
        <v>536.32400000000007</v>
      </c>
      <c r="L25" s="61">
        <f>'SALES SUMMARY'!AI41</f>
        <v>563.6880000000001</v>
      </c>
      <c r="M25" s="61">
        <f>'SALES SUMMARY'!AI44</f>
        <v>1404.8020000000001</v>
      </c>
      <c r="N25" s="61">
        <f>'SALES SUMMARY'!AI47</f>
        <v>1003.4940000000001</v>
      </c>
      <c r="O25" s="61">
        <f>'SALES SUMMARY'!AI50</f>
        <v>743.40800000000002</v>
      </c>
      <c r="P25" s="61">
        <f>'SALES SUMMARY'!AI53</f>
        <v>53.75</v>
      </c>
      <c r="Q25" s="61">
        <f>'SALES SUMMARY'!AI56</f>
        <v>0</v>
      </c>
      <c r="R25" s="61">
        <f>'SALES SUMMARY'!AI59</f>
        <v>544.4</v>
      </c>
      <c r="S25" s="61">
        <f>'SALES SUMMARY'!AI62</f>
        <v>734.48199999999997</v>
      </c>
      <c r="T25" s="61">
        <f>'SALES SUMMARY'!AI65</f>
        <v>843.452</v>
      </c>
      <c r="U25" s="61">
        <f>'SALES SUMMARY'!AI68</f>
        <v>909.62400000000002</v>
      </c>
      <c r="V25" s="61">
        <f>'SALES SUMMARY'!AI71</f>
        <v>1006.232</v>
      </c>
      <c r="W25" s="61">
        <f>'SALES SUMMARY'!AI74</f>
        <v>0</v>
      </c>
      <c r="X25" s="61">
        <f>'SALES SUMMARY'!AI77</f>
        <v>0</v>
      </c>
      <c r="Y25" s="61">
        <f>'SALES SUMMARY'!AI80</f>
        <v>0</v>
      </c>
      <c r="Z25" s="61">
        <f>'SALES SUMMARY'!AI83</f>
        <v>0</v>
      </c>
      <c r="AA25" s="61">
        <f>'SALES SUMMARY'!AI86</f>
        <v>341.35599999999999</v>
      </c>
      <c r="AB25" s="61">
        <f>'SALES SUMMARY'!AI89</f>
        <v>576.66800000000012</v>
      </c>
      <c r="AC25" s="61">
        <f>'SALES SUMMARY'!AI92</f>
        <v>576.21</v>
      </c>
      <c r="AD25" s="61">
        <f>'SALES SUMMARY'!AI95</f>
        <v>127.2</v>
      </c>
      <c r="AE25" s="61">
        <f>'SALES SUMMARY'!AI98</f>
        <v>0</v>
      </c>
      <c r="AF25" s="61">
        <f>'SALES SUMMARY'!AI102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>
      <c r="A27" s="59" t="s">
        <v>56</v>
      </c>
      <c r="B27" s="61">
        <f>'SALES SUMMARY'!AK11</f>
        <v>6783.9285714285706</v>
      </c>
      <c r="C27" s="61">
        <f>'SALES SUMMARY'!AK14</f>
        <v>0</v>
      </c>
      <c r="D27" s="61">
        <f>'SALES SUMMARY'!AK17</f>
        <v>27252.437499999996</v>
      </c>
      <c r="E27" s="61">
        <f>'SALES SUMMARY'!AK20</f>
        <v>27197.419642857141</v>
      </c>
      <c r="F27" s="61">
        <f>'SALES SUMMARY'!AK23</f>
        <v>36047.09821428571</v>
      </c>
      <c r="G27" s="61">
        <f>'SALES SUMMARY'!AK26</f>
        <v>35984.50892857142</v>
      </c>
      <c r="H27" s="61">
        <f>'SALES SUMMARY'!AK29</f>
        <v>49221.839285714275</v>
      </c>
      <c r="I27" s="61">
        <f>'SALES SUMMARY'!AK32</f>
        <v>13679.464285714284</v>
      </c>
      <c r="J27" s="61">
        <f>'SALES SUMMARY'!AK35</f>
        <v>0</v>
      </c>
      <c r="K27" s="61">
        <f>'SALES SUMMARY'!AK38</f>
        <v>30913.232142857141</v>
      </c>
      <c r="L27" s="61">
        <f>'SALES SUMMARY'!AK41</f>
        <v>40619.866071428565</v>
      </c>
      <c r="M27" s="61">
        <f>'SALES SUMMARY'!AK44</f>
        <v>78740.375</v>
      </c>
      <c r="N27" s="61">
        <f>'SALES SUMMARY'!AK47</f>
        <v>56424.392857142855</v>
      </c>
      <c r="O27" s="61">
        <f>'SALES SUMMARY'!AK50</f>
        <v>42374.080357142855</v>
      </c>
      <c r="P27" s="61">
        <f>'SALES SUMMARY'!AK53</f>
        <v>4635.7142857142853</v>
      </c>
      <c r="Q27" s="61">
        <f>'SALES SUMMARY'!AK56</f>
        <v>0</v>
      </c>
      <c r="R27" s="61">
        <f>'SALES SUMMARY'!AK59</f>
        <v>32692.580357142855</v>
      </c>
      <c r="S27" s="61">
        <f>'SALES SUMMARY'!AK62</f>
        <v>49715.241071428565</v>
      </c>
      <c r="T27" s="61">
        <f>'SALES SUMMARY'!AK65</f>
        <v>47522.044642857138</v>
      </c>
      <c r="U27" s="61">
        <f>'SALES SUMMARY'!AK68</f>
        <v>58436.8125</v>
      </c>
      <c r="V27" s="61">
        <f>'SALES SUMMARY'!AK71</f>
        <v>59776.437499999993</v>
      </c>
      <c r="W27" s="61">
        <f>'SALES SUMMARY'!AK74</f>
        <v>0</v>
      </c>
      <c r="X27" s="61">
        <f>'SALES SUMMARY'!AK77</f>
        <v>0</v>
      </c>
      <c r="Y27" s="61">
        <f>'SALES SUMMARY'!AK80</f>
        <v>0</v>
      </c>
      <c r="Z27" s="61">
        <f>'SALES SUMMARY'!AK83</f>
        <v>0</v>
      </c>
      <c r="AA27" s="61">
        <f>'SALES SUMMARY'!AK86</f>
        <v>21631.196428571428</v>
      </c>
      <c r="AB27" s="61">
        <f>'SALES SUMMARY'!AK89</f>
        <v>35761.59821428571</v>
      </c>
      <c r="AC27" s="61">
        <f>'SALES SUMMARY'!AK92</f>
        <v>36252.794642857138</v>
      </c>
      <c r="AD27" s="61">
        <f>'SALES SUMMARY'!AK95</f>
        <v>6387.6874999999991</v>
      </c>
      <c r="AE27" s="61">
        <f>'SALES SUMMARY'!AK98</f>
        <v>0</v>
      </c>
      <c r="AF27" s="61">
        <f>'SALES SUMMARY'!AK102</f>
        <v>0</v>
      </c>
    </row>
    <row r="28" spans="1:32">
      <c r="A28" s="59" t="s">
        <v>57</v>
      </c>
      <c r="B28" s="61">
        <f>'SALES SUMMARY'!AM11</f>
        <v>791.8714285714284</v>
      </c>
      <c r="C28" s="61">
        <f>'SALES SUMMARY'!AM14</f>
        <v>0</v>
      </c>
      <c r="D28" s="61">
        <f>'SALES SUMMARY'!AM17</f>
        <v>3184.1192999999994</v>
      </c>
      <c r="E28" s="61">
        <f>'SALES SUMMARY'!AM20</f>
        <v>3224.4815571428567</v>
      </c>
      <c r="F28" s="61">
        <f>'SALES SUMMARY'!AM23</f>
        <v>4266.1617857142855</v>
      </c>
      <c r="G28" s="61">
        <f>'SALES SUMMARY'!AM26</f>
        <v>4229.6338714285703</v>
      </c>
      <c r="H28" s="61">
        <f>'SALES SUMMARY'!AM29</f>
        <v>5864.3639142857137</v>
      </c>
      <c r="I28" s="61">
        <f>'SALES SUMMARY'!AM32</f>
        <v>1641.535714285714</v>
      </c>
      <c r="J28" s="61">
        <f>'SALES SUMMARY'!AM35</f>
        <v>0</v>
      </c>
      <c r="K28" s="61">
        <f>'SALES SUMMARY'!AM38</f>
        <v>3629.1230571428569</v>
      </c>
      <c r="L28" s="61">
        <f>'SALES SUMMARY'!AM41</f>
        <v>4823.3635285714281</v>
      </c>
      <c r="M28" s="61">
        <f>'SALES SUMMARY'!AM44</f>
        <v>9380.0873999999985</v>
      </c>
      <c r="N28" s="61">
        <f>'SALES SUMMARY'!AM47</f>
        <v>6617.2719428571418</v>
      </c>
      <c r="O28" s="61">
        <f>'SALES SUMMARY'!AM50</f>
        <v>4920.9216428571417</v>
      </c>
      <c r="P28" s="61">
        <f>'SALES SUMMARY'!AM53</f>
        <v>556.28571428571422</v>
      </c>
      <c r="Q28" s="61">
        <f>'SALES SUMMARY'!AM56</f>
        <v>0</v>
      </c>
      <c r="R28" s="61">
        <f>'SALES SUMMARY'!AM59</f>
        <v>3848.3280428571425</v>
      </c>
      <c r="S28" s="61">
        <f>'SALES SUMMARY'!AM62</f>
        <v>5923.8925285714276</v>
      </c>
      <c r="T28" s="61">
        <f>'SALES SUMMARY'!AM65</f>
        <v>5655.0365571428556</v>
      </c>
      <c r="U28" s="61">
        <f>'SALES SUMMARY'!AM68</f>
        <v>6893.5635000000002</v>
      </c>
      <c r="V28" s="61">
        <f>'SALES SUMMARY'!AM71</f>
        <v>7085.2952999999989</v>
      </c>
      <c r="W28" s="61">
        <f>'SALES SUMMARY'!AM74</f>
        <v>0</v>
      </c>
      <c r="X28" s="61">
        <f>'SALES SUMMARY'!AM77</f>
        <v>0</v>
      </c>
      <c r="Y28" s="61">
        <f>'SALES SUMMARY'!AM80</f>
        <v>0</v>
      </c>
      <c r="Z28" s="61">
        <f>'SALES SUMMARY'!AM83</f>
        <v>0</v>
      </c>
      <c r="AA28" s="61">
        <f>'SALES SUMMARY'!AM86</f>
        <v>2569.0423714285707</v>
      </c>
      <c r="AB28" s="61">
        <f>'SALES SUMMARY'!AM89</f>
        <v>4141.5165857142856</v>
      </c>
      <c r="AC28" s="61">
        <f>'SALES SUMMARY'!AM92</f>
        <v>4300.9997571428557</v>
      </c>
      <c r="AD28" s="61">
        <f>'SALES SUMMARY'!AM95</f>
        <v>759.36569999999983</v>
      </c>
      <c r="AE28" s="61">
        <f>'SALES SUMMARY'!AM98</f>
        <v>0</v>
      </c>
      <c r="AF28" s="61">
        <f>'SALES SUMMARY'!AM102</f>
        <v>0</v>
      </c>
    </row>
    <row r="30" spans="1:32">
      <c r="A30" s="58" t="s">
        <v>58</v>
      </c>
      <c r="B30" s="63">
        <f>-'SALES SUMMARY'!AZ11</f>
        <v>-545</v>
      </c>
      <c r="C30" s="63">
        <f>-'SALES SUMMARY'!AZ14</f>
        <v>0</v>
      </c>
      <c r="D30" s="63">
        <f>-'SALES SUMMARY'!AZ17</f>
        <v>-888</v>
      </c>
      <c r="E30" s="63">
        <f>-'SALES SUMMARY'!AZ20</f>
        <v>-168</v>
      </c>
      <c r="F30" s="63">
        <f>-'SALES SUMMARY'!AZ23</f>
        <v>-425</v>
      </c>
      <c r="G30" s="63">
        <f>-'SALES SUMMARY'!AZ26</f>
        <v>0</v>
      </c>
      <c r="H30" s="63">
        <f>-'SALES SUMMARY'!AZ29</f>
        <v>-580</v>
      </c>
      <c r="I30" s="63">
        <f>-'SALES SUMMARY'!AZ32</f>
        <v>0</v>
      </c>
      <c r="J30" s="63">
        <f>-'SALES SUMMARY'!AZ35</f>
        <v>0</v>
      </c>
      <c r="K30" s="63">
        <f>-'SALES SUMMARY'!AZ38</f>
        <v>0</v>
      </c>
      <c r="L30" s="63">
        <f>-'SALES SUMMARY'!AZ41</f>
        <v>-2340</v>
      </c>
      <c r="M30" s="63">
        <f>-'SALES SUMMARY'!AZ44</f>
        <v>-480</v>
      </c>
      <c r="N30" s="63">
        <f>-'SALES SUMMARY'!AZ47</f>
        <v>-135</v>
      </c>
      <c r="O30" s="63">
        <f>-'SALES SUMMARY'!AZ50</f>
        <v>-410</v>
      </c>
      <c r="P30" s="63">
        <f>-'SALES SUMMARY'!AZ53</f>
        <v>-830</v>
      </c>
      <c r="Q30" s="63">
        <f>-'SALES SUMMARY'!AZ56</f>
        <v>0</v>
      </c>
      <c r="R30" s="63">
        <f>-'SALES SUMMARY'!AZ59</f>
        <v>-168</v>
      </c>
      <c r="S30" s="63">
        <f>-'SALES SUMMARY'!AZ62</f>
        <v>0</v>
      </c>
      <c r="T30" s="63">
        <f>-'SALES SUMMARY'!AZ65</f>
        <v>-853</v>
      </c>
      <c r="U30" s="63">
        <f>-'SALES SUMMARY'!AZ68</f>
        <v>-185</v>
      </c>
      <c r="V30" s="63">
        <f>-'SALES SUMMARY'!AZ71</f>
        <v>0</v>
      </c>
      <c r="W30" s="63">
        <f>-'SALES SUMMARY'!AZ74</f>
        <v>0</v>
      </c>
      <c r="X30" s="63">
        <f>-'SALES SUMMARY'!AZ77</f>
        <v>0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-630</v>
      </c>
      <c r="AC30" s="63">
        <f>-'SALES SUMMARY'!AZ92</f>
        <v>0</v>
      </c>
      <c r="AD30" s="63">
        <f>-'SALES SUMMARY'!AZ95</f>
        <v>0</v>
      </c>
      <c r="AE30" s="63">
        <f>-'SALES SUMMARY'!AZ98</f>
        <v>0</v>
      </c>
      <c r="AF30" s="63">
        <f>-'SALES SUMMARY'!AZ102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-1000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-230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-2400</v>
      </c>
      <c r="V31" s="63">
        <f>-'SALES SUMMARY'!BA71</f>
        <v>-135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SUMMARY'!BA102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>
      <c r="A34" s="58" t="s">
        <v>36</v>
      </c>
      <c r="B34" s="63">
        <f>'SALES SUMMARY'!BR11</f>
        <v>545</v>
      </c>
      <c r="C34" s="63">
        <f>'SALES SUMMARY'!BR14</f>
        <v>0</v>
      </c>
      <c r="D34" s="63">
        <f>'SALES SUMMARY'!BR17</f>
        <v>888</v>
      </c>
      <c r="E34" s="63">
        <f>'SALES SUMMARY'!BR20</f>
        <v>168</v>
      </c>
      <c r="F34" s="63">
        <f>'SALES SUMMARY'!BR23</f>
        <v>425</v>
      </c>
      <c r="G34" s="63">
        <f>'SALES SUMMARY'!BR26</f>
        <v>0</v>
      </c>
      <c r="H34" s="63">
        <f>'SALES SUMMARY'!BR29</f>
        <v>1580</v>
      </c>
      <c r="I34" s="63">
        <f>'SALES SUMMARY'!BR32</f>
        <v>0</v>
      </c>
      <c r="J34" s="63">
        <f>'SALES SUMMARY'!BR35</f>
        <v>0</v>
      </c>
      <c r="K34" s="63">
        <f>'SALES SUMMARY'!BR38</f>
        <v>0</v>
      </c>
      <c r="L34" s="63">
        <f>'SALES SUMMARY'!BR41</f>
        <v>2340</v>
      </c>
      <c r="M34" s="63">
        <f>'SALES SUMMARY'!BR44</f>
        <v>710</v>
      </c>
      <c r="N34" s="63">
        <f>'SALES SUMMARY'!BR47</f>
        <v>135</v>
      </c>
      <c r="O34" s="63">
        <f>'SALES SUMMARY'!BR50</f>
        <v>410</v>
      </c>
      <c r="P34" s="63">
        <f>'SALES SUMMARY'!BR53</f>
        <v>830</v>
      </c>
      <c r="Q34" s="63">
        <f>'SALES SUMMARY'!BR56</f>
        <v>0</v>
      </c>
      <c r="R34" s="63">
        <f>'SALES SUMMARY'!BR59</f>
        <v>168</v>
      </c>
      <c r="S34" s="63">
        <f>'SALES SUMMARY'!BR62</f>
        <v>0</v>
      </c>
      <c r="T34" s="63">
        <f>'SALES SUMMARY'!BR65</f>
        <v>853</v>
      </c>
      <c r="U34" s="63">
        <f>'SALES SUMMARY'!BR68</f>
        <v>2585</v>
      </c>
      <c r="V34" s="63">
        <f>'SALES SUMMARY'!BR71</f>
        <v>135</v>
      </c>
      <c r="W34" s="63">
        <f>'SALES SUMMARY'!BR74</f>
        <v>0</v>
      </c>
      <c r="X34" s="63">
        <f>'SALES SUMMARY'!BR77</f>
        <v>0</v>
      </c>
      <c r="Y34" s="63">
        <f>'SALES SUMMARY'!BR80</f>
        <v>0</v>
      </c>
      <c r="Z34" s="63">
        <f>'SALES SUMMARY'!BR83</f>
        <v>0</v>
      </c>
      <c r="AA34" s="63">
        <f>'SALES SUMMARY'!BR86</f>
        <v>0</v>
      </c>
      <c r="AB34" s="63">
        <f>'SALES SUMMARY'!BR89</f>
        <v>630</v>
      </c>
      <c r="AC34" s="63">
        <f>'SALES SUMMARY'!BR92</f>
        <v>0</v>
      </c>
      <c r="AD34" s="63">
        <f>'SALES SUMMARY'!BR95</f>
        <v>0</v>
      </c>
      <c r="AE34" s="63">
        <f>'SALES SUMMARY'!BR98</f>
        <v>0</v>
      </c>
      <c r="AF34" s="63">
        <f>'SALES SUMMARY'!BR102</f>
        <v>0</v>
      </c>
    </row>
    <row r="36" spans="1:32">
      <c r="A36" s="58" t="s">
        <v>62</v>
      </c>
      <c r="B36" s="62">
        <f>SUM(B5:B35)-B3</f>
        <v>767.79999999999927</v>
      </c>
      <c r="C36" s="62">
        <f t="shared" ref="C36:AF36" si="0">SUM(C5:C35)-C3</f>
        <v>0</v>
      </c>
      <c r="D36" s="62">
        <f t="shared" si="0"/>
        <v>2689.9367999999922</v>
      </c>
      <c r="E36" s="62">
        <f t="shared" si="0"/>
        <v>6439.5311999999976</v>
      </c>
      <c r="F36" s="62">
        <f t="shared" si="0"/>
        <v>2282.2599999999948</v>
      </c>
      <c r="G36" s="62">
        <f t="shared" si="0"/>
        <v>8663.0527999999904</v>
      </c>
      <c r="H36" s="62">
        <f t="shared" si="0"/>
        <v>1773.8831999999893</v>
      </c>
      <c r="I36" s="62">
        <f t="shared" si="0"/>
        <v>10677.289999999997</v>
      </c>
      <c r="J36" s="62">
        <f t="shared" si="0"/>
        <v>0</v>
      </c>
      <c r="K36" s="62">
        <f t="shared" si="0"/>
        <v>3230.0751999999957</v>
      </c>
      <c r="L36" s="62">
        <f t="shared" si="0"/>
        <v>3349.1495999999897</v>
      </c>
      <c r="M36" s="62">
        <f t="shared" si="0"/>
        <v>23222.222399999999</v>
      </c>
      <c r="N36" s="62">
        <f t="shared" si="0"/>
        <v>17771.94479999999</v>
      </c>
      <c r="O36" s="62">
        <f t="shared" si="0"/>
        <v>3954.4320000000007</v>
      </c>
      <c r="P36" s="62">
        <f t="shared" si="0"/>
        <v>2182</v>
      </c>
      <c r="Q36" s="62">
        <f t="shared" si="0"/>
        <v>0</v>
      </c>
      <c r="R36" s="62">
        <f t="shared" si="0"/>
        <v>2943.3983999999946</v>
      </c>
      <c r="S36" s="62">
        <f t="shared" si="0"/>
        <v>7577.5335999999952</v>
      </c>
      <c r="T36" s="62">
        <f t="shared" si="0"/>
        <v>3821.1311999999962</v>
      </c>
      <c r="U36" s="62">
        <f t="shared" si="0"/>
        <v>7474.596000000005</v>
      </c>
      <c r="V36" s="62">
        <f t="shared" si="0"/>
        <v>3095.4327999999878</v>
      </c>
      <c r="W36" s="62">
        <f t="shared" si="0"/>
        <v>0</v>
      </c>
      <c r="X36" s="62">
        <f t="shared" si="0"/>
        <v>0</v>
      </c>
      <c r="Y36" s="62">
        <f t="shared" si="0"/>
        <v>0</v>
      </c>
      <c r="Z36" s="62" t="e">
        <f t="shared" si="0"/>
        <v>#VALUE!</v>
      </c>
      <c r="AA36" s="62">
        <f t="shared" si="0"/>
        <v>4465.4088000000011</v>
      </c>
      <c r="AB36" s="62">
        <f t="shared" si="0"/>
        <v>2786.5847999999933</v>
      </c>
      <c r="AC36" s="62">
        <f t="shared" si="0"/>
        <v>4351.7943999999916</v>
      </c>
      <c r="AD36" s="62">
        <f t="shared" si="0"/>
        <v>52.48319999999876</v>
      </c>
      <c r="AE36" s="62">
        <f t="shared" si="0"/>
        <v>0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74"/>
  <sheetViews>
    <sheetView tabSelected="1" topLeftCell="A46" zoomScaleSheetLayoutView="85" workbookViewId="0">
      <selection activeCell="P64" sqref="P64"/>
    </sheetView>
  </sheetViews>
  <sheetFormatPr defaultColWidth="9.109375" defaultRowHeight="13.2"/>
  <cols>
    <col min="1" max="1" width="12.88671875" style="75" customWidth="1"/>
    <col min="2" max="2" width="6.33203125" style="75" customWidth="1"/>
    <col min="3" max="4" width="13.109375" style="75" customWidth="1"/>
    <col min="5" max="5" width="13.5546875" style="75" customWidth="1"/>
    <col min="6" max="6" width="13.33203125" style="75" customWidth="1"/>
    <col min="7" max="7" width="10.33203125" style="75" bestFit="1" customWidth="1"/>
    <col min="8" max="8" width="9.33203125" style="75" bestFit="1" customWidth="1"/>
    <col min="9" max="9" width="12.88671875" style="75" customWidth="1"/>
    <col min="10" max="10" width="7.33203125" style="75" customWidth="1"/>
    <col min="11" max="11" width="15.109375" style="75" customWidth="1"/>
    <col min="12" max="12" width="16.88671875" style="75" customWidth="1"/>
    <col min="13" max="13" width="13.5546875" style="75" customWidth="1"/>
    <col min="14" max="14" width="13.33203125" style="75" customWidth="1"/>
    <col min="15" max="15" width="9.109375" style="75"/>
    <col min="16" max="16" width="10.44140625" style="75" bestFit="1" customWidth="1"/>
    <col min="17" max="16384" width="9.109375" style="75"/>
  </cols>
  <sheetData>
    <row r="1" spans="1:15" ht="15.6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6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6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8" thickBot="1"/>
    <row r="5" spans="1:15" ht="13.5" customHeight="1" thickTop="1">
      <c r="A5" s="227" t="s">
        <v>2</v>
      </c>
      <c r="B5" s="229" t="s">
        <v>3</v>
      </c>
      <c r="C5" s="229" t="s">
        <v>71</v>
      </c>
      <c r="D5" s="231" t="s">
        <v>29</v>
      </c>
      <c r="E5" s="232"/>
      <c r="F5" s="225" t="s">
        <v>72</v>
      </c>
      <c r="I5" s="227" t="s">
        <v>2</v>
      </c>
      <c r="J5" s="229" t="s">
        <v>3</v>
      </c>
      <c r="K5" s="229" t="s">
        <v>71</v>
      </c>
      <c r="L5" s="231" t="s">
        <v>29</v>
      </c>
      <c r="M5" s="232"/>
      <c r="N5" s="225" t="s">
        <v>73</v>
      </c>
    </row>
    <row r="6" spans="1:15" ht="27" thickBot="1">
      <c r="A6" s="228"/>
      <c r="B6" s="230"/>
      <c r="C6" s="230"/>
      <c r="D6" s="76" t="s">
        <v>74</v>
      </c>
      <c r="E6" s="76" t="s">
        <v>75</v>
      </c>
      <c r="F6" s="226"/>
      <c r="I6" s="228"/>
      <c r="J6" s="230"/>
      <c r="K6" s="230"/>
      <c r="L6" s="76" t="s">
        <v>74</v>
      </c>
      <c r="M6" s="76" t="s">
        <v>75</v>
      </c>
      <c r="N6" s="226"/>
    </row>
    <row r="7" spans="1:15" ht="13.8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23">
        <v>42339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23">
        <v>42354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8" thickBot="1">
      <c r="A9" s="224"/>
      <c r="B9" s="83" t="s">
        <v>44</v>
      </c>
      <c r="C9" s="80">
        <f>+'SALES SUMMARY'!AF10</f>
        <v>550.28</v>
      </c>
      <c r="D9" s="81">
        <f>(C9*0.8)*0.85</f>
        <v>374.19039999999995</v>
      </c>
      <c r="E9" s="81">
        <f>(C9*0.8)*0.15</f>
        <v>66.033599999999993</v>
      </c>
      <c r="F9" s="82">
        <f>C9*0.2</f>
        <v>110.056</v>
      </c>
      <c r="I9" s="224"/>
      <c r="J9" s="83" t="s">
        <v>44</v>
      </c>
      <c r="K9" s="80">
        <f>+'SALES SUMMARY'!AF55</f>
        <v>0</v>
      </c>
      <c r="L9" s="81">
        <f>(K9*0.8)*0.85</f>
        <v>0</v>
      </c>
      <c r="M9" s="81">
        <f>(K9*0.8)*0.15</f>
        <v>0</v>
      </c>
      <c r="N9" s="82">
        <f>K9*0.2</f>
        <v>0</v>
      </c>
    </row>
    <row r="10" spans="1:15" ht="13.8" thickBot="1">
      <c r="A10" s="126"/>
      <c r="B10" s="84"/>
      <c r="C10" s="85">
        <f>+C9+C8</f>
        <v>550.28</v>
      </c>
      <c r="D10" s="86">
        <f>+D9+D8</f>
        <v>374.19039999999995</v>
      </c>
      <c r="E10" s="86">
        <f>+E9+E8</f>
        <v>66.033599999999993</v>
      </c>
      <c r="F10" s="87">
        <f>+F9+F8</f>
        <v>110.056</v>
      </c>
      <c r="I10" s="126"/>
      <c r="J10" s="84"/>
      <c r="K10" s="85">
        <f>+K9+K8</f>
        <v>0</v>
      </c>
      <c r="L10" s="86">
        <f>+L9+L8</f>
        <v>0</v>
      </c>
      <c r="M10" s="86">
        <f>+M9+M8</f>
        <v>0</v>
      </c>
      <c r="N10" s="87">
        <f>+N9+N8</f>
        <v>0</v>
      </c>
    </row>
    <row r="11" spans="1:15">
      <c r="A11" s="223">
        <f>+A8+1</f>
        <v>42340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42355</v>
      </c>
      <c r="J11" s="83"/>
      <c r="K11" s="80">
        <f>+'SALES SUMMARY'!AF57</f>
        <v>2093.23</v>
      </c>
      <c r="L11" s="81">
        <f>(K11*0.8)*0.85</f>
        <v>1423.3964000000001</v>
      </c>
      <c r="M11" s="81">
        <f>(K11*0.8)*0.15</f>
        <v>251.1876</v>
      </c>
      <c r="N11" s="82">
        <f>K11*0.2</f>
        <v>418.64600000000002</v>
      </c>
    </row>
    <row r="12" spans="1:15" ht="13.8" thickBot="1">
      <c r="A12" s="224"/>
      <c r="B12" s="83"/>
      <c r="C12" s="80">
        <f>+'SALES SUMMARY'!AF13</f>
        <v>0</v>
      </c>
      <c r="D12" s="81">
        <f>(C12*0.8)*0.85</f>
        <v>0</v>
      </c>
      <c r="E12" s="81">
        <f>(C12*0.8)*0.15</f>
        <v>0</v>
      </c>
      <c r="F12" s="82">
        <f>C12*0.2</f>
        <v>0</v>
      </c>
      <c r="I12" s="124"/>
      <c r="J12" s="83"/>
      <c r="K12" s="80">
        <f>+'SALES SUMMARY'!AF58</f>
        <v>628.77</v>
      </c>
      <c r="L12" s="81">
        <f>(K12*0.8)*0.85</f>
        <v>427.56360000000001</v>
      </c>
      <c r="M12" s="81">
        <f>(K12*0.8)*0.15</f>
        <v>75.452399999999997</v>
      </c>
      <c r="N12" s="82">
        <f>K12*0.2</f>
        <v>125.754</v>
      </c>
    </row>
    <row r="13" spans="1:15" ht="13.8" thickBot="1">
      <c r="A13" s="126"/>
      <c r="B13" s="84"/>
      <c r="C13" s="85">
        <f>+C12+C11</f>
        <v>0</v>
      </c>
      <c r="D13" s="86">
        <f>+D12+D11</f>
        <v>0</v>
      </c>
      <c r="E13" s="86">
        <f>+E12+E11</f>
        <v>0</v>
      </c>
      <c r="F13" s="87">
        <f>+F12+F11</f>
        <v>0</v>
      </c>
      <c r="I13" s="126"/>
      <c r="J13" s="84"/>
      <c r="K13" s="85">
        <f>+K12+K11</f>
        <v>2722</v>
      </c>
      <c r="L13" s="86">
        <f>+L12+L11</f>
        <v>1850.96</v>
      </c>
      <c r="M13" s="86">
        <f>+M12+M11</f>
        <v>326.64</v>
      </c>
      <c r="N13" s="87">
        <f>+N12+N11</f>
        <v>544.4</v>
      </c>
    </row>
    <row r="14" spans="1:15">
      <c r="A14" s="223">
        <f>+A11+1</f>
        <v>42341</v>
      </c>
      <c r="B14" s="83"/>
      <c r="C14" s="80">
        <f>+'SALES SUMMARY'!AF15</f>
        <v>1500.1</v>
      </c>
      <c r="D14" s="81">
        <f>(C14*0.8)*0.85</f>
        <v>1020.0679999999999</v>
      </c>
      <c r="E14" s="81">
        <f>(C14*0.8)*0.15</f>
        <v>180.01199999999997</v>
      </c>
      <c r="F14" s="82">
        <f>C14*0.2</f>
        <v>300.02</v>
      </c>
      <c r="I14" s="123">
        <f>+I11+1</f>
        <v>42356</v>
      </c>
      <c r="J14" s="83"/>
      <c r="K14" s="80">
        <f>+'SALES SUMMARY'!AF60</f>
        <v>1668.3</v>
      </c>
      <c r="L14" s="81">
        <f>(K14*0.8)*0.85</f>
        <v>1134.444</v>
      </c>
      <c r="M14" s="81">
        <f>(K14*0.8)*0.15</f>
        <v>200.196</v>
      </c>
      <c r="N14" s="82">
        <f>K14*0.2</f>
        <v>333.66</v>
      </c>
    </row>
    <row r="15" spans="1:15" ht="13.8" thickBot="1">
      <c r="A15" s="224"/>
      <c r="B15" s="83"/>
      <c r="C15" s="80">
        <f>+'SALES SUMMARY'!AF16</f>
        <v>712.86</v>
      </c>
      <c r="D15" s="81">
        <f>(C15*0.8)*0.85</f>
        <v>484.7448</v>
      </c>
      <c r="E15" s="81">
        <f>(C15*0.8)*0.15</f>
        <v>85.543199999999999</v>
      </c>
      <c r="F15" s="82">
        <f>C15*0.2</f>
        <v>142.572</v>
      </c>
      <c r="I15" s="124"/>
      <c r="J15" s="83"/>
      <c r="K15" s="80">
        <f>+'SALES SUMMARY'!AF61</f>
        <v>2004.11</v>
      </c>
      <c r="L15" s="81">
        <f>(K15*0.8)*0.85</f>
        <v>1362.7947999999999</v>
      </c>
      <c r="M15" s="81">
        <f>(K15*0.8)*0.15</f>
        <v>240.4932</v>
      </c>
      <c r="N15" s="82">
        <f>K15*0.2</f>
        <v>400.822</v>
      </c>
    </row>
    <row r="16" spans="1:15" ht="13.8" thickBot="1">
      <c r="A16" s="127"/>
      <c r="B16" s="84"/>
      <c r="C16" s="85">
        <f>+C15+C14</f>
        <v>2212.96</v>
      </c>
      <c r="D16" s="86">
        <f>+D15+D14</f>
        <v>1504.8127999999999</v>
      </c>
      <c r="E16" s="86">
        <f>+E15+E14</f>
        <v>265.55519999999996</v>
      </c>
      <c r="F16" s="87">
        <f>+F15+F14</f>
        <v>442.59199999999998</v>
      </c>
      <c r="I16" s="127"/>
      <c r="J16" s="84"/>
      <c r="K16" s="85">
        <f>+K15+K14</f>
        <v>3672.41</v>
      </c>
      <c r="L16" s="86">
        <f>+L15+L14</f>
        <v>2497.2388000000001</v>
      </c>
      <c r="M16" s="86">
        <f>+M15+M14</f>
        <v>440.68920000000003</v>
      </c>
      <c r="N16" s="87">
        <f>+N15+N14</f>
        <v>734.48199999999997</v>
      </c>
    </row>
    <row r="17" spans="1:14">
      <c r="A17" s="223">
        <f>+A14+1</f>
        <v>42342</v>
      </c>
      <c r="B17" s="83"/>
      <c r="C17" s="80">
        <f>+'SALES SUMMARY'!AF18</f>
        <v>764.22</v>
      </c>
      <c r="D17" s="81">
        <f>(C17*0.8)*0.85</f>
        <v>519.66960000000006</v>
      </c>
      <c r="E17" s="81">
        <f>(C17*0.8)*0.15</f>
        <v>91.706400000000016</v>
      </c>
      <c r="F17" s="82">
        <f>C17*0.2</f>
        <v>152.84400000000002</v>
      </c>
      <c r="I17" s="123">
        <f>+I14+1</f>
        <v>42357</v>
      </c>
      <c r="J17" s="83"/>
      <c r="K17" s="80">
        <f>+'SALES SUMMARY'!AF63</f>
        <v>2938.82</v>
      </c>
      <c r="L17" s="81">
        <f>(K17*0.8)*0.85</f>
        <v>1998.3976</v>
      </c>
      <c r="M17" s="81">
        <f>(K17*0.8)*0.15</f>
        <v>352.65839999999997</v>
      </c>
      <c r="N17" s="82">
        <f>K17*0.2</f>
        <v>587.76400000000001</v>
      </c>
    </row>
    <row r="18" spans="1:14" ht="13.8" thickBot="1">
      <c r="A18" s="224"/>
      <c r="B18" s="83"/>
      <c r="C18" s="80">
        <f>+'SALES SUMMARY'!AF19</f>
        <v>1208</v>
      </c>
      <c r="D18" s="81">
        <f>(C18*0.8)*0.85</f>
        <v>821.44</v>
      </c>
      <c r="E18" s="81">
        <f>(C18*0.8)*0.15</f>
        <v>144.96</v>
      </c>
      <c r="F18" s="82">
        <f>C18*0.2</f>
        <v>241.60000000000002</v>
      </c>
      <c r="I18" s="124"/>
      <c r="J18" s="83"/>
      <c r="K18" s="80">
        <f>+'SALES SUMMARY'!AF64</f>
        <v>1278.44</v>
      </c>
      <c r="L18" s="81">
        <f>(K18*0.8)*0.85</f>
        <v>869.33920000000001</v>
      </c>
      <c r="M18" s="81">
        <f>(K18*0.8)*0.15</f>
        <v>153.4128</v>
      </c>
      <c r="N18" s="82">
        <f>K18*0.2</f>
        <v>255.68800000000002</v>
      </c>
    </row>
    <row r="19" spans="1:14" ht="13.8" thickBot="1">
      <c r="A19" s="127"/>
      <c r="B19" s="84"/>
      <c r="C19" s="85">
        <f>+C18+C17</f>
        <v>1972.22</v>
      </c>
      <c r="D19" s="86">
        <f>+D18+D17</f>
        <v>1341.1096000000002</v>
      </c>
      <c r="E19" s="86">
        <f>+E18+E17</f>
        <v>236.66640000000001</v>
      </c>
      <c r="F19" s="87">
        <f>+F18+F17</f>
        <v>394.44400000000007</v>
      </c>
      <c r="I19" s="127"/>
      <c r="J19" s="84"/>
      <c r="K19" s="85">
        <f>+K18+K17</f>
        <v>4217.26</v>
      </c>
      <c r="L19" s="86">
        <f>+L18+L17</f>
        <v>2867.7368000000001</v>
      </c>
      <c r="M19" s="86">
        <f>+M18+M17</f>
        <v>506.07119999999998</v>
      </c>
      <c r="N19" s="87">
        <f>+N18+N17</f>
        <v>843.452</v>
      </c>
    </row>
    <row r="20" spans="1:14">
      <c r="A20" s="223">
        <f>+A17+1</f>
        <v>42343</v>
      </c>
      <c r="B20" s="83"/>
      <c r="C20" s="80">
        <f>+'SALES SUMMARY'!AF21</f>
        <v>1823.91</v>
      </c>
      <c r="D20" s="81">
        <f>(C20*0.8)*0.85</f>
        <v>1240.2588000000001</v>
      </c>
      <c r="E20" s="81">
        <f>(C20*0.8)*0.15</f>
        <v>218.86920000000001</v>
      </c>
      <c r="F20" s="82">
        <f>C20*0.2</f>
        <v>364.78200000000004</v>
      </c>
      <c r="I20" s="123">
        <f>+I17+1</f>
        <v>42358</v>
      </c>
      <c r="J20" s="83"/>
      <c r="K20" s="80">
        <f>+'SALES SUMMARY'!AF66</f>
        <v>3108.42</v>
      </c>
      <c r="L20" s="81">
        <f>(K20*0.8)*0.85</f>
        <v>2113.7256000000002</v>
      </c>
      <c r="M20" s="81">
        <f>(K20*0.8)*0.15</f>
        <v>373.01040000000006</v>
      </c>
      <c r="N20" s="82">
        <f>K20*0.2</f>
        <v>621.68400000000008</v>
      </c>
    </row>
    <row r="21" spans="1:14" ht="13.8" thickBot="1">
      <c r="A21" s="224"/>
      <c r="B21" s="83"/>
      <c r="C21" s="80">
        <f>+'SALES SUMMARY'!AF22</f>
        <v>1435.24</v>
      </c>
      <c r="D21" s="81">
        <f>(C21*0.8)*0.85</f>
        <v>975.96320000000003</v>
      </c>
      <c r="E21" s="81">
        <f>(C21*0.8)*0.15</f>
        <v>172.22880000000001</v>
      </c>
      <c r="F21" s="82">
        <f>C21*0.2</f>
        <v>287.048</v>
      </c>
      <c r="I21" s="124"/>
      <c r="J21" s="83"/>
      <c r="K21" s="80">
        <f>+'SALES SUMMARY'!AF67</f>
        <v>1439.7</v>
      </c>
      <c r="L21" s="81">
        <f>(K21*0.8)*0.85</f>
        <v>978.99599999999998</v>
      </c>
      <c r="M21" s="81">
        <f>(K21*0.8)*0.15</f>
        <v>172.76399999999998</v>
      </c>
      <c r="N21" s="82">
        <f>K21*0.2</f>
        <v>287.94</v>
      </c>
    </row>
    <row r="22" spans="1:14" ht="13.8" thickBot="1">
      <c r="A22" s="127"/>
      <c r="B22" s="84"/>
      <c r="C22" s="85">
        <f>+C21+C20</f>
        <v>3259.15</v>
      </c>
      <c r="D22" s="86">
        <f>+D21+D20</f>
        <v>2216.2220000000002</v>
      </c>
      <c r="E22" s="86">
        <f>+E21+E20</f>
        <v>391.09800000000001</v>
      </c>
      <c r="F22" s="87">
        <f>+F21+F20</f>
        <v>651.83000000000004</v>
      </c>
      <c r="I22" s="127"/>
      <c r="J22" s="84"/>
      <c r="K22" s="85">
        <f>+K21+K20</f>
        <v>4548.12</v>
      </c>
      <c r="L22" s="86">
        <f>+L21+L20</f>
        <v>3092.7216000000003</v>
      </c>
      <c r="M22" s="86">
        <f>+M21+M20</f>
        <v>545.77440000000001</v>
      </c>
      <c r="N22" s="87">
        <f>+N21+N20</f>
        <v>909.62400000000002</v>
      </c>
    </row>
    <row r="23" spans="1:14">
      <c r="A23" s="223">
        <f>+A20+1</f>
        <v>42344</v>
      </c>
      <c r="B23" s="83"/>
      <c r="C23" s="80">
        <f>+'SALES SUMMARY'!AF24</f>
        <v>917.21</v>
      </c>
      <c r="D23" s="81">
        <f>(C23*0.8)*0.85</f>
        <v>623.70280000000002</v>
      </c>
      <c r="E23" s="81">
        <f>(C23*0.8)*0.15</f>
        <v>110.0652</v>
      </c>
      <c r="F23" s="82">
        <f>C23*0.2</f>
        <v>183.44200000000001</v>
      </c>
      <c r="I23" s="123">
        <f>+I20+1</f>
        <v>42359</v>
      </c>
      <c r="J23" s="83"/>
      <c r="K23" s="80">
        <f>+'SALES SUMMARY'!AF69</f>
        <v>2476.9899999999998</v>
      </c>
      <c r="L23" s="81">
        <f>(K23*0.8)*0.85</f>
        <v>1684.3531999999998</v>
      </c>
      <c r="M23" s="81">
        <f>(K23*0.8)*0.15</f>
        <v>297.23879999999997</v>
      </c>
      <c r="N23" s="82">
        <f>K23*0.2</f>
        <v>495.39799999999997</v>
      </c>
    </row>
    <row r="24" spans="1:14" ht="13.8" thickBot="1">
      <c r="A24" s="224"/>
      <c r="B24" s="83"/>
      <c r="C24" s="80">
        <f>+'SALES SUMMARY'!AF25</f>
        <v>1819.61</v>
      </c>
      <c r="D24" s="81">
        <f>(C24*0.8)*0.85</f>
        <v>1237.3348000000001</v>
      </c>
      <c r="E24" s="81">
        <f>(C24*0.8)*0.15</f>
        <v>218.35320000000002</v>
      </c>
      <c r="F24" s="82">
        <f>C24*0.2</f>
        <v>363.92200000000003</v>
      </c>
      <c r="I24" s="124"/>
      <c r="J24" s="83"/>
      <c r="K24" s="80">
        <f>+'SALES SUMMARY'!AF70</f>
        <v>2554.17</v>
      </c>
      <c r="L24" s="81">
        <f>(K24*0.8)*0.85</f>
        <v>1736.8356000000001</v>
      </c>
      <c r="M24" s="81">
        <f>(K24*0.8)*0.15</f>
        <v>306.50040000000001</v>
      </c>
      <c r="N24" s="82">
        <f>K24*0.2</f>
        <v>510.83400000000006</v>
      </c>
    </row>
    <row r="25" spans="1:14" ht="13.8" thickBot="1">
      <c r="A25" s="127"/>
      <c r="B25" s="84"/>
      <c r="C25" s="85">
        <f>+C24+C23</f>
        <v>2736.8199999999997</v>
      </c>
      <c r="D25" s="86">
        <f>+D24+D23</f>
        <v>1861.0376000000001</v>
      </c>
      <c r="E25" s="86">
        <f>+E24+E23</f>
        <v>328.41840000000002</v>
      </c>
      <c r="F25" s="87">
        <f>+F24+F23</f>
        <v>547.36400000000003</v>
      </c>
      <c r="G25" s="128"/>
      <c r="I25" s="127"/>
      <c r="J25" s="84"/>
      <c r="K25" s="85">
        <f>+K24+K23</f>
        <v>5031.16</v>
      </c>
      <c r="L25" s="86">
        <f>+L24+L23</f>
        <v>3421.1887999999999</v>
      </c>
      <c r="M25" s="86">
        <f>+M24+M23</f>
        <v>603.73919999999998</v>
      </c>
      <c r="N25" s="87">
        <f>+N24+N23</f>
        <v>1006.232</v>
      </c>
    </row>
    <row r="26" spans="1:14">
      <c r="A26" s="223">
        <f>+A23+1</f>
        <v>42345</v>
      </c>
      <c r="B26" s="83"/>
      <c r="C26" s="80">
        <f>+'SALES SUMMARY'!AF27</f>
        <v>2096.8200000000002</v>
      </c>
      <c r="D26" s="81">
        <f>(C26*0.8)*0.85</f>
        <v>1425.8376000000001</v>
      </c>
      <c r="E26" s="81">
        <f>(C26*0.8)*0.15</f>
        <v>251.61840000000001</v>
      </c>
      <c r="F26" s="82">
        <f>C26*0.2</f>
        <v>419.36400000000003</v>
      </c>
      <c r="I26" s="123">
        <f>+I23+1</f>
        <v>42360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8" thickBot="1">
      <c r="A27" s="224"/>
      <c r="B27" s="83"/>
      <c r="C27" s="80">
        <f>+'SALES SUMMARY'!AF28</f>
        <v>2430.6999999999998</v>
      </c>
      <c r="D27" s="81">
        <f>(C27*0.8)*0.85</f>
        <v>1652.876</v>
      </c>
      <c r="E27" s="81">
        <f>(C27*0.8)*0.15</f>
        <v>291.68399999999997</v>
      </c>
      <c r="F27" s="82">
        <f>C27*0.2</f>
        <v>486.14</v>
      </c>
      <c r="I27" s="124"/>
      <c r="J27" s="83"/>
      <c r="K27" s="80">
        <f>+'SALES SUMMARY'!AF73</f>
        <v>0</v>
      </c>
      <c r="L27" s="81">
        <f>(K27*0.8)*0.85</f>
        <v>0</v>
      </c>
      <c r="M27" s="81">
        <f>(K27*0.8)*0.15</f>
        <v>0</v>
      </c>
      <c r="N27" s="82">
        <f>K27*0.2</f>
        <v>0</v>
      </c>
    </row>
    <row r="28" spans="1:14" ht="13.8" thickBot="1">
      <c r="A28" s="127"/>
      <c r="B28" s="84"/>
      <c r="C28" s="85">
        <f>+C27+C26</f>
        <v>4527.5200000000004</v>
      </c>
      <c r="D28" s="86">
        <f>+D27+D26</f>
        <v>3078.7136</v>
      </c>
      <c r="E28" s="86">
        <f>+E27+E26</f>
        <v>543.30240000000003</v>
      </c>
      <c r="F28" s="87">
        <f>+F27+F26</f>
        <v>905.50400000000002</v>
      </c>
      <c r="I28" s="127"/>
      <c r="J28" s="84"/>
      <c r="K28" s="85">
        <f>+K27+K26</f>
        <v>0</v>
      </c>
      <c r="L28" s="86">
        <f>+L27+L26</f>
        <v>0</v>
      </c>
      <c r="M28" s="86">
        <f>+M27+M26</f>
        <v>0</v>
      </c>
      <c r="N28" s="87">
        <f>+N27+N26</f>
        <v>0</v>
      </c>
    </row>
    <row r="29" spans="1:14">
      <c r="A29" s="223">
        <f>+A26+1</f>
        <v>42346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42361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8" thickBot="1">
      <c r="A30" s="224"/>
      <c r="B30" s="83"/>
      <c r="C30" s="80">
        <f>+'SALES SUMMARY'!AF31</f>
        <v>1021.71</v>
      </c>
      <c r="D30" s="81">
        <f>(C30*0.8)*0.85</f>
        <v>694.76279999999997</v>
      </c>
      <c r="E30" s="81">
        <f>(C30*0.8)*0.15</f>
        <v>122.6052</v>
      </c>
      <c r="F30" s="82">
        <f>C30*0.2</f>
        <v>204.34200000000001</v>
      </c>
      <c r="I30" s="124"/>
      <c r="J30" s="83"/>
      <c r="K30" s="80">
        <f>+'SALES SUMMARY'!AF76</f>
        <v>0</v>
      </c>
      <c r="L30" s="81">
        <f>(K30*0.8)*0.85</f>
        <v>0</v>
      </c>
      <c r="M30" s="81">
        <f>(K30*0.8)*0.15</f>
        <v>0</v>
      </c>
      <c r="N30" s="82">
        <f>K30*0.2</f>
        <v>0</v>
      </c>
    </row>
    <row r="31" spans="1:14" ht="13.8" thickBot="1">
      <c r="A31" s="127"/>
      <c r="B31" s="84"/>
      <c r="C31" s="85">
        <f>+C30+C29</f>
        <v>1021.71</v>
      </c>
      <c r="D31" s="86">
        <f>+D30+D29</f>
        <v>694.76279999999997</v>
      </c>
      <c r="E31" s="86">
        <f>+E30+E29</f>
        <v>122.6052</v>
      </c>
      <c r="F31" s="87">
        <f>+F30+F29</f>
        <v>204.34200000000001</v>
      </c>
      <c r="I31" s="127"/>
      <c r="J31" s="84"/>
      <c r="K31" s="85">
        <f>+K30+K29</f>
        <v>0</v>
      </c>
      <c r="L31" s="86">
        <f>+L30+L29</f>
        <v>0</v>
      </c>
      <c r="M31" s="86">
        <f>+M30+M29</f>
        <v>0</v>
      </c>
      <c r="N31" s="87">
        <f>+N30+N29</f>
        <v>0</v>
      </c>
    </row>
    <row r="32" spans="1:14">
      <c r="A32" s="223">
        <f>+A29+1</f>
        <v>42347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42362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8" thickBot="1">
      <c r="A33" s="224"/>
      <c r="B33" s="83"/>
      <c r="C33" s="80">
        <f>+'SALES SUMMARY'!AF34</f>
        <v>0</v>
      </c>
      <c r="D33" s="81">
        <f>(C33*0.8)*0.85</f>
        <v>0</v>
      </c>
      <c r="E33" s="81">
        <f>(C33*0.8)*0.15</f>
        <v>0</v>
      </c>
      <c r="F33" s="82">
        <f>C33*0.2</f>
        <v>0</v>
      </c>
      <c r="I33" s="124"/>
      <c r="J33" s="83"/>
      <c r="K33" s="80">
        <f>+'SALES SUMMARY'!AF79</f>
        <v>0</v>
      </c>
      <c r="L33" s="81">
        <f>(K33*0.8)*0.85</f>
        <v>0</v>
      </c>
      <c r="M33" s="81">
        <f>(K33*0.8)*0.15</f>
        <v>0</v>
      </c>
      <c r="N33" s="82">
        <f>K33*0.2</f>
        <v>0</v>
      </c>
    </row>
    <row r="34" spans="1:18" ht="13.8" thickBot="1">
      <c r="A34" s="127"/>
      <c r="B34" s="84"/>
      <c r="C34" s="85">
        <f>+C33+C32</f>
        <v>0</v>
      </c>
      <c r="D34" s="86">
        <f>+D33+D32</f>
        <v>0</v>
      </c>
      <c r="E34" s="86">
        <f>+E33+E32</f>
        <v>0</v>
      </c>
      <c r="F34" s="87">
        <f>+F33+F32</f>
        <v>0</v>
      </c>
      <c r="G34" s="128"/>
      <c r="I34" s="127"/>
      <c r="J34" s="84"/>
      <c r="K34" s="85">
        <f>+K33+K32</f>
        <v>0</v>
      </c>
      <c r="L34" s="86">
        <f>+L33+L32</f>
        <v>0</v>
      </c>
      <c r="M34" s="86">
        <f>+M33+M32</f>
        <v>0</v>
      </c>
      <c r="N34" s="87">
        <f>+N33+N32</f>
        <v>0</v>
      </c>
    </row>
    <row r="35" spans="1:18">
      <c r="A35" s="223">
        <f>+A32+1</f>
        <v>42348</v>
      </c>
      <c r="B35" s="83"/>
      <c r="C35" s="80">
        <f>+'SALES SUMMARY'!AF36</f>
        <v>2058.2600000000002</v>
      </c>
      <c r="D35" s="81">
        <f>(C35*0.8)*0.85</f>
        <v>1399.6168</v>
      </c>
      <c r="E35" s="81">
        <f>(C35*0.8)*0.15</f>
        <v>246.99120000000002</v>
      </c>
      <c r="F35" s="82">
        <f>C35*0.2</f>
        <v>411.65200000000004</v>
      </c>
      <c r="I35" s="123">
        <f>+I32+1</f>
        <v>42363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8" thickBot="1">
      <c r="A36" s="224"/>
      <c r="B36" s="83"/>
      <c r="C36" s="80">
        <f>+'SALES SUMMARY'!AF37</f>
        <v>623.36</v>
      </c>
      <c r="D36" s="81">
        <f>(C36*0.8)*0.85</f>
        <v>423.88480000000004</v>
      </c>
      <c r="E36" s="81">
        <f>(C36*0.8)*0.15</f>
        <v>74.803200000000004</v>
      </c>
      <c r="F36" s="82">
        <f>C36*0.2</f>
        <v>124.67200000000001</v>
      </c>
      <c r="I36" s="124"/>
      <c r="J36" s="83"/>
      <c r="K36" s="80">
        <f>+'SALES SUMMARY'!AF82</f>
        <v>0</v>
      </c>
      <c r="L36" s="81">
        <f>(K36*0.8)*0.85</f>
        <v>0</v>
      </c>
      <c r="M36" s="81">
        <f>(K36*0.8)*0.15</f>
        <v>0</v>
      </c>
      <c r="N36" s="82">
        <f>K36*0.2</f>
        <v>0</v>
      </c>
    </row>
    <row r="37" spans="1:18" ht="13.8" thickBot="1">
      <c r="A37" s="127"/>
      <c r="B37" s="84"/>
      <c r="C37" s="85">
        <f>+C36+C35</f>
        <v>2681.6200000000003</v>
      </c>
      <c r="D37" s="86">
        <f>+D36+D35</f>
        <v>1823.5016000000001</v>
      </c>
      <c r="E37" s="86">
        <f>+E36+E35</f>
        <v>321.7944</v>
      </c>
      <c r="F37" s="87">
        <f>+F36+F35</f>
        <v>536.32400000000007</v>
      </c>
      <c r="G37" s="128"/>
      <c r="I37" s="127"/>
      <c r="J37" s="84"/>
      <c r="K37" s="85">
        <f>+K36+K35</f>
        <v>0</v>
      </c>
      <c r="L37" s="86">
        <f>+L36+L35</f>
        <v>0</v>
      </c>
      <c r="M37" s="86">
        <f>+M36+M35</f>
        <v>0</v>
      </c>
      <c r="N37" s="87">
        <f>+N36+N35</f>
        <v>0</v>
      </c>
    </row>
    <row r="38" spans="1:18" ht="14.4">
      <c r="A38" s="223">
        <f>+A35+1</f>
        <v>42349</v>
      </c>
      <c r="B38" s="83"/>
      <c r="C38" s="80">
        <f>+'SALES SUMMARY'!AF39</f>
        <v>909.29</v>
      </c>
      <c r="D38" s="81">
        <f>(C38*0.8)*0.85</f>
        <v>618.31719999999996</v>
      </c>
      <c r="E38" s="81">
        <f>(C38*0.8)*0.15</f>
        <v>109.1148</v>
      </c>
      <c r="F38" s="82">
        <f>C38*0.2</f>
        <v>181.858</v>
      </c>
      <c r="I38" s="123">
        <f>+I35+1</f>
        <v>42364</v>
      </c>
      <c r="J38" s="83"/>
      <c r="K38" s="80">
        <f>+'SALES SUMMARY'!AF84</f>
        <v>1147.93</v>
      </c>
      <c r="L38" s="81">
        <f>(K38*0.8)*0.85</f>
        <v>780.5924</v>
      </c>
      <c r="M38" s="81">
        <f>(K38*0.8)*0.15</f>
        <v>137.7516</v>
      </c>
      <c r="N38" s="82">
        <f>K38*0.2</f>
        <v>229.58600000000001</v>
      </c>
      <c r="R38" s="129"/>
    </row>
    <row r="39" spans="1:18" ht="13.8" thickBot="1">
      <c r="A39" s="224"/>
      <c r="B39" s="83"/>
      <c r="C39" s="80">
        <f>+'SALES SUMMARY'!AF40</f>
        <v>1909.15</v>
      </c>
      <c r="D39" s="81">
        <f>(C39*0.8)*0.85</f>
        <v>1298.2220000000002</v>
      </c>
      <c r="E39" s="81">
        <f>(C39*0.8)*0.15</f>
        <v>229.09800000000001</v>
      </c>
      <c r="F39" s="82">
        <f>C39*0.2</f>
        <v>381.83000000000004</v>
      </c>
      <c r="I39" s="124"/>
      <c r="J39" s="83"/>
      <c r="K39" s="80">
        <f>+'SALES SUMMARY'!AF85</f>
        <v>558.85</v>
      </c>
      <c r="L39" s="81">
        <f>(K39*0.8)*0.85</f>
        <v>380.01800000000003</v>
      </c>
      <c r="M39" s="81">
        <f>(K39*0.8)*0.15</f>
        <v>67.061999999999998</v>
      </c>
      <c r="N39" s="82">
        <f>K39*0.2</f>
        <v>111.77000000000001</v>
      </c>
    </row>
    <row r="40" spans="1:18" ht="13.8" thickBot="1">
      <c r="A40" s="127"/>
      <c r="B40" s="84"/>
      <c r="C40" s="85">
        <f>+C39+C38</f>
        <v>2818.44</v>
      </c>
      <c r="D40" s="86">
        <f>+D39+D38</f>
        <v>1916.5392000000002</v>
      </c>
      <c r="E40" s="86">
        <f>+E39+E38</f>
        <v>338.21280000000002</v>
      </c>
      <c r="F40" s="87">
        <f>+F39+F38</f>
        <v>563.6880000000001</v>
      </c>
      <c r="I40" s="127"/>
      <c r="J40" s="84"/>
      <c r="K40" s="85">
        <f>+K39+K38</f>
        <v>1706.7800000000002</v>
      </c>
      <c r="L40" s="86">
        <f>+L39+L38</f>
        <v>1160.6104</v>
      </c>
      <c r="M40" s="86">
        <f>+M39+M38</f>
        <v>204.81360000000001</v>
      </c>
      <c r="N40" s="87">
        <f>+N39+N38</f>
        <v>341.35599999999999</v>
      </c>
    </row>
    <row r="41" spans="1:18">
      <c r="A41" s="223">
        <f>+A38+1</f>
        <v>42350</v>
      </c>
      <c r="B41" s="79"/>
      <c r="C41" s="80">
        <f>+'SALES SUMMARY'!AF42</f>
        <v>4187.3500000000004</v>
      </c>
      <c r="D41" s="81">
        <f>(C41*0.8)*0.85</f>
        <v>2847.3980000000006</v>
      </c>
      <c r="E41" s="81">
        <f>(C41*0.8)*0.15</f>
        <v>502.48200000000008</v>
      </c>
      <c r="F41" s="82">
        <f>C41*0.2</f>
        <v>837.47000000000014</v>
      </c>
      <c r="I41" s="123">
        <f>+I38+1</f>
        <v>42365</v>
      </c>
      <c r="J41" s="79"/>
      <c r="K41" s="80">
        <f>+'SALES SUMMARY'!AF87</f>
        <v>1335.32</v>
      </c>
      <c r="L41" s="81">
        <f>(K41*0.8)*0.85</f>
        <v>908.01760000000002</v>
      </c>
      <c r="M41" s="81">
        <f>(K41*0.8)*0.15</f>
        <v>160.23840000000001</v>
      </c>
      <c r="N41" s="82">
        <f>K41*0.2</f>
        <v>267.06400000000002</v>
      </c>
    </row>
    <row r="42" spans="1:18" ht="13.8" thickBot="1">
      <c r="A42" s="224"/>
      <c r="B42" s="83"/>
      <c r="C42" s="80">
        <f>+'SALES SUMMARY'!AF43</f>
        <v>2836.66</v>
      </c>
      <c r="D42" s="81">
        <f>(C42*0.8)*0.85</f>
        <v>1928.9287999999999</v>
      </c>
      <c r="E42" s="81">
        <f>(C42*0.8)*0.15</f>
        <v>340.39920000000001</v>
      </c>
      <c r="F42" s="82">
        <f>C42*0.2</f>
        <v>567.33199999999999</v>
      </c>
      <c r="I42" s="124"/>
      <c r="J42" s="83"/>
      <c r="K42" s="80">
        <f>+'SALES SUMMARY'!AF88</f>
        <v>1548.02</v>
      </c>
      <c r="L42" s="81">
        <f>(K42*0.8)*0.85</f>
        <v>1052.6536000000001</v>
      </c>
      <c r="M42" s="81">
        <f>(K42*0.8)*0.15</f>
        <v>185.76240000000001</v>
      </c>
      <c r="N42" s="82">
        <f>K42*0.2</f>
        <v>309.60400000000004</v>
      </c>
    </row>
    <row r="43" spans="1:18" ht="13.8" thickBot="1">
      <c r="A43" s="126"/>
      <c r="B43" s="84"/>
      <c r="C43" s="85">
        <f>+C42+C41</f>
        <v>7024.01</v>
      </c>
      <c r="D43" s="86">
        <f>+D42+D41</f>
        <v>4776.3268000000007</v>
      </c>
      <c r="E43" s="86">
        <f>+E42+E41</f>
        <v>842.88120000000004</v>
      </c>
      <c r="F43" s="87">
        <f>+F42+F41</f>
        <v>1404.8020000000001</v>
      </c>
      <c r="I43" s="126"/>
      <c r="J43" s="84"/>
      <c r="K43" s="85">
        <f>+K42+K41</f>
        <v>2883.34</v>
      </c>
      <c r="L43" s="86">
        <f>+L42+L41</f>
        <v>1960.6712000000002</v>
      </c>
      <c r="M43" s="86">
        <f>+M42+M41</f>
        <v>346.00080000000003</v>
      </c>
      <c r="N43" s="87">
        <f>+N42+N41</f>
        <v>576.66800000000012</v>
      </c>
    </row>
    <row r="44" spans="1:18">
      <c r="A44" s="223">
        <f>+A41+1</f>
        <v>42351</v>
      </c>
      <c r="B44" s="83"/>
      <c r="C44" s="80">
        <f>+'SALES SUMMARY'!AF45</f>
        <v>2660.63</v>
      </c>
      <c r="D44" s="81">
        <f>(C44*0.8)*0.85</f>
        <v>1809.2284000000002</v>
      </c>
      <c r="E44" s="81">
        <f>(C44*0.8)*0.15</f>
        <v>319.27560000000005</v>
      </c>
      <c r="F44" s="82">
        <f>C44*0.2</f>
        <v>532.12600000000009</v>
      </c>
      <c r="I44" s="123">
        <f>+I41+1</f>
        <v>42366</v>
      </c>
      <c r="J44" s="83"/>
      <c r="K44" s="80">
        <f>+'SALES SUMMARY'!AF90</f>
        <v>1867.67</v>
      </c>
      <c r="L44" s="81">
        <f>(K44*0.8)*0.85</f>
        <v>1270.0156000000002</v>
      </c>
      <c r="M44" s="81">
        <f>(K44*0.8)*0.15</f>
        <v>224.12040000000002</v>
      </c>
      <c r="N44" s="82">
        <f>K44*0.2</f>
        <v>373.53400000000005</v>
      </c>
    </row>
    <row r="45" spans="1:18" ht="13.8" thickBot="1">
      <c r="A45" s="224"/>
      <c r="B45" s="83"/>
      <c r="C45" s="80">
        <f>+'SALES SUMMARY'!AF46</f>
        <v>2356.84</v>
      </c>
      <c r="D45" s="81">
        <f>(C45*0.8)*0.85</f>
        <v>1602.6512000000002</v>
      </c>
      <c r="E45" s="81">
        <f>(C45*0.8)*0.15</f>
        <v>282.82080000000002</v>
      </c>
      <c r="F45" s="82">
        <f>C45*0.2</f>
        <v>471.36800000000005</v>
      </c>
      <c r="I45" s="124"/>
      <c r="J45" s="83"/>
      <c r="K45" s="80">
        <f>+'SALES SUMMARY'!AF91</f>
        <v>1013.38</v>
      </c>
      <c r="L45" s="81">
        <f>(K45*0.8)*0.85</f>
        <v>689.09840000000008</v>
      </c>
      <c r="M45" s="81">
        <f>(K45*0.8)*0.15</f>
        <v>121.60560000000001</v>
      </c>
      <c r="N45" s="82">
        <f>K45*0.2</f>
        <v>202.67600000000002</v>
      </c>
      <c r="R45" s="83"/>
    </row>
    <row r="46" spans="1:18" ht="13.8" thickBot="1">
      <c r="A46" s="126"/>
      <c r="B46" s="84"/>
      <c r="C46" s="85">
        <f>+C45+C44</f>
        <v>5017.47</v>
      </c>
      <c r="D46" s="86">
        <f>+D45+D44</f>
        <v>3411.8796000000002</v>
      </c>
      <c r="E46" s="86">
        <f>+E45+E44</f>
        <v>602.09640000000013</v>
      </c>
      <c r="F46" s="87">
        <f>+F45+F44</f>
        <v>1003.4940000000001</v>
      </c>
      <c r="G46" s="128"/>
      <c r="I46" s="126"/>
      <c r="J46" s="84"/>
      <c r="K46" s="85">
        <f>+K45+K44</f>
        <v>2881.05</v>
      </c>
      <c r="L46" s="86">
        <f>+L45+L44</f>
        <v>1959.1140000000003</v>
      </c>
      <c r="M46" s="86">
        <f>+M45+M44</f>
        <v>345.726</v>
      </c>
      <c r="N46" s="87">
        <f>+N45+N44</f>
        <v>576.21</v>
      </c>
    </row>
    <row r="47" spans="1:18">
      <c r="A47" s="223">
        <f>+A44+1</f>
        <v>42352</v>
      </c>
      <c r="B47" s="83"/>
      <c r="C47" s="80">
        <f>+'SALES SUMMARY'!AF48</f>
        <v>2951.41</v>
      </c>
      <c r="D47" s="81">
        <f>(C47*0.8)*0.85</f>
        <v>2006.9588000000001</v>
      </c>
      <c r="E47" s="81">
        <f>(C47*0.8)*0.15</f>
        <v>354.16919999999999</v>
      </c>
      <c r="F47" s="82">
        <f>C47*0.2</f>
        <v>590.28200000000004</v>
      </c>
      <c r="I47" s="123">
        <f>+I44+1</f>
        <v>42367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8" thickBot="1">
      <c r="A48" s="224"/>
      <c r="B48" s="83"/>
      <c r="C48" s="80">
        <f>+'SALES SUMMARY'!AF49</f>
        <v>765.63</v>
      </c>
      <c r="D48" s="81">
        <f>(C48*0.8)*0.85</f>
        <v>520.62840000000006</v>
      </c>
      <c r="E48" s="81">
        <f>(C48*0.8)*0.15</f>
        <v>91.875600000000006</v>
      </c>
      <c r="F48" s="82">
        <f>C48*0.2</f>
        <v>153.126</v>
      </c>
      <c r="I48" s="124"/>
      <c r="J48" s="83"/>
      <c r="K48" s="80">
        <f>+'SALES SUMMARY'!AF94</f>
        <v>636</v>
      </c>
      <c r="L48" s="81">
        <f>(K48*0.8)*0.85</f>
        <v>432.48</v>
      </c>
      <c r="M48" s="81">
        <f>(K48*0.8)*0.15</f>
        <v>76.319999999999993</v>
      </c>
      <c r="N48" s="82">
        <f>K48*0.2</f>
        <v>127.2</v>
      </c>
    </row>
    <row r="49" spans="1:16" ht="13.8" thickBot="1">
      <c r="A49" s="126"/>
      <c r="B49" s="84"/>
      <c r="C49" s="85">
        <f>+C48+C47</f>
        <v>3717.04</v>
      </c>
      <c r="D49" s="86">
        <f>+D48+D47</f>
        <v>2527.5871999999999</v>
      </c>
      <c r="E49" s="86">
        <f>+E48+E47</f>
        <v>446.04480000000001</v>
      </c>
      <c r="F49" s="87">
        <f>+F48+F47</f>
        <v>743.40800000000002</v>
      </c>
      <c r="G49" s="128"/>
      <c r="H49" s="128"/>
      <c r="I49" s="126"/>
      <c r="J49" s="84"/>
      <c r="K49" s="85">
        <f>+K48+K47</f>
        <v>636</v>
      </c>
      <c r="L49" s="86">
        <f>+L48+L47</f>
        <v>432.48</v>
      </c>
      <c r="M49" s="86">
        <f>+M48+M47</f>
        <v>76.319999999999993</v>
      </c>
      <c r="N49" s="87">
        <f>+N48+N47</f>
        <v>127.2</v>
      </c>
    </row>
    <row r="50" spans="1:16">
      <c r="A50" s="223">
        <f>+A47+1</f>
        <v>42353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42368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8" thickBot="1">
      <c r="A51" s="224"/>
      <c r="B51" s="83"/>
      <c r="C51" s="80">
        <f>+'SALES SUMMARY'!AF52</f>
        <v>268.75</v>
      </c>
      <c r="D51" s="81">
        <f>(C51*0.8)*0.85</f>
        <v>182.75</v>
      </c>
      <c r="E51" s="81">
        <f>(C51*0.8)*0.15</f>
        <v>32.25</v>
      </c>
      <c r="F51" s="82">
        <f>C51*0.2</f>
        <v>53.75</v>
      </c>
      <c r="I51" s="124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6" ht="13.8" thickBot="1">
      <c r="A52" s="126"/>
      <c r="B52" s="84"/>
      <c r="C52" s="85">
        <f>+C51+C50</f>
        <v>268.75</v>
      </c>
      <c r="D52" s="86">
        <f>+D51+D50</f>
        <v>182.75</v>
      </c>
      <c r="E52" s="86">
        <f>+E51+E50</f>
        <v>32.25</v>
      </c>
      <c r="F52" s="87">
        <f>+F51+F50</f>
        <v>53.75</v>
      </c>
      <c r="G52" s="128"/>
      <c r="H52" s="128"/>
      <c r="I52" s="126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6" ht="13.8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4" thickTop="1" thickBot="1">
      <c r="A54" s="89" t="s">
        <v>45</v>
      </c>
      <c r="B54" s="89"/>
      <c r="C54" s="90">
        <f>C10+C13+C16+C19+C22+C25+C28+C31+C34+C37+C40+C43+C46+C49+C52</f>
        <v>37807.99</v>
      </c>
      <c r="D54" s="90">
        <f>D10+D13+D16+D19+D22+D25+D28+D31+D34+D37+D40+D43+D46+D49+D52</f>
        <v>25709.433199999999</v>
      </c>
      <c r="E54" s="90">
        <f>E10+E13+E16+E19+E22+E25+E28+E31+E34+E37+E40+E43+E46+E49+E52</f>
        <v>4536.9588000000003</v>
      </c>
      <c r="F54" s="90">
        <f>F10+F13+F16+F19+F22+F25+F28+F31+F34+F37+F40+F43+F46+F49+F52</f>
        <v>7561.5980000000009</v>
      </c>
      <c r="I54" s="124"/>
      <c r="J54" s="83"/>
      <c r="K54" s="80">
        <f>+'SALES SUMMARY'!AF100</f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4" thickTop="1" thickBot="1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8" thickBot="1">
      <c r="A56" s="91"/>
      <c r="B56" s="91"/>
      <c r="C56" s="91" t="s">
        <v>70</v>
      </c>
      <c r="D56" s="91"/>
      <c r="E56" s="91"/>
      <c r="F56" s="92">
        <f>D54</f>
        <v>25709.433199999999</v>
      </c>
      <c r="K56" s="88"/>
      <c r="L56" s="88"/>
      <c r="M56" s="88"/>
      <c r="N56" s="82"/>
    </row>
    <row r="57" spans="1:16" ht="14.4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28298.12</v>
      </c>
      <c r="L57" s="90">
        <f>+L10+L13+L16+L19+L22+L25+L28+L31+L34+L37+L40+L43+L46+L49+L52+L55</f>
        <v>19242.721600000001</v>
      </c>
      <c r="M57" s="90">
        <f>+M10+M13+M16+M19+M22+M25+M28+M31+M34+M37+M40+M43+M46+M49+M52+M55</f>
        <v>3395.7744000000002</v>
      </c>
      <c r="N57" s="90">
        <f>+N10+N13+N16+N19+N22+N25+N28+N31+N34+N37+N40+N43+N46+N49+N52+N55</f>
        <v>5659.6239999999998</v>
      </c>
    </row>
    <row r="58" spans="1:16" ht="14.4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4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19242.721600000001</v>
      </c>
    </row>
    <row r="60" spans="1:16" ht="14.4" thickTop="1" thickBot="1">
      <c r="A60" s="91"/>
      <c r="B60" s="91"/>
      <c r="C60" s="91" t="s">
        <v>78</v>
      </c>
      <c r="D60" s="91"/>
      <c r="E60" s="91"/>
      <c r="F60" s="93">
        <f>(F54-F59)*0.6</f>
        <v>1788.9588000000006</v>
      </c>
      <c r="I60" s="91"/>
      <c r="J60" s="91"/>
      <c r="K60" s="91"/>
      <c r="L60" s="91"/>
      <c r="M60" s="131"/>
    </row>
    <row r="61" spans="1:16" ht="14.4" thickTop="1" thickBot="1">
      <c r="A61" s="91"/>
      <c r="B61" s="91"/>
      <c r="C61" s="91" t="s">
        <v>79</v>
      </c>
      <c r="D61" s="91"/>
      <c r="E61" s="91"/>
      <c r="F61" s="94">
        <f>+F59+F60</f>
        <v>6368.9588000000003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8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8" thickBot="1">
      <c r="A63" s="91"/>
      <c r="B63" s="91"/>
      <c r="C63" s="91" t="s">
        <v>80</v>
      </c>
      <c r="D63" s="91"/>
      <c r="E63" s="91"/>
      <c r="F63" s="93">
        <f>E54</f>
        <v>4536.9588000000003</v>
      </c>
      <c r="I63" s="91"/>
      <c r="J63" s="91" t="s">
        <v>81</v>
      </c>
      <c r="K63" s="91"/>
      <c r="L63" s="91"/>
      <c r="M63" s="131"/>
      <c r="N63" s="133">
        <f>(N57-N62)*0.6</f>
        <v>647.7743999999999</v>
      </c>
    </row>
    <row r="64" spans="1:16" ht="14.4" thickTop="1" thickBot="1">
      <c r="I64" s="91"/>
      <c r="J64" s="91" t="s">
        <v>79</v>
      </c>
      <c r="K64" s="91"/>
      <c r="L64" s="91"/>
      <c r="M64" s="130"/>
      <c r="N64" s="94">
        <f>+N62+N63</f>
        <v>5227.7744000000002</v>
      </c>
      <c r="P64" s="128">
        <f>+F54+N57</f>
        <v>13221.222000000002</v>
      </c>
    </row>
    <row r="65" spans="3:14" ht="13.8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1192.6392000000003</v>
      </c>
      <c r="I66" s="91"/>
      <c r="J66" s="91" t="s">
        <v>80</v>
      </c>
      <c r="K66" s="91"/>
      <c r="L66" s="91"/>
      <c r="M66" s="130"/>
      <c r="N66" s="93">
        <f>M57</f>
        <v>3395.7744000000002</v>
      </c>
    </row>
    <row r="67" spans="3:14">
      <c r="M67" s="83"/>
    </row>
    <row r="68" spans="3:14" ht="13.8" thickBot="1">
      <c r="C68" s="91" t="s">
        <v>84</v>
      </c>
      <c r="F68" s="95">
        <f>+F56+F59+F60+F63+F66</f>
        <v>37807.99</v>
      </c>
      <c r="G68" s="128">
        <f>+F68-C54</f>
        <v>0</v>
      </c>
      <c r="J68" s="91" t="s">
        <v>82</v>
      </c>
      <c r="M68" s="83"/>
    </row>
    <row r="69" spans="3:14" ht="13.8" thickTop="1">
      <c r="J69" s="91" t="s">
        <v>83</v>
      </c>
      <c r="M69" s="83"/>
      <c r="N69" s="93">
        <f>(N57-N62)*0.4</f>
        <v>431.84959999999995</v>
      </c>
    </row>
    <row r="71" spans="3:14" ht="13.8" thickBot="1">
      <c r="J71" s="91" t="s">
        <v>84</v>
      </c>
      <c r="N71" s="95">
        <f>+N59+N62+N63+N66+N69</f>
        <v>28298.120000000003</v>
      </c>
    </row>
    <row r="72" spans="3:14" ht="13.8" thickTop="1"/>
    <row r="74" spans="3:14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G129"/>
  <sheetViews>
    <sheetView topLeftCell="A100" workbookViewId="0">
      <selection activeCell="F84" sqref="F84"/>
    </sheetView>
  </sheetViews>
  <sheetFormatPr defaultColWidth="9.109375" defaultRowHeight="13.2"/>
  <cols>
    <col min="1" max="1" width="33.88671875" style="73" bestFit="1" customWidth="1"/>
    <col min="2" max="2" width="9.109375" style="73"/>
    <col min="3" max="4" width="0" style="73" hidden="1" customWidth="1"/>
    <col min="5" max="5" width="9.109375" style="73"/>
    <col min="6" max="7" width="12.88671875" style="73" customWidth="1"/>
    <col min="8" max="16384" width="9.10937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>
        <v>43405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SUMMARY'!C105</f>
        <v>959922.94999999984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SUMMARY'!AF105</f>
        <v>66106.109999999986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SUMMARY'!AM105</f>
        <v>94306.261199999994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799510.5787999999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8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15990.211575999998</v>
      </c>
    </row>
    <row r="18" spans="1:7" ht="13.8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1918.8253891199997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1599.0211575999999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8" thickBot="1">
      <c r="A23" s="104" t="s">
        <v>124</v>
      </c>
      <c r="B23" s="104"/>
      <c r="C23" s="104"/>
      <c r="D23" s="104"/>
      <c r="E23" s="104"/>
      <c r="F23" s="104"/>
      <c r="G23" s="112">
        <f>G17+G19-G21</f>
        <v>16310.015807519998</v>
      </c>
    </row>
    <row r="24" spans="1:7" ht="13.8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8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>
        <f>+A5</f>
        <v>43405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959922.94999999984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66106.109999999986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94306.261199999994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799510.5787999999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8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15990.211575999998</v>
      </c>
    </row>
    <row r="52" spans="1:7" ht="13.8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1918.8253891199997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1599.0211575999999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8" thickBot="1">
      <c r="A57" s="104" t="s">
        <v>124</v>
      </c>
      <c r="B57" s="104"/>
      <c r="C57" s="104"/>
      <c r="D57" s="104"/>
      <c r="E57" s="104"/>
      <c r="F57" s="104"/>
      <c r="G57" s="112">
        <f>G51+G53-G55</f>
        <v>16310.015807519998</v>
      </c>
    </row>
    <row r="58" spans="1:7" ht="13.8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>
        <f>A5</f>
        <v>43405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959922.94999999984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66106.109999999986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94306.261199999994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799510.5787999999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39975.528939999997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4797.0634727999995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3997.5528939999999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8" thickBot="1">
      <c r="A89" s="104" t="s">
        <v>124</v>
      </c>
      <c r="B89" s="104"/>
      <c r="C89" s="104"/>
      <c r="D89" s="104"/>
      <c r="E89" s="104"/>
      <c r="F89" s="104"/>
      <c r="G89" s="112">
        <f>+G83+G85-G87</f>
        <v>40775.039518799997</v>
      </c>
    </row>
    <row r="90" spans="1:7" ht="13.8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8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>
        <f>A5</f>
        <v>43405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959922.94999999984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66106.109999999986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94306.261199999994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799510.5787999999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39975.528939999997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4797.0634727999995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3997.5528939999999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8" thickBot="1">
      <c r="A121" s="104" t="s">
        <v>124</v>
      </c>
      <c r="B121" s="104"/>
      <c r="C121" s="104"/>
      <c r="D121" s="104"/>
      <c r="E121" s="104"/>
      <c r="F121" s="104"/>
      <c r="G121" s="112">
        <f>G115+G117-G119</f>
        <v>40775.039518799997</v>
      </c>
    </row>
    <row r="122" spans="1:7" ht="13.8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SALES SUMMARY</vt:lpstr>
      <vt:lpstr>SALES SUMMARY (3)</vt:lpstr>
      <vt:lpstr>SALES SUMMARY (2)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2018-11-20T11:26:27Z</cp:lastPrinted>
  <dcterms:created xsi:type="dcterms:W3CDTF">2013-01-10T00:59:22Z</dcterms:created>
  <dcterms:modified xsi:type="dcterms:W3CDTF">2019-02-20T23:42:13Z</dcterms:modified>
</cp:coreProperties>
</file>