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Sheet1!$J$67:$P$98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W18" i="20"/>
  <c r="N59"/>
  <c r="G24"/>
  <c r="N159" i="79"/>
  <c r="F159"/>
  <c r="N158"/>
  <c r="F158"/>
  <c r="N157"/>
  <c r="F157"/>
  <c r="N156"/>
  <c r="F156"/>
  <c r="N155"/>
  <c r="F155"/>
  <c r="N154"/>
  <c r="F154"/>
  <c r="N153"/>
  <c r="F153"/>
  <c r="N152"/>
  <c r="F152"/>
  <c r="N151"/>
  <c r="P159" s="1"/>
  <c r="F151"/>
  <c r="H159" s="1"/>
  <c r="N149"/>
  <c r="F149"/>
  <c r="N148"/>
  <c r="F148"/>
  <c r="N147"/>
  <c r="F147"/>
  <c r="N146"/>
  <c r="F146"/>
  <c r="N145"/>
  <c r="P149" s="1"/>
  <c r="F145"/>
  <c r="H149" s="1"/>
  <c r="M143"/>
  <c r="E143"/>
  <c r="P142"/>
  <c r="L142"/>
  <c r="H142"/>
  <c r="L141"/>
  <c r="D141"/>
  <c r="L140"/>
  <c r="D140"/>
  <c r="L139"/>
  <c r="D139"/>
  <c r="J135"/>
  <c r="B135"/>
  <c r="J134"/>
  <c r="B134"/>
  <c r="N126"/>
  <c r="F126"/>
  <c r="N125"/>
  <c r="F125"/>
  <c r="N124"/>
  <c r="N123"/>
  <c r="N122"/>
  <c r="F122"/>
  <c r="N121"/>
  <c r="F121"/>
  <c r="N120"/>
  <c r="N119"/>
  <c r="F119"/>
  <c r="N118"/>
  <c r="P126" s="1"/>
  <c r="N116"/>
  <c r="N115"/>
  <c r="F115"/>
  <c r="H116" s="1"/>
  <c r="N114"/>
  <c r="N113"/>
  <c r="N112"/>
  <c r="M110"/>
  <c r="P109"/>
  <c r="L108"/>
  <c r="D108"/>
  <c r="L107"/>
  <c r="D107"/>
  <c r="H109" s="1"/>
  <c r="L106"/>
  <c r="D106"/>
  <c r="J102"/>
  <c r="B102"/>
  <c r="J101"/>
  <c r="B101"/>
  <c r="N93"/>
  <c r="F93"/>
  <c r="N92"/>
  <c r="F92"/>
  <c r="N90"/>
  <c r="F90"/>
  <c r="N89"/>
  <c r="F89"/>
  <c r="N88"/>
  <c r="P93" s="1"/>
  <c r="F88"/>
  <c r="F86"/>
  <c r="N82"/>
  <c r="N81"/>
  <c r="F81"/>
  <c r="H83" s="1"/>
  <c r="D75"/>
  <c r="L75" s="1"/>
  <c r="L74"/>
  <c r="P76" s="1"/>
  <c r="D74"/>
  <c r="H76" s="1"/>
  <c r="L73"/>
  <c r="D73"/>
  <c r="J69"/>
  <c r="B69"/>
  <c r="J68"/>
  <c r="B68"/>
  <c r="N60"/>
  <c r="F60"/>
  <c r="N59"/>
  <c r="F59"/>
  <c r="F58"/>
  <c r="N57"/>
  <c r="F57"/>
  <c r="N56"/>
  <c r="F56"/>
  <c r="H60" s="1"/>
  <c r="F55"/>
  <c r="N53"/>
  <c r="P60" s="1"/>
  <c r="F52"/>
  <c r="N50"/>
  <c r="F50"/>
  <c r="N48"/>
  <c r="F48"/>
  <c r="N46"/>
  <c r="P50" s="1"/>
  <c r="F46"/>
  <c r="H50" s="1"/>
  <c r="P43"/>
  <c r="P61" s="1"/>
  <c r="V61" s="1"/>
  <c r="H43"/>
  <c r="L42"/>
  <c r="D42"/>
  <c r="L41"/>
  <c r="D41"/>
  <c r="L40"/>
  <c r="D40"/>
  <c r="J36"/>
  <c r="B36"/>
  <c r="J35"/>
  <c r="B35"/>
  <c r="N27"/>
  <c r="F27"/>
  <c r="N26"/>
  <c r="N24"/>
  <c r="F24"/>
  <c r="N23"/>
  <c r="N22"/>
  <c r="F22"/>
  <c r="N20"/>
  <c r="N19"/>
  <c r="N17"/>
  <c r="F17"/>
  <c r="N16"/>
  <c r="P17" s="1"/>
  <c r="N15"/>
  <c r="F15"/>
  <c r="H17" s="1"/>
  <c r="F13"/>
  <c r="P10"/>
  <c r="D9"/>
  <c r="L9" s="1"/>
  <c r="L8"/>
  <c r="D8"/>
  <c r="L7"/>
  <c r="D7"/>
  <c r="J3"/>
  <c r="B3"/>
  <c r="J2"/>
  <c r="B2"/>
  <c r="H20" i="78"/>
  <c r="C20"/>
  <c r="H18"/>
  <c r="H10"/>
  <c r="C10"/>
  <c r="H8"/>
  <c r="F41" i="5"/>
  <c r="F44" s="1"/>
  <c r="E41"/>
  <c r="E44" s="1"/>
  <c r="D41"/>
  <c r="D44" s="1"/>
  <c r="C41"/>
  <c r="C44" s="1"/>
  <c r="P39"/>
  <c r="O39"/>
  <c r="M39"/>
  <c r="G39"/>
  <c r="A39"/>
  <c r="O38"/>
  <c r="M38"/>
  <c r="G38"/>
  <c r="A38"/>
  <c r="O37"/>
  <c r="O41" s="1"/>
  <c r="O44" s="1"/>
  <c r="M37"/>
  <c r="M41" s="1"/>
  <c r="G37"/>
  <c r="G41" s="1"/>
  <c r="A37"/>
  <c r="P36"/>
  <c r="J36"/>
  <c r="F36"/>
  <c r="E36"/>
  <c r="D36"/>
  <c r="C36"/>
  <c r="B36"/>
  <c r="P34"/>
  <c r="O34"/>
  <c r="O36" s="1"/>
  <c r="M34"/>
  <c r="M36" s="1"/>
  <c r="J34"/>
  <c r="G34"/>
  <c r="G36" s="1"/>
  <c r="B34"/>
  <c r="A34"/>
  <c r="U27"/>
  <c r="T27"/>
  <c r="S27"/>
  <c r="R27"/>
  <c r="O27"/>
  <c r="P27" s="1"/>
  <c r="L27"/>
  <c r="K27"/>
  <c r="H27"/>
  <c r="G27"/>
  <c r="I27" s="1"/>
  <c r="A27"/>
  <c r="U26"/>
  <c r="T26"/>
  <c r="S26"/>
  <c r="R26"/>
  <c r="O26"/>
  <c r="P26" s="1"/>
  <c r="L26"/>
  <c r="K26"/>
  <c r="H26"/>
  <c r="G26"/>
  <c r="I26" s="1"/>
  <c r="A26"/>
  <c r="U25"/>
  <c r="T25"/>
  <c r="S25"/>
  <c r="R25"/>
  <c r="P25"/>
  <c r="O25"/>
  <c r="L25"/>
  <c r="K25"/>
  <c r="H25"/>
  <c r="A25"/>
  <c r="U24"/>
  <c r="T24"/>
  <c r="S24"/>
  <c r="R24"/>
  <c r="O24"/>
  <c r="P24" s="1"/>
  <c r="L24"/>
  <c r="K24"/>
  <c r="H24"/>
  <c r="A24"/>
  <c r="U23"/>
  <c r="T23"/>
  <c r="S23"/>
  <c r="R23"/>
  <c r="P23"/>
  <c r="O23"/>
  <c r="L23"/>
  <c r="K23"/>
  <c r="H23"/>
  <c r="A23"/>
  <c r="U22"/>
  <c r="T22"/>
  <c r="S22"/>
  <c r="R22"/>
  <c r="O22"/>
  <c r="P22" s="1"/>
  <c r="M22"/>
  <c r="N22" s="1"/>
  <c r="L22"/>
  <c r="K22"/>
  <c r="H22"/>
  <c r="A22"/>
  <c r="U21"/>
  <c r="T21"/>
  <c r="S21"/>
  <c r="R21"/>
  <c r="P21"/>
  <c r="O21"/>
  <c r="N21"/>
  <c r="M21"/>
  <c r="L21"/>
  <c r="K21"/>
  <c r="H21"/>
  <c r="U20"/>
  <c r="T20"/>
  <c r="S20"/>
  <c r="R20"/>
  <c r="Q20"/>
  <c r="O20"/>
  <c r="P20" s="1"/>
  <c r="M20"/>
  <c r="N20" s="1"/>
  <c r="L20"/>
  <c r="K20"/>
  <c r="H20"/>
  <c r="U19"/>
  <c r="T19"/>
  <c r="S19"/>
  <c r="R19"/>
  <c r="Q19"/>
  <c r="P19"/>
  <c r="O19"/>
  <c r="N19"/>
  <c r="M19"/>
  <c r="L19"/>
  <c r="K19"/>
  <c r="H19"/>
  <c r="A19"/>
  <c r="U18"/>
  <c r="U29" s="1"/>
  <c r="T18"/>
  <c r="T29" s="1"/>
  <c r="S18"/>
  <c r="S29" s="1"/>
  <c r="R18"/>
  <c r="R29" s="1"/>
  <c r="P18"/>
  <c r="P29" s="1"/>
  <c r="O18"/>
  <c r="O29" s="1"/>
  <c r="O31" s="1"/>
  <c r="M18"/>
  <c r="N18" s="1"/>
  <c r="L18"/>
  <c r="K18"/>
  <c r="K29" s="1"/>
  <c r="H18"/>
  <c r="H29" s="1"/>
  <c r="A15"/>
  <c r="A14"/>
  <c r="N159" i="64"/>
  <c r="F159"/>
  <c r="N158"/>
  <c r="F158"/>
  <c r="N157"/>
  <c r="F157"/>
  <c r="N156"/>
  <c r="F156"/>
  <c r="N155"/>
  <c r="F155"/>
  <c r="N154"/>
  <c r="N153"/>
  <c r="N152"/>
  <c r="F152"/>
  <c r="N151"/>
  <c r="P159" s="1"/>
  <c r="N149"/>
  <c r="F149"/>
  <c r="N148"/>
  <c r="F148"/>
  <c r="N147"/>
  <c r="F147"/>
  <c r="N146"/>
  <c r="F146"/>
  <c r="N145"/>
  <c r="P149" s="1"/>
  <c r="F145"/>
  <c r="H149" s="1"/>
  <c r="M143"/>
  <c r="E143"/>
  <c r="P142"/>
  <c r="P160" s="1"/>
  <c r="L142"/>
  <c r="H142"/>
  <c r="L141"/>
  <c r="D141"/>
  <c r="L140"/>
  <c r="D140"/>
  <c r="L139"/>
  <c r="D139"/>
  <c r="J134"/>
  <c r="B134"/>
  <c r="N126"/>
  <c r="F126"/>
  <c r="N125"/>
  <c r="F125"/>
  <c r="N124"/>
  <c r="F124"/>
  <c r="N123"/>
  <c r="F123"/>
  <c r="N122"/>
  <c r="F122"/>
  <c r="N119"/>
  <c r="F119"/>
  <c r="N116"/>
  <c r="F116"/>
  <c r="N115"/>
  <c r="F115"/>
  <c r="N114"/>
  <c r="F114"/>
  <c r="N113"/>
  <c r="F113"/>
  <c r="N112"/>
  <c r="P116" s="1"/>
  <c r="F112"/>
  <c r="H116" s="1"/>
  <c r="M110"/>
  <c r="E110"/>
  <c r="P109"/>
  <c r="H109"/>
  <c r="L108"/>
  <c r="D108"/>
  <c r="L107"/>
  <c r="D107"/>
  <c r="L106"/>
  <c r="D106"/>
  <c r="J101"/>
  <c r="B101"/>
  <c r="N93"/>
  <c r="F93"/>
  <c r="N92"/>
  <c r="F92"/>
  <c r="N91"/>
  <c r="F91"/>
  <c r="N90"/>
  <c r="F90"/>
  <c r="N89"/>
  <c r="F89"/>
  <c r="F87"/>
  <c r="N86"/>
  <c r="F86"/>
  <c r="N83"/>
  <c r="F83"/>
  <c r="N82"/>
  <c r="F82"/>
  <c r="N81"/>
  <c r="F81"/>
  <c r="N80"/>
  <c r="F80"/>
  <c r="N79"/>
  <c r="P83" s="1"/>
  <c r="F79"/>
  <c r="H83" s="1"/>
  <c r="M77"/>
  <c r="E77"/>
  <c r="P76"/>
  <c r="H76"/>
  <c r="L75"/>
  <c r="D75"/>
  <c r="L74"/>
  <c r="D74"/>
  <c r="L73"/>
  <c r="D73"/>
  <c r="J68"/>
  <c r="B68"/>
  <c r="N60"/>
  <c r="F60"/>
  <c r="N59"/>
  <c r="F59"/>
  <c r="N58"/>
  <c r="F58"/>
  <c r="N57"/>
  <c r="F57"/>
  <c r="N56"/>
  <c r="F56"/>
  <c r="F55"/>
  <c r="N54"/>
  <c r="F54"/>
  <c r="N53"/>
  <c r="F53"/>
  <c r="N50"/>
  <c r="F50"/>
  <c r="N49"/>
  <c r="F49"/>
  <c r="N48"/>
  <c r="F48"/>
  <c r="N47"/>
  <c r="F47"/>
  <c r="N46"/>
  <c r="P50" s="1"/>
  <c r="F46"/>
  <c r="H50" s="1"/>
  <c r="M44"/>
  <c r="E44"/>
  <c r="P43"/>
  <c r="H43"/>
  <c r="L42"/>
  <c r="D42"/>
  <c r="L41"/>
  <c r="D41"/>
  <c r="J35"/>
  <c r="B35"/>
  <c r="N27"/>
  <c r="F27"/>
  <c r="N26"/>
  <c r="F26"/>
  <c r="N25"/>
  <c r="F25"/>
  <c r="N24"/>
  <c r="F24"/>
  <c r="N23"/>
  <c r="F23"/>
  <c r="N22"/>
  <c r="N21"/>
  <c r="F21"/>
  <c r="N20"/>
  <c r="F20"/>
  <c r="N17"/>
  <c r="F17"/>
  <c r="N16"/>
  <c r="F16"/>
  <c r="N15"/>
  <c r="F15"/>
  <c r="N14"/>
  <c r="F14"/>
  <c r="N13"/>
  <c r="P17" s="1"/>
  <c r="F13"/>
  <c r="H17" s="1"/>
  <c r="M11"/>
  <c r="E11"/>
  <c r="P10"/>
  <c r="H10"/>
  <c r="L9"/>
  <c r="D9"/>
  <c r="L8"/>
  <c r="D8"/>
  <c r="L7"/>
  <c r="J2"/>
  <c r="B2"/>
  <c r="I67" i="63"/>
  <c r="H67"/>
  <c r="G67"/>
  <c r="F67"/>
  <c r="E67"/>
  <c r="C65"/>
  <c r="B65"/>
  <c r="C64"/>
  <c r="B64"/>
  <c r="C63"/>
  <c r="B63"/>
  <c r="C62"/>
  <c r="B62"/>
  <c r="C61"/>
  <c r="B61"/>
  <c r="M60"/>
  <c r="L60"/>
  <c r="K60"/>
  <c r="C60"/>
  <c r="B60"/>
  <c r="M59"/>
  <c r="L59"/>
  <c r="K59"/>
  <c r="H59"/>
  <c r="M58"/>
  <c r="L58"/>
  <c r="K58"/>
  <c r="H58"/>
  <c r="M57"/>
  <c r="L57"/>
  <c r="K57"/>
  <c r="C57"/>
  <c r="B57"/>
  <c r="M56"/>
  <c r="L56"/>
  <c r="K56"/>
  <c r="H56"/>
  <c r="M44"/>
  <c r="M43"/>
  <c r="M42"/>
  <c r="M41"/>
  <c r="M40"/>
  <c r="P39"/>
  <c r="M39"/>
  <c r="P38"/>
  <c r="O38"/>
  <c r="P37"/>
  <c r="O37"/>
  <c r="P36"/>
  <c r="M36"/>
  <c r="P35"/>
  <c r="O35"/>
  <c r="N33"/>
  <c r="M33"/>
  <c r="K33"/>
  <c r="I33"/>
  <c r="H33"/>
  <c r="F33"/>
  <c r="E33"/>
  <c r="D33"/>
  <c r="R31"/>
  <c r="O31"/>
  <c r="Q27" i="5" s="1"/>
  <c r="L31" i="63"/>
  <c r="M27" i="5" s="1"/>
  <c r="N27" s="1"/>
  <c r="J31" i="63"/>
  <c r="J27" i="5" s="1"/>
  <c r="H31" i="63"/>
  <c r="F31"/>
  <c r="D31"/>
  <c r="C31"/>
  <c r="B31"/>
  <c r="R30"/>
  <c r="O30"/>
  <c r="F154" i="64" s="1"/>
  <c r="L30" i="63"/>
  <c r="F153" i="64" s="1"/>
  <c r="J30" i="63"/>
  <c r="J26" i="5" s="1"/>
  <c r="H30" i="63"/>
  <c r="F30"/>
  <c r="D30"/>
  <c r="C30"/>
  <c r="B30"/>
  <c r="R29"/>
  <c r="O29"/>
  <c r="N121" i="64" s="1"/>
  <c r="L29" i="63"/>
  <c r="N120" i="64" s="1"/>
  <c r="J29" i="63"/>
  <c r="J25" i="5" s="1"/>
  <c r="H29" i="63"/>
  <c r="F29"/>
  <c r="D29"/>
  <c r="C29"/>
  <c r="B29"/>
  <c r="R28"/>
  <c r="O28"/>
  <c r="Q24" i="5" s="1"/>
  <c r="L28" i="63"/>
  <c r="M24" i="5" s="1"/>
  <c r="N24" s="1"/>
  <c r="J28" i="63"/>
  <c r="J24" i="5" s="1"/>
  <c r="H28" i="63"/>
  <c r="F28"/>
  <c r="D28"/>
  <c r="C28"/>
  <c r="B28"/>
  <c r="R27"/>
  <c r="O27"/>
  <c r="N88" i="64" s="1"/>
  <c r="L27" i="63"/>
  <c r="N87" i="64" s="1"/>
  <c r="J27" i="63"/>
  <c r="J23" i="5" s="1"/>
  <c r="H27" i="63"/>
  <c r="F27"/>
  <c r="D27"/>
  <c r="C27"/>
  <c r="B27"/>
  <c r="R26"/>
  <c r="O26"/>
  <c r="Q22" i="5" s="1"/>
  <c r="J26" i="63"/>
  <c r="J22" i="5" s="1"/>
  <c r="H26" i="63"/>
  <c r="F26"/>
  <c r="D26"/>
  <c r="C26"/>
  <c r="B26"/>
  <c r="R25"/>
  <c r="O25"/>
  <c r="N55" i="64" s="1"/>
  <c r="J25" i="63"/>
  <c r="J21" i="5" s="1"/>
  <c r="H25" i="63"/>
  <c r="F25"/>
  <c r="D25"/>
  <c r="R24"/>
  <c r="J24"/>
  <c r="J20" i="5" s="1"/>
  <c r="H24" i="63"/>
  <c r="F24"/>
  <c r="D24"/>
  <c r="R23"/>
  <c r="J23"/>
  <c r="J19" i="5" s="1"/>
  <c r="H23" i="63"/>
  <c r="F23"/>
  <c r="D23"/>
  <c r="C23"/>
  <c r="B23"/>
  <c r="R22"/>
  <c r="O22"/>
  <c r="O33" s="1"/>
  <c r="K22"/>
  <c r="J22"/>
  <c r="J18" i="5" s="1"/>
  <c r="J29" s="1"/>
  <c r="H22" i="63"/>
  <c r="F22"/>
  <c r="D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C10"/>
  <c r="C25" s="1"/>
  <c r="C59" s="1"/>
  <c r="B10"/>
  <c r="A21" i="5" s="1"/>
  <c r="X9" i="63"/>
  <c r="V9"/>
  <c r="T9"/>
  <c r="R9"/>
  <c r="P9"/>
  <c r="I9"/>
  <c r="H9"/>
  <c r="G9"/>
  <c r="E9"/>
  <c r="D9"/>
  <c r="C9"/>
  <c r="C24" s="1"/>
  <c r="C58" s="1"/>
  <c r="B9"/>
  <c r="B24" s="1"/>
  <c r="X8"/>
  <c r="V8"/>
  <c r="T8"/>
  <c r="R8"/>
  <c r="P8"/>
  <c r="H8"/>
  <c r="G8"/>
  <c r="E8"/>
  <c r="D8"/>
  <c r="X7"/>
  <c r="V7"/>
  <c r="T7"/>
  <c r="R7"/>
  <c r="P7"/>
  <c r="H7"/>
  <c r="G7"/>
  <c r="E7"/>
  <c r="D7"/>
  <c r="C7"/>
  <c r="C22" s="1"/>
  <c r="C56" s="1"/>
  <c r="B7"/>
  <c r="A18" i="5" s="1"/>
  <c r="D2" i="63"/>
  <c r="J135" i="64" s="1"/>
  <c r="N159" i="21"/>
  <c r="F159"/>
  <c r="N158"/>
  <c r="F158"/>
  <c r="N157"/>
  <c r="F157"/>
  <c r="N156"/>
  <c r="F156"/>
  <c r="N155"/>
  <c r="F155"/>
  <c r="N154"/>
  <c r="F154"/>
  <c r="N153"/>
  <c r="F153"/>
  <c r="N152"/>
  <c r="F152"/>
  <c r="N151"/>
  <c r="P159" s="1"/>
  <c r="F151"/>
  <c r="H159" s="1"/>
  <c r="N149"/>
  <c r="F149"/>
  <c r="N148"/>
  <c r="F148"/>
  <c r="N147"/>
  <c r="F147"/>
  <c r="N146"/>
  <c r="F146"/>
  <c r="N145"/>
  <c r="P149" s="1"/>
  <c r="F145"/>
  <c r="H149" s="1"/>
  <c r="M143"/>
  <c r="E143"/>
  <c r="P142"/>
  <c r="P160" s="1"/>
  <c r="V160" s="1"/>
  <c r="L142"/>
  <c r="H142"/>
  <c r="L141"/>
  <c r="D141"/>
  <c r="L140"/>
  <c r="D140"/>
  <c r="L139"/>
  <c r="D139"/>
  <c r="J135"/>
  <c r="B135"/>
  <c r="J134"/>
  <c r="B134"/>
  <c r="N126"/>
  <c r="F126"/>
  <c r="N125"/>
  <c r="F125"/>
  <c r="N124"/>
  <c r="N123"/>
  <c r="F123"/>
  <c r="N122"/>
  <c r="F122"/>
  <c r="N121"/>
  <c r="F121"/>
  <c r="N120"/>
  <c r="F120"/>
  <c r="N119"/>
  <c r="F119"/>
  <c r="N118"/>
  <c r="P126" s="1"/>
  <c r="F118"/>
  <c r="N115"/>
  <c r="N114"/>
  <c r="N113"/>
  <c r="N112"/>
  <c r="M110"/>
  <c r="E110"/>
  <c r="P109"/>
  <c r="L108"/>
  <c r="D108"/>
  <c r="L107"/>
  <c r="L106"/>
  <c r="D106"/>
  <c r="J102"/>
  <c r="B102"/>
  <c r="J101"/>
  <c r="B101"/>
  <c r="N93"/>
  <c r="F93"/>
  <c r="N92"/>
  <c r="F92"/>
  <c r="N90"/>
  <c r="F90"/>
  <c r="N89"/>
  <c r="F89"/>
  <c r="N88"/>
  <c r="F88"/>
  <c r="N87"/>
  <c r="F87"/>
  <c r="N86"/>
  <c r="F86"/>
  <c r="N85"/>
  <c r="F85"/>
  <c r="N80"/>
  <c r="F80"/>
  <c r="M77"/>
  <c r="E77"/>
  <c r="L75"/>
  <c r="D75"/>
  <c r="L73"/>
  <c r="D73"/>
  <c r="J69"/>
  <c r="B69"/>
  <c r="J68"/>
  <c r="B68"/>
  <c r="N60"/>
  <c r="F60"/>
  <c r="N59"/>
  <c r="F59"/>
  <c r="N57"/>
  <c r="F57"/>
  <c r="N56"/>
  <c r="F56"/>
  <c r="N55"/>
  <c r="F55"/>
  <c r="N54"/>
  <c r="F54"/>
  <c r="N53"/>
  <c r="F53"/>
  <c r="N52"/>
  <c r="F52"/>
  <c r="F48"/>
  <c r="M44"/>
  <c r="E44"/>
  <c r="H43"/>
  <c r="L42"/>
  <c r="D42"/>
  <c r="D41"/>
  <c r="L40"/>
  <c r="D40"/>
  <c r="J36"/>
  <c r="B36"/>
  <c r="J35"/>
  <c r="B35"/>
  <c r="N27"/>
  <c r="F27"/>
  <c r="N26"/>
  <c r="F26"/>
  <c r="N24"/>
  <c r="F24"/>
  <c r="N23"/>
  <c r="F23"/>
  <c r="N22"/>
  <c r="F22"/>
  <c r="N21"/>
  <c r="F21"/>
  <c r="N20"/>
  <c r="F20"/>
  <c r="N19"/>
  <c r="F19"/>
  <c r="M11"/>
  <c r="E11"/>
  <c r="L9"/>
  <c r="D9"/>
  <c r="L7"/>
  <c r="D7"/>
  <c r="J3"/>
  <c r="B3"/>
  <c r="J2"/>
  <c r="B2"/>
  <c r="H67" i="20"/>
  <c r="G67"/>
  <c r="F67"/>
  <c r="E67"/>
  <c r="D67"/>
  <c r="I65"/>
  <c r="C65"/>
  <c r="B65"/>
  <c r="I64"/>
  <c r="C64"/>
  <c r="B64"/>
  <c r="C63"/>
  <c r="B63"/>
  <c r="C62"/>
  <c r="B62"/>
  <c r="C61"/>
  <c r="B61"/>
  <c r="L60"/>
  <c r="K60"/>
  <c r="J60"/>
  <c r="C60"/>
  <c r="B60"/>
  <c r="L59"/>
  <c r="K59"/>
  <c r="J59"/>
  <c r="G59"/>
  <c r="C59"/>
  <c r="B59"/>
  <c r="L58"/>
  <c r="K58"/>
  <c r="J58"/>
  <c r="G58"/>
  <c r="C58"/>
  <c r="B58"/>
  <c r="L57"/>
  <c r="J57"/>
  <c r="C57"/>
  <c r="B57"/>
  <c r="L56"/>
  <c r="J56"/>
  <c r="C56"/>
  <c r="B56"/>
  <c r="S44"/>
  <c r="M44"/>
  <c r="S43"/>
  <c r="M43"/>
  <c r="M42"/>
  <c r="M41"/>
  <c r="M40"/>
  <c r="M39"/>
  <c r="P38"/>
  <c r="O38"/>
  <c r="M38"/>
  <c r="O37"/>
  <c r="M37"/>
  <c r="D37"/>
  <c r="A37"/>
  <c r="M36"/>
  <c r="O35"/>
  <c r="M35"/>
  <c r="O33"/>
  <c r="N33"/>
  <c r="M33"/>
  <c r="L33"/>
  <c r="K33"/>
  <c r="J33"/>
  <c r="I33"/>
  <c r="R31"/>
  <c r="P31"/>
  <c r="H31"/>
  <c r="F31"/>
  <c r="D31"/>
  <c r="C31"/>
  <c r="B31"/>
  <c r="R30"/>
  <c r="P30"/>
  <c r="H30"/>
  <c r="F30"/>
  <c r="D30"/>
  <c r="C30"/>
  <c r="B30"/>
  <c r="H29"/>
  <c r="F29"/>
  <c r="C29"/>
  <c r="B29"/>
  <c r="C28"/>
  <c r="B28"/>
  <c r="C27"/>
  <c r="B27"/>
  <c r="C26"/>
  <c r="B26"/>
  <c r="C25"/>
  <c r="B25"/>
  <c r="H24"/>
  <c r="N34" i="5" s="1"/>
  <c r="N36" s="1"/>
  <c r="F24" i="20"/>
  <c r="C24"/>
  <c r="B24"/>
  <c r="E23"/>
  <c r="P36" s="1"/>
  <c r="C23"/>
  <c r="B23"/>
  <c r="E22"/>
  <c r="P35" s="1"/>
  <c r="C22"/>
  <c r="B22"/>
  <c r="R21"/>
  <c r="I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V14"/>
  <c r="N116" i="21" s="1"/>
  <c r="T14" i="20"/>
  <c r="R14"/>
  <c r="P14"/>
  <c r="H14"/>
  <c r="G14"/>
  <c r="E14"/>
  <c r="O13"/>
  <c r="N13"/>
  <c r="L13"/>
  <c r="K13"/>
  <c r="H13"/>
  <c r="F113" i="21" s="1"/>
  <c r="E13" i="20"/>
  <c r="D107" i="21" s="1"/>
  <c r="O12" i="20"/>
  <c r="N12"/>
  <c r="L12"/>
  <c r="K12"/>
  <c r="E12"/>
  <c r="H27" s="1"/>
  <c r="S11"/>
  <c r="O11"/>
  <c r="N11"/>
  <c r="L11"/>
  <c r="K11"/>
  <c r="E11"/>
  <c r="D74" i="21" s="1"/>
  <c r="T10" i="20"/>
  <c r="K39" i="5" s="1"/>
  <c r="S10" i="20"/>
  <c r="R10"/>
  <c r="J39" i="5" s="1"/>
  <c r="O10" i="20"/>
  <c r="N10"/>
  <c r="M10"/>
  <c r="L10"/>
  <c r="H10"/>
  <c r="H39" i="5" s="1"/>
  <c r="G10" i="20"/>
  <c r="B39" i="5" s="1"/>
  <c r="E10" i="20"/>
  <c r="H25" s="1"/>
  <c r="V9"/>
  <c r="L34" i="5" s="1"/>
  <c r="L36" s="1"/>
  <c r="T9" i="20"/>
  <c r="K34" i="5" s="1"/>
  <c r="K36" s="1"/>
  <c r="S9" i="20"/>
  <c r="R9"/>
  <c r="O9"/>
  <c r="N9"/>
  <c r="M9"/>
  <c r="P9" s="1"/>
  <c r="L9"/>
  <c r="I9"/>
  <c r="H9"/>
  <c r="F47" i="21" s="1"/>
  <c r="G9" i="20"/>
  <c r="E9"/>
  <c r="D9"/>
  <c r="S8"/>
  <c r="O8"/>
  <c r="N8"/>
  <c r="L8"/>
  <c r="K8"/>
  <c r="H8"/>
  <c r="H38" i="5" s="1"/>
  <c r="G8" i="20"/>
  <c r="P10" i="21" s="1"/>
  <c r="E8" i="20"/>
  <c r="H23" s="1"/>
  <c r="S7"/>
  <c r="R7"/>
  <c r="F15" i="21" s="1"/>
  <c r="O7" i="20"/>
  <c r="N7"/>
  <c r="M7"/>
  <c r="K7"/>
  <c r="H7"/>
  <c r="H37" i="5" s="1"/>
  <c r="G7" i="20"/>
  <c r="H10" i="21" s="1"/>
  <c r="E7" i="20"/>
  <c r="D8" i="21" s="1"/>
  <c r="X68" i="77"/>
  <c r="W68"/>
  <c r="V68"/>
  <c r="U68"/>
  <c r="T68"/>
  <c r="S68"/>
  <c r="R68"/>
  <c r="Q68"/>
  <c r="P68"/>
  <c r="O68"/>
  <c r="N68"/>
  <c r="M68"/>
  <c r="L68"/>
  <c r="K68"/>
  <c r="J68"/>
  <c r="I68"/>
  <c r="H68"/>
  <c r="M59"/>
  <c r="X48"/>
  <c r="W48"/>
  <c r="V48"/>
  <c r="U48"/>
  <c r="T48"/>
  <c r="S48"/>
  <c r="R48"/>
  <c r="Q48"/>
  <c r="P48"/>
  <c r="O48"/>
  <c r="N48"/>
  <c r="M48"/>
  <c r="L48"/>
  <c r="K48"/>
  <c r="J48"/>
  <c r="I48"/>
  <c r="H48"/>
  <c r="M44"/>
  <c r="M43"/>
  <c r="M40"/>
  <c r="M39"/>
  <c r="M33"/>
  <c r="M32"/>
  <c r="X28"/>
  <c r="W28"/>
  <c r="V28"/>
  <c r="U28"/>
  <c r="T28"/>
  <c r="S28"/>
  <c r="R28"/>
  <c r="Q28"/>
  <c r="P28"/>
  <c r="O28"/>
  <c r="N28"/>
  <c r="M28"/>
  <c r="L28"/>
  <c r="K28"/>
  <c r="J28"/>
  <c r="I28"/>
  <c r="H28"/>
  <c r="M13"/>
  <c r="M1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  <c r="L29" i="5" l="1"/>
  <c r="H126" i="79"/>
  <c r="H127" s="1"/>
  <c r="T127" s="1"/>
  <c r="F58" i="21"/>
  <c r="H60" s="1"/>
  <c r="P10" i="20"/>
  <c r="V10"/>
  <c r="L39" i="5" s="1"/>
  <c r="G11" i="20"/>
  <c r="H76" i="21" s="1"/>
  <c r="T11" i="20"/>
  <c r="F82" i="21" s="1"/>
  <c r="T12" i="20"/>
  <c r="N82" i="21" s="1"/>
  <c r="T13" i="20"/>
  <c r="F115" i="21" s="1"/>
  <c r="F25" i="20"/>
  <c r="F26"/>
  <c r="F27"/>
  <c r="N91" i="21" s="1"/>
  <c r="F28" i="20"/>
  <c r="L41" i="21"/>
  <c r="P43"/>
  <c r="N48"/>
  <c r="L74"/>
  <c r="G12" i="20"/>
  <c r="P76" i="21" s="1"/>
  <c r="P11" i="20"/>
  <c r="R11"/>
  <c r="F81" i="21" s="1"/>
  <c r="V11" i="20"/>
  <c r="F83" i="21" s="1"/>
  <c r="P12" i="20"/>
  <c r="R12"/>
  <c r="N81" i="21" s="1"/>
  <c r="V12" i="20"/>
  <c r="N83" i="21" s="1"/>
  <c r="G13" i="20"/>
  <c r="H109" i="21" s="1"/>
  <c r="P13" i="20"/>
  <c r="P18" s="1"/>
  <c r="R13"/>
  <c r="F114" i="21" s="1"/>
  <c r="V13" i="20"/>
  <c r="F116" i="21" s="1"/>
  <c r="H26" i="20"/>
  <c r="H28"/>
  <c r="P8"/>
  <c r="R8"/>
  <c r="V8"/>
  <c r="L38" i="5" s="1"/>
  <c r="L8" i="21"/>
  <c r="B38" i="5"/>
  <c r="T8" i="20"/>
  <c r="K38" i="5" s="1"/>
  <c r="P7" i="20"/>
  <c r="V7"/>
  <c r="L37" i="5" s="1"/>
  <c r="E18" i="20"/>
  <c r="B37" i="5"/>
  <c r="B41" s="1"/>
  <c r="B44" s="1"/>
  <c r="J37"/>
  <c r="T7" i="20"/>
  <c r="F16" i="21" s="1"/>
  <c r="H22" i="20"/>
  <c r="L33" i="63"/>
  <c r="F85" i="64"/>
  <c r="F120"/>
  <c r="M23" i="5"/>
  <c r="N23" s="1"/>
  <c r="H61" i="79"/>
  <c r="T61" s="1"/>
  <c r="P127"/>
  <c r="V127" s="1"/>
  <c r="P116"/>
  <c r="P160"/>
  <c r="V160" s="1"/>
  <c r="Q21" i="5"/>
  <c r="M25"/>
  <c r="N25" s="1"/>
  <c r="N29" s="1"/>
  <c r="M26"/>
  <c r="N26" s="1"/>
  <c r="P27" i="79"/>
  <c r="P28" s="1"/>
  <c r="V28" s="1"/>
  <c r="H27"/>
  <c r="H28" s="1"/>
  <c r="T28" s="1"/>
  <c r="P83"/>
  <c r="P94" s="1"/>
  <c r="V94" s="1"/>
  <c r="H93"/>
  <c r="H94" s="1"/>
  <c r="T94" s="1"/>
  <c r="H160"/>
  <c r="T160" s="1"/>
  <c r="R29" i="20"/>
  <c r="G25" i="5" s="1"/>
  <c r="I25" s="1"/>
  <c r="P116" i="21"/>
  <c r="X14" i="20"/>
  <c r="D29" s="1"/>
  <c r="F50" i="21"/>
  <c r="H41" i="5"/>
  <c r="I38"/>
  <c r="N13" i="21"/>
  <c r="X12" i="20"/>
  <c r="D27" s="1"/>
  <c r="N79" i="21"/>
  <c r="R27" i="20"/>
  <c r="G23" i="5" s="1"/>
  <c r="I23" s="1"/>
  <c r="P37"/>
  <c r="F17" i="21"/>
  <c r="K56" i="20"/>
  <c r="P38" i="5"/>
  <c r="N17" i="21"/>
  <c r="K57" i="20"/>
  <c r="B58" i="63"/>
  <c r="M37"/>
  <c r="D40" i="64"/>
  <c r="D37" i="63"/>
  <c r="P127" i="21"/>
  <c r="H160"/>
  <c r="T160" s="1"/>
  <c r="M44" i="5"/>
  <c r="F13" i="21"/>
  <c r="I37" i="5"/>
  <c r="N16" i="21"/>
  <c r="I34" i="5"/>
  <c r="I36" s="1"/>
  <c r="F46" i="21"/>
  <c r="I39" i="5"/>
  <c r="N46" i="21"/>
  <c r="F79"/>
  <c r="X7" i="20"/>
  <c r="X8"/>
  <c r="D23" s="1"/>
  <c r="H18"/>
  <c r="F22"/>
  <c r="F23"/>
  <c r="R25"/>
  <c r="G21" i="5" s="1"/>
  <c r="I21" s="1"/>
  <c r="E33" i="20"/>
  <c r="N14" i="21"/>
  <c r="N47"/>
  <c r="N49"/>
  <c r="B25" i="63"/>
  <c r="J3" i="64"/>
  <c r="B36"/>
  <c r="J69"/>
  <c r="J102"/>
  <c r="B135"/>
  <c r="A11" i="5"/>
  <c r="A20"/>
  <c r="H34"/>
  <c r="H36" s="1"/>
  <c r="H44" s="1"/>
  <c r="K37"/>
  <c r="X9" i="20"/>
  <c r="D24" s="1"/>
  <c r="R22"/>
  <c r="G18" i="5" s="1"/>
  <c r="I18" s="1"/>
  <c r="R23" i="20"/>
  <c r="G19" i="5" s="1"/>
  <c r="I19" s="1"/>
  <c r="R24" i="20"/>
  <c r="G20" i="5" s="1"/>
  <c r="I20" s="1"/>
  <c r="F14" i="21"/>
  <c r="F49"/>
  <c r="P93"/>
  <c r="B22" i="63"/>
  <c r="B3" i="64"/>
  <c r="D7"/>
  <c r="J36"/>
  <c r="L40"/>
  <c r="B69"/>
  <c r="B102"/>
  <c r="P25" i="63"/>
  <c r="J33"/>
  <c r="J56"/>
  <c r="J57"/>
  <c r="O57" s="1"/>
  <c r="J59"/>
  <c r="O59" s="1"/>
  <c r="J60"/>
  <c r="O60" s="1"/>
  <c r="J61"/>
  <c r="O61" s="1"/>
  <c r="F19" i="64"/>
  <c r="F22"/>
  <c r="F52"/>
  <c r="H60" s="1"/>
  <c r="H61" s="1"/>
  <c r="F88"/>
  <c r="H93" s="1"/>
  <c r="H94" s="1"/>
  <c r="F118"/>
  <c r="F121"/>
  <c r="Q18" i="5"/>
  <c r="Q23"/>
  <c r="Q25"/>
  <c r="Q26"/>
  <c r="M29"/>
  <c r="P22" i="63"/>
  <c r="P23"/>
  <c r="P24"/>
  <c r="P26"/>
  <c r="P27"/>
  <c r="P28"/>
  <c r="P29"/>
  <c r="P30"/>
  <c r="P31"/>
  <c r="J58"/>
  <c r="O58" s="1"/>
  <c r="J62"/>
  <c r="J63"/>
  <c r="J64"/>
  <c r="J65"/>
  <c r="N19" i="64"/>
  <c r="P27" s="1"/>
  <c r="P28" s="1"/>
  <c r="N52"/>
  <c r="P60" s="1"/>
  <c r="P61" s="1"/>
  <c r="N85"/>
  <c r="P93" s="1"/>
  <c r="P94" s="1"/>
  <c r="N118"/>
  <c r="P126" s="1"/>
  <c r="P127" s="1"/>
  <c r="F151"/>
  <c r="H159" s="1"/>
  <c r="H160" s="1"/>
  <c r="K31" i="5"/>
  <c r="H83" i="21" l="1"/>
  <c r="X13" i="20"/>
  <c r="D28" s="1"/>
  <c r="P28" s="1"/>
  <c r="S41" s="1"/>
  <c r="F112" i="21"/>
  <c r="V18" i="20"/>
  <c r="P83" i="21"/>
  <c r="X11" i="20"/>
  <c r="D26" s="1"/>
  <c r="I60" s="1"/>
  <c r="N60" s="1"/>
  <c r="M31" i="5"/>
  <c r="F124" i="21"/>
  <c r="H126" s="1"/>
  <c r="P94"/>
  <c r="R26" i="20"/>
  <c r="G22" i="5" s="1"/>
  <c r="I22" s="1"/>
  <c r="N39"/>
  <c r="N58" i="21"/>
  <c r="P60" s="1"/>
  <c r="F91"/>
  <c r="H93" s="1"/>
  <c r="H94" s="1"/>
  <c r="X10" i="20"/>
  <c r="D25" s="1"/>
  <c r="P25" s="1"/>
  <c r="S38" s="1"/>
  <c r="T18"/>
  <c r="H116" i="21"/>
  <c r="H127" s="1"/>
  <c r="R28" i="20"/>
  <c r="G24" i="5" s="1"/>
  <c r="I24" s="1"/>
  <c r="G18" i="20"/>
  <c r="N50" i="21"/>
  <c r="P50" s="1"/>
  <c r="H33" i="20"/>
  <c r="R18"/>
  <c r="L41" i="5"/>
  <c r="L44" s="1"/>
  <c r="J38"/>
  <c r="N15" i="21"/>
  <c r="P17" s="1"/>
  <c r="K41" i="5"/>
  <c r="K44" s="1"/>
  <c r="J41"/>
  <c r="J44" s="1"/>
  <c r="I63" i="20"/>
  <c r="P29"/>
  <c r="S42" s="1"/>
  <c r="V127" i="21" s="1"/>
  <c r="B56" i="63"/>
  <c r="M35"/>
  <c r="B59"/>
  <c r="A37"/>
  <c r="M38"/>
  <c r="N38" i="5"/>
  <c r="N25" i="21"/>
  <c r="P27" s="1"/>
  <c r="I57" i="20"/>
  <c r="N57" s="1"/>
  <c r="P23"/>
  <c r="S36" s="1"/>
  <c r="I62"/>
  <c r="N62" s="1"/>
  <c r="P26"/>
  <c r="S39" s="1"/>
  <c r="I61"/>
  <c r="N61" s="1"/>
  <c r="P27"/>
  <c r="S40" s="1"/>
  <c r="V94" i="21" s="1"/>
  <c r="I41" i="5"/>
  <c r="I44" s="1"/>
  <c r="I58" i="20"/>
  <c r="N58" s="1"/>
  <c r="P24"/>
  <c r="S37" s="1"/>
  <c r="N37" i="5"/>
  <c r="F25" i="21"/>
  <c r="H27" s="1"/>
  <c r="F33" i="20"/>
  <c r="D22"/>
  <c r="H126" i="64"/>
  <c r="H127" s="1"/>
  <c r="H27"/>
  <c r="H28" s="1"/>
  <c r="L52" i="5"/>
  <c r="H50" i="21"/>
  <c r="H61" s="1"/>
  <c r="H17"/>
  <c r="P41" i="5"/>
  <c r="P44" s="1"/>
  <c r="L51" s="1"/>
  <c r="D64" i="63"/>
  <c r="S43"/>
  <c r="D62"/>
  <c r="S41"/>
  <c r="D60"/>
  <c r="S39"/>
  <c r="D57"/>
  <c r="S36"/>
  <c r="D65"/>
  <c r="S44"/>
  <c r="V160" i="64" s="1"/>
  <c r="D63" i="63"/>
  <c r="S42"/>
  <c r="D61"/>
  <c r="S40"/>
  <c r="D58"/>
  <c r="S37"/>
  <c r="D56"/>
  <c r="S35"/>
  <c r="T28" i="64" s="1"/>
  <c r="P33" i="63"/>
  <c r="P46" s="1"/>
  <c r="J67"/>
  <c r="O56"/>
  <c r="O67" s="1"/>
  <c r="S38"/>
  <c r="V61" i="64" s="1"/>
  <c r="D59" i="63"/>
  <c r="V127" i="64"/>
  <c r="Q29" i="5"/>
  <c r="T127" i="64"/>
  <c r="T61"/>
  <c r="T94"/>
  <c r="T160"/>
  <c r="V94"/>
  <c r="V28"/>
  <c r="I29" i="5" l="1"/>
  <c r="M48" s="1"/>
  <c r="T127" i="21"/>
  <c r="P61"/>
  <c r="I59" i="20"/>
  <c r="X18"/>
  <c r="G29" i="5"/>
  <c r="N41"/>
  <c r="N44" s="1"/>
  <c r="Q44" s="1"/>
  <c r="T94" i="21"/>
  <c r="L50" i="5"/>
  <c r="M50" s="1"/>
  <c r="N50" s="1"/>
  <c r="M51"/>
  <c r="N51" s="1"/>
  <c r="I56" i="20"/>
  <c r="D33"/>
  <c r="P22"/>
  <c r="H28" i="21"/>
  <c r="T61"/>
  <c r="P28"/>
  <c r="V28" s="1"/>
  <c r="V61"/>
  <c r="Q31" i="5"/>
  <c r="L54"/>
  <c r="L56" s="1"/>
  <c r="D67" i="63"/>
  <c r="L49" i="5" l="1"/>
  <c r="M49" s="1"/>
  <c r="M52"/>
  <c r="N52" s="1"/>
  <c r="S35" i="20"/>
  <c r="P33"/>
  <c r="P46" s="1"/>
  <c r="N56"/>
  <c r="N67" s="1"/>
  <c r="I67"/>
  <c r="L48" i="5"/>
  <c r="N48" s="1"/>
  <c r="N49"/>
  <c r="T28" i="2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5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Last Payment c/o Food Panda Charges</t>
        </r>
      </text>
    </comment>
  </commentList>
</comments>
</file>

<file path=xl/sharedStrings.xml><?xml version="1.0" encoding="utf-8"?>
<sst xmlns="http://schemas.openxmlformats.org/spreadsheetml/2006/main" count="2083" uniqueCount="295">
  <si>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</si>
  <si>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</si>
  <si>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</si>
  <si>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</si>
  <si>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</si>
  <si>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</si>
  <si>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</si>
  <si>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</si>
  <si>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</si>
  <si>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</si>
  <si>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</si>
  <si>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</si>
  <si>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</si>
  <si>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</si>
  <si>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</si>
  <si>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</si>
  <si>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</si>
  <si>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</si>
  <si>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</si>
  <si>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</si>
  <si>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</si>
  <si>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</si>
  <si>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</si>
  <si>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</si>
  <si>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</si>
  <si>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</si>
  <si>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</si>
  <si>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</si>
  <si>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</si>
  <si>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</si>
  <si>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</si>
  <si>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</si>
  <si>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</si>
  <si>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</si>
  <si>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</si>
  <si>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</si>
  <si>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</si>
  <si>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</si>
  <si>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</si>
  <si>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</si>
  <si>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</si>
  <si>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</si>
  <si>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</si>
  <si>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</si>
  <si>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</si>
  <si>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</si>
  <si>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</si>
  <si>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</si>
  <si>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</si>
  <si>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</si>
  <si>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</si>
  <si>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</si>
  <si>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</si>
  <si>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</si>
  <si>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</si>
  <si>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</si>
  <si>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</si>
  <si>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</si>
  <si>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</si>
  <si>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</si>
  <si>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</si>
  <si>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</si>
  <si>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</si>
  <si>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</si>
  <si>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</si>
  <si>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</si>
  <si>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</si>
  <si>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</si>
  <si>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</si>
  <si>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</si>
  <si>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</si>
  <si>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</si>
  <si>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</si>
  <si>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</si>
  <si>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</si>
  <si>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</si>
  <si>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</si>
  <si>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</si>
  <si>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</si>
  <si>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</si>
  <si>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</si>
  <si>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</si>
  <si>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</si>
  <si>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</si>
  <si>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</si>
  <si>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</si>
  <si>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</si>
  <si>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</si>
  <si>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</si>
  <si>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</si>
  <si>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</si>
  <si>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</si>
  <si>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</si>
  <si>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</si>
  <si>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</si>
  <si>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</si>
  <si>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</si>
  <si>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</si>
  <si>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</si>
  <si>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</si>
  <si>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</si>
  <si>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</si>
  <si>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</si>
  <si>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</si>
  <si>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</si>
  <si>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</si>
  <si>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</si>
  <si>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</si>
  <si>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</si>
  <si>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</si>
  <si>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</si>
  <si>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</si>
  <si>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</si>
  <si>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</si>
  <si>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</si>
  <si>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</si>
  <si>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</si>
  <si>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</si>
  <si>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</si>
  <si>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</si>
  <si>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</si>
  <si>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</si>
  <si>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</si>
  <si>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</si>
  <si>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</si>
  <si>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</si>
  <si>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</si>
  <si>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</si>
  <si>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</si>
  <si>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</si>
  <si>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</si>
  <si>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</si>
  <si>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</si>
  <si>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</si>
  <si>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</si>
  <si>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</si>
  <si>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</si>
  <si>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</si>
  <si>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</si>
  <si>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</si>
  <si>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</si>
  <si>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</si>
  <si>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</si>
  <si>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</si>
  <si>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</si>
  <si>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</si>
  <si>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</si>
  <si>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</si>
  <si>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</si>
  <si>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</si>
  <si>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</si>
  <si>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</si>
  <si>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</si>
  <si>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</si>
  <si>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</si>
  <si>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</si>
  <si>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</si>
  <si>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</si>
  <si>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</si>
  <si>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</si>
  <si>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</si>
  <si>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</si>
  <si>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</si>
  <si>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</si>
  <si>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</si>
  <si>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</si>
  <si>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</si>
  <si>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</si>
  <si>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</si>
  <si>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</si>
  <si>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</si>
  <si>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</si>
  <si>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</si>
  <si>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</si>
  <si>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</si>
  <si>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</si>
  <si>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</si>
  <si>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</si>
  <si>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</si>
  <si>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</si>
  <si>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</si>
  <si>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</si>
  <si>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</si>
  <si>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</si>
  <si>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</si>
  <si>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</si>
  <si>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</si>
  <si>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</si>
  <si>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</si>
  <si>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</si>
  <si>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</si>
  <si>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</si>
  <si>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</si>
  <si>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</si>
  <si>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</si>
  <si>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</si>
  <si>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</si>
  <si>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</si>
  <si>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</si>
  <si>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</si>
  <si>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</si>
  <si>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</si>
  <si>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</si>
  <si>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</si>
  <si>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</si>
  <si>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</si>
  <si>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</si>
  <si>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</si>
  <si>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</si>
  <si>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</si>
  <si>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</si>
  <si>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</si>
  <si>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</si>
  <si>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</si>
  <si>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</si>
  <si>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</si>
  <si>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</si>
  <si>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</si>
  <si>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</si>
  <si>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</si>
  <si>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</si>
  <si>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</si>
  <si>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</si>
  <si>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</si>
  <si>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</si>
  <si>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</si>
  <si>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</si>
  <si>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</si>
  <si>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</si>
  <si>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</si>
  <si>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</si>
  <si>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</si>
  <si>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</si>
  <si>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</si>
  <si>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</si>
  <si>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</si>
  <si>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</si>
  <si>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</si>
  <si>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</si>
  <si>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</si>
  <si>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</si>
  <si>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</si>
  <si>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</si>
  <si>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</si>
  <si>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</si>
  <si>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</si>
  <si>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</si>
  <si>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</si>
  <si>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</si>
  <si>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</si>
  <si>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</si>
  <si>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</si>
  <si>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</si>
  <si>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</si>
  <si>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</si>
  <si>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</si>
  <si>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</si>
  <si>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</si>
  <si>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</si>
  <si>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</si>
  <si>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</si>
  <si>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</si>
  <si>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</si>
  <si>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</si>
  <si>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</si>
  <si>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</si>
  <si>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</si>
  <si>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</si>
  <si>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</si>
  <si>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</si>
  <si>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</si>
  <si>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</si>
  <si>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</si>
  <si>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</si>
  <si>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</si>
  <si>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</si>
  <si>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</si>
  <si>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</si>
  <si>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</si>
  <si>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</si>
  <si>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</si>
  <si>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</si>
  <si>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</si>
  <si>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</si>
  <si>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</si>
  <si>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</si>
  <si>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</si>
  <si>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</si>
  <si>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</si>
  <si>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</si>
  <si>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</si>
  <si>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</si>
  <si>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Withholding Tax/ Others (FP)</t>
  </si>
  <si>
    <t>VL</t>
  </si>
  <si>
    <t>December  11-25,2018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</si>
</sst>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5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731520</xdr:colOff>
      <xdr:row>35</xdr:row>
      <xdr:rowOff>7620</xdr:rowOff>
    </xdr:from>
    <xdr:to>
      <xdr:col>8</xdr:col>
      <xdr:colOff>198120</xdr:colOff>
      <xdr:row>38</xdr:row>
      <xdr:rowOff>106680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53000" y="5684520"/>
          <a:ext cx="952500" cy="601980"/>
        </a:xfrm>
        <a:prstGeom prst="rect">
          <a:avLst/>
        </a:prstGeom>
        <a:noFill/>
      </xdr:spPr>
    </xdr:pic>
    <xdr:clientData/>
  </xdr:twoCellAnchor>
  <xdr:oneCellAnchor>
    <xdr:from>
      <xdr:col>7</xdr:col>
      <xdr:colOff>38100</xdr:colOff>
      <xdr:row>36</xdr:row>
      <xdr:rowOff>99060</xdr:rowOff>
    </xdr:from>
    <xdr:ext cx="715645" cy="342786"/>
    <xdr:sp macro="" textlink="">
      <xdr:nvSpPr>
        <xdr:cNvPr id="4" name="TextBox 3"/>
        <xdr:cNvSpPr txBox="1"/>
      </xdr:nvSpPr>
      <xdr:spPr>
        <a:xfrm>
          <a:off x="5036820" y="594360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>
        <row r="1">
          <cell r="A1" t="str">
            <v>THE OLD SPAGHETTI HOUSE</v>
          </cell>
        </row>
      </sheetData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E7">
            <v>502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E8">
            <v>502</v>
          </cell>
          <cell r="G8">
            <v>6526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E10">
            <v>502</v>
          </cell>
          <cell r="G10">
            <v>6526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  <cell r="E11">
            <v>502</v>
          </cell>
          <cell r="R11">
            <v>0</v>
          </cell>
        </row>
        <row r="12">
          <cell r="B12" t="str">
            <v>Cahilig,Benzen</v>
          </cell>
          <cell r="E12">
            <v>502</v>
          </cell>
          <cell r="R12">
            <v>0</v>
          </cell>
          <cell r="T12">
            <v>0</v>
          </cell>
        </row>
        <row r="13">
          <cell r="B13" t="str">
            <v>Pantoja,Nancy</v>
          </cell>
          <cell r="E13">
            <v>502</v>
          </cell>
          <cell r="T13">
            <v>0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J23">
            <v>490.5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Dino, Joyce</v>
          </cell>
          <cell r="J24">
            <v>581.29999999999995</v>
          </cell>
          <cell r="M24">
            <v>0</v>
          </cell>
          <cell r="N24">
            <v>0</v>
          </cell>
          <cell r="O24">
            <v>0</v>
          </cell>
        </row>
        <row r="25">
          <cell r="K25">
            <v>600</v>
          </cell>
          <cell r="M25">
            <v>0</v>
          </cell>
          <cell r="N25">
            <v>567</v>
          </cell>
        </row>
        <row r="26">
          <cell r="K26">
            <v>969.04</v>
          </cell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N27">
            <v>432.98</v>
          </cell>
          <cell r="O27">
            <v>0</v>
          </cell>
        </row>
        <row r="28">
          <cell r="K28">
            <v>507.6</v>
          </cell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56">
          <cell r="E56">
            <v>0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  <cell r="H58">
            <v>1601.39</v>
          </cell>
          <cell r="I58">
            <v>0</v>
          </cell>
        </row>
        <row r="59">
          <cell r="E59">
            <v>0</v>
          </cell>
          <cell r="F59">
            <v>0</v>
          </cell>
          <cell r="G59">
            <v>0</v>
          </cell>
          <cell r="H59">
            <v>1537.34</v>
          </cell>
          <cell r="I59">
            <v>0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79" t="s">
        <v>152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</row>
    <row r="2" spans="1:27" s="277" customFormat="1" ht="24.6">
      <c r="A2" s="379" t="s">
        <v>214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</row>
    <row r="3" spans="1:27" s="277" customFormat="1" ht="24.6">
      <c r="A3" s="379" t="s">
        <v>215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379"/>
      <c r="AA3" s="379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80" t="s">
        <v>153</v>
      </c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6" t="s">
        <v>91</v>
      </c>
      <c r="I5" s="377"/>
      <c r="J5" s="377"/>
      <c r="K5" s="378"/>
      <c r="L5" s="369" t="s">
        <v>90</v>
      </c>
      <c r="M5" s="365" t="s">
        <v>157</v>
      </c>
      <c r="N5" s="365" t="s">
        <v>158</v>
      </c>
      <c r="O5" s="371" t="s">
        <v>159</v>
      </c>
      <c r="P5" s="372"/>
      <c r="Q5" s="373"/>
      <c r="R5" s="365" t="s">
        <v>160</v>
      </c>
      <c r="S5" s="371" t="s">
        <v>19</v>
      </c>
      <c r="T5" s="372"/>
      <c r="U5" s="373"/>
      <c r="V5" s="365" t="s">
        <v>124</v>
      </c>
      <c r="W5" s="365" t="s">
        <v>125</v>
      </c>
      <c r="X5" s="367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0"/>
      <c r="M6" s="366"/>
      <c r="N6" s="366"/>
      <c r="O6" s="285" t="s">
        <v>167</v>
      </c>
      <c r="P6" s="285" t="s">
        <v>168</v>
      </c>
      <c r="Q6" s="316" t="s">
        <v>125</v>
      </c>
      <c r="R6" s="366"/>
      <c r="S6" s="285" t="s">
        <v>167</v>
      </c>
      <c r="T6" s="285" t="s">
        <v>168</v>
      </c>
      <c r="U6" s="316" t="s">
        <v>125</v>
      </c>
      <c r="V6" s="366"/>
      <c r="W6" s="366"/>
      <c r="X6" s="368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60" t="s">
        <v>174</v>
      </c>
      <c r="G11" s="360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63" t="s">
        <v>221</v>
      </c>
      <c r="G12" s="363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63" t="s">
        <v>224</v>
      </c>
      <c r="G14" s="363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60" t="s">
        <v>224</v>
      </c>
      <c r="G15" s="360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60" t="s">
        <v>173</v>
      </c>
      <c r="G19" s="360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63" t="s">
        <v>235</v>
      </c>
      <c r="G22" s="363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60" t="s">
        <v>235</v>
      </c>
      <c r="G23" s="360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63" t="s">
        <v>235</v>
      </c>
      <c r="G24" s="363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6" t="s">
        <v>91</v>
      </c>
      <c r="I27" s="377"/>
      <c r="J27" s="377"/>
      <c r="K27" s="378"/>
      <c r="L27" s="369" t="s">
        <v>90</v>
      </c>
      <c r="M27" s="365" t="s">
        <v>157</v>
      </c>
      <c r="N27" s="365" t="s">
        <v>158</v>
      </c>
      <c r="O27" s="371" t="s">
        <v>159</v>
      </c>
      <c r="P27" s="372"/>
      <c r="Q27" s="373"/>
      <c r="R27" s="365" t="s">
        <v>160</v>
      </c>
      <c r="S27" s="371" t="s">
        <v>19</v>
      </c>
      <c r="T27" s="372"/>
      <c r="U27" s="373"/>
      <c r="V27" s="365" t="s">
        <v>124</v>
      </c>
      <c r="W27" s="365" t="s">
        <v>125</v>
      </c>
      <c r="X27" s="367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0"/>
      <c r="M28" s="366"/>
      <c r="N28" s="366"/>
      <c r="O28" s="285" t="s">
        <v>167</v>
      </c>
      <c r="P28" s="285" t="s">
        <v>168</v>
      </c>
      <c r="Q28" s="316" t="s">
        <v>125</v>
      </c>
      <c r="R28" s="366"/>
      <c r="S28" s="285" t="s">
        <v>167</v>
      </c>
      <c r="T28" s="285" t="s">
        <v>168</v>
      </c>
      <c r="U28" s="316" t="s">
        <v>125</v>
      </c>
      <c r="V28" s="366"/>
      <c r="W28" s="366"/>
      <c r="X28" s="368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60" t="s">
        <v>173</v>
      </c>
      <c r="G33" s="360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63" t="s">
        <v>173</v>
      </c>
      <c r="G34" s="363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60" t="s">
        <v>224</v>
      </c>
      <c r="G37" s="360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63" t="s">
        <v>224</v>
      </c>
      <c r="G38" s="363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60" t="s">
        <v>173</v>
      </c>
      <c r="G43" s="360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63" t="s">
        <v>173</v>
      </c>
      <c r="G44" s="363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64" t="s">
        <v>238</v>
      </c>
      <c r="G47" s="364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63" t="s">
        <v>239</v>
      </c>
      <c r="G48" s="363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60" t="s">
        <v>239</v>
      </c>
      <c r="G49" s="360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63" t="s">
        <v>239</v>
      </c>
      <c r="G50" s="363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6" t="s">
        <v>91</v>
      </c>
      <c r="I53" s="377"/>
      <c r="J53" s="377"/>
      <c r="K53" s="378"/>
      <c r="L53" s="369" t="s">
        <v>90</v>
      </c>
      <c r="M53" s="365" t="s">
        <v>157</v>
      </c>
      <c r="N53" s="365" t="s">
        <v>158</v>
      </c>
      <c r="O53" s="371" t="s">
        <v>159</v>
      </c>
      <c r="P53" s="372"/>
      <c r="Q53" s="373"/>
      <c r="R53" s="365" t="s">
        <v>160</v>
      </c>
      <c r="S53" s="371" t="s">
        <v>19</v>
      </c>
      <c r="T53" s="372"/>
      <c r="U53" s="373"/>
      <c r="V53" s="365" t="s">
        <v>124</v>
      </c>
      <c r="W53" s="365" t="s">
        <v>125</v>
      </c>
      <c r="X53" s="367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0"/>
      <c r="M54" s="366"/>
      <c r="N54" s="366"/>
      <c r="O54" s="285" t="s">
        <v>167</v>
      </c>
      <c r="P54" s="285" t="s">
        <v>168</v>
      </c>
      <c r="Q54" s="316" t="s">
        <v>125</v>
      </c>
      <c r="R54" s="366"/>
      <c r="S54" s="285" t="s">
        <v>167</v>
      </c>
      <c r="T54" s="285" t="s">
        <v>168</v>
      </c>
      <c r="U54" s="316" t="s">
        <v>125</v>
      </c>
      <c r="V54" s="366"/>
      <c r="W54" s="366"/>
      <c r="X54" s="368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75" t="s">
        <v>177</v>
      </c>
      <c r="G56" s="363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60" t="s">
        <v>173</v>
      </c>
      <c r="G57" s="360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63" t="s">
        <v>224</v>
      </c>
      <c r="G60" s="363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60" t="s">
        <v>224</v>
      </c>
      <c r="G61" s="360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63" t="s">
        <v>174</v>
      </c>
      <c r="G64" s="363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60" t="s">
        <v>173</v>
      </c>
      <c r="G65" s="360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60" t="s">
        <v>165</v>
      </c>
      <c r="G67" s="360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63" t="s">
        <v>244</v>
      </c>
      <c r="G68" s="363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60" t="s">
        <v>244</v>
      </c>
      <c r="G69" s="360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63" t="s">
        <v>244</v>
      </c>
      <c r="G70" s="363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6" t="s">
        <v>91</v>
      </c>
      <c r="I73" s="377"/>
      <c r="J73" s="377"/>
      <c r="K73" s="378"/>
      <c r="L73" s="369" t="s">
        <v>90</v>
      </c>
      <c r="M73" s="365" t="s">
        <v>157</v>
      </c>
      <c r="N73" s="365" t="s">
        <v>158</v>
      </c>
      <c r="O73" s="371" t="s">
        <v>159</v>
      </c>
      <c r="P73" s="372"/>
      <c r="Q73" s="373"/>
      <c r="R73" s="365" t="s">
        <v>160</v>
      </c>
      <c r="S73" s="371" t="s">
        <v>19</v>
      </c>
      <c r="T73" s="372"/>
      <c r="U73" s="373"/>
      <c r="V73" s="365" t="s">
        <v>124</v>
      </c>
      <c r="W73" s="365" t="s">
        <v>125</v>
      </c>
      <c r="X73" s="367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0"/>
      <c r="M74" s="366"/>
      <c r="N74" s="366"/>
      <c r="O74" s="285" t="s">
        <v>167</v>
      </c>
      <c r="P74" s="285" t="s">
        <v>168</v>
      </c>
      <c r="Q74" s="316" t="s">
        <v>125</v>
      </c>
      <c r="R74" s="366"/>
      <c r="S74" s="285" t="s">
        <v>167</v>
      </c>
      <c r="T74" s="285" t="s">
        <v>168</v>
      </c>
      <c r="U74" s="316" t="s">
        <v>125</v>
      </c>
      <c r="V74" s="366"/>
      <c r="W74" s="366"/>
      <c r="X74" s="368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60" t="s">
        <v>173</v>
      </c>
      <c r="G79" s="360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63" t="s">
        <v>173</v>
      </c>
      <c r="G80" s="363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60" t="s">
        <v>224</v>
      </c>
      <c r="G83" s="360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63" t="s">
        <v>224</v>
      </c>
      <c r="G84" s="363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60"/>
      <c r="G91" s="360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60" t="s">
        <v>239</v>
      </c>
      <c r="G95" s="360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60" t="s">
        <v>239</v>
      </c>
      <c r="G96" s="360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60" t="s">
        <v>239</v>
      </c>
      <c r="G97" s="360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6" t="s">
        <v>91</v>
      </c>
      <c r="I100" s="377"/>
      <c r="J100" s="377"/>
      <c r="K100" s="378"/>
      <c r="L100" s="369" t="s">
        <v>90</v>
      </c>
      <c r="M100" s="365" t="s">
        <v>157</v>
      </c>
      <c r="N100" s="365" t="s">
        <v>158</v>
      </c>
      <c r="O100" s="371" t="s">
        <v>159</v>
      </c>
      <c r="P100" s="372"/>
      <c r="Q100" s="373"/>
      <c r="R100" s="365" t="s">
        <v>160</v>
      </c>
      <c r="S100" s="371" t="s">
        <v>19</v>
      </c>
      <c r="T100" s="372"/>
      <c r="U100" s="373"/>
      <c r="V100" s="365" t="s">
        <v>124</v>
      </c>
      <c r="W100" s="365" t="s">
        <v>125</v>
      </c>
      <c r="X100" s="367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0"/>
      <c r="M101" s="366"/>
      <c r="N101" s="366"/>
      <c r="O101" s="285" t="s">
        <v>167</v>
      </c>
      <c r="P101" s="285" t="s">
        <v>168</v>
      </c>
      <c r="Q101" s="316" t="s">
        <v>125</v>
      </c>
      <c r="R101" s="366"/>
      <c r="S101" s="285" t="s">
        <v>167</v>
      </c>
      <c r="T101" s="285" t="s">
        <v>168</v>
      </c>
      <c r="U101" s="316" t="s">
        <v>125</v>
      </c>
      <c r="V101" s="366"/>
      <c r="W101" s="366"/>
      <c r="X101" s="368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63" t="s">
        <v>173</v>
      </c>
      <c r="G105" s="363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60" t="s">
        <v>173</v>
      </c>
      <c r="G106" s="360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60" t="s">
        <v>224</v>
      </c>
      <c r="G108" s="360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63" t="s">
        <v>224</v>
      </c>
      <c r="G109" s="363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60" t="s">
        <v>173</v>
      </c>
      <c r="G112" s="360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63" t="s">
        <v>173</v>
      </c>
      <c r="G113" s="363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62" t="s">
        <v>235</v>
      </c>
      <c r="G115" s="362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60" t="s">
        <v>248</v>
      </c>
      <c r="G116" s="360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62" t="s">
        <v>235</v>
      </c>
      <c r="G117" s="362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60" t="s">
        <v>248</v>
      </c>
      <c r="G118" s="360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6" t="s">
        <v>91</v>
      </c>
      <c r="I121" s="377"/>
      <c r="J121" s="377"/>
      <c r="K121" s="378"/>
      <c r="L121" s="369" t="s">
        <v>90</v>
      </c>
      <c r="M121" s="365" t="s">
        <v>157</v>
      </c>
      <c r="N121" s="365" t="s">
        <v>158</v>
      </c>
      <c r="O121" s="371" t="s">
        <v>159</v>
      </c>
      <c r="P121" s="372"/>
      <c r="Q121" s="373"/>
      <c r="R121" s="365" t="s">
        <v>160</v>
      </c>
      <c r="S121" s="371" t="s">
        <v>19</v>
      </c>
      <c r="T121" s="372"/>
      <c r="U121" s="373"/>
      <c r="V121" s="365" t="s">
        <v>124</v>
      </c>
      <c r="W121" s="365" t="s">
        <v>125</v>
      </c>
      <c r="X121" s="367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0"/>
      <c r="M122" s="366"/>
      <c r="N122" s="366"/>
      <c r="O122" s="285" t="s">
        <v>167</v>
      </c>
      <c r="P122" s="285" t="s">
        <v>168</v>
      </c>
      <c r="Q122" s="316" t="s">
        <v>125</v>
      </c>
      <c r="R122" s="366"/>
      <c r="S122" s="285" t="s">
        <v>167</v>
      </c>
      <c r="T122" s="285" t="s">
        <v>168</v>
      </c>
      <c r="U122" s="316" t="s">
        <v>125</v>
      </c>
      <c r="V122" s="366"/>
      <c r="W122" s="366"/>
      <c r="X122" s="368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60" t="s">
        <v>173</v>
      </c>
      <c r="G129" s="360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60" t="s">
        <v>224</v>
      </c>
      <c r="G132" s="360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63" t="s">
        <v>224</v>
      </c>
      <c r="G133" s="363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63" t="s">
        <v>173</v>
      </c>
      <c r="G138" s="363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60" t="s">
        <v>173</v>
      </c>
      <c r="G139" s="360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3" t="s">
        <v>239</v>
      </c>
      <c r="G142" s="363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60" t="s">
        <v>249</v>
      </c>
      <c r="G143" s="360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63" t="s">
        <v>239</v>
      </c>
      <c r="G144" s="363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60" t="s">
        <v>249</v>
      </c>
      <c r="G145" s="360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6" t="s">
        <v>91</v>
      </c>
      <c r="I148" s="377"/>
      <c r="J148" s="377"/>
      <c r="K148" s="378"/>
      <c r="L148" s="369" t="s">
        <v>90</v>
      </c>
      <c r="M148" s="365" t="s">
        <v>157</v>
      </c>
      <c r="N148" s="365" t="s">
        <v>158</v>
      </c>
      <c r="O148" s="371" t="s">
        <v>159</v>
      </c>
      <c r="P148" s="372"/>
      <c r="Q148" s="373"/>
      <c r="R148" s="365" t="s">
        <v>160</v>
      </c>
      <c r="S148" s="371" t="s">
        <v>19</v>
      </c>
      <c r="T148" s="372"/>
      <c r="U148" s="373"/>
      <c r="V148" s="365" t="s">
        <v>124</v>
      </c>
      <c r="W148" s="365" t="s">
        <v>125</v>
      </c>
      <c r="X148" s="367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0"/>
      <c r="M149" s="366"/>
      <c r="N149" s="366"/>
      <c r="O149" s="285" t="s">
        <v>167</v>
      </c>
      <c r="P149" s="285" t="s">
        <v>168</v>
      </c>
      <c r="Q149" s="316" t="s">
        <v>125</v>
      </c>
      <c r="R149" s="366"/>
      <c r="S149" s="285" t="s">
        <v>167</v>
      </c>
      <c r="T149" s="285" t="s">
        <v>168</v>
      </c>
      <c r="U149" s="316" t="s">
        <v>125</v>
      </c>
      <c r="V149" s="366"/>
      <c r="W149" s="366"/>
      <c r="X149" s="368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63" t="s">
        <v>173</v>
      </c>
      <c r="G157" s="363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60" t="s">
        <v>224</v>
      </c>
      <c r="G160" s="360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63" t="s">
        <v>224</v>
      </c>
      <c r="G161" s="363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60" t="s">
        <v>22</v>
      </c>
      <c r="G164" s="360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63" t="s">
        <v>173</v>
      </c>
      <c r="G165" s="363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60" t="s">
        <v>173</v>
      </c>
      <c r="G166" s="360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62" t="s">
        <v>239</v>
      </c>
      <c r="G169" s="362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60" t="s">
        <v>239</v>
      </c>
      <c r="G170" s="360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62" t="s">
        <v>239</v>
      </c>
      <c r="G171" s="362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60" t="s">
        <v>239</v>
      </c>
      <c r="G172" s="360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6" t="s">
        <v>91</v>
      </c>
      <c r="I175" s="377"/>
      <c r="J175" s="377"/>
      <c r="K175" s="378"/>
      <c r="L175" s="369" t="s">
        <v>90</v>
      </c>
      <c r="M175" s="365" t="s">
        <v>157</v>
      </c>
      <c r="N175" s="365" t="s">
        <v>158</v>
      </c>
      <c r="O175" s="371" t="s">
        <v>159</v>
      </c>
      <c r="P175" s="372"/>
      <c r="Q175" s="373"/>
      <c r="R175" s="365" t="s">
        <v>160</v>
      </c>
      <c r="S175" s="371" t="s">
        <v>19</v>
      </c>
      <c r="T175" s="372"/>
      <c r="U175" s="373"/>
      <c r="V175" s="365" t="s">
        <v>124</v>
      </c>
      <c r="W175" s="365" t="s">
        <v>125</v>
      </c>
      <c r="X175" s="367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0"/>
      <c r="M176" s="366"/>
      <c r="N176" s="366"/>
      <c r="O176" s="285" t="s">
        <v>167</v>
      </c>
      <c r="P176" s="285" t="s">
        <v>168</v>
      </c>
      <c r="Q176" s="316" t="s">
        <v>125</v>
      </c>
      <c r="R176" s="366"/>
      <c r="S176" s="285" t="s">
        <v>167</v>
      </c>
      <c r="T176" s="285" t="s">
        <v>168</v>
      </c>
      <c r="U176" s="316" t="s">
        <v>125</v>
      </c>
      <c r="V176" s="366"/>
      <c r="W176" s="366"/>
      <c r="X176" s="368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63" t="s">
        <v>173</v>
      </c>
      <c r="G182" s="363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60" t="s">
        <v>224</v>
      </c>
      <c r="G185" s="360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63" t="s">
        <v>224</v>
      </c>
      <c r="G186" s="363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60" t="s">
        <v>173</v>
      </c>
      <c r="G193" s="360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64"/>
      <c r="G196" s="364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61" t="s">
        <v>251</v>
      </c>
      <c r="G197" s="362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75" t="s">
        <v>251</v>
      </c>
      <c r="G198" s="363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59" t="s">
        <v>251</v>
      </c>
      <c r="G199" s="360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75" t="s">
        <v>251</v>
      </c>
      <c r="G200" s="363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6" t="s">
        <v>91</v>
      </c>
      <c r="I203" s="377"/>
      <c r="J203" s="377"/>
      <c r="K203" s="378"/>
      <c r="L203" s="369" t="s">
        <v>90</v>
      </c>
      <c r="M203" s="365" t="s">
        <v>157</v>
      </c>
      <c r="N203" s="365" t="s">
        <v>158</v>
      </c>
      <c r="O203" s="371" t="s">
        <v>159</v>
      </c>
      <c r="P203" s="372"/>
      <c r="Q203" s="373"/>
      <c r="R203" s="365" t="s">
        <v>160</v>
      </c>
      <c r="S203" s="371" t="s">
        <v>19</v>
      </c>
      <c r="T203" s="372"/>
      <c r="U203" s="373"/>
      <c r="V203" s="365" t="s">
        <v>124</v>
      </c>
      <c r="W203" s="365" t="s">
        <v>125</v>
      </c>
      <c r="X203" s="367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0"/>
      <c r="M204" s="366"/>
      <c r="N204" s="366"/>
      <c r="O204" s="285" t="s">
        <v>167</v>
      </c>
      <c r="P204" s="285" t="s">
        <v>168</v>
      </c>
      <c r="Q204" s="316" t="s">
        <v>125</v>
      </c>
      <c r="R204" s="366"/>
      <c r="S204" s="285" t="s">
        <v>167</v>
      </c>
      <c r="T204" s="285" t="s">
        <v>168</v>
      </c>
      <c r="U204" s="316" t="s">
        <v>125</v>
      </c>
      <c r="V204" s="366"/>
      <c r="W204" s="366"/>
      <c r="X204" s="368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63" t="s">
        <v>173</v>
      </c>
      <c r="G210" s="363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60" t="s">
        <v>224</v>
      </c>
      <c r="G213" s="360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63" t="s">
        <v>224</v>
      </c>
      <c r="G214" s="363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60" t="s">
        <v>173</v>
      </c>
      <c r="G221" s="360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64"/>
      <c r="G224" s="364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61" t="s">
        <v>177</v>
      </c>
      <c r="G225" s="362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75" t="s">
        <v>177</v>
      </c>
      <c r="G226" s="363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59" t="s">
        <v>177</v>
      </c>
      <c r="G227" s="360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75" t="s">
        <v>177</v>
      </c>
      <c r="G228" s="363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6" t="s">
        <v>91</v>
      </c>
      <c r="I231" s="377"/>
      <c r="J231" s="377"/>
      <c r="K231" s="378"/>
      <c r="L231" s="369" t="s">
        <v>90</v>
      </c>
      <c r="M231" s="365" t="s">
        <v>157</v>
      </c>
      <c r="N231" s="365" t="s">
        <v>158</v>
      </c>
      <c r="O231" s="371" t="s">
        <v>159</v>
      </c>
      <c r="P231" s="372"/>
      <c r="Q231" s="373"/>
      <c r="R231" s="365" t="s">
        <v>160</v>
      </c>
      <c r="S231" s="371" t="s">
        <v>19</v>
      </c>
      <c r="T231" s="372"/>
      <c r="U231" s="373"/>
      <c r="V231" s="365" t="s">
        <v>124</v>
      </c>
      <c r="W231" s="365" t="s">
        <v>125</v>
      </c>
      <c r="X231" s="367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0"/>
      <c r="M232" s="366"/>
      <c r="N232" s="366"/>
      <c r="O232" s="285" t="s">
        <v>167</v>
      </c>
      <c r="P232" s="285" t="s">
        <v>168</v>
      </c>
      <c r="Q232" s="316" t="s">
        <v>125</v>
      </c>
      <c r="R232" s="366"/>
      <c r="S232" s="285" t="s">
        <v>167</v>
      </c>
      <c r="T232" s="285" t="s">
        <v>168</v>
      </c>
      <c r="U232" s="316" t="s">
        <v>125</v>
      </c>
      <c r="V232" s="366"/>
      <c r="W232" s="366"/>
      <c r="X232" s="368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60" t="s">
        <v>173</v>
      </c>
      <c r="G237" s="360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60" t="s">
        <v>224</v>
      </c>
      <c r="G239" s="360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63" t="s">
        <v>224</v>
      </c>
      <c r="G240" s="363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60" t="s">
        <v>165</v>
      </c>
      <c r="G241" s="360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60" t="s">
        <v>174</v>
      </c>
      <c r="G243" s="360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63" t="s">
        <v>173</v>
      </c>
      <c r="G244" s="363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64" t="s">
        <v>255</v>
      </c>
      <c r="G245" s="364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62" t="s">
        <v>255</v>
      </c>
      <c r="G246" s="362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64" t="s">
        <v>255</v>
      </c>
      <c r="G247" s="364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62" t="s">
        <v>255</v>
      </c>
      <c r="G248" s="362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64" t="s">
        <v>255</v>
      </c>
      <c r="G249" s="364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6" t="s">
        <v>91</v>
      </c>
      <c r="I252" s="377"/>
      <c r="J252" s="377"/>
      <c r="K252" s="378"/>
      <c r="L252" s="369" t="s">
        <v>90</v>
      </c>
      <c r="M252" s="365" t="s">
        <v>157</v>
      </c>
      <c r="N252" s="365" t="s">
        <v>158</v>
      </c>
      <c r="O252" s="371" t="s">
        <v>159</v>
      </c>
      <c r="P252" s="372"/>
      <c r="Q252" s="373"/>
      <c r="R252" s="365" t="s">
        <v>160</v>
      </c>
      <c r="S252" s="371" t="s">
        <v>19</v>
      </c>
      <c r="T252" s="372"/>
      <c r="U252" s="373"/>
      <c r="V252" s="365" t="s">
        <v>124</v>
      </c>
      <c r="W252" s="365" t="s">
        <v>125</v>
      </c>
      <c r="X252" s="367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0"/>
      <c r="M253" s="366"/>
      <c r="N253" s="366"/>
      <c r="O253" s="285" t="s">
        <v>167</v>
      </c>
      <c r="P253" s="285" t="s">
        <v>168</v>
      </c>
      <c r="Q253" s="316" t="s">
        <v>125</v>
      </c>
      <c r="R253" s="366"/>
      <c r="S253" s="285" t="s">
        <v>167</v>
      </c>
      <c r="T253" s="285" t="s">
        <v>168</v>
      </c>
      <c r="U253" s="316" t="s">
        <v>125</v>
      </c>
      <c r="V253" s="366"/>
      <c r="W253" s="366"/>
      <c r="X253" s="368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60" t="s">
        <v>173</v>
      </c>
      <c r="G258" s="360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63" t="s">
        <v>173</v>
      </c>
      <c r="G259" s="363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60" t="s">
        <v>224</v>
      </c>
      <c r="G262" s="360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63" t="s">
        <v>224</v>
      </c>
      <c r="G263" s="363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60" t="s">
        <v>173</v>
      </c>
      <c r="G268" s="360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63" t="s">
        <v>173</v>
      </c>
      <c r="G269" s="363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62"/>
      <c r="G272" s="362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74" t="s">
        <v>177</v>
      </c>
      <c r="G273" s="364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59" t="s">
        <v>177</v>
      </c>
      <c r="G274" s="360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75" t="s">
        <v>177</v>
      </c>
      <c r="G275" s="363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59" t="s">
        <v>177</v>
      </c>
      <c r="G276" s="360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6" t="s">
        <v>91</v>
      </c>
      <c r="I279" s="377"/>
      <c r="J279" s="377"/>
      <c r="K279" s="378"/>
      <c r="L279" s="369" t="s">
        <v>90</v>
      </c>
      <c r="M279" s="365" t="s">
        <v>157</v>
      </c>
      <c r="N279" s="365" t="s">
        <v>158</v>
      </c>
      <c r="O279" s="371" t="s">
        <v>159</v>
      </c>
      <c r="P279" s="372"/>
      <c r="Q279" s="373"/>
      <c r="R279" s="365" t="s">
        <v>160</v>
      </c>
      <c r="S279" s="371" t="s">
        <v>19</v>
      </c>
      <c r="T279" s="372"/>
      <c r="U279" s="373"/>
      <c r="V279" s="365" t="s">
        <v>124</v>
      </c>
      <c r="W279" s="365" t="s">
        <v>125</v>
      </c>
      <c r="X279" s="367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0"/>
      <c r="M280" s="366"/>
      <c r="N280" s="366"/>
      <c r="O280" s="285" t="s">
        <v>167</v>
      </c>
      <c r="P280" s="285" t="s">
        <v>168</v>
      </c>
      <c r="Q280" s="316" t="s">
        <v>125</v>
      </c>
      <c r="R280" s="366"/>
      <c r="S280" s="285" t="s">
        <v>167</v>
      </c>
      <c r="T280" s="285" t="s">
        <v>168</v>
      </c>
      <c r="U280" s="316" t="s">
        <v>125</v>
      </c>
      <c r="V280" s="366"/>
      <c r="W280" s="366"/>
      <c r="X280" s="368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63" t="s">
        <v>173</v>
      </c>
      <c r="G284" s="363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60" t="s">
        <v>173</v>
      </c>
      <c r="G285" s="360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64"/>
      <c r="G288" s="364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60" t="s">
        <v>224</v>
      </c>
      <c r="G289" s="360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63" t="s">
        <v>224</v>
      </c>
      <c r="G290" s="363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60" t="s">
        <v>173</v>
      </c>
      <c r="G297" s="360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64"/>
      <c r="G298" s="364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61" t="s">
        <v>257</v>
      </c>
      <c r="G299" s="362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61" t="s">
        <v>257</v>
      </c>
      <c r="G300" s="362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59" t="s">
        <v>257</v>
      </c>
      <c r="G301" s="360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61" t="s">
        <v>257</v>
      </c>
      <c r="G302" s="362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59" t="s">
        <v>257</v>
      </c>
      <c r="G303" s="360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79" t="s">
        <v>258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</row>
    <row r="2" spans="1:27" s="277" customFormat="1" ht="24.6">
      <c r="A2" s="379" t="s">
        <v>214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379"/>
      <c r="X2" s="379"/>
      <c r="Y2" s="379"/>
      <c r="Z2" s="379"/>
      <c r="AA2" s="379"/>
    </row>
    <row r="3" spans="1:27" s="277" customFormat="1" ht="24.6">
      <c r="A3" s="379" t="s">
        <v>215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379"/>
      <c r="AA3" s="379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80" t="s">
        <v>153</v>
      </c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6" t="s">
        <v>91</v>
      </c>
      <c r="I5" s="377"/>
      <c r="J5" s="377"/>
      <c r="K5" s="378"/>
      <c r="L5" s="369" t="s">
        <v>90</v>
      </c>
      <c r="M5" s="365" t="s">
        <v>157</v>
      </c>
      <c r="N5" s="365" t="s">
        <v>158</v>
      </c>
      <c r="O5" s="371" t="s">
        <v>159</v>
      </c>
      <c r="P5" s="372"/>
      <c r="Q5" s="373"/>
      <c r="R5" s="365" t="s">
        <v>160</v>
      </c>
      <c r="S5" s="371" t="s">
        <v>19</v>
      </c>
      <c r="T5" s="372"/>
      <c r="U5" s="373"/>
      <c r="V5" s="365" t="s">
        <v>124</v>
      </c>
      <c r="W5" s="365" t="s">
        <v>125</v>
      </c>
      <c r="X5" s="367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0"/>
      <c r="M6" s="366"/>
      <c r="N6" s="366"/>
      <c r="O6" s="285" t="s">
        <v>167</v>
      </c>
      <c r="P6" s="285" t="s">
        <v>168</v>
      </c>
      <c r="Q6" s="316" t="s">
        <v>125</v>
      </c>
      <c r="R6" s="366"/>
      <c r="S6" s="285" t="s">
        <v>167</v>
      </c>
      <c r="T6" s="285" t="s">
        <v>168</v>
      </c>
      <c r="U6" s="316" t="s">
        <v>125</v>
      </c>
      <c r="V6" s="366"/>
      <c r="W6" s="366"/>
      <c r="X6" s="368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63"/>
      <c r="G14" s="363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63" t="s">
        <v>224</v>
      </c>
      <c r="G16" s="363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60" t="s">
        <v>224</v>
      </c>
      <c r="G17" s="360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63" t="s">
        <v>173</v>
      </c>
      <c r="G22" s="363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60" t="s">
        <v>235</v>
      </c>
      <c r="G25" s="360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63" t="s">
        <v>235</v>
      </c>
      <c r="G26" s="363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60" t="s">
        <v>235</v>
      </c>
      <c r="G27" s="360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76" t="s">
        <v>91</v>
      </c>
      <c r="I30" s="377"/>
      <c r="J30" s="377"/>
      <c r="K30" s="378"/>
      <c r="L30" s="369" t="s">
        <v>90</v>
      </c>
      <c r="M30" s="365" t="s">
        <v>157</v>
      </c>
      <c r="N30" s="365" t="s">
        <v>158</v>
      </c>
      <c r="O30" s="371" t="s">
        <v>159</v>
      </c>
      <c r="P30" s="372"/>
      <c r="Q30" s="373"/>
      <c r="R30" s="365" t="s">
        <v>160</v>
      </c>
      <c r="S30" s="371" t="s">
        <v>19</v>
      </c>
      <c r="T30" s="372"/>
      <c r="U30" s="373"/>
      <c r="V30" s="365" t="s">
        <v>124</v>
      </c>
      <c r="W30" s="365" t="s">
        <v>125</v>
      </c>
      <c r="X30" s="367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0"/>
      <c r="M31" s="366"/>
      <c r="N31" s="366"/>
      <c r="O31" s="285" t="s">
        <v>167</v>
      </c>
      <c r="P31" s="285" t="s">
        <v>168</v>
      </c>
      <c r="Q31" s="316" t="s">
        <v>125</v>
      </c>
      <c r="R31" s="366"/>
      <c r="S31" s="285" t="s">
        <v>167</v>
      </c>
      <c r="T31" s="285" t="s">
        <v>168</v>
      </c>
      <c r="U31" s="316" t="s">
        <v>125</v>
      </c>
      <c r="V31" s="366"/>
      <c r="W31" s="366"/>
      <c r="X31" s="368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60" t="s">
        <v>263</v>
      </c>
      <c r="G32" s="360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75" t="s">
        <v>207</v>
      </c>
      <c r="G33" s="375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60" t="s">
        <v>173</v>
      </c>
      <c r="G34" s="360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63" t="s">
        <v>173</v>
      </c>
      <c r="G35" s="363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59" t="s">
        <v>201</v>
      </c>
      <c r="G36" s="360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63" t="s">
        <v>224</v>
      </c>
      <c r="G37" s="363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63" t="s">
        <v>224</v>
      </c>
      <c r="G38" s="363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75" t="s">
        <v>201</v>
      </c>
      <c r="G39" s="363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59" t="s">
        <v>201</v>
      </c>
      <c r="G40" s="360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63" t="s">
        <v>173</v>
      </c>
      <c r="G41" s="363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60" t="s">
        <v>173</v>
      </c>
      <c r="G42" s="360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75" t="s">
        <v>201</v>
      </c>
      <c r="G43" s="363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59" t="s">
        <v>201</v>
      </c>
      <c r="G44" s="360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75" t="s">
        <v>201</v>
      </c>
      <c r="G45" s="363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59" t="s">
        <v>201</v>
      </c>
      <c r="G46" s="360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75" t="s">
        <v>201</v>
      </c>
      <c r="G47" s="363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76" t="s">
        <v>91</v>
      </c>
      <c r="I50" s="377"/>
      <c r="J50" s="377"/>
      <c r="K50" s="378"/>
      <c r="L50" s="369" t="s">
        <v>90</v>
      </c>
      <c r="M50" s="365" t="s">
        <v>157</v>
      </c>
      <c r="N50" s="365" t="s">
        <v>158</v>
      </c>
      <c r="O50" s="371" t="s">
        <v>159</v>
      </c>
      <c r="P50" s="372"/>
      <c r="Q50" s="373"/>
      <c r="R50" s="365" t="s">
        <v>160</v>
      </c>
      <c r="S50" s="371" t="s">
        <v>19</v>
      </c>
      <c r="T50" s="372"/>
      <c r="U50" s="373"/>
      <c r="V50" s="365" t="s">
        <v>124</v>
      </c>
      <c r="W50" s="365" t="s">
        <v>125</v>
      </c>
      <c r="X50" s="367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0"/>
      <c r="M51" s="366"/>
      <c r="N51" s="366"/>
      <c r="O51" s="285" t="s">
        <v>167</v>
      </c>
      <c r="P51" s="285" t="s">
        <v>168</v>
      </c>
      <c r="Q51" s="316" t="s">
        <v>125</v>
      </c>
      <c r="R51" s="366"/>
      <c r="S51" s="285" t="s">
        <v>167</v>
      </c>
      <c r="T51" s="285" t="s">
        <v>168</v>
      </c>
      <c r="U51" s="316" t="s">
        <v>125</v>
      </c>
      <c r="V51" s="366"/>
      <c r="W51" s="366"/>
      <c r="X51" s="368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59" t="s">
        <v>201</v>
      </c>
      <c r="G52" s="360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75" t="s">
        <v>201</v>
      </c>
      <c r="G53" s="375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60" t="s">
        <v>173</v>
      </c>
      <c r="G54" s="360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63" t="s">
        <v>173</v>
      </c>
      <c r="G55" s="363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59" t="s">
        <v>201</v>
      </c>
      <c r="G56" s="360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63" t="s">
        <v>224</v>
      </c>
      <c r="G57" s="363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60" t="s">
        <v>224</v>
      </c>
      <c r="G58" s="360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75" t="s">
        <v>201</v>
      </c>
      <c r="G59" s="363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59" t="s">
        <v>201</v>
      </c>
      <c r="G60" s="360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63" t="s">
        <v>173</v>
      </c>
      <c r="G61" s="363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60" t="s">
        <v>173</v>
      </c>
      <c r="G62" s="360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75" t="s">
        <v>201</v>
      </c>
      <c r="G63" s="363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59" t="s">
        <v>201</v>
      </c>
      <c r="G64" s="360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75" t="s">
        <v>201</v>
      </c>
      <c r="G65" s="363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59" t="s">
        <v>201</v>
      </c>
      <c r="G66" s="360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75" t="s">
        <v>201</v>
      </c>
      <c r="G67" s="363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70"/>
  <sheetViews>
    <sheetView tabSelected="1" workbookViewId="0">
      <pane ySplit="6" topLeftCell="A7" activePane="bottomLeft" state="frozen"/>
      <selection pane="bottomLeft" activeCell="N1" sqref="N1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3" width="9.6640625" style="126" customWidth="1"/>
    <col min="14" max="14" width="12" style="126" customWidth="1"/>
    <col min="15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294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385"/>
      <c r="B5" s="387" t="s">
        <v>0</v>
      </c>
      <c r="C5" s="389" t="s">
        <v>1</v>
      </c>
      <c r="D5" s="390" t="s">
        <v>13</v>
      </c>
      <c r="E5" s="389" t="s">
        <v>14</v>
      </c>
      <c r="F5" s="390"/>
      <c r="G5" s="389" t="s">
        <v>16</v>
      </c>
      <c r="H5" s="390" t="s">
        <v>44</v>
      </c>
      <c r="I5" s="423" t="s">
        <v>118</v>
      </c>
      <c r="J5" s="429" t="s">
        <v>91</v>
      </c>
      <c r="K5" s="430"/>
      <c r="L5" s="431"/>
      <c r="M5" s="412" t="s">
        <v>108</v>
      </c>
      <c r="N5" s="413"/>
      <c r="O5" s="413"/>
      <c r="P5" s="389" t="s">
        <v>2</v>
      </c>
      <c r="Q5" s="390" t="s">
        <v>17</v>
      </c>
      <c r="R5" s="389" t="s">
        <v>2</v>
      </c>
      <c r="S5" s="390" t="s">
        <v>18</v>
      </c>
      <c r="T5" s="389" t="s">
        <v>2</v>
      </c>
      <c r="U5" s="390" t="s">
        <v>19</v>
      </c>
      <c r="V5" s="389" t="s">
        <v>2</v>
      </c>
      <c r="W5" s="390" t="s">
        <v>20</v>
      </c>
      <c r="X5" s="417" t="s">
        <v>3</v>
      </c>
    </row>
    <row r="6" spans="1:26" s="138" customFormat="1" ht="27" customHeight="1" thickBot="1">
      <c r="A6" s="386"/>
      <c r="B6" s="388"/>
      <c r="C6" s="388"/>
      <c r="D6" s="391"/>
      <c r="E6" s="392"/>
      <c r="F6" s="391"/>
      <c r="G6" s="392"/>
      <c r="H6" s="416"/>
      <c r="I6" s="424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8"/>
      <c r="Q6" s="391"/>
      <c r="R6" s="388"/>
      <c r="S6" s="391"/>
      <c r="T6" s="388"/>
      <c r="U6" s="391"/>
      <c r="V6" s="388"/>
      <c r="W6" s="416"/>
      <c r="X6" s="418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2">
        <v>11</v>
      </c>
      <c r="G7" s="132">
        <f>+D7</f>
        <v>6851</v>
      </c>
      <c r="H7" s="20">
        <f>(F7+J7+K7+L7+Q7)*10</f>
        <v>110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3</v>
      </c>
      <c r="V7" s="21">
        <f>(E7/8/10)*U7</f>
        <v>19.762500000000003</v>
      </c>
      <c r="W7" s="136"/>
      <c r="X7" s="137">
        <f>+G7+H7+P7+R7+T7+V7+W7+I7</f>
        <v>6980.7624999999998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3">
        <v>11</v>
      </c>
      <c r="G8" s="141">
        <f>+D8</f>
        <v>6851</v>
      </c>
      <c r="H8" s="20">
        <f t="shared" ref="H8:H14" si="0">(F8+J8+K8+L8+Q8)*10</f>
        <v>110</v>
      </c>
      <c r="I8" s="21"/>
      <c r="J8" s="353">
        <v>0</v>
      </c>
      <c r="K8" s="73">
        <f>+'10.26-11.10'!I229</f>
        <v>0</v>
      </c>
      <c r="L8" s="73">
        <f>+'10.26-11.10'!J229</f>
        <v>0</v>
      </c>
      <c r="M8" s="73">
        <v>3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247.03125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3">
        <v>4</v>
      </c>
      <c r="V8" s="21">
        <f t="shared" ref="V8:V16" si="4">(E8/8/10)*U8</f>
        <v>26.35</v>
      </c>
      <c r="W8" s="15"/>
      <c r="X8" s="137">
        <f t="shared" ref="X8:X16" si="5">+G8+H8+P8+R8+T8+V8+W8+I8</f>
        <v>7234.3812500000004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10.5</v>
      </c>
      <c r="G9" s="141">
        <f>D9</f>
        <v>10273</v>
      </c>
      <c r="H9" s="20">
        <f t="shared" si="0"/>
        <v>110</v>
      </c>
      <c r="I9" s="21">
        <f>50</f>
        <v>50</v>
      </c>
      <c r="J9" s="73">
        <v>0.5</v>
      </c>
      <c r="K9" s="73">
        <v>0</v>
      </c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3">
        <v>6</v>
      </c>
      <c r="V9" s="21">
        <f t="shared" si="4"/>
        <v>59.267307692307696</v>
      </c>
      <c r="W9" s="15"/>
      <c r="X9" s="137">
        <f t="shared" si="5"/>
        <v>10492.267307692307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3">
        <v>11</v>
      </c>
      <c r="G10" s="141">
        <f t="shared" ref="G10:G16" si="6">+D10</f>
        <v>6851</v>
      </c>
      <c r="H10" s="20">
        <f t="shared" si="0"/>
        <v>110</v>
      </c>
      <c r="I10" s="21"/>
      <c r="J10" s="73">
        <v>0</v>
      </c>
      <c r="K10" s="73"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3">
        <v>1</v>
      </c>
      <c r="V10" s="21">
        <f t="shared" si="4"/>
        <v>6.5875000000000004</v>
      </c>
      <c r="W10" s="15"/>
      <c r="X10" s="137">
        <f t="shared" si="5"/>
        <v>6967.5874999999996</v>
      </c>
      <c r="Y10" s="142"/>
      <c r="Z10" s="142"/>
    </row>
    <row r="11" spans="1:26" s="138" customFormat="1" ht="12" customHeight="1" thickBot="1">
      <c r="A11" s="139">
        <v>5</v>
      </c>
      <c r="B11" s="22" t="s">
        <v>273</v>
      </c>
      <c r="C11" s="72" t="s">
        <v>204</v>
      </c>
      <c r="D11" s="73">
        <v>6851</v>
      </c>
      <c r="E11" s="130">
        <f t="shared" ref="E11:E16" si="7">+D11/13</f>
        <v>527</v>
      </c>
      <c r="F11" s="353">
        <v>10</v>
      </c>
      <c r="G11" s="141">
        <f>E11*F11</f>
        <v>5270</v>
      </c>
      <c r="H11" s="20">
        <v>110</v>
      </c>
      <c r="I11" s="21"/>
      <c r="J11" s="73">
        <v>1</v>
      </c>
      <c r="K11" s="73">
        <f>+'10.26-11.10(SI)'!I28</f>
        <v>0</v>
      </c>
      <c r="L11" s="73">
        <f>+'10.26-11.10(SI)'!J28</f>
        <v>0</v>
      </c>
      <c r="M11" s="353">
        <v>4</v>
      </c>
      <c r="N11" s="73">
        <f>+'10.26-11.10(SI)'!P28</f>
        <v>0</v>
      </c>
      <c r="O11" s="73">
        <f>+'10.26-11.10(SI)'!Q28</f>
        <v>0</v>
      </c>
      <c r="P11" s="233">
        <f t="shared" si="1"/>
        <v>329.375</v>
      </c>
      <c r="Q11" s="73">
        <v>1</v>
      </c>
      <c r="R11" s="21">
        <f t="shared" si="2"/>
        <v>527</v>
      </c>
      <c r="S11" s="73">
        <f>+'10.26-11.10(SI)'!W28</f>
        <v>0</v>
      </c>
      <c r="T11" s="21">
        <f t="shared" si="3"/>
        <v>0</v>
      </c>
      <c r="U11" s="353">
        <v>5</v>
      </c>
      <c r="V11" s="21">
        <f t="shared" si="4"/>
        <v>32.9375</v>
      </c>
      <c r="W11" s="15"/>
      <c r="X11" s="137">
        <f t="shared" si="5"/>
        <v>6269.3125</v>
      </c>
    </row>
    <row r="12" spans="1:26" s="138" customFormat="1" ht="12" customHeight="1" thickBot="1">
      <c r="A12" s="139">
        <v>6</v>
      </c>
      <c r="B12" s="22" t="s">
        <v>268</v>
      </c>
      <c r="C12" s="72" t="s">
        <v>269</v>
      </c>
      <c r="D12" s="73">
        <v>6851</v>
      </c>
      <c r="E12" s="130">
        <f t="shared" si="7"/>
        <v>527</v>
      </c>
      <c r="F12" s="353">
        <v>11</v>
      </c>
      <c r="G12" s="141">
        <f t="shared" ref="G12:G13" si="8">E12*F12</f>
        <v>5797</v>
      </c>
      <c r="H12" s="20">
        <v>110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3">
        <v>1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82.34375</v>
      </c>
      <c r="Q12" s="73">
        <v>1</v>
      </c>
      <c r="R12" s="21">
        <f>+Q12*E12</f>
        <v>527</v>
      </c>
      <c r="S12" s="73"/>
      <c r="T12" s="21">
        <f>(+S12*E12)*0.3</f>
        <v>0</v>
      </c>
      <c r="U12" s="353">
        <v>4</v>
      </c>
      <c r="V12" s="21">
        <f>(E12/8/10)*U12</f>
        <v>26.35</v>
      </c>
      <c r="W12" s="15"/>
      <c r="X12" s="137">
        <f>+G12+H12+P12+R12+T12+V12+W12+I12</f>
        <v>6542.6937500000004</v>
      </c>
    </row>
    <row r="13" spans="1:26" s="138" customFormat="1" ht="12" customHeight="1" thickBot="1">
      <c r="A13" s="139">
        <v>7</v>
      </c>
      <c r="B13" s="22" t="s">
        <v>270</v>
      </c>
      <c r="C13" s="72" t="s">
        <v>271</v>
      </c>
      <c r="D13" s="73">
        <v>6851</v>
      </c>
      <c r="E13" s="130">
        <f t="shared" si="7"/>
        <v>527</v>
      </c>
      <c r="F13" s="353">
        <v>11</v>
      </c>
      <c r="G13" s="141">
        <f t="shared" si="8"/>
        <v>5797</v>
      </c>
      <c r="H13" s="20">
        <f t="shared" ref="H13" si="9">(F13+Q13)*10</f>
        <v>120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3">
        <v>2</v>
      </c>
      <c r="N13" s="73">
        <f>+'10.26-11.10(SI)'!P30</f>
        <v>0</v>
      </c>
      <c r="O13" s="73">
        <f>+'10.26-11.10(SI)'!Q30</f>
        <v>0</v>
      </c>
      <c r="P13" s="233">
        <f t="shared" si="1"/>
        <v>164.6875</v>
      </c>
      <c r="Q13" s="73">
        <v>1</v>
      </c>
      <c r="R13" s="21">
        <f t="shared" si="2"/>
        <v>527</v>
      </c>
      <c r="S13" s="73"/>
      <c r="T13" s="21">
        <f t="shared" si="3"/>
        <v>0</v>
      </c>
      <c r="U13" s="353">
        <v>9</v>
      </c>
      <c r="V13" s="21">
        <f t="shared" si="4"/>
        <v>59.287500000000001</v>
      </c>
      <c r="W13" s="15">
        <v>180</v>
      </c>
      <c r="X13" s="137">
        <f t="shared" si="5"/>
        <v>6847.9750000000004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47690</v>
      </c>
      <c r="H18" s="3">
        <f>SUM(H7:H16)</f>
        <v>780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823.4375</v>
      </c>
      <c r="Q18" s="4"/>
      <c r="R18" s="3">
        <f>SUM(R7:R16)</f>
        <v>1581</v>
      </c>
      <c r="S18" s="4"/>
      <c r="T18" s="3">
        <f>SUM(T7:T16)</f>
        <v>0</v>
      </c>
      <c r="U18" s="6"/>
      <c r="V18" s="3">
        <f>SUM(V7:V16)</f>
        <v>230.5423076923077</v>
      </c>
      <c r="W18" s="3">
        <f>SUM(W7:W16)</f>
        <v>180</v>
      </c>
      <c r="X18" s="3">
        <f>SUM(X7:X16)</f>
        <v>51334.979807692303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3"/>
      <c r="B20" s="395" t="s">
        <v>0</v>
      </c>
      <c r="C20" s="397" t="s">
        <v>1</v>
      </c>
      <c r="D20" s="383" t="s">
        <v>3</v>
      </c>
      <c r="E20" s="419" t="s">
        <v>22</v>
      </c>
      <c r="F20" s="425" t="s">
        <v>2</v>
      </c>
      <c r="G20" s="427" t="s">
        <v>21</v>
      </c>
      <c r="H20" s="383" t="s">
        <v>2</v>
      </c>
      <c r="I20" s="421" t="s">
        <v>126</v>
      </c>
      <c r="J20" s="408" t="s">
        <v>4</v>
      </c>
      <c r="K20" s="410" t="s">
        <v>23</v>
      </c>
      <c r="L20" s="383" t="s">
        <v>5</v>
      </c>
      <c r="M20" s="383" t="s">
        <v>6</v>
      </c>
      <c r="N20" s="383" t="s">
        <v>24</v>
      </c>
      <c r="O20" s="383" t="s">
        <v>7</v>
      </c>
      <c r="P20" s="403" t="s">
        <v>3</v>
      </c>
      <c r="Q20" s="244"/>
      <c r="R20" s="152" t="s">
        <v>103</v>
      </c>
      <c r="S20" s="244"/>
    </row>
    <row r="21" spans="1:24" s="138" customFormat="1" ht="15" customHeight="1" thickBot="1">
      <c r="A21" s="394"/>
      <c r="B21" s="396"/>
      <c r="C21" s="398"/>
      <c r="D21" s="415"/>
      <c r="E21" s="420"/>
      <c r="F21" s="426"/>
      <c r="G21" s="428"/>
      <c r="H21" s="399"/>
      <c r="I21" s="422"/>
      <c r="J21" s="409"/>
      <c r="K21" s="411"/>
      <c r="L21" s="399"/>
      <c r="M21" s="399"/>
      <c r="N21" s="415"/>
      <c r="O21" s="399"/>
      <c r="P21" s="404"/>
      <c r="R21" s="250" t="str">
        <f>D3</f>
        <v>December  11-25,2018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1">+X7</f>
        <v>6980.7624999999998</v>
      </c>
      <c r="E22" s="354">
        <f>+'10.26-11.10'!R25</f>
        <v>0</v>
      </c>
      <c r="F22" s="355">
        <f>+E22*E7</f>
        <v>0</v>
      </c>
      <c r="G22" s="354">
        <v>0</v>
      </c>
      <c r="H22" s="355">
        <f>(+E7/8)*G22</f>
        <v>0</v>
      </c>
      <c r="I22" s="354"/>
      <c r="J22" s="155">
        <v>490.5</v>
      </c>
      <c r="K22" s="17"/>
      <c r="L22" s="15">
        <v>187.5</v>
      </c>
      <c r="M22" s="156"/>
      <c r="N22" s="17">
        <v>579.05999999999995</v>
      </c>
      <c r="O22" s="156"/>
      <c r="P22" s="158">
        <f>+D22-F22-H22-J22-K22-L22-M22-N22-O22-I22</f>
        <v>5723.7024999999994</v>
      </c>
      <c r="R22" s="71">
        <f t="shared" ref="R22:R31" si="12">G7+H7+P7+R7+T7+V7+W7-F22-H22</f>
        <v>6980.7624999999998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1"/>
        <v>7234.3812500000004</v>
      </c>
      <c r="E23" s="353">
        <f>+'10.26-11.10'!R229</f>
        <v>0</v>
      </c>
      <c r="F23" s="356">
        <f t="shared" ref="F23:F31" si="13">+E23*E8</f>
        <v>0</v>
      </c>
      <c r="G23" s="353">
        <v>1.1499999999999999</v>
      </c>
      <c r="H23" s="356">
        <f t="shared" ref="H23:H31" si="14">(+E8/8)*G23</f>
        <v>75.756249999999994</v>
      </c>
      <c r="I23" s="353"/>
      <c r="J23" s="15">
        <v>490.5</v>
      </c>
      <c r="K23" s="15"/>
      <c r="L23" s="15">
        <v>187.5</v>
      </c>
      <c r="M23" s="18"/>
      <c r="N23" s="15"/>
      <c r="O23" s="18"/>
      <c r="P23" s="158">
        <f>+D23-F23-H23-J23-K23-L23-M23-N23-O23-I23</f>
        <v>6480.625</v>
      </c>
      <c r="R23" s="71">
        <f t="shared" si="12"/>
        <v>7158.625</v>
      </c>
    </row>
    <row r="24" spans="1:24" s="138" customFormat="1" ht="10.199999999999999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1"/>
        <v>10492.267307692307</v>
      </c>
      <c r="E24" s="353">
        <v>0</v>
      </c>
      <c r="F24" s="356">
        <f t="shared" si="13"/>
        <v>0</v>
      </c>
      <c r="G24" s="353">
        <f>1.33+2.21</f>
        <v>3.54</v>
      </c>
      <c r="H24" s="356">
        <f>(+E9/8)*G24</f>
        <v>349.67711538461543</v>
      </c>
      <c r="I24" s="353"/>
      <c r="J24" s="15">
        <v>581.29999999999995</v>
      </c>
      <c r="K24" s="15"/>
      <c r="L24" s="15">
        <v>275</v>
      </c>
      <c r="M24" s="18"/>
      <c r="N24" s="15"/>
      <c r="O24" s="18"/>
      <c r="P24" s="158">
        <f t="shared" ref="P24:P28" si="15">+D24-F24-H24-J24-K24-L24-M24-N24-O24-I24</f>
        <v>9286.2901923076934</v>
      </c>
      <c r="R24" s="71">
        <f t="shared" si="12"/>
        <v>10092.590192307693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1"/>
        <v>6967.5874999999996</v>
      </c>
      <c r="E25" s="353">
        <v>0</v>
      </c>
      <c r="F25" s="356">
        <f t="shared" si="13"/>
        <v>0</v>
      </c>
      <c r="G25" s="353">
        <v>3</v>
      </c>
      <c r="H25" s="356">
        <f t="shared" ref="H25" si="16">(+E10/8)*G25</f>
        <v>197.625</v>
      </c>
      <c r="I25" s="353"/>
      <c r="J25" s="15">
        <v>417.8</v>
      </c>
      <c r="K25" s="15">
        <v>600</v>
      </c>
      <c r="L25" s="15">
        <v>175</v>
      </c>
      <c r="M25" s="18"/>
      <c r="N25" s="15">
        <v>567</v>
      </c>
      <c r="O25" s="18"/>
      <c r="P25" s="158">
        <f t="shared" si="15"/>
        <v>5010.1624999999995</v>
      </c>
      <c r="R25" s="71">
        <f t="shared" si="12"/>
        <v>6769.9624999999996</v>
      </c>
    </row>
    <row r="26" spans="1:24" s="138" customFormat="1" ht="12" customHeight="1">
      <c r="A26" s="139">
        <v>5</v>
      </c>
      <c r="B26" s="22" t="str">
        <f t="shared" ref="B26:B31" si="17">+B11</f>
        <v>Briones, Christian Joy</v>
      </c>
      <c r="C26" s="248" t="str">
        <f t="shared" ref="C26:C31" si="18">C11</f>
        <v>Asst. Cook</v>
      </c>
      <c r="D26" s="141">
        <f t="shared" si="11"/>
        <v>6269.3125</v>
      </c>
      <c r="E26" s="353">
        <v>0</v>
      </c>
      <c r="F26" s="356">
        <f t="shared" si="13"/>
        <v>0</v>
      </c>
      <c r="G26" s="353">
        <v>0</v>
      </c>
      <c r="H26" s="356">
        <f t="shared" si="14"/>
        <v>0</v>
      </c>
      <c r="I26" s="353"/>
      <c r="J26" s="15">
        <v>454.2</v>
      </c>
      <c r="K26" s="15">
        <v>969.04</v>
      </c>
      <c r="L26" s="15">
        <v>175</v>
      </c>
      <c r="M26" s="18"/>
      <c r="N26" s="15"/>
      <c r="O26" s="18"/>
      <c r="P26" s="158">
        <f t="shared" si="15"/>
        <v>4671.0725000000002</v>
      </c>
      <c r="R26" s="71">
        <f t="shared" si="12"/>
        <v>6269.3125</v>
      </c>
    </row>
    <row r="27" spans="1:24" s="138" customFormat="1" ht="12" customHeight="1">
      <c r="A27" s="139">
        <v>6</v>
      </c>
      <c r="B27" s="22" t="str">
        <f t="shared" si="17"/>
        <v>Cahilig,Benzen</v>
      </c>
      <c r="C27" s="248" t="str">
        <f t="shared" si="18"/>
        <v>Cook</v>
      </c>
      <c r="D27" s="141">
        <f>+X12</f>
        <v>6542.6937500000004</v>
      </c>
      <c r="E27" s="353">
        <v>0</v>
      </c>
      <c r="F27" s="356">
        <f t="shared" si="13"/>
        <v>0</v>
      </c>
      <c r="G27" s="353">
        <v>0.2</v>
      </c>
      <c r="H27" s="356">
        <f t="shared" ref="H27" si="19">(+E12/8)*G27</f>
        <v>13.175000000000001</v>
      </c>
      <c r="I27" s="353"/>
      <c r="J27" s="15">
        <v>436</v>
      </c>
      <c r="K27" s="15">
        <v>507.6</v>
      </c>
      <c r="L27" s="15">
        <v>182.5</v>
      </c>
      <c r="M27" s="18"/>
      <c r="N27" s="15">
        <v>432.98</v>
      </c>
      <c r="O27" s="18"/>
      <c r="P27" s="158">
        <f>+D27-F27-H27-J27-K27-L27-M27-N27-O27-I27</f>
        <v>4970.4387499999993</v>
      </c>
      <c r="R27" s="71">
        <f>G12+H12+P12+R12+T12+V12+W12-F27-H27</f>
        <v>6529.5187500000002</v>
      </c>
    </row>
    <row r="28" spans="1:24" s="138" customFormat="1" ht="12" customHeight="1">
      <c r="A28" s="139">
        <v>7</v>
      </c>
      <c r="B28" s="22" t="str">
        <f t="shared" si="17"/>
        <v>Pantoja,Nancy</v>
      </c>
      <c r="C28" s="248" t="str">
        <f t="shared" si="18"/>
        <v>Cashier</v>
      </c>
      <c r="D28" s="141">
        <f t="shared" si="11"/>
        <v>6847.9750000000004</v>
      </c>
      <c r="E28" s="353">
        <v>0</v>
      </c>
      <c r="F28" s="356">
        <f t="shared" si="13"/>
        <v>0</v>
      </c>
      <c r="G28" s="353">
        <v>1.88</v>
      </c>
      <c r="H28" s="356">
        <f>(+E13/8)*G28</f>
        <v>123.845</v>
      </c>
      <c r="I28" s="353"/>
      <c r="J28" s="15">
        <v>490.5</v>
      </c>
      <c r="K28" s="15">
        <v>507.6</v>
      </c>
      <c r="L28" s="15">
        <v>162.5</v>
      </c>
      <c r="M28" s="18"/>
      <c r="N28" s="15"/>
      <c r="O28" s="18"/>
      <c r="P28" s="158">
        <f t="shared" si="15"/>
        <v>5563.53</v>
      </c>
      <c r="R28" s="71">
        <f t="shared" si="12"/>
        <v>6724.13</v>
      </c>
    </row>
    <row r="29" spans="1:24" s="138" customFormat="1" ht="12" customHeight="1">
      <c r="A29" s="139">
        <v>8</v>
      </c>
      <c r="B29" s="22">
        <f t="shared" si="17"/>
        <v>0</v>
      </c>
      <c r="C29" s="248">
        <f t="shared" si="18"/>
        <v>0</v>
      </c>
      <c r="D29" s="141">
        <f t="shared" si="11"/>
        <v>0</v>
      </c>
      <c r="E29" s="353"/>
      <c r="F29" s="356">
        <f t="shared" si="13"/>
        <v>0</v>
      </c>
      <c r="G29" s="353"/>
      <c r="H29" s="356">
        <f t="shared" si="14"/>
        <v>0</v>
      </c>
      <c r="I29" s="353"/>
      <c r="J29" s="15"/>
      <c r="K29" s="15"/>
      <c r="L29" s="15"/>
      <c r="M29" s="18"/>
      <c r="N29" s="15"/>
      <c r="O29" s="18"/>
      <c r="P29" s="158">
        <f t="shared" ref="P29:P31" si="20">+D29-F29-H29-J29-K29-L29-M29-N29-O29-I29</f>
        <v>0</v>
      </c>
      <c r="R29" s="71">
        <f t="shared" si="12"/>
        <v>0</v>
      </c>
    </row>
    <row r="30" spans="1:24" s="138" customFormat="1" ht="12" customHeight="1">
      <c r="A30" s="139">
        <v>9</v>
      </c>
      <c r="B30" s="22">
        <f t="shared" si="17"/>
        <v>0</v>
      </c>
      <c r="C30" s="248">
        <f t="shared" si="18"/>
        <v>0</v>
      </c>
      <c r="D30" s="141">
        <f t="shared" si="11"/>
        <v>0</v>
      </c>
      <c r="E30" s="353"/>
      <c r="F30" s="356">
        <f t="shared" si="13"/>
        <v>0</v>
      </c>
      <c r="G30" s="353"/>
      <c r="H30" s="356">
        <f t="shared" si="14"/>
        <v>0</v>
      </c>
      <c r="I30" s="353"/>
      <c r="J30" s="15"/>
      <c r="K30" s="15"/>
      <c r="L30" s="15"/>
      <c r="M30" s="18"/>
      <c r="N30" s="15"/>
      <c r="O30" s="18"/>
      <c r="P30" s="158">
        <f t="shared" si="20"/>
        <v>0</v>
      </c>
      <c r="R30" s="71">
        <f t="shared" si="12"/>
        <v>0</v>
      </c>
    </row>
    <row r="31" spans="1:24" s="138" customFormat="1" ht="12" customHeight="1">
      <c r="A31" s="139">
        <v>10</v>
      </c>
      <c r="B31" s="22">
        <f t="shared" si="17"/>
        <v>0</v>
      </c>
      <c r="C31" s="248">
        <f t="shared" si="18"/>
        <v>0</v>
      </c>
      <c r="D31" s="141">
        <f t="shared" si="11"/>
        <v>0</v>
      </c>
      <c r="E31" s="15"/>
      <c r="F31" s="21">
        <f t="shared" si="13"/>
        <v>0</v>
      </c>
      <c r="G31" s="159"/>
      <c r="H31" s="21">
        <f t="shared" si="14"/>
        <v>0</v>
      </c>
      <c r="I31" s="122"/>
      <c r="J31" s="15"/>
      <c r="K31" s="15"/>
      <c r="L31" s="15"/>
      <c r="M31" s="18"/>
      <c r="N31" s="15"/>
      <c r="O31" s="18"/>
      <c r="P31" s="158">
        <f t="shared" si="20"/>
        <v>0</v>
      </c>
      <c r="R31" s="71">
        <f t="shared" si="12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51334.979807692303</v>
      </c>
      <c r="E33" s="4">
        <f>+SUM(E22:E32)</f>
        <v>0</v>
      </c>
      <c r="F33" s="3">
        <f>SUM(F22:F32)</f>
        <v>0</v>
      </c>
      <c r="G33" s="4"/>
      <c r="H33" s="3">
        <f>SUM(H22:H32)</f>
        <v>760.07836538461538</v>
      </c>
      <c r="I33" s="3">
        <f>+SUM(I22:I32)</f>
        <v>0</v>
      </c>
      <c r="J33" s="3">
        <f t="shared" ref="J33:O33" si="21">+SUM(J22:J32)</f>
        <v>3360.7999999999997</v>
      </c>
      <c r="K33" s="3">
        <f t="shared" si="21"/>
        <v>2584.2399999999998</v>
      </c>
      <c r="L33" s="3">
        <f t="shared" si="21"/>
        <v>1345</v>
      </c>
      <c r="M33" s="3">
        <f t="shared" si="21"/>
        <v>0</v>
      </c>
      <c r="N33" s="3">
        <f t="shared" si="21"/>
        <v>1579.04</v>
      </c>
      <c r="O33" s="3">
        <f t="shared" si="21"/>
        <v>0</v>
      </c>
      <c r="P33" s="5">
        <f>+SUM(P22:P32)</f>
        <v>41705.821442307693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23">+P22+(SUM(O35:Q35))</f>
        <v>6757.7024999999994</v>
      </c>
    </row>
    <row r="36" spans="1:25">
      <c r="M36" s="16" t="str">
        <f t="shared" si="22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3"/>
        <v>6980.625</v>
      </c>
    </row>
    <row r="37" spans="1:25">
      <c r="A37" s="165" t="str">
        <f>+B25</f>
        <v xml:space="preserve">Sosa, Anna Marie </v>
      </c>
      <c r="D37" s="165" t="str">
        <f>B24</f>
        <v>Dino, Joyce</v>
      </c>
      <c r="M37" s="16" t="str">
        <f t="shared" si="22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3"/>
        <v>10536.290192307693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2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3"/>
        <v>6044.1624999999995</v>
      </c>
      <c r="T38" s="334"/>
      <c r="U38" s="334"/>
      <c r="V38" s="334"/>
      <c r="W38" s="334"/>
      <c r="X38" s="334"/>
      <c r="Y38" s="334"/>
    </row>
    <row r="39" spans="1:25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6">
        <f t="shared" si="23"/>
        <v>4671.0725000000002</v>
      </c>
      <c r="T39" s="334"/>
      <c r="U39" s="334"/>
      <c r="V39" s="334"/>
      <c r="W39" s="334"/>
      <c r="X39" s="334"/>
      <c r="Y39" s="334"/>
    </row>
    <row r="40" spans="1:25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6">
        <f t="shared" si="23"/>
        <v>4970.4387499999993</v>
      </c>
    </row>
    <row r="41" spans="1:25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6">
        <f t="shared" si="23"/>
        <v>5563.53</v>
      </c>
    </row>
    <row r="42" spans="1:25">
      <c r="M42" s="16">
        <f t="shared" si="22"/>
        <v>0</v>
      </c>
      <c r="O42" s="16">
        <v>0</v>
      </c>
      <c r="P42" s="16">
        <v>0</v>
      </c>
      <c r="Q42" s="16">
        <v>0</v>
      </c>
      <c r="S42" s="166">
        <f t="shared" si="23"/>
        <v>0</v>
      </c>
    </row>
    <row r="43" spans="1:25">
      <c r="M43" s="16">
        <f t="shared" si="22"/>
        <v>0</v>
      </c>
      <c r="O43" s="16">
        <v>0</v>
      </c>
      <c r="P43" s="16">
        <v>0</v>
      </c>
      <c r="Q43" s="16">
        <v>0</v>
      </c>
      <c r="S43" s="166">
        <f t="shared" si="23"/>
        <v>0</v>
      </c>
    </row>
    <row r="44" spans="1:25">
      <c r="M44" s="16">
        <f t="shared" si="22"/>
        <v>0</v>
      </c>
      <c r="O44" s="16">
        <v>0</v>
      </c>
      <c r="P44" s="16">
        <v>0</v>
      </c>
      <c r="Q44" s="16">
        <v>0</v>
      </c>
      <c r="S44" s="166">
        <f t="shared" si="23"/>
        <v>0</v>
      </c>
    </row>
    <row r="46" spans="1:25">
      <c r="P46" s="169">
        <f>+P33+(SUM(O35:Q44))</f>
        <v>45523.821442307693</v>
      </c>
    </row>
    <row r="53" spans="1:14" ht="13.8" thickBot="1"/>
    <row r="54" spans="1:14" ht="13.8" thickBot="1">
      <c r="A54" s="393"/>
      <c r="B54" s="395" t="s">
        <v>0</v>
      </c>
      <c r="C54" s="397" t="s">
        <v>1</v>
      </c>
      <c r="D54" s="383" t="s">
        <v>45</v>
      </c>
      <c r="E54" s="381" t="s">
        <v>151</v>
      </c>
      <c r="F54" s="401" t="s">
        <v>112</v>
      </c>
      <c r="G54" s="402"/>
      <c r="H54" s="406" t="s">
        <v>267</v>
      </c>
      <c r="I54" s="403" t="s">
        <v>3</v>
      </c>
      <c r="J54" s="405" t="s">
        <v>114</v>
      </c>
      <c r="K54" s="400" t="s">
        <v>115</v>
      </c>
      <c r="L54" s="400" t="s">
        <v>116</v>
      </c>
      <c r="N54" s="414" t="s">
        <v>102</v>
      </c>
    </row>
    <row r="55" spans="1:14" ht="13.8" thickBot="1">
      <c r="A55" s="394"/>
      <c r="B55" s="396"/>
      <c r="C55" s="398"/>
      <c r="D55" s="384"/>
      <c r="E55" s="382"/>
      <c r="F55" s="245" t="s">
        <v>113</v>
      </c>
      <c r="G55" s="246" t="s">
        <v>148</v>
      </c>
      <c r="H55" s="407"/>
      <c r="I55" s="404"/>
      <c r="J55" s="405"/>
      <c r="K55" s="400"/>
      <c r="L55" s="400"/>
      <c r="N55" s="414"/>
    </row>
    <row r="56" spans="1:14" ht="13.8" thickBot="1">
      <c r="A56" s="153">
        <v>1</v>
      </c>
      <c r="B56" s="49" t="str">
        <f t="shared" ref="B56:C65" si="24">+B22</f>
        <v>Biarcal, Ronald Glenn</v>
      </c>
      <c r="C56" s="49" t="str">
        <f t="shared" si="24"/>
        <v>M.T.Purchaser</v>
      </c>
      <c r="D56" s="133"/>
      <c r="E56" s="157"/>
      <c r="F56" s="236"/>
      <c r="G56" s="236">
        <v>0</v>
      </c>
      <c r="H56" s="157"/>
      <c r="I56" s="158">
        <f>+D22-F22-H22-D56-J22-K22-L22-M22-N22-O22-E56-H56-F56-G56-I22</f>
        <v>5723.7024999999994</v>
      </c>
      <c r="J56" s="274">
        <f>+O35</f>
        <v>150</v>
      </c>
      <c r="K56" s="274">
        <f t="shared" ref="K56:L60" si="25">+P35</f>
        <v>884</v>
      </c>
      <c r="L56" s="274">
        <f t="shared" si="25"/>
        <v>0</v>
      </c>
      <c r="N56" s="165">
        <f t="shared" ref="N56:N58" si="26">+I56+J56+K56</f>
        <v>6757.7024999999994</v>
      </c>
    </row>
    <row r="57" spans="1:14" ht="13.8" thickBot="1">
      <c r="A57" s="139">
        <v>2</v>
      </c>
      <c r="B57" s="22" t="str">
        <f t="shared" si="24"/>
        <v>Sanchez, Angelo</v>
      </c>
      <c r="C57" s="248" t="str">
        <f t="shared" si="24"/>
        <v>Head Cook</v>
      </c>
      <c r="D57" s="73"/>
      <c r="E57" s="122"/>
      <c r="F57" s="122"/>
      <c r="G57" s="122"/>
      <c r="H57" s="157"/>
      <c r="I57" s="158">
        <f t="shared" ref="I57:I62" si="27">+D23-F23-H23-D57-J23-K23-L23-M23-N23-O23-E57-H57-F57-G57-I23</f>
        <v>6480.625</v>
      </c>
      <c r="J57" s="274">
        <f>+O36</f>
        <v>0</v>
      </c>
      <c r="K57" s="274">
        <f t="shared" si="25"/>
        <v>500</v>
      </c>
      <c r="L57" s="274">
        <f t="shared" si="25"/>
        <v>0</v>
      </c>
      <c r="N57" s="165">
        <f>+I57+J57+K57</f>
        <v>6980.625</v>
      </c>
    </row>
    <row r="58" spans="1:14" ht="13.8" thickBot="1">
      <c r="A58" s="139">
        <v>3</v>
      </c>
      <c r="B58" s="22" t="str">
        <f t="shared" si="24"/>
        <v>Dino, Joyce</v>
      </c>
      <c r="C58" s="248" t="str">
        <f t="shared" si="24"/>
        <v>Store Manager</v>
      </c>
      <c r="D58" s="73"/>
      <c r="E58" s="122"/>
      <c r="F58" s="18"/>
      <c r="G58" s="18">
        <f>3202.78/2</f>
        <v>1601.39</v>
      </c>
      <c r="H58" s="157"/>
      <c r="I58" s="158">
        <f t="shared" si="27"/>
        <v>7684.900192307693</v>
      </c>
      <c r="J58" s="274">
        <f>+O37</f>
        <v>250</v>
      </c>
      <c r="K58" s="274">
        <f t="shared" si="25"/>
        <v>1000</v>
      </c>
      <c r="L58" s="274">
        <f t="shared" si="25"/>
        <v>0</v>
      </c>
      <c r="N58" s="165">
        <f t="shared" si="26"/>
        <v>8934.9001923076939</v>
      </c>
    </row>
    <row r="59" spans="1:14" ht="13.8" thickBot="1">
      <c r="A59" s="139">
        <v>4</v>
      </c>
      <c r="B59" s="22" t="str">
        <f t="shared" si="24"/>
        <v xml:space="preserve">Sosa, Anna Marie </v>
      </c>
      <c r="C59" s="248" t="str">
        <f t="shared" si="24"/>
        <v>M.T.Bookkeeper</v>
      </c>
      <c r="D59" s="73"/>
      <c r="E59" s="122">
        <v>355</v>
      </c>
      <c r="F59" s="122"/>
      <c r="G59" s="122">
        <f>3074.67/2</f>
        <v>1537.335</v>
      </c>
      <c r="H59" s="157"/>
      <c r="I59" s="158">
        <f t="shared" si="27"/>
        <v>3117.8274999999994</v>
      </c>
      <c r="J59" s="274">
        <f>+O38</f>
        <v>150</v>
      </c>
      <c r="K59" s="274">
        <f t="shared" si="25"/>
        <v>884</v>
      </c>
      <c r="L59" s="274">
        <f t="shared" si="25"/>
        <v>0</v>
      </c>
      <c r="N59" s="165">
        <f>+I59+J59+K59</f>
        <v>4151.8274999999994</v>
      </c>
    </row>
    <row r="60" spans="1:14">
      <c r="A60" s="139">
        <v>5</v>
      </c>
      <c r="B60" s="22" t="str">
        <f t="shared" si="24"/>
        <v>Briones, Christian Joy</v>
      </c>
      <c r="C60" s="248" t="str">
        <f t="shared" si="24"/>
        <v>Asst. Cook</v>
      </c>
      <c r="D60" s="73"/>
      <c r="E60" s="122"/>
      <c r="F60" s="122"/>
      <c r="G60" s="122"/>
      <c r="H60" s="157"/>
      <c r="I60" s="158">
        <f t="shared" si="27"/>
        <v>4671.0725000000002</v>
      </c>
      <c r="J60" s="274">
        <f>+O39</f>
        <v>0</v>
      </c>
      <c r="K60" s="274">
        <f t="shared" si="25"/>
        <v>0</v>
      </c>
      <c r="L60" s="274">
        <f t="shared" si="25"/>
        <v>0</v>
      </c>
      <c r="N60" s="165">
        <f>+I60+J60+K60</f>
        <v>4671.0725000000002</v>
      </c>
    </row>
    <row r="61" spans="1:14">
      <c r="A61" s="139">
        <v>6</v>
      </c>
      <c r="B61" s="22" t="str">
        <f t="shared" si="24"/>
        <v>Cahilig,Benzen</v>
      </c>
      <c r="C61" s="248" t="str">
        <f t="shared" si="24"/>
        <v>Cook</v>
      </c>
      <c r="D61" s="73"/>
      <c r="E61" s="122"/>
      <c r="F61" s="122"/>
      <c r="G61" s="122"/>
      <c r="H61" s="122"/>
      <c r="I61" s="158">
        <f>+D27-F27-H27-D61-J27-K27-L27-M27-N27-O27-E61-H61-F61-G61-I27</f>
        <v>4970.4387499999993</v>
      </c>
      <c r="N61" s="165">
        <f>+I61+J61+K61</f>
        <v>4970.4387499999993</v>
      </c>
    </row>
    <row r="62" spans="1:14">
      <c r="A62" s="139">
        <v>7</v>
      </c>
      <c r="B62" s="22" t="str">
        <f t="shared" si="24"/>
        <v>Pantoja,Nancy</v>
      </c>
      <c r="C62" s="248" t="str">
        <f t="shared" si="24"/>
        <v>Cashier</v>
      </c>
      <c r="D62" s="73"/>
      <c r="E62" s="122"/>
      <c r="F62" s="122"/>
      <c r="G62" s="122"/>
      <c r="H62" s="122"/>
      <c r="I62" s="158">
        <f t="shared" si="27"/>
        <v>5563.53</v>
      </c>
      <c r="N62" s="165">
        <f>+I62+J62+K62</f>
        <v>5563.53</v>
      </c>
    </row>
    <row r="63" spans="1:14">
      <c r="A63" s="139">
        <v>8</v>
      </c>
      <c r="B63" s="22">
        <f t="shared" si="24"/>
        <v>0</v>
      </c>
      <c r="C63" s="248">
        <f t="shared" si="24"/>
        <v>0</v>
      </c>
      <c r="D63" s="73"/>
      <c r="E63" s="122"/>
      <c r="F63" s="122"/>
      <c r="G63" s="122"/>
      <c r="H63" s="15">
        <v>0</v>
      </c>
      <c r="I63" s="158">
        <f t="shared" ref="I63:I65" si="28">+D29-F29-H29-D63-J29-K29-L29-M29-N29-O29-E63-H63-F63-G63-I29</f>
        <v>0</v>
      </c>
    </row>
    <row r="64" spans="1:14">
      <c r="A64" s="139">
        <v>9</v>
      </c>
      <c r="B64" s="22">
        <f t="shared" si="24"/>
        <v>0</v>
      </c>
      <c r="C64" s="248">
        <f t="shared" si="24"/>
        <v>0</v>
      </c>
      <c r="D64" s="73"/>
      <c r="E64" s="122"/>
      <c r="F64" s="122"/>
      <c r="G64" s="122"/>
      <c r="H64" s="15">
        <v>0</v>
      </c>
      <c r="I64" s="158">
        <f t="shared" si="28"/>
        <v>0</v>
      </c>
    </row>
    <row r="65" spans="1:14">
      <c r="A65" s="139">
        <v>10</v>
      </c>
      <c r="B65" s="22">
        <f t="shared" si="24"/>
        <v>0</v>
      </c>
      <c r="C65" s="248">
        <f t="shared" si="24"/>
        <v>0</v>
      </c>
      <c r="D65" s="22"/>
      <c r="E65" s="122"/>
      <c r="F65" s="122"/>
      <c r="G65" s="122"/>
      <c r="H65" s="15">
        <v>0</v>
      </c>
      <c r="I65" s="158">
        <f t="shared" si="28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0</v>
      </c>
      <c r="E67" s="3">
        <f>+SUM(E56:E66)</f>
        <v>355</v>
      </c>
      <c r="F67" s="3">
        <f>+SUM(F56:F66)</f>
        <v>0</v>
      </c>
      <c r="G67" s="3">
        <f>+SUM(G56:G66)</f>
        <v>3138.7250000000004</v>
      </c>
      <c r="H67" s="3">
        <f>+SUM(H56:H66)</f>
        <v>0</v>
      </c>
      <c r="I67" s="5">
        <f>+SUM(I56:I66)</f>
        <v>38212.096442307695</v>
      </c>
      <c r="N67" s="275">
        <f>SUM(N56:N66)</f>
        <v>42030.096442307695</v>
      </c>
    </row>
    <row r="70" spans="1:14">
      <c r="G70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2" t="str">
        <f>'26-10 payroll'!A1</f>
        <v>THE OLD SPAGHETTI HOUSE</v>
      </c>
      <c r="C2" s="433"/>
      <c r="D2" s="433"/>
      <c r="E2" s="433"/>
      <c r="F2" s="433"/>
      <c r="G2" s="433"/>
      <c r="H2" s="434"/>
      <c r="I2" s="178"/>
      <c r="J2" s="432" t="str">
        <f>'26-10 payroll'!A1</f>
        <v>THE OLD SPAGHETTI HOUSE</v>
      </c>
      <c r="K2" s="433"/>
      <c r="L2" s="433"/>
      <c r="M2" s="433"/>
      <c r="N2" s="433"/>
      <c r="O2" s="433"/>
      <c r="P2" s="434"/>
    </row>
    <row r="3" spans="1:22" s="179" customFormat="1">
      <c r="A3" s="170"/>
      <c r="B3" s="435" t="str">
        <f>'26-10 payroll'!D2</f>
        <v>VALERO</v>
      </c>
      <c r="C3" s="436"/>
      <c r="D3" s="436"/>
      <c r="E3" s="436"/>
      <c r="F3" s="436"/>
      <c r="G3" s="436"/>
      <c r="H3" s="437"/>
      <c r="I3" s="178"/>
      <c r="J3" s="435" t="str">
        <f>'26-10 payroll'!D2</f>
        <v>VALERO</v>
      </c>
      <c r="K3" s="436"/>
      <c r="L3" s="436"/>
      <c r="M3" s="436"/>
      <c r="N3" s="436"/>
      <c r="O3" s="436"/>
      <c r="P3" s="437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8" t="s">
        <v>25</v>
      </c>
      <c r="C5" s="439"/>
      <c r="D5" s="439"/>
      <c r="E5" s="439"/>
      <c r="F5" s="439"/>
      <c r="G5" s="439"/>
      <c r="H5" s="440"/>
      <c r="I5" s="178"/>
      <c r="J5" s="438" t="s">
        <v>25</v>
      </c>
      <c r="K5" s="439"/>
      <c r="L5" s="439"/>
      <c r="M5" s="439"/>
      <c r="N5" s="439"/>
      <c r="O5" s="439"/>
      <c r="P5" s="440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1" t="str">
        <f>'26-10 payroll'!B7</f>
        <v>Biarcal, Ronald Glenn</v>
      </c>
      <c r="E7" s="441"/>
      <c r="F7" s="441"/>
      <c r="G7" s="55"/>
      <c r="H7" s="194"/>
      <c r="I7" s="195"/>
      <c r="J7" s="192" t="s">
        <v>26</v>
      </c>
      <c r="K7" s="193" t="s">
        <v>27</v>
      </c>
      <c r="L7" s="441" t="str">
        <f>'26-10 payroll'!B8</f>
        <v>Sanchez, Angelo</v>
      </c>
      <c r="M7" s="441"/>
      <c r="N7" s="441"/>
      <c r="O7" s="9"/>
      <c r="P7" s="194"/>
    </row>
    <row r="8" spans="1:22">
      <c r="B8" s="192" t="s">
        <v>28</v>
      </c>
      <c r="C8" s="193" t="s">
        <v>27</v>
      </c>
      <c r="D8" s="442">
        <f>'26-10 payroll'!E7</f>
        <v>527</v>
      </c>
      <c r="E8" s="442"/>
      <c r="F8" s="442"/>
      <c r="G8" s="55"/>
      <c r="H8" s="196"/>
      <c r="I8" s="195"/>
      <c r="J8" s="192" t="s">
        <v>28</v>
      </c>
      <c r="K8" s="193" t="s">
        <v>27</v>
      </c>
      <c r="L8" s="442">
        <f>'26-10 payroll'!E8</f>
        <v>527</v>
      </c>
      <c r="M8" s="442"/>
      <c r="N8" s="442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43" t="str">
        <f>'26-10 payroll'!D3</f>
        <v>December  11-25,2018</v>
      </c>
      <c r="E9" s="443"/>
      <c r="F9" s="443"/>
      <c r="G9" s="55"/>
      <c r="H9" s="194"/>
      <c r="I9" s="195"/>
      <c r="J9" s="192" t="s">
        <v>29</v>
      </c>
      <c r="K9" s="193" t="s">
        <v>27</v>
      </c>
      <c r="L9" s="443" t="str">
        <f>'26-10 payroll'!D3</f>
        <v>December  11-25,2018</v>
      </c>
      <c r="M9" s="443"/>
      <c r="N9" s="443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247.03125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110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110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1053.7625</v>
      </c>
      <c r="G17" s="55"/>
      <c r="H17" s="56">
        <f>SUM(F13:F17)</f>
        <v>1163.7625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526.35</v>
      </c>
      <c r="O17" s="9"/>
      <c r="P17" s="10">
        <f>SUM(N13:N17)</f>
        <v>883.38125000000002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187.5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75.756249999999994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-1257.06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-753.75625000000002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6757.7024999999994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6980.625</v>
      </c>
      <c r="R28" s="215"/>
      <c r="T28" s="216">
        <f>+H28-'26-10 payroll'!S35</f>
        <v>0</v>
      </c>
      <c r="U28" s="217"/>
      <c r="V28" s="218">
        <f>+P28-'26-10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2" t="str">
        <f>'26-10 payroll'!A1</f>
        <v>THE OLD SPAGHETTI HOUSE</v>
      </c>
      <c r="C35" s="433"/>
      <c r="D35" s="433"/>
      <c r="E35" s="433"/>
      <c r="F35" s="433"/>
      <c r="G35" s="433"/>
      <c r="H35" s="434"/>
      <c r="I35" s="178"/>
      <c r="J35" s="432" t="str">
        <f>'26-10 payroll'!A1</f>
        <v>THE OLD SPAGHETTI HOUSE</v>
      </c>
      <c r="K35" s="433"/>
      <c r="L35" s="433"/>
      <c r="M35" s="433"/>
      <c r="N35" s="433"/>
      <c r="O35" s="433"/>
      <c r="P35" s="434"/>
    </row>
    <row r="36" spans="2:17">
      <c r="B36" s="435" t="str">
        <f>'26-10 payroll'!D2</f>
        <v>VALERO</v>
      </c>
      <c r="C36" s="436"/>
      <c r="D36" s="436"/>
      <c r="E36" s="436"/>
      <c r="F36" s="436"/>
      <c r="G36" s="436"/>
      <c r="H36" s="437"/>
      <c r="I36" s="178"/>
      <c r="J36" s="435" t="str">
        <f>'26-10 payroll'!D2</f>
        <v>VALERO</v>
      </c>
      <c r="K36" s="436"/>
      <c r="L36" s="436"/>
      <c r="M36" s="436"/>
      <c r="N36" s="436"/>
      <c r="O36" s="436"/>
      <c r="P36" s="437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8" t="s">
        <v>25</v>
      </c>
      <c r="C38" s="439"/>
      <c r="D38" s="439"/>
      <c r="E38" s="439"/>
      <c r="F38" s="439"/>
      <c r="G38" s="439"/>
      <c r="H38" s="440"/>
      <c r="I38" s="178"/>
      <c r="J38" s="438" t="s">
        <v>25</v>
      </c>
      <c r="K38" s="439"/>
      <c r="L38" s="439"/>
      <c r="M38" s="439"/>
      <c r="N38" s="439"/>
      <c r="O38" s="439"/>
      <c r="P38" s="440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1" t="str">
        <f>'26-10 payroll'!B24</f>
        <v>Dino, Joyce</v>
      </c>
      <c r="E40" s="441"/>
      <c r="F40" s="441"/>
      <c r="G40" s="55"/>
      <c r="H40" s="194"/>
      <c r="I40" s="195"/>
      <c r="J40" s="192" t="s">
        <v>26</v>
      </c>
      <c r="K40" s="193" t="s">
        <v>27</v>
      </c>
      <c r="L40" s="444" t="str">
        <f>'26-10 payroll'!B10</f>
        <v xml:space="preserve">Sosa, Anna Marie </v>
      </c>
      <c r="M40" s="441"/>
      <c r="N40" s="441"/>
      <c r="O40" s="9"/>
      <c r="P40" s="194"/>
    </row>
    <row r="41" spans="2:17">
      <c r="B41" s="192" t="s">
        <v>28</v>
      </c>
      <c r="C41" s="193" t="s">
        <v>27</v>
      </c>
      <c r="D41" s="442">
        <f>'26-10 payroll'!E9</f>
        <v>790.23076923076928</v>
      </c>
      <c r="E41" s="442"/>
      <c r="F41" s="442"/>
      <c r="G41" s="55"/>
      <c r="H41" s="196"/>
      <c r="I41" s="195"/>
      <c r="J41" s="192" t="s">
        <v>28</v>
      </c>
      <c r="K41" s="193" t="s">
        <v>27</v>
      </c>
      <c r="L41" s="442">
        <f>'26-10 payroll'!E10</f>
        <v>527</v>
      </c>
      <c r="M41" s="442"/>
      <c r="N41" s="442"/>
      <c r="O41" s="9"/>
      <c r="P41" s="196"/>
    </row>
    <row r="42" spans="2:17">
      <c r="B42" s="192" t="s">
        <v>29</v>
      </c>
      <c r="C42" s="193" t="s">
        <v>27</v>
      </c>
      <c r="D42" s="443" t="str">
        <f>'26-10 payroll'!D3</f>
        <v>December  11-25,2018</v>
      </c>
      <c r="E42" s="443"/>
      <c r="F42" s="443"/>
      <c r="G42" s="55"/>
      <c r="H42" s="194"/>
      <c r="I42" s="195"/>
      <c r="J42" s="192" t="s">
        <v>29</v>
      </c>
      <c r="K42" s="193" t="s">
        <v>27</v>
      </c>
      <c r="L42" s="443" t="str">
        <f>'26-10 payroll'!D3</f>
        <v>December  11-25,2018</v>
      </c>
      <c r="M42" s="443"/>
      <c r="N42" s="443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>
      <c r="B44" s="192"/>
      <c r="C44" s="198"/>
      <c r="D44" s="200" t="s">
        <v>31</v>
      </c>
      <c r="E44" s="202">
        <f>'26-10 payroll'!F9</f>
        <v>10.5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1309.2673076923077</v>
      </c>
      <c r="G50" s="55"/>
      <c r="H50" s="56">
        <f>SUM(F46:F50)</f>
        <v>1419.2673076923077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1040.5875000000001</v>
      </c>
      <c r="O50" s="9"/>
      <c r="P50" s="10">
        <f>SUM(N46:N50)</f>
        <v>1150.5875000000001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417.8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175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1892.335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349.67711538461543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197.625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-2807.3671153846153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-3849.76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8884.9001923076921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4151.8274999999994</v>
      </c>
      <c r="Q61" s="174"/>
      <c r="T61" s="216">
        <f>+H61-'26-10 payroll'!S37</f>
        <v>-1651.3900000000012</v>
      </c>
      <c r="V61" s="237">
        <f>+P61-'26-10 payroll'!S38</f>
        <v>-1892.335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2" t="str">
        <f>'26-10 payroll'!A1</f>
        <v>THE OLD SPAGHETTI HOUSE</v>
      </c>
      <c r="C68" s="433"/>
      <c r="D68" s="433"/>
      <c r="E68" s="433"/>
      <c r="F68" s="433"/>
      <c r="G68" s="433"/>
      <c r="H68" s="434"/>
      <c r="I68" s="178"/>
      <c r="J68" s="432" t="str">
        <f>'26-10 payroll'!A1</f>
        <v>THE OLD SPAGHETTI HOUSE</v>
      </c>
      <c r="K68" s="433"/>
      <c r="L68" s="433"/>
      <c r="M68" s="433"/>
      <c r="N68" s="433"/>
      <c r="O68" s="433"/>
      <c r="P68" s="434"/>
    </row>
    <row r="69" spans="2:17">
      <c r="B69" s="435" t="str">
        <f>'26-10 payroll'!D2</f>
        <v>VALERO</v>
      </c>
      <c r="C69" s="436"/>
      <c r="D69" s="436"/>
      <c r="E69" s="436"/>
      <c r="F69" s="436"/>
      <c r="G69" s="436"/>
      <c r="H69" s="437"/>
      <c r="I69" s="178"/>
      <c r="J69" s="435" t="str">
        <f>'26-10 payroll'!D2</f>
        <v>VALERO</v>
      </c>
      <c r="K69" s="436"/>
      <c r="L69" s="436"/>
      <c r="M69" s="436"/>
      <c r="N69" s="436"/>
      <c r="O69" s="436"/>
      <c r="P69" s="437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8" t="s">
        <v>25</v>
      </c>
      <c r="C71" s="439"/>
      <c r="D71" s="439"/>
      <c r="E71" s="439"/>
      <c r="F71" s="439"/>
      <c r="G71" s="439"/>
      <c r="H71" s="440"/>
      <c r="I71" s="178"/>
      <c r="J71" s="438" t="s">
        <v>25</v>
      </c>
      <c r="K71" s="439"/>
      <c r="L71" s="439"/>
      <c r="M71" s="439"/>
      <c r="N71" s="439"/>
      <c r="O71" s="439"/>
      <c r="P71" s="440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4" t="str">
        <f>'26-10 payroll'!B11</f>
        <v>Briones, Christian Joy</v>
      </c>
      <c r="E73" s="441"/>
      <c r="F73" s="441"/>
      <c r="G73" s="55"/>
      <c r="H73" s="194"/>
      <c r="I73" s="195"/>
      <c r="J73" s="192" t="s">
        <v>26</v>
      </c>
      <c r="K73" s="193" t="s">
        <v>27</v>
      </c>
      <c r="L73" s="444" t="str">
        <f>'26-10 payroll'!B12</f>
        <v>Cahilig,Benzen</v>
      </c>
      <c r="M73" s="441"/>
      <c r="N73" s="441"/>
      <c r="O73" s="9"/>
      <c r="P73" s="194"/>
    </row>
    <row r="74" spans="2:17">
      <c r="B74" s="192" t="s">
        <v>28</v>
      </c>
      <c r="C74" s="193" t="s">
        <v>27</v>
      </c>
      <c r="D74" s="442">
        <f>'26-10 payroll'!E11</f>
        <v>527</v>
      </c>
      <c r="E74" s="442"/>
      <c r="F74" s="442"/>
      <c r="G74" s="55"/>
      <c r="H74" s="196"/>
      <c r="I74" s="195"/>
      <c r="J74" s="192" t="s">
        <v>28</v>
      </c>
      <c r="K74" s="193" t="s">
        <v>27</v>
      </c>
      <c r="L74" s="442">
        <f>'26-10 payroll'!E12</f>
        <v>527</v>
      </c>
      <c r="M74" s="442"/>
      <c r="N74" s="442"/>
      <c r="O74" s="9"/>
      <c r="P74" s="196"/>
    </row>
    <row r="75" spans="2:17">
      <c r="B75" s="192" t="s">
        <v>29</v>
      </c>
      <c r="C75" s="193" t="s">
        <v>27</v>
      </c>
      <c r="D75" s="443" t="str">
        <f>'26-10 payroll'!D3</f>
        <v>December  11-25,2018</v>
      </c>
      <c r="E75" s="443"/>
      <c r="F75" s="443"/>
      <c r="G75" s="55"/>
      <c r="H75" s="194"/>
      <c r="I75" s="195"/>
      <c r="J75" s="192" t="s">
        <v>29</v>
      </c>
      <c r="K75" s="193" t="s">
        <v>27</v>
      </c>
      <c r="L75" s="443" t="str">
        <f>'26-10 payroll'!D3</f>
        <v>December  11-25,2018</v>
      </c>
      <c r="M75" s="443"/>
      <c r="N75" s="443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5270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5797</v>
      </c>
      <c r="Q76" s="174"/>
    </row>
    <row r="77" spans="2:17">
      <c r="B77" s="192"/>
      <c r="C77" s="198"/>
      <c r="D77" s="200" t="s">
        <v>31</v>
      </c>
      <c r="E77" s="202">
        <f>'26-10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11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329.375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82.34375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110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32.9375</v>
      </c>
      <c r="G83" s="55"/>
      <c r="H83" s="56">
        <f>SUM(F79:F83)</f>
        <v>999.3125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26.35</v>
      </c>
      <c r="O83" s="9"/>
      <c r="P83" s="10">
        <f>SUM(N79:N83)</f>
        <v>745.69375000000002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436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175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182.5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13.175000000000001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-1598.24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-1572.2549999999999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4671.0725000000002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4970.4387500000003</v>
      </c>
      <c r="Q94" s="174"/>
      <c r="T94" s="216">
        <f>+H94-'26-10 payroll'!S39</f>
        <v>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2" t="str">
        <f>'26-10 payroll'!A1</f>
        <v>THE OLD SPAGHETTI HOUSE</v>
      </c>
      <c r="C101" s="433"/>
      <c r="D101" s="433"/>
      <c r="E101" s="433"/>
      <c r="F101" s="433"/>
      <c r="G101" s="433"/>
      <c r="H101" s="434"/>
      <c r="I101" s="178"/>
      <c r="J101" s="432" t="str">
        <f>'26-10 payroll'!A1</f>
        <v>THE OLD SPAGHETTI HOUSE</v>
      </c>
      <c r="K101" s="433"/>
      <c r="L101" s="433"/>
      <c r="M101" s="433"/>
      <c r="N101" s="433"/>
      <c r="O101" s="433"/>
      <c r="P101" s="434"/>
    </row>
    <row r="102" spans="2:17">
      <c r="B102" s="435" t="str">
        <f>'26-10 payroll'!D2</f>
        <v>VALERO</v>
      </c>
      <c r="C102" s="436"/>
      <c r="D102" s="436"/>
      <c r="E102" s="436"/>
      <c r="F102" s="436"/>
      <c r="G102" s="436"/>
      <c r="H102" s="437"/>
      <c r="I102" s="178"/>
      <c r="J102" s="435" t="str">
        <f>'26-10 payroll'!D2</f>
        <v>VALERO</v>
      </c>
      <c r="K102" s="436"/>
      <c r="L102" s="436"/>
      <c r="M102" s="436"/>
      <c r="N102" s="436"/>
      <c r="O102" s="436"/>
      <c r="P102" s="437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8" t="s">
        <v>25</v>
      </c>
      <c r="C104" s="439"/>
      <c r="D104" s="439"/>
      <c r="E104" s="439"/>
      <c r="F104" s="439"/>
      <c r="G104" s="439"/>
      <c r="H104" s="440"/>
      <c r="I104" s="178"/>
      <c r="J104" s="438" t="s">
        <v>25</v>
      </c>
      <c r="K104" s="439"/>
      <c r="L104" s="439"/>
      <c r="M104" s="439"/>
      <c r="N104" s="439"/>
      <c r="O104" s="439"/>
      <c r="P104" s="440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4" t="str">
        <f>'26-10 payroll'!B13</f>
        <v>Pantoja,Nancy</v>
      </c>
      <c r="E106" s="441"/>
      <c r="F106" s="441"/>
      <c r="G106" s="55"/>
      <c r="H106" s="194"/>
      <c r="I106" s="195"/>
      <c r="J106" s="192" t="s">
        <v>26</v>
      </c>
      <c r="K106" s="193" t="s">
        <v>27</v>
      </c>
      <c r="L106" s="444">
        <f>'26-10 payroll'!B29</f>
        <v>0</v>
      </c>
      <c r="M106" s="441"/>
      <c r="N106" s="441"/>
      <c r="O106" s="9"/>
      <c r="P106" s="194"/>
    </row>
    <row r="107" spans="2:17">
      <c r="B107" s="192" t="s">
        <v>28</v>
      </c>
      <c r="C107" s="193" t="s">
        <v>27</v>
      </c>
      <c r="D107" s="442">
        <f>'26-10 payroll'!E13</f>
        <v>527</v>
      </c>
      <c r="E107" s="442"/>
      <c r="F107" s="442"/>
      <c r="G107" s="55"/>
      <c r="H107" s="196"/>
      <c r="I107" s="195"/>
      <c r="J107" s="192" t="s">
        <v>28</v>
      </c>
      <c r="K107" s="193" t="s">
        <v>27</v>
      </c>
      <c r="L107" s="442">
        <f>'26-10 payroll'!E14</f>
        <v>0</v>
      </c>
      <c r="M107" s="442"/>
      <c r="N107" s="442"/>
      <c r="O107" s="9"/>
      <c r="P107" s="196"/>
    </row>
    <row r="108" spans="2:17">
      <c r="B108" s="192" t="s">
        <v>29</v>
      </c>
      <c r="C108" s="193" t="s">
        <v>27</v>
      </c>
      <c r="D108" s="443" t="str">
        <f>'26-10 payroll'!D3</f>
        <v>December  11-25,2018</v>
      </c>
      <c r="E108" s="443"/>
      <c r="F108" s="443"/>
      <c r="G108" s="55"/>
      <c r="H108" s="194"/>
      <c r="I108" s="195"/>
      <c r="J108" s="192" t="s">
        <v>29</v>
      </c>
      <c r="K108" s="193" t="s">
        <v>27</v>
      </c>
      <c r="L108" s="443" t="str">
        <f>'26-10 payroll'!D3</f>
        <v>December  11-25,2018</v>
      </c>
      <c r="M108" s="443"/>
      <c r="N108" s="443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5797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164.6875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239.28749999999999</v>
      </c>
      <c r="G116" s="55"/>
      <c r="H116" s="56">
        <f>SUM(F112:F116)</f>
        <v>1050.9749999999999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490.5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162.5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123.845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-1284.4449999999999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5563.5300000000007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2" t="str">
        <f>'26-10 payroll'!A1</f>
        <v>THE OLD SPAGHETTI HOUSE</v>
      </c>
      <c r="C134" s="433"/>
      <c r="D134" s="433"/>
      <c r="E134" s="433"/>
      <c r="F134" s="433"/>
      <c r="G134" s="433"/>
      <c r="H134" s="434"/>
      <c r="I134" s="178"/>
      <c r="J134" s="432" t="str">
        <f>'26-10 payroll'!A1</f>
        <v>THE OLD SPAGHETTI HOUSE</v>
      </c>
      <c r="K134" s="433"/>
      <c r="L134" s="433"/>
      <c r="M134" s="433"/>
      <c r="N134" s="433"/>
      <c r="O134" s="433"/>
      <c r="P134" s="434"/>
    </row>
    <row r="135" spans="2:17">
      <c r="B135" s="435" t="str">
        <f>'26-10 payroll'!D2</f>
        <v>VALERO</v>
      </c>
      <c r="C135" s="436"/>
      <c r="D135" s="436"/>
      <c r="E135" s="436"/>
      <c r="F135" s="436"/>
      <c r="G135" s="436"/>
      <c r="H135" s="437"/>
      <c r="I135" s="178"/>
      <c r="J135" s="435" t="str">
        <f>'26-10 payroll'!D2</f>
        <v>VALERO</v>
      </c>
      <c r="K135" s="436"/>
      <c r="L135" s="436"/>
      <c r="M135" s="436"/>
      <c r="N135" s="436"/>
      <c r="O135" s="436"/>
      <c r="P135" s="437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8" t="s">
        <v>25</v>
      </c>
      <c r="C137" s="439"/>
      <c r="D137" s="439"/>
      <c r="E137" s="439"/>
      <c r="F137" s="439"/>
      <c r="G137" s="439"/>
      <c r="H137" s="440"/>
      <c r="I137" s="178"/>
      <c r="J137" s="438" t="s">
        <v>25</v>
      </c>
      <c r="K137" s="439"/>
      <c r="L137" s="439"/>
      <c r="M137" s="439"/>
      <c r="N137" s="439"/>
      <c r="O137" s="439"/>
      <c r="P137" s="440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4">
        <f>'26-10 payroll'!B15</f>
        <v>0</v>
      </c>
      <c r="E139" s="441"/>
      <c r="F139" s="441"/>
      <c r="G139" s="55"/>
      <c r="H139" s="194"/>
      <c r="I139" s="195"/>
      <c r="J139" s="192" t="s">
        <v>26</v>
      </c>
      <c r="K139" s="193" t="s">
        <v>27</v>
      </c>
      <c r="L139" s="441">
        <f>'26-10 payroll'!C112</f>
        <v>0</v>
      </c>
      <c r="M139" s="441"/>
      <c r="N139" s="441"/>
      <c r="O139" s="9"/>
      <c r="P139" s="194"/>
    </row>
    <row r="140" spans="2:17">
      <c r="B140" s="192" t="s">
        <v>28</v>
      </c>
      <c r="C140" s="193" t="s">
        <v>27</v>
      </c>
      <c r="D140" s="442">
        <f>'26-10 payroll'!E15</f>
        <v>0</v>
      </c>
      <c r="E140" s="442"/>
      <c r="F140" s="442"/>
      <c r="G140" s="55"/>
      <c r="H140" s="196"/>
      <c r="I140" s="195"/>
      <c r="J140" s="192" t="s">
        <v>28</v>
      </c>
      <c r="K140" s="193" t="s">
        <v>27</v>
      </c>
      <c r="L140" s="442">
        <f>'26-10 payroll'!E112</f>
        <v>0</v>
      </c>
      <c r="M140" s="442"/>
      <c r="N140" s="442"/>
      <c r="O140" s="9"/>
      <c r="P140" s="196"/>
    </row>
    <row r="141" spans="2:17">
      <c r="B141" s="192" t="s">
        <v>29</v>
      </c>
      <c r="C141" s="193" t="s">
        <v>27</v>
      </c>
      <c r="D141" s="443" t="str">
        <f>'26-10 payroll'!D3</f>
        <v>December  11-25,2018</v>
      </c>
      <c r="E141" s="443"/>
      <c r="F141" s="443"/>
      <c r="G141" s="55"/>
      <c r="H141" s="194"/>
      <c r="I141" s="195"/>
      <c r="J141" s="192" t="s">
        <v>29</v>
      </c>
      <c r="K141" s="193" t="s">
        <v>27</v>
      </c>
      <c r="L141" s="443">
        <f>'26-10 payroll'!D105</f>
        <v>0</v>
      </c>
      <c r="M141" s="443"/>
      <c r="N141" s="443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272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385"/>
      <c r="B5" s="387" t="s">
        <v>0</v>
      </c>
      <c r="C5" s="389" t="s">
        <v>1</v>
      </c>
      <c r="D5" s="390" t="s">
        <v>13</v>
      </c>
      <c r="E5" s="389" t="s">
        <v>14</v>
      </c>
      <c r="F5" s="390" t="s">
        <v>15</v>
      </c>
      <c r="G5" s="389" t="s">
        <v>16</v>
      </c>
      <c r="H5" s="390" t="s">
        <v>44</v>
      </c>
      <c r="I5" s="423" t="s">
        <v>118</v>
      </c>
      <c r="J5" s="429" t="s">
        <v>91</v>
      </c>
      <c r="K5" s="430"/>
      <c r="L5" s="431"/>
      <c r="M5" s="412" t="s">
        <v>108</v>
      </c>
      <c r="N5" s="413"/>
      <c r="O5" s="413"/>
      <c r="P5" s="389" t="s">
        <v>2</v>
      </c>
      <c r="Q5" s="390" t="s">
        <v>17</v>
      </c>
      <c r="R5" s="389" t="s">
        <v>2</v>
      </c>
      <c r="S5" s="390" t="s">
        <v>18</v>
      </c>
      <c r="T5" s="389" t="s">
        <v>2</v>
      </c>
      <c r="U5" s="390" t="s">
        <v>19</v>
      </c>
      <c r="V5" s="389" t="s">
        <v>2</v>
      </c>
      <c r="W5" s="390" t="s">
        <v>20</v>
      </c>
      <c r="X5" s="417" t="s">
        <v>3</v>
      </c>
    </row>
    <row r="6" spans="1:26" s="138" customFormat="1" ht="27" customHeight="1" thickBot="1">
      <c r="A6" s="386"/>
      <c r="B6" s="388"/>
      <c r="C6" s="388"/>
      <c r="D6" s="391"/>
      <c r="E6" s="392"/>
      <c r="F6" s="391"/>
      <c r="G6" s="392"/>
      <c r="H6" s="416"/>
      <c r="I6" s="424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88"/>
      <c r="Q6" s="391"/>
      <c r="R6" s="388"/>
      <c r="S6" s="391"/>
      <c r="T6" s="388"/>
      <c r="U6" s="391"/>
      <c r="V6" s="388"/>
      <c r="W6" s="416"/>
      <c r="X6" s="418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93"/>
      <c r="B20" s="395" t="s">
        <v>0</v>
      </c>
      <c r="C20" s="397" t="s">
        <v>1</v>
      </c>
      <c r="D20" s="383" t="s">
        <v>3</v>
      </c>
      <c r="E20" s="419" t="s">
        <v>22</v>
      </c>
      <c r="F20" s="425" t="s">
        <v>2</v>
      </c>
      <c r="G20" s="397" t="s">
        <v>21</v>
      </c>
      <c r="H20" s="383" t="s">
        <v>2</v>
      </c>
      <c r="I20" s="421" t="s">
        <v>126</v>
      </c>
      <c r="J20" s="408" t="s">
        <v>4</v>
      </c>
      <c r="K20" s="410" t="s">
        <v>23</v>
      </c>
      <c r="L20" s="383" t="s">
        <v>5</v>
      </c>
      <c r="M20" s="383" t="s">
        <v>6</v>
      </c>
      <c r="N20" s="383" t="s">
        <v>24</v>
      </c>
      <c r="O20" s="383" t="s">
        <v>7</v>
      </c>
      <c r="P20" s="403" t="s">
        <v>3</v>
      </c>
      <c r="Q20" s="244"/>
      <c r="R20" s="152" t="s">
        <v>103</v>
      </c>
      <c r="S20" s="244"/>
    </row>
    <row r="21" spans="1:24" s="138" customFormat="1" ht="15" customHeight="1" thickBot="1">
      <c r="A21" s="394"/>
      <c r="B21" s="396"/>
      <c r="C21" s="398"/>
      <c r="D21" s="415"/>
      <c r="E21" s="420"/>
      <c r="F21" s="426"/>
      <c r="G21" s="445"/>
      <c r="H21" s="399"/>
      <c r="I21" s="422"/>
      <c r="J21" s="409"/>
      <c r="K21" s="411"/>
      <c r="L21" s="399"/>
      <c r="M21" s="399"/>
      <c r="N21" s="415"/>
      <c r="O21" s="399"/>
      <c r="P21" s="404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93"/>
      <c r="B54" s="395" t="s">
        <v>0</v>
      </c>
      <c r="C54" s="397" t="s">
        <v>1</v>
      </c>
      <c r="D54" s="383" t="s">
        <v>3</v>
      </c>
      <c r="E54" s="383" t="s">
        <v>45</v>
      </c>
      <c r="F54" s="381" t="s">
        <v>151</v>
      </c>
      <c r="G54" s="401" t="s">
        <v>112</v>
      </c>
      <c r="H54" s="402"/>
      <c r="I54" s="406"/>
      <c r="J54" s="403" t="s">
        <v>3</v>
      </c>
      <c r="K54" s="405" t="s">
        <v>114</v>
      </c>
      <c r="L54" s="400" t="s">
        <v>115</v>
      </c>
      <c r="M54" s="400" t="s">
        <v>116</v>
      </c>
      <c r="O54" s="414" t="s">
        <v>102</v>
      </c>
    </row>
    <row r="55" spans="1:15" ht="13.8" thickBot="1">
      <c r="A55" s="394"/>
      <c r="B55" s="396"/>
      <c r="C55" s="398"/>
      <c r="D55" s="415"/>
      <c r="E55" s="384"/>
      <c r="F55" s="382"/>
      <c r="G55" s="245" t="s">
        <v>113</v>
      </c>
      <c r="H55" s="246" t="s">
        <v>148</v>
      </c>
      <c r="I55" s="407"/>
      <c r="J55" s="404"/>
      <c r="K55" s="405"/>
      <c r="L55" s="400"/>
      <c r="M55" s="400"/>
      <c r="O55" s="414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2" t="str">
        <f>'11-25 payroll'!A1</f>
        <v>THE OLD SPAGHETTI HOUSE</v>
      </c>
      <c r="C2" s="433"/>
      <c r="D2" s="433"/>
      <c r="E2" s="433"/>
      <c r="F2" s="433"/>
      <c r="G2" s="433"/>
      <c r="H2" s="434"/>
      <c r="I2" s="178"/>
      <c r="J2" s="432" t="str">
        <f>'11-25 payroll'!A1</f>
        <v>THE OLD SPAGHETTI HOUSE</v>
      </c>
      <c r="K2" s="433"/>
      <c r="L2" s="433"/>
      <c r="M2" s="433"/>
      <c r="N2" s="433"/>
      <c r="O2" s="433"/>
      <c r="P2" s="434"/>
    </row>
    <row r="3" spans="1:22" s="179" customFormat="1">
      <c r="A3" s="170"/>
      <c r="B3" s="435" t="str">
        <f>'11-25 payroll'!D2</f>
        <v>VALERO</v>
      </c>
      <c r="C3" s="436"/>
      <c r="D3" s="436"/>
      <c r="E3" s="436"/>
      <c r="F3" s="436"/>
      <c r="G3" s="436"/>
      <c r="H3" s="437"/>
      <c r="I3" s="178"/>
      <c r="J3" s="435" t="str">
        <f>'11-25 payroll'!D2</f>
        <v>VALERO</v>
      </c>
      <c r="K3" s="436"/>
      <c r="L3" s="436"/>
      <c r="M3" s="436"/>
      <c r="N3" s="436"/>
      <c r="O3" s="436"/>
      <c r="P3" s="437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8" t="s">
        <v>25</v>
      </c>
      <c r="C5" s="439"/>
      <c r="D5" s="439"/>
      <c r="E5" s="439"/>
      <c r="F5" s="439"/>
      <c r="G5" s="439"/>
      <c r="H5" s="440"/>
      <c r="I5" s="178"/>
      <c r="J5" s="438" t="s">
        <v>25</v>
      </c>
      <c r="K5" s="439"/>
      <c r="L5" s="439"/>
      <c r="M5" s="439"/>
      <c r="N5" s="439"/>
      <c r="O5" s="439"/>
      <c r="P5" s="440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1" t="str">
        <f>'11-25 payroll'!B7</f>
        <v>Biarcal, Ronald Glenn</v>
      </c>
      <c r="E7" s="441"/>
      <c r="F7" s="441"/>
      <c r="G7" s="55"/>
      <c r="H7" s="194"/>
      <c r="I7" s="195"/>
      <c r="J7" s="192" t="s">
        <v>26</v>
      </c>
      <c r="K7" s="193" t="s">
        <v>27</v>
      </c>
      <c r="L7" s="441" t="str">
        <f>'11-25 payroll'!B8</f>
        <v>Sanchez, Angelo</v>
      </c>
      <c r="M7" s="441"/>
      <c r="N7" s="441"/>
      <c r="O7" s="9"/>
      <c r="P7" s="194"/>
    </row>
    <row r="8" spans="1:22">
      <c r="B8" s="192" t="s">
        <v>28</v>
      </c>
      <c r="C8" s="193" t="s">
        <v>27</v>
      </c>
      <c r="D8" s="442">
        <f>'11-25 payroll'!E7</f>
        <v>502</v>
      </c>
      <c r="E8" s="442"/>
      <c r="F8" s="442"/>
      <c r="G8" s="55"/>
      <c r="H8" s="235"/>
      <c r="I8" s="195"/>
      <c r="J8" s="192" t="s">
        <v>28</v>
      </c>
      <c r="K8" s="193" t="s">
        <v>27</v>
      </c>
      <c r="L8" s="442">
        <f>'11-25 payroll'!E8</f>
        <v>502</v>
      </c>
      <c r="M8" s="442"/>
      <c r="N8" s="442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43" t="str">
        <f>'11-25 payroll'!D3</f>
        <v>August 11-25</v>
      </c>
      <c r="E9" s="443"/>
      <c r="F9" s="443"/>
      <c r="G9" s="55"/>
      <c r="H9" s="194"/>
      <c r="I9" s="195"/>
      <c r="J9" s="192" t="s">
        <v>29</v>
      </c>
      <c r="K9" s="193" t="s">
        <v>27</v>
      </c>
      <c r="L9" s="443" t="str">
        <f>'11-25 payroll'!D3</f>
        <v>August 11-25</v>
      </c>
      <c r="M9" s="443"/>
      <c r="N9" s="443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2" t="str">
        <f>'11-25 payroll'!A1</f>
        <v>THE OLD SPAGHETTI HOUSE</v>
      </c>
      <c r="C35" s="433"/>
      <c r="D35" s="433"/>
      <c r="E35" s="433"/>
      <c r="F35" s="433"/>
      <c r="G35" s="433"/>
      <c r="H35" s="434"/>
      <c r="I35" s="178"/>
      <c r="J35" s="432" t="str">
        <f>'11-25 payroll'!A1</f>
        <v>THE OLD SPAGHETTI HOUSE</v>
      </c>
      <c r="K35" s="433"/>
      <c r="L35" s="433"/>
      <c r="M35" s="433"/>
      <c r="N35" s="433"/>
      <c r="O35" s="433"/>
      <c r="P35" s="434"/>
    </row>
    <row r="36" spans="2:17">
      <c r="B36" s="435" t="str">
        <f>'11-25 payroll'!D2</f>
        <v>VALERO</v>
      </c>
      <c r="C36" s="436"/>
      <c r="D36" s="436"/>
      <c r="E36" s="436"/>
      <c r="F36" s="436"/>
      <c r="G36" s="436"/>
      <c r="H36" s="437"/>
      <c r="I36" s="178"/>
      <c r="J36" s="435" t="str">
        <f>'11-25 payroll'!D2</f>
        <v>VALERO</v>
      </c>
      <c r="K36" s="436"/>
      <c r="L36" s="436"/>
      <c r="M36" s="436"/>
      <c r="N36" s="436"/>
      <c r="O36" s="436"/>
      <c r="P36" s="437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8" t="s">
        <v>25</v>
      </c>
      <c r="C38" s="439"/>
      <c r="D38" s="439"/>
      <c r="E38" s="439"/>
      <c r="F38" s="439"/>
      <c r="G38" s="439"/>
      <c r="H38" s="440"/>
      <c r="I38" s="178"/>
      <c r="J38" s="438" t="s">
        <v>25</v>
      </c>
      <c r="K38" s="439"/>
      <c r="L38" s="439"/>
      <c r="M38" s="439"/>
      <c r="N38" s="439"/>
      <c r="O38" s="439"/>
      <c r="P38" s="440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1" t="str">
        <f>'11-25 payroll'!B24</f>
        <v>Dino, Joyce</v>
      </c>
      <c r="E40" s="441"/>
      <c r="F40" s="441"/>
      <c r="G40" s="55"/>
      <c r="H40" s="194"/>
      <c r="I40" s="195"/>
      <c r="J40" s="192" t="s">
        <v>26</v>
      </c>
      <c r="K40" s="193" t="s">
        <v>27</v>
      </c>
      <c r="L40" s="444" t="str">
        <f>'11-25 payroll'!B10</f>
        <v xml:space="preserve">Sosa, Anna Marie </v>
      </c>
      <c r="M40" s="441"/>
      <c r="N40" s="441"/>
      <c r="O40" s="9"/>
      <c r="P40" s="194"/>
    </row>
    <row r="41" spans="2:17">
      <c r="B41" s="192" t="s">
        <v>28</v>
      </c>
      <c r="C41" s="193" t="s">
        <v>27</v>
      </c>
      <c r="D41" s="442">
        <f>'11-25 payroll'!E9</f>
        <v>790.23076923076928</v>
      </c>
      <c r="E41" s="442"/>
      <c r="F41" s="442"/>
      <c r="G41" s="55"/>
      <c r="H41" s="235"/>
      <c r="I41" s="195"/>
      <c r="J41" s="192" t="s">
        <v>28</v>
      </c>
      <c r="K41" s="193" t="s">
        <v>27</v>
      </c>
      <c r="L41" s="442">
        <f>'11-25 payroll'!E10</f>
        <v>502</v>
      </c>
      <c r="M41" s="442"/>
      <c r="N41" s="442"/>
      <c r="O41" s="9"/>
      <c r="P41" s="235"/>
    </row>
    <row r="42" spans="2:17">
      <c r="B42" s="192" t="s">
        <v>29</v>
      </c>
      <c r="C42" s="193" t="s">
        <v>27</v>
      </c>
      <c r="D42" s="443" t="str">
        <f>'11-25 payroll'!D3</f>
        <v>August 11-25</v>
      </c>
      <c r="E42" s="443"/>
      <c r="F42" s="443"/>
      <c r="G42" s="55"/>
      <c r="H42" s="194"/>
      <c r="I42" s="195"/>
      <c r="J42" s="192" t="s">
        <v>29</v>
      </c>
      <c r="K42" s="193" t="s">
        <v>27</v>
      </c>
      <c r="L42" s="443" t="str">
        <f>'11-25 payroll'!D3</f>
        <v>August 11-25</v>
      </c>
      <c r="M42" s="443"/>
      <c r="N42" s="443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2" t="str">
        <f>'11-25 payroll'!A1</f>
        <v>THE OLD SPAGHETTI HOUSE</v>
      </c>
      <c r="C68" s="433"/>
      <c r="D68" s="433"/>
      <c r="E68" s="433"/>
      <c r="F68" s="433"/>
      <c r="G68" s="433"/>
      <c r="H68" s="434"/>
      <c r="I68" s="178"/>
      <c r="J68" s="432" t="str">
        <f>'11-25 payroll'!A1</f>
        <v>THE OLD SPAGHETTI HOUSE</v>
      </c>
      <c r="K68" s="433"/>
      <c r="L68" s="433"/>
      <c r="M68" s="433"/>
      <c r="N68" s="433"/>
      <c r="O68" s="433"/>
      <c r="P68" s="434"/>
    </row>
    <row r="69" spans="2:17">
      <c r="B69" s="435" t="str">
        <f>'11-25 payroll'!D2</f>
        <v>VALERO</v>
      </c>
      <c r="C69" s="436"/>
      <c r="D69" s="436"/>
      <c r="E69" s="436"/>
      <c r="F69" s="436"/>
      <c r="G69" s="436"/>
      <c r="H69" s="437"/>
      <c r="I69" s="178"/>
      <c r="J69" s="435" t="str">
        <f>'11-25 payroll'!D2</f>
        <v>VALERO</v>
      </c>
      <c r="K69" s="436"/>
      <c r="L69" s="436"/>
      <c r="M69" s="436"/>
      <c r="N69" s="436"/>
      <c r="O69" s="436"/>
      <c r="P69" s="437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8" t="s">
        <v>25</v>
      </c>
      <c r="C71" s="439"/>
      <c r="D71" s="439"/>
      <c r="E71" s="439"/>
      <c r="F71" s="439"/>
      <c r="G71" s="439"/>
      <c r="H71" s="440"/>
      <c r="I71" s="178"/>
      <c r="J71" s="438" t="s">
        <v>25</v>
      </c>
      <c r="K71" s="439"/>
      <c r="L71" s="439"/>
      <c r="M71" s="439"/>
      <c r="N71" s="439"/>
      <c r="O71" s="439"/>
      <c r="P71" s="440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4" t="str">
        <f>'11-25 payroll'!B11</f>
        <v>Briones, Christain Joy</v>
      </c>
      <c r="E73" s="441"/>
      <c r="F73" s="441"/>
      <c r="G73" s="55"/>
      <c r="H73" s="194"/>
      <c r="I73" s="195"/>
      <c r="J73" s="192" t="s">
        <v>26</v>
      </c>
      <c r="K73" s="193" t="s">
        <v>27</v>
      </c>
      <c r="L73" s="444">
        <f>'11-25 payroll'!B12</f>
        <v>0</v>
      </c>
      <c r="M73" s="441"/>
      <c r="N73" s="441"/>
      <c r="O73" s="9"/>
      <c r="P73" s="194"/>
    </row>
    <row r="74" spans="2:17">
      <c r="B74" s="192" t="s">
        <v>28</v>
      </c>
      <c r="C74" s="193" t="s">
        <v>27</v>
      </c>
      <c r="D74" s="442">
        <f>'11-25 payroll'!E11</f>
        <v>502</v>
      </c>
      <c r="E74" s="442"/>
      <c r="F74" s="442"/>
      <c r="G74" s="55"/>
      <c r="H74" s="235"/>
      <c r="I74" s="195"/>
      <c r="J74" s="192" t="s">
        <v>28</v>
      </c>
      <c r="K74" s="193" t="s">
        <v>27</v>
      </c>
      <c r="L74" s="442">
        <f>'11-25 payroll'!E12</f>
        <v>0</v>
      </c>
      <c r="M74" s="442"/>
      <c r="N74" s="442"/>
      <c r="O74" s="9"/>
      <c r="P74" s="235"/>
    </row>
    <row r="75" spans="2:17">
      <c r="B75" s="192" t="s">
        <v>29</v>
      </c>
      <c r="C75" s="193" t="s">
        <v>27</v>
      </c>
      <c r="D75" s="443" t="str">
        <f>'11-25 payroll'!D3</f>
        <v>August 11-25</v>
      </c>
      <c r="E75" s="443"/>
      <c r="F75" s="443"/>
      <c r="G75" s="55"/>
      <c r="H75" s="194"/>
      <c r="I75" s="195"/>
      <c r="J75" s="192" t="s">
        <v>29</v>
      </c>
      <c r="K75" s="193" t="s">
        <v>27</v>
      </c>
      <c r="L75" s="443" t="str">
        <f>'11-25 payroll'!D3</f>
        <v>August 11-25</v>
      </c>
      <c r="M75" s="443"/>
      <c r="N75" s="443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2" t="str">
        <f>'11-25 payroll'!A1</f>
        <v>THE OLD SPAGHETTI HOUSE</v>
      </c>
      <c r="C101" s="433"/>
      <c r="D101" s="433"/>
      <c r="E101" s="433"/>
      <c r="F101" s="433"/>
      <c r="G101" s="433"/>
      <c r="H101" s="434"/>
      <c r="I101" s="178"/>
      <c r="J101" s="432" t="str">
        <f>'11-25 payroll'!A1</f>
        <v>THE OLD SPAGHETTI HOUSE</v>
      </c>
      <c r="K101" s="433"/>
      <c r="L101" s="433"/>
      <c r="M101" s="433"/>
      <c r="N101" s="433"/>
      <c r="O101" s="433"/>
      <c r="P101" s="434"/>
    </row>
    <row r="102" spans="2:17">
      <c r="B102" s="435" t="str">
        <f>'11-25 payroll'!D2</f>
        <v>VALERO</v>
      </c>
      <c r="C102" s="436"/>
      <c r="D102" s="436"/>
      <c r="E102" s="436"/>
      <c r="F102" s="436"/>
      <c r="G102" s="436"/>
      <c r="H102" s="437"/>
      <c r="I102" s="178"/>
      <c r="J102" s="435" t="str">
        <f>'11-25 payroll'!D2</f>
        <v>VALERO</v>
      </c>
      <c r="K102" s="436"/>
      <c r="L102" s="436"/>
      <c r="M102" s="436"/>
      <c r="N102" s="436"/>
      <c r="O102" s="436"/>
      <c r="P102" s="437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8" t="s">
        <v>25</v>
      </c>
      <c r="C104" s="439"/>
      <c r="D104" s="439"/>
      <c r="E104" s="439"/>
      <c r="F104" s="439"/>
      <c r="G104" s="439"/>
      <c r="H104" s="440"/>
      <c r="I104" s="178"/>
      <c r="J104" s="438" t="s">
        <v>25</v>
      </c>
      <c r="K104" s="439"/>
      <c r="L104" s="439"/>
      <c r="M104" s="439"/>
      <c r="N104" s="439"/>
      <c r="O104" s="439"/>
      <c r="P104" s="440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4">
        <f>'11-25 payroll'!B13</f>
        <v>0</v>
      </c>
      <c r="E106" s="441"/>
      <c r="F106" s="441"/>
      <c r="G106" s="55"/>
      <c r="H106" s="194"/>
      <c r="I106" s="195"/>
      <c r="J106" s="192" t="s">
        <v>26</v>
      </c>
      <c r="K106" s="193" t="s">
        <v>27</v>
      </c>
      <c r="L106" s="444">
        <f>'11-25 payroll'!B29</f>
        <v>0</v>
      </c>
      <c r="M106" s="441"/>
      <c r="N106" s="441"/>
      <c r="O106" s="9"/>
      <c r="P106" s="194"/>
    </row>
    <row r="107" spans="2:17">
      <c r="B107" s="192" t="s">
        <v>28</v>
      </c>
      <c r="C107" s="193" t="s">
        <v>27</v>
      </c>
      <c r="D107" s="442">
        <f>'11-25 payroll'!E13</f>
        <v>0</v>
      </c>
      <c r="E107" s="442"/>
      <c r="F107" s="442"/>
      <c r="G107" s="55"/>
      <c r="H107" s="235"/>
      <c r="I107" s="195"/>
      <c r="J107" s="192" t="s">
        <v>28</v>
      </c>
      <c r="K107" s="193" t="s">
        <v>27</v>
      </c>
      <c r="L107" s="442">
        <f>'11-25 payroll'!E14</f>
        <v>0</v>
      </c>
      <c r="M107" s="442"/>
      <c r="N107" s="442"/>
      <c r="O107" s="9"/>
      <c r="P107" s="235"/>
    </row>
    <row r="108" spans="2:17">
      <c r="B108" s="192" t="s">
        <v>29</v>
      </c>
      <c r="C108" s="193" t="s">
        <v>27</v>
      </c>
      <c r="D108" s="443" t="str">
        <f>'11-25 payroll'!D3</f>
        <v>August 11-25</v>
      </c>
      <c r="E108" s="443"/>
      <c r="F108" s="443"/>
      <c r="G108" s="55"/>
      <c r="H108" s="194"/>
      <c r="I108" s="195"/>
      <c r="J108" s="192" t="s">
        <v>29</v>
      </c>
      <c r="K108" s="193" t="s">
        <v>27</v>
      </c>
      <c r="L108" s="443" t="str">
        <f>'11-25 payroll'!D3</f>
        <v>August 11-25</v>
      </c>
      <c r="M108" s="443"/>
      <c r="N108" s="443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2" t="str">
        <f>'11-25 payroll'!A1</f>
        <v>THE OLD SPAGHETTI HOUSE</v>
      </c>
      <c r="C134" s="433"/>
      <c r="D134" s="433"/>
      <c r="E134" s="433"/>
      <c r="F134" s="433"/>
      <c r="G134" s="433"/>
      <c r="H134" s="434"/>
      <c r="I134" s="178"/>
      <c r="J134" s="432" t="str">
        <f>'11-25 payroll'!A1</f>
        <v>THE OLD SPAGHETTI HOUSE</v>
      </c>
      <c r="K134" s="433"/>
      <c r="L134" s="433"/>
      <c r="M134" s="433"/>
      <c r="N134" s="433"/>
      <c r="O134" s="433"/>
      <c r="P134" s="434"/>
    </row>
    <row r="135" spans="2:17">
      <c r="B135" s="435" t="str">
        <f>'11-25 payroll'!D2</f>
        <v>VALERO</v>
      </c>
      <c r="C135" s="436"/>
      <c r="D135" s="436"/>
      <c r="E135" s="436"/>
      <c r="F135" s="436"/>
      <c r="G135" s="436"/>
      <c r="H135" s="437"/>
      <c r="I135" s="178"/>
      <c r="J135" s="435" t="str">
        <f>'11-25 payroll'!D2</f>
        <v>VALERO</v>
      </c>
      <c r="K135" s="436"/>
      <c r="L135" s="436"/>
      <c r="M135" s="436"/>
      <c r="N135" s="436"/>
      <c r="O135" s="436"/>
      <c r="P135" s="437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8" t="s">
        <v>25</v>
      </c>
      <c r="C137" s="439"/>
      <c r="D137" s="439"/>
      <c r="E137" s="439"/>
      <c r="F137" s="439"/>
      <c r="G137" s="439"/>
      <c r="H137" s="440"/>
      <c r="I137" s="178"/>
      <c r="J137" s="438" t="s">
        <v>25</v>
      </c>
      <c r="K137" s="439"/>
      <c r="L137" s="439"/>
      <c r="M137" s="439"/>
      <c r="N137" s="439"/>
      <c r="O137" s="439"/>
      <c r="P137" s="440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4">
        <f>'11-25 payroll'!B15</f>
        <v>0</v>
      </c>
      <c r="E139" s="441"/>
      <c r="F139" s="441"/>
      <c r="G139" s="55"/>
      <c r="H139" s="194"/>
      <c r="I139" s="195"/>
      <c r="J139" s="192" t="s">
        <v>26</v>
      </c>
      <c r="K139" s="193" t="s">
        <v>27</v>
      </c>
      <c r="L139" s="441">
        <f>'11-25 payroll'!C112</f>
        <v>0</v>
      </c>
      <c r="M139" s="441"/>
      <c r="N139" s="441"/>
      <c r="O139" s="9"/>
      <c r="P139" s="194"/>
    </row>
    <row r="140" spans="2:17">
      <c r="B140" s="192" t="s">
        <v>28</v>
      </c>
      <c r="C140" s="193" t="s">
        <v>27</v>
      </c>
      <c r="D140" s="442">
        <f>'11-25 payroll'!E15</f>
        <v>0</v>
      </c>
      <c r="E140" s="442"/>
      <c r="F140" s="442"/>
      <c r="G140" s="55"/>
      <c r="H140" s="235"/>
      <c r="I140" s="195"/>
      <c r="J140" s="192" t="s">
        <v>28</v>
      </c>
      <c r="K140" s="193" t="s">
        <v>27</v>
      </c>
      <c r="L140" s="442">
        <f>'11-25 payroll'!E112</f>
        <v>0</v>
      </c>
      <c r="M140" s="442"/>
      <c r="N140" s="442"/>
      <c r="O140" s="9"/>
      <c r="P140" s="235"/>
    </row>
    <row r="141" spans="2:17">
      <c r="B141" s="192" t="s">
        <v>29</v>
      </c>
      <c r="C141" s="193" t="s">
        <v>27</v>
      </c>
      <c r="D141" s="443" t="str">
        <f>'11-25 payroll'!D3</f>
        <v>August 11-25</v>
      </c>
      <c r="E141" s="443"/>
      <c r="F141" s="443"/>
      <c r="G141" s="55"/>
      <c r="H141" s="194"/>
      <c r="I141" s="195"/>
      <c r="J141" s="192" t="s">
        <v>29</v>
      </c>
      <c r="K141" s="193" t="s">
        <v>27</v>
      </c>
      <c r="L141" s="443">
        <f>'11-25 payroll'!D105</f>
        <v>0</v>
      </c>
      <c r="M141" s="443"/>
      <c r="N141" s="443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December  11-25,2018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50" t="s">
        <v>65</v>
      </c>
      <c r="H15" s="450"/>
      <c r="J15" s="451" t="s">
        <v>66</v>
      </c>
      <c r="K15" s="451"/>
      <c r="L15" s="451"/>
      <c r="M15" s="451" t="s">
        <v>67</v>
      </c>
      <c r="N15" s="451"/>
      <c r="O15" s="450" t="s">
        <v>68</v>
      </c>
      <c r="P15" s="450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48" t="s">
        <v>70</v>
      </c>
      <c r="H16" s="448"/>
      <c r="I16" s="70" t="s">
        <v>71</v>
      </c>
      <c r="J16" s="452" t="s">
        <v>72</v>
      </c>
      <c r="K16" s="452"/>
      <c r="L16" s="452"/>
      <c r="M16" s="452" t="s">
        <v>73</v>
      </c>
      <c r="N16" s="452"/>
      <c r="O16" s="448" t="s">
        <v>74</v>
      </c>
      <c r="P16" s="448"/>
      <c r="Q16" s="251" t="s">
        <v>75</v>
      </c>
      <c r="R16" s="447" t="s">
        <v>117</v>
      </c>
      <c r="S16" s="448"/>
      <c r="T16" s="448"/>
      <c r="U16" s="449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6980.7624999999998</v>
      </c>
      <c r="H18" s="80">
        <f>'11-25 payroll'!R22</f>
        <v>6526</v>
      </c>
      <c r="I18" s="81">
        <f>G18+H18</f>
        <v>13506.762500000001</v>
      </c>
      <c r="J18" s="82">
        <f>+'26-10 payroll'!J22+'11-25 payroll'!J22</f>
        <v>962.8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337.5</v>
      </c>
      <c r="N18" s="83">
        <f>M18</f>
        <v>337.5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1158.32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7158.625</v>
      </c>
      <c r="H19" s="80">
        <f>'11-25 payroll'!R23</f>
        <v>6526</v>
      </c>
      <c r="I19" s="81">
        <f t="shared" ref="I19:I27" si="0">G19+H19</f>
        <v>13684.625</v>
      </c>
      <c r="J19" s="82">
        <f>+'26-10 payroll'!J23+'11-25 payroll'!J23</f>
        <v>962.8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337.5</v>
      </c>
      <c r="N19" s="83">
        <f t="shared" ref="N19:N27" si="1">M19</f>
        <v>337.5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10092.590192307693</v>
      </c>
      <c r="H20" s="80">
        <f>'11-25 payroll'!R24</f>
        <v>10273</v>
      </c>
      <c r="I20" s="81">
        <f t="shared" si="0"/>
        <v>20365.590192307693</v>
      </c>
      <c r="J20" s="82">
        <f>+'26-10 payroll'!J24+'11-25 payroll'!J24</f>
        <v>1162.5999999999999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6769.9624999999996</v>
      </c>
      <c r="H21" s="80">
        <f>'11-25 payroll'!R25</f>
        <v>6526</v>
      </c>
      <c r="I21" s="81">
        <f t="shared" si="0"/>
        <v>13295.9625</v>
      </c>
      <c r="J21" s="82">
        <f>+'26-10 payroll'!J25+'11-25 payroll'!J25</f>
        <v>908.3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325</v>
      </c>
      <c r="N21" s="83">
        <f>M21</f>
        <v>325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6269.3125</v>
      </c>
      <c r="H22" s="80">
        <f>'11-25 payroll'!R26</f>
        <v>6526</v>
      </c>
      <c r="I22" s="81">
        <f t="shared" si="0"/>
        <v>12795.3125</v>
      </c>
      <c r="J22" s="82">
        <f>+'26-10 payroll'!J26+'11-25 payroll'!J26</f>
        <v>926.5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325</v>
      </c>
      <c r="N22" s="83">
        <f>M22</f>
        <v>325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1938.08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6529.5187500000002</v>
      </c>
      <c r="H23" s="80">
        <f>'11-25 payroll'!R27</f>
        <v>0</v>
      </c>
      <c r="I23" s="93">
        <f t="shared" si="0"/>
        <v>6529.5187500000002</v>
      </c>
      <c r="J23" s="82">
        <f>+'26-10 payroll'!J27+'11-25 payroll'!J27</f>
        <v>436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182.5</v>
      </c>
      <c r="N23" s="83">
        <f>M23</f>
        <v>182.5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6724.13</v>
      </c>
      <c r="H24" s="80">
        <f>'11-25 payroll'!R28</f>
        <v>0</v>
      </c>
      <c r="I24" s="81">
        <f t="shared" si="0"/>
        <v>6724.13</v>
      </c>
      <c r="J24" s="82">
        <f>+'26-10 payroll'!J28+'11-25 payroll'!J28</f>
        <v>490.5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162.5</v>
      </c>
      <c r="N24" s="83">
        <f t="shared" si="1"/>
        <v>162.5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50524.901442307695</v>
      </c>
      <c r="H29" s="103">
        <f t="shared" ref="H29:O29" si="3">SUM(H18:H27)</f>
        <v>36377</v>
      </c>
      <c r="I29" s="103">
        <f t="shared" si="3"/>
        <v>86901.901442307702</v>
      </c>
      <c r="J29" s="103">
        <f t="shared" si="3"/>
        <v>5849.5</v>
      </c>
      <c r="K29" s="103">
        <f t="shared" si="3"/>
        <v>5046.3</v>
      </c>
      <c r="L29" s="103">
        <f t="shared" si="3"/>
        <v>70</v>
      </c>
      <c r="M29" s="103">
        <f t="shared" si="3"/>
        <v>2145</v>
      </c>
      <c r="N29" s="103">
        <f t="shared" si="3"/>
        <v>2145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5729.6900000000005</v>
      </c>
      <c r="S29" s="103">
        <f t="shared" si="4"/>
        <v>7664.9500000000007</v>
      </c>
      <c r="T29" s="103">
        <f t="shared" si="4"/>
        <v>0</v>
      </c>
      <c r="U29" s="260">
        <f t="shared" si="4"/>
        <v>2607.0300000000002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10965.8</v>
      </c>
      <c r="L31" s="115"/>
      <c r="M31" s="115">
        <f>M29+N29</f>
        <v>4290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110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59.267307692307696</v>
      </c>
      <c r="M34" s="109">
        <f>+'26-10 payroll'!W9+'11-25 payroll'!W9</f>
        <v>0</v>
      </c>
      <c r="N34" s="109">
        <f>+'26-10 payroll'!F24+'26-10 payroll'!H24+'11-25 payroll'!F24+'11-25 payroll'!H24</f>
        <v>349.67711538461543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110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59.267307692307696</v>
      </c>
      <c r="M36" s="264">
        <f t="shared" si="5"/>
        <v>0</v>
      </c>
      <c r="N36" s="264">
        <f t="shared" si="5"/>
        <v>349.67711538461543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110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110</v>
      </c>
      <c r="I38" s="263">
        <f>+'26-10 payroll'!P8+'11-25 payroll'!P8</f>
        <v>247.03125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26.35</v>
      </c>
      <c r="M38" s="109">
        <f>+'26-10 payroll'!W8+'11-25 payroll'!W8</f>
        <v>0</v>
      </c>
      <c r="N38" s="109">
        <f>+'26-10 payroll'!F23+'26-10 payroll'!H23+'11-25 payroll'!F23+'11-25 payroll'!H23</f>
        <v>75.756249999999994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110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6.5875000000000004</v>
      </c>
      <c r="M39" s="109">
        <f>+'26-10 payroll'!W10+'11-25 payroll'!W10</f>
        <v>0</v>
      </c>
      <c r="N39" s="109">
        <f>+'26-10 payroll'!F25+'26-10 payroll'!H25+'11-25 payroll'!F25+'11-25 payroll'!H25</f>
        <v>197.625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330</v>
      </c>
      <c r="I41" s="268">
        <f t="shared" si="6"/>
        <v>247.03125</v>
      </c>
      <c r="J41" s="268">
        <f t="shared" si="6"/>
        <v>0</v>
      </c>
      <c r="K41" s="268">
        <f t="shared" si="6"/>
        <v>0</v>
      </c>
      <c r="L41" s="268">
        <f t="shared" si="6"/>
        <v>52.7</v>
      </c>
      <c r="M41" s="268">
        <f t="shared" si="6"/>
        <v>0</v>
      </c>
      <c r="N41" s="268">
        <f t="shared" si="6"/>
        <v>273.38125000000002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440</v>
      </c>
      <c r="I44" s="263">
        <f t="shared" si="7"/>
        <v>247.03125</v>
      </c>
      <c r="J44" s="263">
        <f t="shared" si="7"/>
        <v>0</v>
      </c>
      <c r="K44" s="263">
        <f t="shared" si="7"/>
        <v>0</v>
      </c>
      <c r="L44" s="263">
        <f t="shared" si="7"/>
        <v>111.9673076923077</v>
      </c>
      <c r="M44" s="263">
        <f t="shared" si="7"/>
        <v>0</v>
      </c>
      <c r="N44" s="263">
        <f t="shared" si="7"/>
        <v>623.0583653846154</v>
      </c>
      <c r="O44" s="263">
        <f t="shared" si="7"/>
        <v>0</v>
      </c>
      <c r="P44" s="263">
        <f t="shared" si="7"/>
        <v>7636</v>
      </c>
      <c r="Q44" s="263">
        <f>SUM(B44:P44)</f>
        <v>69735.056923076918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46" t="s">
        <v>133</v>
      </c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6"/>
      <c r="Q46" s="110"/>
      <c r="U46" s="109"/>
    </row>
    <row r="47" spans="1:22" s="105" customFormat="1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6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71111.940192307695</v>
      </c>
      <c r="M48" s="263">
        <f>+I29+P36+P41-(O36+O41)+G36</f>
        <v>94637.901442307702</v>
      </c>
      <c r="N48" s="109">
        <f>+L48-M48</f>
        <v>-23525.961250000008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36023.71875</v>
      </c>
      <c r="M49" s="263">
        <f>+L49</f>
        <v>36023.71875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299.73124999999999</v>
      </c>
      <c r="M50" s="263">
        <f>+L50</f>
        <v>299.73124999999999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16070.5</v>
      </c>
      <c r="M51" s="263">
        <f>+L51</f>
        <v>16070.5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18717.990192307694</v>
      </c>
      <c r="M52" s="263">
        <f>+M48-M49-M50-M51</f>
        <v>42243.951442307705</v>
      </c>
      <c r="N52" s="109">
        <f>+L52-M52</f>
        <v>-23525.961250000011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topLeftCell="A4" workbookViewId="0">
      <selection activeCell="D27" sqref="D27"/>
    </sheetView>
  </sheetViews>
  <sheetFormatPr defaultRowHeight="13.2"/>
  <cols>
    <col min="1" max="1" width="4.6640625" customWidth="1"/>
    <col min="5" max="5" width="10.88671875" customWidth="1"/>
  </cols>
  <sheetData>
    <row r="1" spans="1:13">
      <c r="A1" s="335" t="s">
        <v>290</v>
      </c>
    </row>
    <row r="3" spans="1:13">
      <c r="B3" t="s">
        <v>274</v>
      </c>
    </row>
    <row r="5" spans="1:13">
      <c r="A5" s="335" t="s">
        <v>281</v>
      </c>
      <c r="B5" s="338" t="s">
        <v>275</v>
      </c>
      <c r="C5" s="339"/>
      <c r="D5" s="339"/>
      <c r="E5" s="340"/>
      <c r="G5" s="338" t="s">
        <v>276</v>
      </c>
      <c r="H5" s="339"/>
      <c r="I5" s="340"/>
      <c r="J5" s="349"/>
      <c r="K5" s="339"/>
      <c r="L5" s="339"/>
      <c r="M5" s="340"/>
    </row>
    <row r="6" spans="1:13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>
      <c r="B7" s="344" t="s">
        <v>277</v>
      </c>
      <c r="C7" s="342">
        <v>502</v>
      </c>
      <c r="D7" s="342"/>
      <c r="E7" s="343"/>
      <c r="G7" s="344" t="s">
        <v>277</v>
      </c>
      <c r="H7" s="342">
        <v>502</v>
      </c>
      <c r="I7" s="343"/>
      <c r="J7" s="344" t="s">
        <v>287</v>
      </c>
      <c r="K7" s="342"/>
      <c r="L7" s="342"/>
      <c r="M7" s="343"/>
    </row>
    <row r="8" spans="1:13">
      <c r="B8" s="344" t="s">
        <v>278</v>
      </c>
      <c r="C8" s="342">
        <v>2.15</v>
      </c>
      <c r="D8" s="342"/>
      <c r="E8" s="343"/>
      <c r="G8" s="344" t="s">
        <v>278</v>
      </c>
      <c r="H8" s="342">
        <f>2+15/60</f>
        <v>2.25</v>
      </c>
      <c r="I8" s="343"/>
      <c r="J8" s="344" t="s">
        <v>288</v>
      </c>
      <c r="K8" s="342"/>
      <c r="L8" s="342"/>
      <c r="M8" s="343"/>
    </row>
    <row r="9" spans="1:13">
      <c r="B9" s="341"/>
      <c r="C9" s="342"/>
      <c r="D9" s="342"/>
      <c r="E9" s="343"/>
      <c r="G9" s="341"/>
      <c r="H9" s="342"/>
      <c r="I9" s="343"/>
      <c r="J9" s="344" t="s">
        <v>289</v>
      </c>
      <c r="K9" s="342"/>
      <c r="L9" s="342"/>
      <c r="M9" s="343"/>
    </row>
    <row r="10" spans="1:13">
      <c r="B10" s="345" t="s">
        <v>279</v>
      </c>
      <c r="C10" s="346">
        <f>C7/8*C8</f>
        <v>134.91249999999999</v>
      </c>
      <c r="D10" s="347"/>
      <c r="E10" s="348"/>
      <c r="G10" s="345" t="s">
        <v>279</v>
      </c>
      <c r="H10" s="346">
        <f>H7/8*H8</f>
        <v>141.1875</v>
      </c>
      <c r="I10" s="348"/>
      <c r="J10" s="350"/>
      <c r="K10" s="347"/>
      <c r="L10" s="347"/>
      <c r="M10" s="348"/>
    </row>
    <row r="12" spans="1:13">
      <c r="B12" s="337" t="s">
        <v>280</v>
      </c>
    </row>
    <row r="15" spans="1:13">
      <c r="A15" s="335" t="s">
        <v>286</v>
      </c>
      <c r="B15" s="338" t="s">
        <v>282</v>
      </c>
      <c r="C15" s="339"/>
      <c r="D15" s="339"/>
      <c r="E15" s="340"/>
      <c r="G15" s="338" t="s">
        <v>283</v>
      </c>
      <c r="H15" s="339"/>
      <c r="I15" s="340"/>
    </row>
    <row r="16" spans="1:13">
      <c r="B16" s="341"/>
      <c r="C16" s="342"/>
      <c r="D16" s="342"/>
      <c r="E16" s="343"/>
      <c r="G16" s="341"/>
      <c r="H16" s="342"/>
      <c r="I16" s="343"/>
    </row>
    <row r="17" spans="1:9">
      <c r="B17" s="344" t="s">
        <v>277</v>
      </c>
      <c r="C17" s="342">
        <v>502</v>
      </c>
      <c r="D17" s="342"/>
      <c r="E17" s="343"/>
      <c r="G17" s="344" t="s">
        <v>277</v>
      </c>
      <c r="H17" s="342">
        <v>502</v>
      </c>
      <c r="I17" s="343"/>
    </row>
    <row r="18" spans="1:9">
      <c r="B18" s="344" t="s">
        <v>278</v>
      </c>
      <c r="C18" s="342">
        <v>2.59</v>
      </c>
      <c r="D18" s="453" t="s">
        <v>284</v>
      </c>
      <c r="E18" s="454"/>
      <c r="G18" s="344" t="s">
        <v>278</v>
      </c>
      <c r="H18" s="351">
        <f>2+59/60</f>
        <v>2.9833333333333334</v>
      </c>
      <c r="I18" s="343"/>
    </row>
    <row r="19" spans="1:9">
      <c r="B19" s="341"/>
      <c r="C19" s="342"/>
      <c r="D19" s="453"/>
      <c r="E19" s="454"/>
      <c r="G19" s="341"/>
      <c r="H19" s="342"/>
      <c r="I19" s="343"/>
    </row>
    <row r="20" spans="1:9">
      <c r="B20" s="345" t="s">
        <v>279</v>
      </c>
      <c r="C20" s="346">
        <f>C17/8*C18</f>
        <v>162.52249999999998</v>
      </c>
      <c r="D20" s="347"/>
      <c r="E20" s="348"/>
      <c r="G20" s="345" t="s">
        <v>279</v>
      </c>
      <c r="H20" s="346">
        <f>H17/8*H18</f>
        <v>187.20416666666668</v>
      </c>
      <c r="I20" s="348"/>
    </row>
    <row r="22" spans="1:9">
      <c r="B22" s="337" t="s">
        <v>285</v>
      </c>
    </row>
    <row r="25" spans="1:9">
      <c r="A25" s="336" t="s">
        <v>291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65"/>
  <sheetViews>
    <sheetView topLeftCell="A27" workbookViewId="0">
      <selection activeCell="T72" sqref="T72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32" t="str">
        <f>'[2]11-25 payroll'!A1</f>
        <v>THE OLD SPAGHETTI HOUSE</v>
      </c>
      <c r="C2" s="433"/>
      <c r="D2" s="433"/>
      <c r="E2" s="433"/>
      <c r="F2" s="433"/>
      <c r="G2" s="433"/>
      <c r="H2" s="434"/>
      <c r="I2" s="178"/>
      <c r="J2" s="432" t="str">
        <f>'[2]11-25 payroll'!A1</f>
        <v>THE OLD SPAGHETTI HOUSE</v>
      </c>
      <c r="K2" s="433"/>
      <c r="L2" s="433"/>
      <c r="M2" s="433"/>
      <c r="N2" s="433"/>
      <c r="O2" s="433"/>
      <c r="P2" s="434"/>
    </row>
    <row r="3" spans="1:22" s="179" customFormat="1">
      <c r="A3" s="170"/>
      <c r="B3" s="435" t="str">
        <f>'[2]11-25 payroll'!D2</f>
        <v>VALERO</v>
      </c>
      <c r="C3" s="436"/>
      <c r="D3" s="436"/>
      <c r="E3" s="436"/>
      <c r="F3" s="436"/>
      <c r="G3" s="436"/>
      <c r="H3" s="437"/>
      <c r="I3" s="178"/>
      <c r="J3" s="435" t="str">
        <f>'[2]11-25 payroll'!D2</f>
        <v>VALERO</v>
      </c>
      <c r="K3" s="436"/>
      <c r="L3" s="436"/>
      <c r="M3" s="436"/>
      <c r="N3" s="436"/>
      <c r="O3" s="436"/>
      <c r="P3" s="437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38" t="s">
        <v>25</v>
      </c>
      <c r="C5" s="439"/>
      <c r="D5" s="439"/>
      <c r="E5" s="439"/>
      <c r="F5" s="439"/>
      <c r="G5" s="439"/>
      <c r="H5" s="440"/>
      <c r="I5" s="178"/>
      <c r="J5" s="438" t="s">
        <v>25</v>
      </c>
      <c r="K5" s="439"/>
      <c r="L5" s="439"/>
      <c r="M5" s="439"/>
      <c r="N5" s="439"/>
      <c r="O5" s="439"/>
      <c r="P5" s="440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41" t="str">
        <f>'[2]11-25 payroll'!B7</f>
        <v>Biarcal, Ronald Glenn</v>
      </c>
      <c r="E7" s="441"/>
      <c r="F7" s="441"/>
      <c r="G7" s="55"/>
      <c r="H7" s="194"/>
      <c r="I7" s="195"/>
      <c r="J7" s="192" t="s">
        <v>26</v>
      </c>
      <c r="K7" s="193" t="s">
        <v>27</v>
      </c>
      <c r="L7" s="441" t="str">
        <f>'[2]11-25 payroll'!B8</f>
        <v>Sanchez, Angelo</v>
      </c>
      <c r="M7" s="441"/>
      <c r="N7" s="441"/>
      <c r="O7" s="9"/>
      <c r="P7" s="194"/>
    </row>
    <row r="8" spans="1:22">
      <c r="B8" s="192" t="s">
        <v>28</v>
      </c>
      <c r="C8" s="193" t="s">
        <v>27</v>
      </c>
      <c r="D8" s="442">
        <f>'[2]11-25 payroll'!E7</f>
        <v>502</v>
      </c>
      <c r="E8" s="442"/>
      <c r="F8" s="442"/>
      <c r="G8" s="55"/>
      <c r="H8" s="357"/>
      <c r="I8" s="195"/>
      <c r="J8" s="192" t="s">
        <v>28</v>
      </c>
      <c r="K8" s="193" t="s">
        <v>27</v>
      </c>
      <c r="L8" s="442">
        <f>'[2]11-25 payroll'!E8</f>
        <v>502</v>
      </c>
      <c r="M8" s="442"/>
      <c r="N8" s="442"/>
      <c r="O8" s="9"/>
      <c r="P8" s="357"/>
    </row>
    <row r="9" spans="1:22" s="187" customFormat="1">
      <c r="A9" s="170"/>
      <c r="B9" s="192" t="s">
        <v>29</v>
      </c>
      <c r="C9" s="193" t="s">
        <v>27</v>
      </c>
      <c r="D9" s="443" t="str">
        <f>'26-10 payroll'!D3</f>
        <v>December  11-25,2018</v>
      </c>
      <c r="E9" s="443"/>
      <c r="F9" s="443"/>
      <c r="G9" s="55"/>
      <c r="H9" s="194"/>
      <c r="I9" s="195"/>
      <c r="J9" s="192" t="s">
        <v>29</v>
      </c>
      <c r="K9" s="193" t="s">
        <v>27</v>
      </c>
      <c r="L9" s="443" t="str">
        <f>D9</f>
        <v>December  11-25,2018</v>
      </c>
      <c r="M9" s="443"/>
      <c r="N9" s="443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8"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'[2]11-25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>
      <c r="B16" s="192"/>
      <c r="C16" s="193"/>
      <c r="D16" s="204" t="s">
        <v>293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'[2]11-25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884+150+12.55</f>
        <v>1046.55</v>
      </c>
      <c r="G17" s="55"/>
      <c r="H17" s="56">
        <f>SUM(F13:F17)</f>
        <v>1166.55</v>
      </c>
      <c r="I17" s="195"/>
      <c r="J17" s="192"/>
      <c r="K17" s="193"/>
      <c r="L17" s="204" t="s">
        <v>99</v>
      </c>
      <c r="M17" s="205"/>
      <c r="N17" s="59">
        <f>500+37.65</f>
        <v>537.65</v>
      </c>
      <c r="O17" s="55"/>
      <c r="P17" s="56">
        <f>SUM(N13:N17)</f>
        <v>657.65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'[2]11-25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'[2]11-25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v>187.5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+'[2]11-25 payroll'!F57+'[2]11-25 payroll'!G57+'[2]11-25 payroll'!H57+'[2]11-25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'[2]11-25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'[2]11-25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v>20.92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'[2]11-25 payroll'!M22</f>
        <v>0</v>
      </c>
      <c r="G27" s="55"/>
      <c r="H27" s="211">
        <f>-SUM(F19:F27)</f>
        <v>-1257.06</v>
      </c>
      <c r="I27" s="195"/>
      <c r="J27" s="192"/>
      <c r="K27" s="198"/>
      <c r="L27" s="198" t="s">
        <v>6</v>
      </c>
      <c r="M27" s="205"/>
      <c r="N27" s="9">
        <f>'[2]11-25 payroll'!M23</f>
        <v>0</v>
      </c>
      <c r="O27" s="9"/>
      <c r="P27" s="211">
        <f>-SUM(N19:N27)</f>
        <v>-698.92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6435.49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6484.73</v>
      </c>
      <c r="R28" s="215"/>
      <c r="T28" s="216">
        <f>+H28-'[2]11-25 payroll'!S35</f>
        <v>667.88485937500081</v>
      </c>
      <c r="U28" s="217"/>
      <c r="V28" s="218">
        <f>+P28-'[2]11-25 payroll'!S36</f>
        <v>-28.767953125000531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32" t="str">
        <f>'[2]11-25 payroll'!A1</f>
        <v>THE OLD SPAGHETTI HOUSE</v>
      </c>
      <c r="C35" s="433"/>
      <c r="D35" s="433"/>
      <c r="E35" s="433"/>
      <c r="F35" s="433"/>
      <c r="G35" s="433"/>
      <c r="H35" s="434"/>
      <c r="I35" s="178"/>
      <c r="J35" s="432" t="str">
        <f>'[2]11-25 payroll'!A1</f>
        <v>THE OLD SPAGHETTI HOUSE</v>
      </c>
      <c r="K35" s="433"/>
      <c r="L35" s="433"/>
      <c r="M35" s="433"/>
      <c r="N35" s="433"/>
      <c r="O35" s="433"/>
      <c r="P35" s="434"/>
    </row>
    <row r="36" spans="2:17">
      <c r="B36" s="435" t="str">
        <f>'[2]11-25 payroll'!D2</f>
        <v>VALERO</v>
      </c>
      <c r="C36" s="436"/>
      <c r="D36" s="436"/>
      <c r="E36" s="436"/>
      <c r="F36" s="436"/>
      <c r="G36" s="436"/>
      <c r="H36" s="437"/>
      <c r="I36" s="178"/>
      <c r="J36" s="435" t="str">
        <f>'[2]11-25 payroll'!D2</f>
        <v>VALERO</v>
      </c>
      <c r="K36" s="436"/>
      <c r="L36" s="436"/>
      <c r="M36" s="436"/>
      <c r="N36" s="436"/>
      <c r="O36" s="436"/>
      <c r="P36" s="437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38" t="s">
        <v>25</v>
      </c>
      <c r="C38" s="439"/>
      <c r="D38" s="439"/>
      <c r="E38" s="439"/>
      <c r="F38" s="439"/>
      <c r="G38" s="439"/>
      <c r="H38" s="440"/>
      <c r="I38" s="178"/>
      <c r="J38" s="438" t="s">
        <v>25</v>
      </c>
      <c r="K38" s="439"/>
      <c r="L38" s="439"/>
      <c r="M38" s="439"/>
      <c r="N38" s="439"/>
      <c r="O38" s="439"/>
      <c r="P38" s="440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41" t="str">
        <f>'[2]11-25 payroll'!B24</f>
        <v>Dino, Joyce</v>
      </c>
      <c r="E40" s="441"/>
      <c r="F40" s="441"/>
      <c r="G40" s="55"/>
      <c r="H40" s="194"/>
      <c r="I40" s="195"/>
      <c r="J40" s="192" t="s">
        <v>26</v>
      </c>
      <c r="K40" s="193" t="s">
        <v>27</v>
      </c>
      <c r="L40" s="444" t="str">
        <f>'[2]11-25 payroll'!B10</f>
        <v xml:space="preserve">Sosa, Anna Marie </v>
      </c>
      <c r="M40" s="441"/>
      <c r="N40" s="441"/>
      <c r="O40" s="9"/>
      <c r="P40" s="194"/>
    </row>
    <row r="41" spans="2:17">
      <c r="B41" s="192" t="s">
        <v>28</v>
      </c>
      <c r="C41" s="193" t="s">
        <v>27</v>
      </c>
      <c r="D41" s="442">
        <f>'[2]11-25 payroll'!E9</f>
        <v>790.23076923076928</v>
      </c>
      <c r="E41" s="442"/>
      <c r="F41" s="442"/>
      <c r="G41" s="55"/>
      <c r="H41" s="357"/>
      <c r="I41" s="195"/>
      <c r="J41" s="192" t="s">
        <v>28</v>
      </c>
      <c r="K41" s="193" t="s">
        <v>27</v>
      </c>
      <c r="L41" s="442">
        <f>'[2]11-25 payroll'!E10</f>
        <v>502</v>
      </c>
      <c r="M41" s="442"/>
      <c r="N41" s="442"/>
      <c r="O41" s="9"/>
      <c r="P41" s="357"/>
    </row>
    <row r="42" spans="2:17">
      <c r="B42" s="192" t="s">
        <v>29</v>
      </c>
      <c r="C42" s="193" t="s">
        <v>27</v>
      </c>
      <c r="D42" s="443" t="str">
        <f>'26-10 payroll'!D3</f>
        <v>December  11-25,2018</v>
      </c>
      <c r="E42" s="443"/>
      <c r="F42" s="443"/>
      <c r="G42" s="55"/>
      <c r="H42" s="194"/>
      <c r="I42" s="195"/>
      <c r="J42" s="192" t="s">
        <v>29</v>
      </c>
      <c r="K42" s="193" t="s">
        <v>27</v>
      </c>
      <c r="L42" s="443" t="str">
        <f>D42</f>
        <v>December  11-25,2018</v>
      </c>
      <c r="M42" s="443"/>
      <c r="N42" s="443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'[2]11-25 payroll'!G10</f>
        <v>6526</v>
      </c>
      <c r="Q43" s="174"/>
    </row>
    <row r="44" spans="2:17">
      <c r="B44" s="192"/>
      <c r="C44" s="198"/>
      <c r="D44" s="200" t="s">
        <v>31</v>
      </c>
      <c r="E44" s="202"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v>11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'[2]11-25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250+1000+50+59.27</f>
        <v>1359.27</v>
      </c>
      <c r="G50" s="55"/>
      <c r="H50" s="56">
        <f>SUM(F46:F50)</f>
        <v>1479.27</v>
      </c>
      <c r="I50" s="195"/>
      <c r="J50" s="192"/>
      <c r="K50" s="193"/>
      <c r="L50" s="204" t="s">
        <v>99</v>
      </c>
      <c r="M50" s="205"/>
      <c r="N50" s="11">
        <f>150+884+18.83</f>
        <v>1052.83</v>
      </c>
      <c r="O50" s="9"/>
      <c r="P50" s="358">
        <f>SUM(N46:N50)</f>
        <v>1172.83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'[2]11-25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v>417.8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'[2]11-25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v>175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'[2]11-25 payroll'!O24</f>
        <v>0</v>
      </c>
      <c r="G55" s="55"/>
      <c r="H55" s="207"/>
      <c r="I55" s="195"/>
      <c r="J55" s="192"/>
      <c r="K55" s="198"/>
      <c r="L55" s="206" t="s">
        <v>292</v>
      </c>
      <c r="M55" s="205"/>
      <c r="N55" s="9">
        <v>500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+'[2]11-25 payroll'!F58+'[2]11-25 payroll'!G58+'[2]11-25 payroll'!H58+'[2]11-25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+'[2]11-25 payroll'!F59+'[2]11-25 payroll'!G59+'[2]11-25 payroll'!H59+'[2]11-25 payroll'!I59</f>
        <v>1537.34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'[2]11-25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'[2]11-25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546.25+25.1</f>
        <v>571.35</v>
      </c>
      <c r="G58" s="55"/>
      <c r="H58" s="209"/>
      <c r="I58" s="195"/>
      <c r="J58" s="192"/>
      <c r="K58" s="198"/>
      <c r="L58" s="206" t="s">
        <v>39</v>
      </c>
      <c r="M58" s="205"/>
      <c r="N58" s="9">
        <v>108.56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'[2]11-25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'[2]11-25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'[2]11-25 payroll'!M24</f>
        <v>0</v>
      </c>
      <c r="G60" s="55"/>
      <c r="H60" s="211">
        <f>-SUM(F52:F60)</f>
        <v>-3029.04</v>
      </c>
      <c r="I60" s="195"/>
      <c r="J60" s="192"/>
      <c r="K60" s="198"/>
      <c r="L60" s="198" t="s">
        <v>6</v>
      </c>
      <c r="M60" s="205"/>
      <c r="N60" s="9">
        <f>'[2]11-25 payroll'!M25</f>
        <v>0</v>
      </c>
      <c r="O60" s="9"/>
      <c r="P60" s="211">
        <f>-SUM(N52:N60)</f>
        <v>-3905.7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8723.23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3793.13</v>
      </c>
      <c r="Q61" s="174"/>
      <c r="T61" s="216">
        <f>+H61-'[2]11-25 payroll'!S37</f>
        <v>-84.160693750000064</v>
      </c>
      <c r="V61" s="237">
        <f>+P61-'[2]11-25 payroll'!S38</f>
        <v>-2059.4535010416666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32" t="str">
        <f>'[2]11-25 payroll'!A1</f>
        <v>THE OLD SPAGHETTI HOUSE</v>
      </c>
      <c r="C68" s="433"/>
      <c r="D68" s="433"/>
      <c r="E68" s="433"/>
      <c r="F68" s="433"/>
      <c r="G68" s="433"/>
      <c r="H68" s="434"/>
      <c r="I68" s="178"/>
      <c r="J68" s="432" t="str">
        <f>'[2]11-25 payroll'!A1</f>
        <v>THE OLD SPAGHETTI HOUSE</v>
      </c>
      <c r="K68" s="433"/>
      <c r="L68" s="433"/>
      <c r="M68" s="433"/>
      <c r="N68" s="433"/>
      <c r="O68" s="433"/>
      <c r="P68" s="434"/>
    </row>
    <row r="69" spans="2:17">
      <c r="B69" s="435" t="str">
        <f>'[2]11-25 payroll'!D2</f>
        <v>VALERO</v>
      </c>
      <c r="C69" s="436"/>
      <c r="D69" s="436"/>
      <c r="E69" s="436"/>
      <c r="F69" s="436"/>
      <c r="G69" s="436"/>
      <c r="H69" s="437"/>
      <c r="I69" s="178"/>
      <c r="J69" s="435" t="str">
        <f>'[2]11-25 payroll'!D2</f>
        <v>VALERO</v>
      </c>
      <c r="K69" s="436"/>
      <c r="L69" s="436"/>
      <c r="M69" s="436"/>
      <c r="N69" s="436"/>
      <c r="O69" s="436"/>
      <c r="P69" s="437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38" t="s">
        <v>25</v>
      </c>
      <c r="C71" s="439"/>
      <c r="D71" s="439"/>
      <c r="E71" s="439"/>
      <c r="F71" s="439"/>
      <c r="G71" s="439"/>
      <c r="H71" s="440"/>
      <c r="I71" s="178"/>
      <c r="J71" s="438" t="s">
        <v>25</v>
      </c>
      <c r="K71" s="439"/>
      <c r="L71" s="439"/>
      <c r="M71" s="439"/>
      <c r="N71" s="439"/>
      <c r="O71" s="439"/>
      <c r="P71" s="440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44" t="str">
        <f>'[2]11-25 payroll'!B11</f>
        <v>Briones, Christain Joy</v>
      </c>
      <c r="E73" s="441"/>
      <c r="F73" s="441"/>
      <c r="G73" s="55"/>
      <c r="H73" s="194"/>
      <c r="I73" s="195"/>
      <c r="J73" s="192" t="s">
        <v>26</v>
      </c>
      <c r="K73" s="193" t="s">
        <v>27</v>
      </c>
      <c r="L73" s="444" t="str">
        <f>'[2]11-25 payroll'!B12</f>
        <v>Cahilig,Benzen</v>
      </c>
      <c r="M73" s="441"/>
      <c r="N73" s="441"/>
      <c r="O73" s="9"/>
      <c r="P73" s="194"/>
    </row>
    <row r="74" spans="2:17">
      <c r="B74" s="192" t="s">
        <v>28</v>
      </c>
      <c r="C74" s="193" t="s">
        <v>27</v>
      </c>
      <c r="D74" s="442">
        <f>'[2]11-25 payroll'!E11</f>
        <v>502</v>
      </c>
      <c r="E74" s="442"/>
      <c r="F74" s="442"/>
      <c r="G74" s="55"/>
      <c r="H74" s="357"/>
      <c r="I74" s="195"/>
      <c r="J74" s="192" t="s">
        <v>28</v>
      </c>
      <c r="K74" s="193" t="s">
        <v>27</v>
      </c>
      <c r="L74" s="442">
        <f>'[2]11-25 payroll'!E12</f>
        <v>502</v>
      </c>
      <c r="M74" s="442"/>
      <c r="N74" s="442"/>
      <c r="O74" s="9"/>
      <c r="P74" s="357"/>
    </row>
    <row r="75" spans="2:17">
      <c r="B75" s="192" t="s">
        <v>29</v>
      </c>
      <c r="C75" s="193" t="s">
        <v>27</v>
      </c>
      <c r="D75" s="443" t="str">
        <f>'26-10 payroll'!D3</f>
        <v>December  11-25,2018</v>
      </c>
      <c r="E75" s="443"/>
      <c r="F75" s="443"/>
      <c r="G75" s="55"/>
      <c r="H75" s="194"/>
      <c r="I75" s="195"/>
      <c r="J75" s="192" t="s">
        <v>29</v>
      </c>
      <c r="K75" s="193" t="s">
        <v>27</v>
      </c>
      <c r="L75" s="443" t="str">
        <f>D75</f>
        <v>December  11-25,2018</v>
      </c>
      <c r="M75" s="443"/>
      <c r="N75" s="443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D74*E77</f>
        <v>5522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5522</v>
      </c>
      <c r="Q76" s="174"/>
    </row>
    <row r="77" spans="2:17">
      <c r="B77" s="192"/>
      <c r="C77" s="198"/>
      <c r="D77" s="200" t="s">
        <v>31</v>
      </c>
      <c r="E77" s="202"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v>11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v>313.75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v>100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'[2]11-25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'[2]11-25 payroll'!R12</f>
        <v>0</v>
      </c>
      <c r="O81" s="9"/>
      <c r="P81" s="10"/>
    </row>
    <row r="82" spans="1:22">
      <c r="B82" s="192"/>
      <c r="C82" s="193"/>
      <c r="D82" s="204" t="s">
        <v>293</v>
      </c>
      <c r="E82" s="205"/>
      <c r="F82" s="55">
        <v>502</v>
      </c>
      <c r="G82" s="55"/>
      <c r="H82" s="58"/>
      <c r="I82" s="195"/>
      <c r="J82" s="192"/>
      <c r="K82" s="193"/>
      <c r="L82" s="204" t="s">
        <v>35</v>
      </c>
      <c r="M82" s="205"/>
      <c r="N82" s="9">
        <f>'[2]11-25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v>43.93</v>
      </c>
      <c r="G83" s="55"/>
      <c r="H83" s="56">
        <f>SUM(F79:F83)</f>
        <v>665.93</v>
      </c>
      <c r="I83" s="195"/>
      <c r="J83" s="192"/>
      <c r="K83" s="193"/>
      <c r="L83" s="204" t="s">
        <v>99</v>
      </c>
      <c r="M83" s="205"/>
      <c r="N83" s="11">
        <v>18.829999999999998</v>
      </c>
      <c r="O83" s="9"/>
      <c r="P83" s="56">
        <f>SUM(N79:N83)</f>
        <v>432.58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v>436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'[2]11-25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v>175</v>
      </c>
      <c r="G87" s="55"/>
      <c r="H87" s="207"/>
      <c r="I87" s="195"/>
      <c r="J87" s="192"/>
      <c r="K87" s="198"/>
      <c r="L87" s="206" t="s">
        <v>37</v>
      </c>
      <c r="M87" s="205"/>
      <c r="N87" s="9">
        <v>182.5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'[2]11-25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'[2]11-25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+'[2]11-25 payroll'!F60+'[2]11-25 payroll'!G60+'[2]11-25 payroll'!H60+'[2]11-25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+'[2]11-25 payroll'!F61+'[2]11-25 payroll'!G61+'[2]11-25 payroll'!H61+'[2]11-25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'[2]11-25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'[2]11-25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v>53.34</v>
      </c>
      <c r="G91" s="55"/>
      <c r="H91" s="209"/>
      <c r="I91" s="195"/>
      <c r="J91" s="192"/>
      <c r="K91" s="198"/>
      <c r="L91" s="206" t="s">
        <v>39</v>
      </c>
      <c r="M91" s="205"/>
      <c r="N91" s="9">
        <v>44.97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'[2]11-25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'[2]11-25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'[2]11-25 payroll'!M26</f>
        <v>0</v>
      </c>
      <c r="G93" s="55"/>
      <c r="H93" s="211">
        <f>-SUM(F85:F93)</f>
        <v>-1651.58</v>
      </c>
      <c r="I93" s="195"/>
      <c r="J93" s="192"/>
      <c r="K93" s="198"/>
      <c r="L93" s="198" t="s">
        <v>6</v>
      </c>
      <c r="M93" s="205"/>
      <c r="N93" s="9">
        <f>'[2]11-25 payroll'!M27</f>
        <v>0</v>
      </c>
      <c r="O93" s="9"/>
      <c r="P93" s="211">
        <f>-SUM(N85:N93)</f>
        <v>-1604.05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4536.3500000000004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4350.53</v>
      </c>
      <c r="Q94" s="174"/>
      <c r="T94" s="216">
        <f>+H94-'[2]11-25 payroll'!S39</f>
        <v>26.451755729167417</v>
      </c>
      <c r="V94" s="237">
        <f>+P94-'[2]11-25 payroll'!S40</f>
        <v>-475.67999999999938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32" t="str">
        <f>'[2]11-25 payroll'!A1</f>
        <v>THE OLD SPAGHETTI HOUSE</v>
      </c>
      <c r="C101" s="433"/>
      <c r="D101" s="433"/>
      <c r="E101" s="433"/>
      <c r="F101" s="433"/>
      <c r="G101" s="433"/>
      <c r="H101" s="434"/>
      <c r="I101" s="178"/>
      <c r="J101" s="432" t="str">
        <f>'[2]11-25 payroll'!A1</f>
        <v>THE OLD SPAGHETTI HOUSE</v>
      </c>
      <c r="K101" s="433"/>
      <c r="L101" s="433"/>
      <c r="M101" s="433"/>
      <c r="N101" s="433"/>
      <c r="O101" s="433"/>
      <c r="P101" s="434"/>
    </row>
    <row r="102" spans="2:17">
      <c r="B102" s="435" t="str">
        <f>'[2]11-25 payroll'!D2</f>
        <v>VALERO</v>
      </c>
      <c r="C102" s="436"/>
      <c r="D102" s="436"/>
      <c r="E102" s="436"/>
      <c r="F102" s="436"/>
      <c r="G102" s="436"/>
      <c r="H102" s="437"/>
      <c r="I102" s="178"/>
      <c r="J102" s="435" t="str">
        <f>'[2]11-25 payroll'!D2</f>
        <v>VALERO</v>
      </c>
      <c r="K102" s="436"/>
      <c r="L102" s="436"/>
      <c r="M102" s="436"/>
      <c r="N102" s="436"/>
      <c r="O102" s="436"/>
      <c r="P102" s="437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38" t="s">
        <v>25</v>
      </c>
      <c r="C104" s="439"/>
      <c r="D104" s="439"/>
      <c r="E104" s="439"/>
      <c r="F104" s="439"/>
      <c r="G104" s="439"/>
      <c r="H104" s="440"/>
      <c r="I104" s="178"/>
      <c r="J104" s="438" t="s">
        <v>25</v>
      </c>
      <c r="K104" s="439"/>
      <c r="L104" s="439"/>
      <c r="M104" s="439"/>
      <c r="N104" s="439"/>
      <c r="O104" s="439"/>
      <c r="P104" s="440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44" t="str">
        <f>'[2]11-25 payroll'!B13</f>
        <v>Pantoja,Nancy</v>
      </c>
      <c r="E106" s="441"/>
      <c r="F106" s="441"/>
      <c r="G106" s="55"/>
      <c r="H106" s="194"/>
      <c r="I106" s="195"/>
      <c r="J106" s="192" t="s">
        <v>26</v>
      </c>
      <c r="K106" s="193" t="s">
        <v>27</v>
      </c>
      <c r="L106" s="444">
        <f>'[2]11-25 payroll'!B29</f>
        <v>0</v>
      </c>
      <c r="M106" s="441"/>
      <c r="N106" s="441"/>
      <c r="O106" s="9"/>
      <c r="P106" s="194"/>
    </row>
    <row r="107" spans="2:17">
      <c r="B107" s="192" t="s">
        <v>28</v>
      </c>
      <c r="C107" s="193" t="s">
        <v>27</v>
      </c>
      <c r="D107" s="442">
        <f>'[2]11-25 payroll'!E13</f>
        <v>502</v>
      </c>
      <c r="E107" s="442"/>
      <c r="F107" s="442"/>
      <c r="G107" s="55"/>
      <c r="H107" s="357"/>
      <c r="I107" s="195"/>
      <c r="J107" s="192" t="s">
        <v>28</v>
      </c>
      <c r="K107" s="193" t="s">
        <v>27</v>
      </c>
      <c r="L107" s="442">
        <f>'[2]11-25 payroll'!E14</f>
        <v>0</v>
      </c>
      <c r="M107" s="442"/>
      <c r="N107" s="442"/>
      <c r="O107" s="9"/>
      <c r="P107" s="357"/>
    </row>
    <row r="108" spans="2:17">
      <c r="B108" s="192" t="s">
        <v>29</v>
      </c>
      <c r="C108" s="193" t="s">
        <v>27</v>
      </c>
      <c r="D108" s="443" t="str">
        <f>'26-10 payroll'!D3</f>
        <v>December  11-25,2018</v>
      </c>
      <c r="E108" s="443"/>
      <c r="F108" s="443"/>
      <c r="G108" s="55"/>
      <c r="H108" s="194"/>
      <c r="I108" s="195"/>
      <c r="J108" s="192" t="s">
        <v>29</v>
      </c>
      <c r="K108" s="193" t="s">
        <v>27</v>
      </c>
      <c r="L108" s="443" t="str">
        <f>'[2]11-25 payroll'!D3</f>
        <v>JULY  11 - 25, 2018</v>
      </c>
      <c r="M108" s="443"/>
      <c r="N108" s="443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D107*E110</f>
        <v>6024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>
      <c r="B110" s="192"/>
      <c r="C110" s="198"/>
      <c r="D110" s="200" t="s">
        <v>31</v>
      </c>
      <c r="E110" s="202">
        <v>12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/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'[2]11-25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5">
        <v>62.75</v>
      </c>
      <c r="G116" s="55"/>
      <c r="H116" s="56">
        <f>SUM(F112:F116)</f>
        <v>182.75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v>490.5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'[2]11-25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v>162.5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'[2]11-25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+'[2]11-25 payroll'!F62+'[2]11-25 payroll'!G62+'[2]11-25 payroll'!H62+'[2]11-25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v>301.5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v>217.12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'[2]11-25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'[2]11-25 payroll'!M28</f>
        <v>0</v>
      </c>
      <c r="G126" s="55"/>
      <c r="H126" s="211">
        <f>-SUM(F118:F126)</f>
        <v>-1679.2199999999998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4527.5300000000007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-544.94999999999891</v>
      </c>
      <c r="V127" s="237">
        <f>+P127-'[2]11-25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32" t="str">
        <f>'[2]11-25 payroll'!A1</f>
        <v>THE OLD SPAGHETTI HOUSE</v>
      </c>
      <c r="C134" s="433"/>
      <c r="D134" s="433"/>
      <c r="E134" s="433"/>
      <c r="F134" s="433"/>
      <c r="G134" s="433"/>
      <c r="H134" s="434"/>
      <c r="I134" s="178"/>
      <c r="J134" s="432" t="str">
        <f>'[2]11-25 payroll'!A1</f>
        <v>THE OLD SPAGHETTI HOUSE</v>
      </c>
      <c r="K134" s="433"/>
      <c r="L134" s="433"/>
      <c r="M134" s="433"/>
      <c r="N134" s="433"/>
      <c r="O134" s="433"/>
      <c r="P134" s="434"/>
    </row>
    <row r="135" spans="2:17">
      <c r="B135" s="435" t="str">
        <f>'[2]11-25 payroll'!D2</f>
        <v>VALERO</v>
      </c>
      <c r="C135" s="436"/>
      <c r="D135" s="436"/>
      <c r="E135" s="436"/>
      <c r="F135" s="436"/>
      <c r="G135" s="436"/>
      <c r="H135" s="437"/>
      <c r="I135" s="178"/>
      <c r="J135" s="435" t="str">
        <f>'[2]11-25 payroll'!D2</f>
        <v>VALERO</v>
      </c>
      <c r="K135" s="436"/>
      <c r="L135" s="436"/>
      <c r="M135" s="436"/>
      <c r="N135" s="436"/>
      <c r="O135" s="436"/>
      <c r="P135" s="437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38" t="s">
        <v>25</v>
      </c>
      <c r="C137" s="439"/>
      <c r="D137" s="439"/>
      <c r="E137" s="439"/>
      <c r="F137" s="439"/>
      <c r="G137" s="439"/>
      <c r="H137" s="440"/>
      <c r="I137" s="178"/>
      <c r="J137" s="438" t="s">
        <v>25</v>
      </c>
      <c r="K137" s="439"/>
      <c r="L137" s="439"/>
      <c r="M137" s="439"/>
      <c r="N137" s="439"/>
      <c r="O137" s="439"/>
      <c r="P137" s="440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44">
        <f>'[2]11-25 payroll'!B15</f>
        <v>0</v>
      </c>
      <c r="E139" s="441"/>
      <c r="F139" s="441"/>
      <c r="G139" s="55"/>
      <c r="H139" s="194"/>
      <c r="I139" s="195"/>
      <c r="J139" s="192" t="s">
        <v>26</v>
      </c>
      <c r="K139" s="193" t="s">
        <v>27</v>
      </c>
      <c r="L139" s="441">
        <f>'[2]11-25 payroll'!C112</f>
        <v>0</v>
      </c>
      <c r="M139" s="441"/>
      <c r="N139" s="441"/>
      <c r="O139" s="9"/>
      <c r="P139" s="194"/>
    </row>
    <row r="140" spans="2:17">
      <c r="B140" s="192" t="s">
        <v>28</v>
      </c>
      <c r="C140" s="193" t="s">
        <v>27</v>
      </c>
      <c r="D140" s="442">
        <f>'[2]11-25 payroll'!E15</f>
        <v>0</v>
      </c>
      <c r="E140" s="442"/>
      <c r="F140" s="442"/>
      <c r="G140" s="55"/>
      <c r="H140" s="357"/>
      <c r="I140" s="195"/>
      <c r="J140" s="192" t="s">
        <v>28</v>
      </c>
      <c r="K140" s="193" t="s">
        <v>27</v>
      </c>
      <c r="L140" s="442">
        <f>'[2]11-25 payroll'!E112</f>
        <v>0</v>
      </c>
      <c r="M140" s="442"/>
      <c r="N140" s="442"/>
      <c r="O140" s="9"/>
      <c r="P140" s="357"/>
    </row>
    <row r="141" spans="2:17">
      <c r="B141" s="192" t="s">
        <v>29</v>
      </c>
      <c r="C141" s="193" t="s">
        <v>27</v>
      </c>
      <c r="D141" s="443" t="str">
        <f>'[2]11-25 payroll'!D3</f>
        <v>JULY  11 - 25, 2018</v>
      </c>
      <c r="E141" s="443"/>
      <c r="F141" s="443"/>
      <c r="G141" s="55"/>
      <c r="H141" s="194"/>
      <c r="I141" s="195"/>
      <c r="J141" s="192" t="s">
        <v>29</v>
      </c>
      <c r="K141" s="193" t="s">
        <v>27</v>
      </c>
      <c r="L141" s="443">
        <f>'[2]11-25 payroll'!D105</f>
        <v>0</v>
      </c>
      <c r="M141" s="443"/>
      <c r="N141" s="443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9 A11:Q60 A62:Q165 A61:O61 Q61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2018-12-26T23:59:26Z</cp:lastPrinted>
  <dcterms:created xsi:type="dcterms:W3CDTF">2010-01-04T12:18:59Z</dcterms:created>
  <dcterms:modified xsi:type="dcterms:W3CDTF">2019-01-27T01:28:42Z</dcterms:modified>
</cp:coreProperties>
</file>