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Timekeeping" sheetId="1" r:id="rId1"/>
    <sheet name="Coop Payroll" sheetId="2" r:id="rId2"/>
    <sheet name="Rates" sheetId="3" state="hidden" r:id="rId3"/>
  </sheets>
  <calcPr calcId="124519"/>
</workbook>
</file>

<file path=xl/calcChain.xml><?xml version="1.0" encoding="utf-8"?>
<calcChain xmlns="http://schemas.openxmlformats.org/spreadsheetml/2006/main">
  <c r="C9" i="3"/>
  <c r="C8"/>
  <c r="D11"/>
  <c r="D3" i="2"/>
  <c r="C10" i="3"/>
  <c r="C7"/>
  <c r="C11"/>
  <c r="K9" i="2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O9"/>
  <c r="O23"/>
  <c r="F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F10"/>
  <c r="N39"/>
  <c r="N38"/>
  <c r="N37"/>
  <c r="N36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H35" s="1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J55" s="1"/>
  <c r="J56" s="1"/>
  <c r="I35"/>
  <c r="E54"/>
  <c r="K54" s="1"/>
  <c r="E53"/>
  <c r="K53" s="1"/>
  <c r="E52"/>
  <c r="K52" s="1"/>
  <c r="E51"/>
  <c r="K51" s="1"/>
  <c r="E50"/>
  <c r="K50" s="1"/>
  <c r="E49"/>
  <c r="K49" s="1"/>
  <c r="E48"/>
  <c r="K48" s="1"/>
  <c r="E47"/>
  <c r="K47" s="1"/>
  <c r="E46"/>
  <c r="K46" s="1"/>
  <c r="E45"/>
  <c r="K45" s="1"/>
  <c r="E44"/>
  <c r="K44" s="1"/>
  <c r="E43"/>
  <c r="E42"/>
  <c r="E41"/>
  <c r="E40"/>
  <c r="E39"/>
  <c r="E38"/>
  <c r="E37"/>
  <c r="K37" s="1"/>
  <c r="E36"/>
  <c r="E35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O28"/>
  <c r="O27"/>
  <c r="O26"/>
  <c r="O25"/>
  <c r="O24"/>
  <c r="O22"/>
  <c r="O21"/>
  <c r="O20"/>
  <c r="O19"/>
  <c r="O18"/>
  <c r="O17"/>
  <c r="O16"/>
  <c r="O15"/>
  <c r="O14"/>
  <c r="P14" s="1"/>
  <c r="O13"/>
  <c r="O12"/>
  <c r="O11"/>
  <c r="O10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M29" s="1"/>
  <c r="L9"/>
  <c r="E28"/>
  <c r="H28" s="1"/>
  <c r="E27"/>
  <c r="H27"/>
  <c r="E26"/>
  <c r="H26" s="1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E17"/>
  <c r="P17" s="1"/>
  <c r="E16"/>
  <c r="H16" s="1"/>
  <c r="E15"/>
  <c r="H15" s="1"/>
  <c r="E14"/>
  <c r="E13"/>
  <c r="E12"/>
  <c r="E11"/>
  <c r="H11" s="1"/>
  <c r="E10"/>
  <c r="H36" s="1"/>
  <c r="E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J17" s="1"/>
  <c r="G16"/>
  <c r="F16"/>
  <c r="G15"/>
  <c r="F15"/>
  <c r="K41" s="1"/>
  <c r="G14"/>
  <c r="F14"/>
  <c r="G13"/>
  <c r="F13"/>
  <c r="K39" s="1"/>
  <c r="G12"/>
  <c r="F12"/>
  <c r="G11"/>
  <c r="J11" s="1"/>
  <c r="G10"/>
  <c r="G9"/>
  <c r="F9"/>
  <c r="D28"/>
  <c r="D54" s="1"/>
  <c r="C28"/>
  <c r="C54" s="1"/>
  <c r="D27"/>
  <c r="D53" s="1"/>
  <c r="C27"/>
  <c r="C53" s="1"/>
  <c r="D26"/>
  <c r="D52" s="1"/>
  <c r="C26"/>
  <c r="C52" s="1"/>
  <c r="D25"/>
  <c r="D51" s="1"/>
  <c r="C25"/>
  <c r="C51" s="1"/>
  <c r="D24"/>
  <c r="D50" s="1"/>
  <c r="C24"/>
  <c r="C50" s="1"/>
  <c r="D23"/>
  <c r="D49" s="1"/>
  <c r="C23"/>
  <c r="C49" s="1"/>
  <c r="D22"/>
  <c r="D48" s="1"/>
  <c r="C22"/>
  <c r="C48" s="1"/>
  <c r="D21"/>
  <c r="D47" s="1"/>
  <c r="C21"/>
  <c r="C47" s="1"/>
  <c r="D20"/>
  <c r="D46" s="1"/>
  <c r="C20"/>
  <c r="C46" s="1"/>
  <c r="D19"/>
  <c r="D45" s="1"/>
  <c r="C19"/>
  <c r="C45" s="1"/>
  <c r="D18"/>
  <c r="D44" s="1"/>
  <c r="C18"/>
  <c r="C44" s="1"/>
  <c r="D17"/>
  <c r="D43" s="1"/>
  <c r="C17"/>
  <c r="C43" s="1"/>
  <c r="D16"/>
  <c r="D42" s="1"/>
  <c r="C16"/>
  <c r="C42" s="1"/>
  <c r="D15"/>
  <c r="D41" s="1"/>
  <c r="C15"/>
  <c r="C41" s="1"/>
  <c r="D14"/>
  <c r="D40" s="1"/>
  <c r="C14"/>
  <c r="C40" s="1"/>
  <c r="D13"/>
  <c r="D39" s="1"/>
  <c r="C13"/>
  <c r="C39" s="1"/>
  <c r="D12"/>
  <c r="D38" s="1"/>
  <c r="C12"/>
  <c r="C38" s="1"/>
  <c r="D11"/>
  <c r="D37" s="1"/>
  <c r="C11"/>
  <c r="C37" s="1"/>
  <c r="C10"/>
  <c r="C36" s="1"/>
  <c r="D10"/>
  <c r="D36" s="1"/>
  <c r="D9"/>
  <c r="D35" s="1"/>
  <c r="C9"/>
  <c r="C35" s="1"/>
  <c r="B16" i="1"/>
  <c r="B15" i="2"/>
  <c r="B41" s="1"/>
  <c r="B29" i="1"/>
  <c r="B28" i="2"/>
  <c r="B54" s="1"/>
  <c r="B28" i="1"/>
  <c r="B27" i="2"/>
  <c r="B53" s="1"/>
  <c r="B27" i="1"/>
  <c r="B26" i="2"/>
  <c r="B52" s="1"/>
  <c r="B26" i="1"/>
  <c r="B25" i="2"/>
  <c r="B51" s="1"/>
  <c r="B25" i="1"/>
  <c r="B24" i="2"/>
  <c r="B50"/>
  <c r="B24" i="1"/>
  <c r="B23" i="2"/>
  <c r="B49" s="1"/>
  <c r="B23" i="1"/>
  <c r="B22" i="2"/>
  <c r="B48" s="1"/>
  <c r="B22" i="1"/>
  <c r="B21" i="2"/>
  <c r="B47" s="1"/>
  <c r="B21" i="1"/>
  <c r="B20" i="2"/>
  <c r="B46" s="1"/>
  <c r="B20" i="1"/>
  <c r="B19" i="2"/>
  <c r="B45" s="1"/>
  <c r="B19" i="1"/>
  <c r="B18" i="2"/>
  <c r="B44" s="1"/>
  <c r="B18" i="1"/>
  <c r="B17" i="2" s="1"/>
  <c r="B43" s="1"/>
  <c r="B17" i="1"/>
  <c r="B16" i="2" s="1"/>
  <c r="B42" s="1"/>
  <c r="B15" i="1"/>
  <c r="B14" i="2" s="1"/>
  <c r="B40" s="1"/>
  <c r="B14" i="1"/>
  <c r="B13" i="2" s="1"/>
  <c r="B39" s="1"/>
  <c r="B13" i="1"/>
  <c r="B12" i="2"/>
  <c r="B38" s="1"/>
  <c r="B12" i="1"/>
  <c r="B11" i="2" s="1"/>
  <c r="B37" s="1"/>
  <c r="B11" i="1"/>
  <c r="B10" i="2" s="1"/>
  <c r="B36" s="1"/>
  <c r="B10" i="1"/>
  <c r="B9" i="2"/>
  <c r="B35" s="1"/>
  <c r="D12" i="3"/>
  <c r="H30" i="1"/>
  <c r="V30"/>
  <c r="U30"/>
  <c r="T30"/>
  <c r="L30"/>
  <c r="S30"/>
  <c r="R30"/>
  <c r="Q30"/>
  <c r="P30"/>
  <c r="O30"/>
  <c r="N30"/>
  <c r="M30"/>
  <c r="K30"/>
  <c r="J30"/>
  <c r="I30"/>
  <c r="Q29" i="2"/>
  <c r="Q30" s="1"/>
  <c r="J19"/>
  <c r="J21"/>
  <c r="J23"/>
  <c r="H41"/>
  <c r="V13"/>
  <c r="P28"/>
  <c r="V27"/>
  <c r="H52"/>
  <c r="N23"/>
  <c r="H50"/>
  <c r="V23"/>
  <c r="P22"/>
  <c r="P21"/>
  <c r="N20"/>
  <c r="U29"/>
  <c r="H44"/>
  <c r="V12"/>
  <c r="T29"/>
  <c r="T30" s="1"/>
  <c r="L29"/>
  <c r="L30" s="1"/>
  <c r="W29"/>
  <c r="N9"/>
  <c r="R14"/>
  <c r="R23"/>
  <c r="R27"/>
  <c r="R24"/>
  <c r="R28"/>
  <c r="H39"/>
  <c r="P13"/>
  <c r="R16"/>
  <c r="R19"/>
  <c r="R15"/>
  <c r="R13"/>
  <c r="P15"/>
  <c r="N16"/>
  <c r="V18"/>
  <c r="N17"/>
  <c r="P20"/>
  <c r="P19"/>
  <c r="N22"/>
  <c r="V24"/>
  <c r="N25"/>
  <c r="V25"/>
  <c r="P27"/>
  <c r="H54"/>
  <c r="N28"/>
  <c r="H45"/>
  <c r="V28"/>
  <c r="V16"/>
  <c r="P16"/>
  <c r="H53"/>
  <c r="J27"/>
  <c r="H51"/>
  <c r="V19"/>
  <c r="J22"/>
  <c r="H10"/>
  <c r="R11"/>
  <c r="P10"/>
  <c r="K35"/>
  <c r="K38"/>
  <c r="K40"/>
  <c r="J10"/>
  <c r="N10"/>
  <c r="N12"/>
  <c r="H14"/>
  <c r="N14"/>
  <c r="V14"/>
  <c r="H9"/>
  <c r="V9"/>
  <c r="H13"/>
  <c r="I13"/>
  <c r="N13"/>
  <c r="J13"/>
  <c r="N15"/>
  <c r="H17"/>
  <c r="I17" s="1"/>
  <c r="R17"/>
  <c r="C12" i="3"/>
  <c r="W30" i="2"/>
  <c r="R9"/>
  <c r="R18"/>
  <c r="R25"/>
  <c r="R21"/>
  <c r="R12"/>
  <c r="H38"/>
  <c r="H46"/>
  <c r="V21"/>
  <c r="H48"/>
  <c r="N21"/>
  <c r="P23"/>
  <c r="P24"/>
  <c r="V26"/>
  <c r="P25"/>
  <c r="N27"/>
  <c r="N19"/>
  <c r="J25"/>
  <c r="H49"/>
  <c r="H47"/>
  <c r="J28"/>
  <c r="J20"/>
  <c r="V15"/>
  <c r="P12" l="1"/>
  <c r="O29"/>
  <c r="O30" s="1"/>
  <c r="J9"/>
  <c r="P9"/>
  <c r="X9" s="1"/>
  <c r="U30"/>
  <c r="M30"/>
  <c r="I15"/>
  <c r="I21"/>
  <c r="X21" s="1"/>
  <c r="F47" s="1"/>
  <c r="L47" s="1"/>
  <c r="I25"/>
  <c r="X25" s="1"/>
  <c r="F51" s="1"/>
  <c r="L51" s="1"/>
  <c r="I55"/>
  <c r="I56" s="1"/>
  <c r="I14"/>
  <c r="J16"/>
  <c r="V11"/>
  <c r="J12"/>
  <c r="J15"/>
  <c r="I18"/>
  <c r="I26"/>
  <c r="H40"/>
  <c r="H42"/>
  <c r="S29"/>
  <c r="S30" s="1"/>
  <c r="I19"/>
  <c r="X19" s="1"/>
  <c r="F45" s="1"/>
  <c r="L45" s="1"/>
  <c r="I20"/>
  <c r="I23"/>
  <c r="X23" s="1"/>
  <c r="F49" s="1"/>
  <c r="L49" s="1"/>
  <c r="I24"/>
  <c r="I27"/>
  <c r="X27" s="1"/>
  <c r="F53" s="1"/>
  <c r="L53" s="1"/>
  <c r="I28"/>
  <c r="X28" s="1"/>
  <c r="F54" s="1"/>
  <c r="L54" s="1"/>
  <c r="K43"/>
  <c r="K36"/>
  <c r="I22"/>
  <c r="G55"/>
  <c r="G56" s="1"/>
  <c r="F29"/>
  <c r="I10"/>
  <c r="I9"/>
  <c r="H43"/>
  <c r="V17"/>
  <c r="X17" s="1"/>
  <c r="F43" s="1"/>
  <c r="K29"/>
  <c r="K30" s="1"/>
  <c r="G29"/>
  <c r="G30" s="1"/>
  <c r="J14"/>
  <c r="X14" s="1"/>
  <c r="F40" s="1"/>
  <c r="Q37"/>
  <c r="X13"/>
  <c r="F39" s="1"/>
  <c r="L39" s="1"/>
  <c r="X15"/>
  <c r="F41" s="1"/>
  <c r="L41" s="1"/>
  <c r="I11"/>
  <c r="K42"/>
  <c r="I16"/>
  <c r="H12"/>
  <c r="I12" s="1"/>
  <c r="R10"/>
  <c r="V10"/>
  <c r="H37"/>
  <c r="P18"/>
  <c r="J18"/>
  <c r="J26"/>
  <c r="N24"/>
  <c r="N26"/>
  <c r="V22"/>
  <c r="N18"/>
  <c r="R20"/>
  <c r="R26"/>
  <c r="R22"/>
  <c r="X22" s="1"/>
  <c r="F48" s="1"/>
  <c r="L48" s="1"/>
  <c r="N11"/>
  <c r="V20"/>
  <c r="P11"/>
  <c r="P26"/>
  <c r="J24"/>
  <c r="K55" l="1"/>
  <c r="R40" s="1"/>
  <c r="H55"/>
  <c r="L43"/>
  <c r="L40"/>
  <c r="J29"/>
  <c r="X12"/>
  <c r="F38" s="1"/>
  <c r="L38" s="1"/>
  <c r="X16"/>
  <c r="F42" s="1"/>
  <c r="L42" s="1"/>
  <c r="X20"/>
  <c r="F46" s="1"/>
  <c r="L46" s="1"/>
  <c r="X24"/>
  <c r="F50" s="1"/>
  <c r="L50" s="1"/>
  <c r="X26"/>
  <c r="F52" s="1"/>
  <c r="L52" s="1"/>
  <c r="R29"/>
  <c r="Q39"/>
  <c r="Q38"/>
  <c r="Q36"/>
  <c r="F30"/>
  <c r="I29"/>
  <c r="F35"/>
  <c r="P29"/>
  <c r="N29"/>
  <c r="V29"/>
  <c r="X18"/>
  <c r="F44" s="1"/>
  <c r="L44" s="1"/>
  <c r="X10"/>
  <c r="F36" s="1"/>
  <c r="L36" s="1"/>
  <c r="X11"/>
  <c r="F37" s="1"/>
  <c r="L37" s="1"/>
  <c r="L35" l="1"/>
  <c r="L55" s="1"/>
  <c r="R41" s="1"/>
  <c r="F55"/>
  <c r="Q35" s="1"/>
  <c r="Q42" s="1"/>
  <c r="X29"/>
  <c r="Q44" l="1"/>
  <c r="R42"/>
  <c r="R43" s="1"/>
</calcChain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M' Crecy:
</t>
        </r>
        <r>
          <rPr>
            <sz val="9"/>
            <color indexed="81"/>
            <rFont val="Tahoma"/>
            <family val="2"/>
          </rPr>
          <t>1st cut off format
Month Date - Month Date, Year</t>
        </r>
        <r>
          <rPr>
            <b/>
            <sz val="9"/>
            <color indexed="81"/>
            <rFont val="Tahoma"/>
            <family val="2"/>
          </rPr>
          <t xml:space="preserve"> 
Ex. Dec 21 - Jan 5, 2017
</t>
        </r>
        <r>
          <rPr>
            <sz val="9"/>
            <color indexed="81"/>
            <rFont val="Tahoma"/>
            <family val="2"/>
          </rPr>
          <t>2nd cut off format:
Month Date - Date, Year</t>
        </r>
        <r>
          <rPr>
            <b/>
            <sz val="9"/>
            <color indexed="81"/>
            <rFont val="Tahoma"/>
            <family val="2"/>
          </rPr>
          <t xml:space="preserve">
Ex. January 6 - 20, 2017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 xml:space="preserve">M' Crecy:
Required to be filled up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M'Crecy:
Required to be filled up</t>
        </r>
        <r>
          <rPr>
            <sz val="9"/>
            <color indexed="81"/>
            <rFont val="Tahoma"/>
            <family val="2"/>
          </rPr>
          <t xml:space="preserve">
Y - no meal charges
N - with meal deduction</t>
        </r>
      </text>
    </comment>
  </commentList>
</comments>
</file>

<file path=xl/sharedStrings.xml><?xml version="1.0" encoding="utf-8"?>
<sst xmlns="http://schemas.openxmlformats.org/spreadsheetml/2006/main" count="137" uniqueCount="94">
  <si>
    <t>OVERTIME PAY ON A</t>
  </si>
  <si>
    <t>Legal Holiday</t>
  </si>
  <si>
    <t>Special Holiday</t>
  </si>
  <si>
    <t>Adjustment</t>
  </si>
  <si>
    <t>DEDUCTION</t>
  </si>
  <si>
    <t>Incentive Leave</t>
  </si>
  <si>
    <t>Regular Day</t>
  </si>
  <si>
    <t>Uniform</t>
  </si>
  <si>
    <t>Total</t>
  </si>
  <si>
    <t>TIMEKEEPING</t>
  </si>
  <si>
    <t>Outlet:</t>
  </si>
  <si>
    <t>Period:</t>
  </si>
  <si>
    <t>Position</t>
  </si>
  <si>
    <t>NUMBER OF DAYS</t>
  </si>
  <si>
    <t>OVERTIME PAY ON</t>
  </si>
  <si>
    <t>NIGHT DIFFERENTIAL PAY ON</t>
  </si>
  <si>
    <t>* applicable for COOP Members only</t>
  </si>
  <si>
    <t>#</t>
  </si>
  <si>
    <t>Others</t>
  </si>
  <si>
    <t>NAME 
(Surname First)
 Please arrange aphabetically!</t>
  </si>
  <si>
    <t>TOTAL</t>
  </si>
  <si>
    <t>Ispark #</t>
  </si>
  <si>
    <t>Late / 
UT</t>
  </si>
  <si>
    <t>EC / 
OC</t>
  </si>
  <si>
    <t>AT YOUR SERVICE COOPERATIVE</t>
  </si>
  <si>
    <t>Period Covered:</t>
  </si>
  <si>
    <t>No.</t>
  </si>
  <si>
    <t>Member Name</t>
  </si>
  <si>
    <t>No. of Days Worked</t>
  </si>
  <si>
    <t>Billing Rate Per Day</t>
  </si>
  <si>
    <t>Basic Billing Amount</t>
  </si>
  <si>
    <t>Amount</t>
  </si>
  <si>
    <t>Adjusment</t>
  </si>
  <si>
    <t>REGULAR DAY</t>
  </si>
  <si>
    <t>LEGAL HOLIDAY</t>
  </si>
  <si>
    <t>SPECIAL HOLIDAY</t>
  </si>
  <si>
    <t>Late/UT</t>
  </si>
  <si>
    <t>Food Charges Only</t>
  </si>
  <si>
    <t>Other Deduction (uniform)</t>
  </si>
  <si>
    <t>Net Billing Amount</t>
  </si>
  <si>
    <t>Remarks:</t>
  </si>
  <si>
    <t>Prepared by:</t>
  </si>
  <si>
    <t>Checked by:</t>
  </si>
  <si>
    <t>Approved by:</t>
  </si>
  <si>
    <t>Crecy Ibarra</t>
  </si>
  <si>
    <t>MT Bookkeeper / Admin Assist</t>
  </si>
  <si>
    <t>Store Supervisor</t>
  </si>
  <si>
    <t>Head Accountant</t>
  </si>
  <si>
    <t>RM</t>
  </si>
  <si>
    <t>Trainee</t>
  </si>
  <si>
    <t>Basic Pay</t>
  </si>
  <si>
    <t>13th month</t>
  </si>
  <si>
    <t>SSS Premiums</t>
  </si>
  <si>
    <t>Philhealth Premiums</t>
  </si>
  <si>
    <t>Pagibig Premiums</t>
  </si>
  <si>
    <t>Admin Fee</t>
  </si>
  <si>
    <t>BILLING RATES</t>
  </si>
  <si>
    <t>Particulars</t>
  </si>
  <si>
    <r>
      <t xml:space="preserve">R - </t>
    </r>
    <r>
      <rPr>
        <sz val="12"/>
        <color indexed="8"/>
        <rFont val="Calibri"/>
        <family val="2"/>
      </rPr>
      <t>Regular Member</t>
    </r>
    <r>
      <rPr>
        <b/>
        <sz val="12"/>
        <color indexed="8"/>
        <rFont val="Calibri"/>
        <family val="2"/>
      </rPr>
      <t xml:space="preserve">
T - </t>
    </r>
    <r>
      <rPr>
        <sz val="12"/>
        <color indexed="8"/>
        <rFont val="Calibri"/>
        <family val="2"/>
      </rPr>
      <t>Trainee</t>
    </r>
  </si>
  <si>
    <r>
      <rPr>
        <sz val="12"/>
        <color indexed="8"/>
        <rFont val="Calibri"/>
        <family val="2"/>
      </rPr>
      <t>Meal Entitlement?</t>
    </r>
    <r>
      <rPr>
        <b/>
        <sz val="12"/>
        <color indexed="8"/>
        <rFont val="Calibri"/>
        <family val="2"/>
      </rPr>
      <t xml:space="preserve">
Y or N</t>
    </r>
  </si>
  <si>
    <t>T</t>
  </si>
  <si>
    <t>R</t>
  </si>
  <si>
    <t>Y</t>
  </si>
  <si>
    <t>N</t>
  </si>
  <si>
    <t>Member's Status</t>
  </si>
  <si>
    <t>Checking</t>
  </si>
  <si>
    <t>NIGHT DIFFERENTIAL PAY ON A</t>
  </si>
  <si>
    <t>Total Amount
(OT)</t>
  </si>
  <si>
    <t>Total Amount
(NDS)</t>
  </si>
  <si>
    <t>Meal Entitlement</t>
  </si>
  <si>
    <t>Employee Meal</t>
  </si>
  <si>
    <t xml:space="preserve">       Salaries &amp; Wages</t>
  </si>
  <si>
    <t xml:space="preserve">       SSS Expense</t>
  </si>
  <si>
    <t xml:space="preserve">       Phealth Expense</t>
  </si>
  <si>
    <t xml:space="preserve">       Pag Ibig Expense</t>
  </si>
  <si>
    <t xml:space="preserve">      13th Month</t>
  </si>
  <si>
    <t xml:space="preserve">                Advances</t>
  </si>
  <si>
    <t xml:space="preserve">                Payable to COOP</t>
  </si>
  <si>
    <t>2% Wittholding Tax</t>
  </si>
  <si>
    <t>TOSH</t>
  </si>
  <si>
    <t>COLA</t>
  </si>
  <si>
    <t>Cook</t>
  </si>
  <si>
    <t>TOSH (Valero/Pioneer )</t>
  </si>
  <si>
    <t>Cahilig,Benzen</t>
  </si>
  <si>
    <t>Waiter</t>
  </si>
  <si>
    <t>Hayagan,Ruel</t>
  </si>
  <si>
    <t>Pantry</t>
  </si>
  <si>
    <t>Pantoja,Nancy</t>
  </si>
  <si>
    <t>Villanueva,Jeffrey</t>
  </si>
  <si>
    <t>Espinosa,Camille Denise</t>
  </si>
  <si>
    <t>Cashier</t>
  </si>
  <si>
    <t>Atienza,Mark Joseph</t>
  </si>
  <si>
    <t>Arel,Issacar</t>
  </si>
  <si>
    <t>April 11-25,2018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</si>
</sst>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8"/>
      <color indexed="53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53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71">
    <xf numFmtId="0" fontId="0" fillId="0" borderId="0" xfId="0"/>
    <xf numFmtId="0" fontId="21" fillId="0" borderId="0" xfId="0" applyFont="1"/>
    <xf numFmtId="43" fontId="22" fillId="0" borderId="0" xfId="1" applyFont="1"/>
    <xf numFmtId="0" fontId="0" fillId="0" borderId="0" xfId="0" applyFont="1"/>
    <xf numFmtId="0" fontId="23" fillId="0" borderId="1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0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0" fillId="0" borderId="0" xfId="0" applyFont="1" applyBorder="1"/>
    <xf numFmtId="0" fontId="0" fillId="0" borderId="0" xfId="0" applyFont="1" applyBorder="1" applyProtection="1">
      <protection locked="0"/>
    </xf>
    <xf numFmtId="0" fontId="23" fillId="0" borderId="0" xfId="0" applyFont="1" applyBorder="1" applyAlignment="1" applyProtection="1">
      <alignment horizontal="center" vertical="center" wrapText="1"/>
    </xf>
    <xf numFmtId="2" fontId="21" fillId="0" borderId="0" xfId="1" applyNumberFormat="1" applyFont="1" applyBorder="1" applyProtection="1">
      <protection locked="0"/>
    </xf>
    <xf numFmtId="2" fontId="21" fillId="0" borderId="0" xfId="0" applyNumberFormat="1" applyFont="1" applyBorder="1" applyProtection="1">
      <protection locked="0"/>
    </xf>
    <xf numFmtId="0" fontId="21" fillId="2" borderId="5" xfId="0" applyFont="1" applyFill="1" applyBorder="1" applyProtection="1">
      <protection locked="0"/>
    </xf>
    <xf numFmtId="0" fontId="21" fillId="0" borderId="6" xfId="0" applyFont="1" applyBorder="1" applyProtection="1">
      <protection locked="0"/>
    </xf>
    <xf numFmtId="0" fontId="21" fillId="0" borderId="0" xfId="0" applyFont="1" applyBorder="1" applyProtection="1">
      <protection locked="0"/>
    </xf>
    <xf numFmtId="0" fontId="23" fillId="0" borderId="0" xfId="0" applyFont="1" applyBorder="1" applyProtection="1">
      <protection locked="0"/>
    </xf>
    <xf numFmtId="2" fontId="21" fillId="0" borderId="7" xfId="1" applyNumberFormat="1" applyFont="1" applyBorder="1" applyProtection="1">
      <protection locked="0"/>
    </xf>
    <xf numFmtId="0" fontId="21" fillId="0" borderId="0" xfId="0" applyFont="1" applyBorder="1"/>
    <xf numFmtId="2" fontId="21" fillId="3" borderId="0" xfId="1" applyNumberFormat="1" applyFont="1" applyFill="1" applyBorder="1" applyProtection="1">
      <protection locked="0"/>
    </xf>
    <xf numFmtId="0" fontId="0" fillId="3" borderId="0" xfId="0" applyFont="1" applyFill="1" applyBorder="1"/>
    <xf numFmtId="0" fontId="0" fillId="3" borderId="0" xfId="0" applyFont="1" applyFill="1" applyBorder="1" applyProtection="1">
      <protection locked="0"/>
    </xf>
    <xf numFmtId="0" fontId="23" fillId="3" borderId="0" xfId="0" applyFont="1" applyFill="1" applyBorder="1" applyAlignment="1" applyProtection="1">
      <alignment horizontal="center" vertical="center" wrapText="1"/>
    </xf>
    <xf numFmtId="2" fontId="25" fillId="3" borderId="0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23" fillId="3" borderId="0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/>
      <protection locked="0"/>
    </xf>
    <xf numFmtId="2" fontId="21" fillId="4" borderId="8" xfId="0" applyNumberFormat="1" applyFont="1" applyFill="1" applyBorder="1" applyAlignment="1" applyProtection="1">
      <alignment horizontal="center"/>
      <protection locked="0"/>
    </xf>
    <xf numFmtId="2" fontId="21" fillId="0" borderId="8" xfId="0" applyNumberFormat="1" applyFont="1" applyBorder="1" applyAlignment="1" applyProtection="1">
      <alignment horizontal="center"/>
      <protection locked="0"/>
    </xf>
    <xf numFmtId="2" fontId="21" fillId="0" borderId="2" xfId="0" applyNumberFormat="1" applyFont="1" applyBorder="1" applyAlignment="1" applyProtection="1">
      <alignment horizontal="center"/>
      <protection locked="0"/>
    </xf>
    <xf numFmtId="43" fontId="21" fillId="4" borderId="0" xfId="1" applyFont="1" applyFill="1" applyBorder="1" applyProtection="1">
      <protection locked="0"/>
    </xf>
    <xf numFmtId="43" fontId="21" fillId="0" borderId="0" xfId="1" applyFont="1" applyBorder="1" applyProtection="1">
      <protection locked="0"/>
    </xf>
    <xf numFmtId="43" fontId="21" fillId="4" borderId="7" xfId="1" applyFont="1" applyFill="1" applyBorder="1" applyProtection="1">
      <protection locked="0"/>
    </xf>
    <xf numFmtId="43" fontId="21" fillId="0" borderId="7" xfId="1" applyFont="1" applyBorder="1" applyProtection="1">
      <protection locked="0"/>
    </xf>
    <xf numFmtId="43" fontId="21" fillId="0" borderId="9" xfId="1" applyFont="1" applyBorder="1" applyProtection="1">
      <protection locked="0"/>
    </xf>
    <xf numFmtId="43" fontId="21" fillId="0" borderId="10" xfId="1" applyFont="1" applyBorder="1" applyProtection="1">
      <protection locked="0"/>
    </xf>
    <xf numFmtId="43" fontId="21" fillId="4" borderId="8" xfId="1" applyFont="1" applyFill="1" applyBorder="1" applyProtection="1">
      <protection locked="0"/>
    </xf>
    <xf numFmtId="43" fontId="21" fillId="0" borderId="8" xfId="1" applyFont="1" applyBorder="1" applyProtection="1">
      <protection locked="0"/>
    </xf>
    <xf numFmtId="0" fontId="26" fillId="0" borderId="0" xfId="0" applyFont="1" applyProtection="1"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28" fillId="0" borderId="0" xfId="0" applyFont="1" applyProtection="1">
      <protection hidden="1"/>
    </xf>
    <xf numFmtId="43" fontId="28" fillId="0" borderId="0" xfId="0" applyNumberFormat="1" applyFont="1" applyProtection="1">
      <protection hidden="1"/>
    </xf>
    <xf numFmtId="43" fontId="28" fillId="0" borderId="0" xfId="2" applyFont="1" applyProtection="1">
      <protection hidden="1"/>
    </xf>
    <xf numFmtId="43" fontId="29" fillId="0" borderId="11" xfId="2" applyFont="1" applyBorder="1" applyProtection="1">
      <protection hidden="1"/>
    </xf>
    <xf numFmtId="0" fontId="30" fillId="2" borderId="12" xfId="0" applyFont="1" applyFill="1" applyBorder="1" applyAlignment="1" applyProtection="1">
      <alignment horizontal="center" vertical="center"/>
      <protection locked="0"/>
    </xf>
    <xf numFmtId="0" fontId="30" fillId="2" borderId="13" xfId="0" applyFont="1" applyFill="1" applyBorder="1" applyAlignment="1" applyProtection="1">
      <alignment horizontal="center" vertical="center"/>
      <protection locked="0"/>
    </xf>
    <xf numFmtId="0" fontId="25" fillId="2" borderId="14" xfId="0" applyFont="1" applyFill="1" applyBorder="1" applyAlignment="1" applyProtection="1">
      <alignment horizontal="center" vertical="center"/>
      <protection locked="0"/>
    </xf>
    <xf numFmtId="2" fontId="25" fillId="2" borderId="14" xfId="0" applyNumberFormat="1" applyFont="1" applyFill="1" applyBorder="1" applyAlignment="1" applyProtection="1">
      <alignment horizontal="center" vertical="center"/>
      <protection locked="0"/>
    </xf>
    <xf numFmtId="2" fontId="25" fillId="2" borderId="14" xfId="1" applyNumberFormat="1" applyFont="1" applyFill="1" applyBorder="1" applyAlignment="1" applyProtection="1">
      <alignment horizontal="center" vertical="center"/>
      <protection locked="0"/>
    </xf>
    <xf numFmtId="2" fontId="25" fillId="2" borderId="15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43" fontId="21" fillId="0" borderId="2" xfId="1" applyFont="1" applyBorder="1" applyProtection="1">
      <protection locked="0"/>
    </xf>
    <xf numFmtId="2" fontId="21" fillId="4" borderId="16" xfId="0" applyNumberFormat="1" applyFont="1" applyFill="1" applyBorder="1" applyAlignment="1" applyProtection="1">
      <alignment horizontal="center"/>
      <protection locked="0"/>
    </xf>
    <xf numFmtId="43" fontId="21" fillId="4" borderId="17" xfId="1" applyFont="1" applyFill="1" applyBorder="1" applyProtection="1">
      <protection locked="0"/>
    </xf>
    <xf numFmtId="43" fontId="21" fillId="4" borderId="16" xfId="1" applyFont="1" applyFill="1" applyBorder="1" applyProtection="1">
      <protection locked="0"/>
    </xf>
    <xf numFmtId="43" fontId="21" fillId="4" borderId="18" xfId="1" applyFont="1" applyFill="1" applyBorder="1" applyProtection="1">
      <protection locked="0"/>
    </xf>
    <xf numFmtId="0" fontId="23" fillId="5" borderId="19" xfId="0" applyFont="1" applyFill="1" applyBorder="1" applyProtection="1"/>
    <xf numFmtId="2" fontId="23" fillId="5" borderId="20" xfId="0" applyNumberFormat="1" applyFont="1" applyFill="1" applyBorder="1" applyAlignment="1" applyProtection="1">
      <alignment horizontal="center"/>
    </xf>
    <xf numFmtId="43" fontId="23" fillId="5" borderId="20" xfId="1" applyFont="1" applyFill="1" applyBorder="1" applyAlignment="1" applyProtection="1"/>
    <xf numFmtId="43" fontId="23" fillId="5" borderId="21" xfId="1" applyFont="1" applyFill="1" applyBorder="1" applyAlignment="1" applyProtection="1"/>
    <xf numFmtId="43" fontId="23" fillId="5" borderId="22" xfId="1" applyFont="1" applyFill="1" applyBorder="1" applyAlignment="1" applyProtection="1"/>
    <xf numFmtId="43" fontId="27" fillId="0" borderId="0" xfId="2" applyFont="1" applyBorder="1" applyAlignment="1" applyProtection="1">
      <alignment vertical="center"/>
      <protection hidden="1"/>
    </xf>
    <xf numFmtId="43" fontId="27" fillId="0" borderId="0" xfId="2" applyFont="1" applyBorder="1" applyAlignment="1" applyProtection="1">
      <alignment horizontal="center"/>
      <protection hidden="1"/>
    </xf>
    <xf numFmtId="0" fontId="9" fillId="0" borderId="23" xfId="1" applyNumberFormat="1" applyFont="1" applyFill="1" applyBorder="1" applyAlignment="1" applyProtection="1">
      <alignment horizontal="center" vertical="center"/>
    </xf>
    <xf numFmtId="0" fontId="23" fillId="0" borderId="0" xfId="0" applyFont="1" applyProtection="1">
      <protection locked="0"/>
    </xf>
    <xf numFmtId="0" fontId="9" fillId="0" borderId="8" xfId="1" applyNumberFormat="1" applyFont="1" applyFill="1" applyBorder="1" applyAlignment="1" applyProtection="1">
      <alignment horizontal="center" vertical="center"/>
    </xf>
    <xf numFmtId="43" fontId="9" fillId="6" borderId="23" xfId="1" applyFont="1" applyFill="1" applyBorder="1" applyProtection="1">
      <protection hidden="1"/>
    </xf>
    <xf numFmtId="43" fontId="9" fillId="4" borderId="23" xfId="1" applyFont="1" applyFill="1" applyBorder="1" applyProtection="1">
      <protection hidden="1"/>
    </xf>
    <xf numFmtId="43" fontId="9" fillId="3" borderId="24" xfId="1" applyFont="1" applyFill="1" applyBorder="1" applyProtection="1">
      <protection hidden="1"/>
    </xf>
    <xf numFmtId="43" fontId="9" fillId="3" borderId="16" xfId="1" applyFont="1" applyFill="1" applyBorder="1" applyProtection="1">
      <protection hidden="1"/>
    </xf>
    <xf numFmtId="43" fontId="16" fillId="4" borderId="0" xfId="1" applyFont="1" applyFill="1" applyBorder="1" applyProtection="1">
      <protection hidden="1"/>
    </xf>
    <xf numFmtId="0" fontId="21" fillId="7" borderId="16" xfId="0" applyNumberFormat="1" applyFont="1" applyFill="1" applyBorder="1" applyAlignment="1" applyProtection="1">
      <alignment horizontal="center" vertical="center"/>
      <protection locked="0"/>
    </xf>
    <xf numFmtId="0" fontId="21" fillId="7" borderId="8" xfId="0" applyNumberFormat="1" applyFont="1" applyFill="1" applyBorder="1" applyAlignment="1" applyProtection="1">
      <alignment horizontal="center" vertical="center"/>
      <protection locked="0"/>
    </xf>
    <xf numFmtId="0" fontId="21" fillId="7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7" fillId="0" borderId="0" xfId="4" applyFont="1" applyBorder="1" applyAlignment="1" applyProtection="1">
      <alignment vertical="center"/>
    </xf>
    <xf numFmtId="43" fontId="8" fillId="0" borderId="0" xfId="2" applyFont="1" applyBorder="1" applyProtection="1"/>
    <xf numFmtId="43" fontId="8" fillId="0" borderId="0" xfId="1" applyFont="1" applyBorder="1" applyProtection="1"/>
    <xf numFmtId="0" fontId="8" fillId="0" borderId="0" xfId="4" applyFont="1" applyBorder="1" applyProtection="1"/>
    <xf numFmtId="0" fontId="24" fillId="0" borderId="0" xfId="0" applyFont="1" applyProtection="1"/>
    <xf numFmtId="0" fontId="31" fillId="0" borderId="0" xfId="4" applyFont="1" applyFill="1" applyBorder="1" applyAlignment="1" applyProtection="1">
      <alignment vertical="center"/>
    </xf>
    <xf numFmtId="43" fontId="9" fillId="0" borderId="0" xfId="2" applyFont="1" applyBorder="1" applyProtection="1"/>
    <xf numFmtId="43" fontId="9" fillId="0" borderId="0" xfId="1" applyFont="1" applyBorder="1" applyProtection="1"/>
    <xf numFmtId="0" fontId="9" fillId="0" borderId="0" xfId="4" applyFont="1" applyBorder="1" applyProtection="1"/>
    <xf numFmtId="16" fontId="10" fillId="0" borderId="0" xfId="4" applyNumberFormat="1" applyFont="1" applyFill="1" applyBorder="1" applyAlignment="1" applyProtection="1">
      <alignment vertical="center"/>
    </xf>
    <xf numFmtId="43" fontId="2" fillId="0" borderId="0" xfId="2" applyFont="1" applyBorder="1" applyProtection="1"/>
    <xf numFmtId="43" fontId="2" fillId="0" borderId="0" xfId="1" applyFont="1" applyBorder="1" applyProtection="1"/>
    <xf numFmtId="0" fontId="2" fillId="0" borderId="0" xfId="4" applyFont="1" applyBorder="1" applyProtection="1"/>
    <xf numFmtId="0" fontId="1" fillId="0" borderId="0" xfId="4" applyFont="1" applyProtection="1"/>
    <xf numFmtId="0" fontId="9" fillId="0" borderId="0" xfId="4" applyFont="1" applyBorder="1" applyAlignment="1" applyProtection="1">
      <alignment horizontal="center"/>
    </xf>
    <xf numFmtId="43" fontId="11" fillId="0" borderId="0" xfId="2" applyFont="1" applyBorder="1" applyProtection="1"/>
    <xf numFmtId="43" fontId="12" fillId="0" borderId="0" xfId="2" applyFont="1" applyBorder="1" applyProtection="1"/>
    <xf numFmtId="0" fontId="9" fillId="0" borderId="25" xfId="5" applyFont="1" applyFill="1" applyBorder="1" applyAlignment="1" applyProtection="1">
      <alignment horizontal="center"/>
    </xf>
    <xf numFmtId="43" fontId="9" fillId="0" borderId="23" xfId="1" applyFont="1" applyFill="1" applyBorder="1" applyProtection="1"/>
    <xf numFmtId="43" fontId="9" fillId="0" borderId="23" xfId="1" applyFont="1" applyFill="1" applyBorder="1" applyAlignment="1" applyProtection="1"/>
    <xf numFmtId="2" fontId="9" fillId="0" borderId="23" xfId="1" applyNumberFormat="1" applyFont="1" applyFill="1" applyBorder="1" applyAlignment="1" applyProtection="1">
      <alignment horizontal="center" vertical="center"/>
    </xf>
    <xf numFmtId="43" fontId="9" fillId="3" borderId="23" xfId="1" applyFont="1" applyFill="1" applyBorder="1" applyProtection="1"/>
    <xf numFmtId="43" fontId="9" fillId="4" borderId="23" xfId="1" applyFont="1" applyFill="1" applyBorder="1" applyProtection="1"/>
    <xf numFmtId="43" fontId="9" fillId="8" borderId="26" xfId="1" applyFont="1" applyFill="1" applyBorder="1" applyProtection="1"/>
    <xf numFmtId="0" fontId="9" fillId="0" borderId="27" xfId="5" applyFont="1" applyFill="1" applyBorder="1" applyAlignment="1" applyProtection="1">
      <alignment horizontal="center"/>
    </xf>
    <xf numFmtId="43" fontId="9" fillId="0" borderId="24" xfId="1" applyFont="1" applyFill="1" applyBorder="1" applyProtection="1"/>
    <xf numFmtId="43" fontId="9" fillId="0" borderId="24" xfId="1" applyFont="1" applyFill="1" applyBorder="1" applyAlignment="1" applyProtection="1"/>
    <xf numFmtId="0" fontId="9" fillId="0" borderId="28" xfId="5" applyFont="1" applyFill="1" applyBorder="1" applyAlignment="1" applyProtection="1">
      <alignment horizontal="center"/>
    </xf>
    <xf numFmtId="43" fontId="9" fillId="0" borderId="16" xfId="1" applyFont="1" applyFill="1" applyBorder="1" applyProtection="1"/>
    <xf numFmtId="43" fontId="9" fillId="0" borderId="16" xfId="1" applyFont="1" applyFill="1" applyBorder="1" applyAlignment="1" applyProtection="1"/>
    <xf numFmtId="2" fontId="9" fillId="0" borderId="8" xfId="1" applyNumberFormat="1" applyFont="1" applyFill="1" applyBorder="1" applyAlignment="1" applyProtection="1">
      <alignment horizontal="center" vertical="center"/>
    </xf>
    <xf numFmtId="43" fontId="9" fillId="3" borderId="8" xfId="1" applyFont="1" applyFill="1" applyBorder="1" applyProtection="1"/>
    <xf numFmtId="43" fontId="2" fillId="0" borderId="29" xfId="1" applyFont="1" applyFill="1" applyBorder="1" applyProtection="1"/>
    <xf numFmtId="43" fontId="2" fillId="0" borderId="20" xfId="1" applyFont="1" applyFill="1" applyBorder="1" applyAlignment="1" applyProtection="1">
      <alignment horizontal="left"/>
    </xf>
    <xf numFmtId="0" fontId="2" fillId="0" borderId="20" xfId="1" applyNumberFormat="1" applyFont="1" applyFill="1" applyBorder="1" applyAlignment="1" applyProtection="1">
      <alignment horizontal="center" vertical="center"/>
    </xf>
    <xf numFmtId="2" fontId="2" fillId="0" borderId="20" xfId="1" applyNumberFormat="1" applyFont="1" applyFill="1" applyBorder="1" applyAlignment="1" applyProtection="1">
      <alignment horizontal="center" vertical="center"/>
    </xf>
    <xf numFmtId="43" fontId="2" fillId="3" borderId="20" xfId="1" applyFont="1" applyFill="1" applyBorder="1" applyAlignment="1" applyProtection="1">
      <alignment horizontal="center"/>
    </xf>
    <xf numFmtId="43" fontId="2" fillId="4" borderId="20" xfId="1" applyFont="1" applyFill="1" applyBorder="1" applyAlignment="1" applyProtection="1">
      <alignment horizontal="center"/>
    </xf>
    <xf numFmtId="43" fontId="2" fillId="8" borderId="30" xfId="1" applyFont="1" applyFill="1" applyBorder="1" applyAlignment="1" applyProtection="1">
      <alignment horizontal="center"/>
    </xf>
    <xf numFmtId="43" fontId="2" fillId="3" borderId="0" xfId="1" applyFont="1" applyFill="1" applyBorder="1" applyProtection="1"/>
    <xf numFmtId="43" fontId="15" fillId="3" borderId="0" xfId="1" applyFont="1" applyFill="1" applyBorder="1" applyAlignment="1" applyProtection="1">
      <alignment horizontal="left"/>
    </xf>
    <xf numFmtId="43" fontId="2" fillId="3" borderId="0" xfId="1" applyFont="1" applyFill="1" applyBorder="1" applyAlignment="1" applyProtection="1">
      <alignment horizontal="left"/>
    </xf>
    <xf numFmtId="0" fontId="2" fillId="3" borderId="0" xfId="1" applyNumberFormat="1" applyFont="1" applyFill="1" applyBorder="1" applyAlignment="1" applyProtection="1">
      <alignment horizontal="center" vertical="center"/>
    </xf>
    <xf numFmtId="2" fontId="2" fillId="3" borderId="0" xfId="1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0" fontId="1" fillId="0" borderId="0" xfId="5" applyFont="1" applyFill="1" applyProtection="1"/>
    <xf numFmtId="0" fontId="2" fillId="0" borderId="0" xfId="5" applyFont="1" applyFill="1" applyProtection="1"/>
    <xf numFmtId="0" fontId="9" fillId="0" borderId="0" xfId="5" applyFont="1" applyFill="1" applyAlignment="1" applyProtection="1">
      <alignment horizontal="center"/>
    </xf>
    <xf numFmtId="0" fontId="13" fillId="0" borderId="0" xfId="5" applyFont="1" applyFill="1" applyProtection="1"/>
    <xf numFmtId="43" fontId="2" fillId="0" borderId="0" xfId="3" applyFont="1" applyFill="1" applyProtection="1"/>
    <xf numFmtId="0" fontId="32" fillId="0" borderId="0" xfId="5" applyFont="1" applyFill="1" applyProtection="1"/>
    <xf numFmtId="0" fontId="33" fillId="0" borderId="0" xfId="5" applyFont="1" applyFill="1" applyProtection="1"/>
    <xf numFmtId="0" fontId="34" fillId="0" borderId="0" xfId="5" applyFont="1" applyFill="1" applyProtection="1"/>
    <xf numFmtId="43" fontId="14" fillId="0" borderId="0" xfId="3" applyFont="1" applyFill="1" applyProtection="1"/>
    <xf numFmtId="43" fontId="9" fillId="8" borderId="23" xfId="1" applyFont="1" applyFill="1" applyBorder="1" applyProtection="1"/>
    <xf numFmtId="43" fontId="2" fillId="5" borderId="26" xfId="1" applyFont="1" applyFill="1" applyBorder="1" applyProtection="1"/>
    <xf numFmtId="0" fontId="35" fillId="0" borderId="0" xfId="5" applyFont="1" applyFill="1" applyProtection="1"/>
    <xf numFmtId="43" fontId="9" fillId="0" borderId="0" xfId="3" applyFont="1" applyFill="1" applyProtection="1"/>
    <xf numFmtId="43" fontId="9" fillId="3" borderId="0" xfId="1" applyFont="1" applyFill="1" applyBorder="1" applyProtection="1"/>
    <xf numFmtId="0" fontId="9" fillId="0" borderId="0" xfId="5" applyFont="1" applyFill="1" applyProtection="1"/>
    <xf numFmtId="43" fontId="9" fillId="0" borderId="0" xfId="3" applyFont="1" applyProtection="1"/>
    <xf numFmtId="0" fontId="35" fillId="0" borderId="0" xfId="5" applyFont="1" applyProtection="1"/>
    <xf numFmtId="0" fontId="9" fillId="0" borderId="0" xfId="5" applyFont="1" applyProtection="1"/>
    <xf numFmtId="0" fontId="1" fillId="0" borderId="0" xfId="5" applyFont="1" applyProtection="1"/>
    <xf numFmtId="0" fontId="2" fillId="0" borderId="11" xfId="5" applyFont="1" applyBorder="1" applyProtection="1"/>
    <xf numFmtId="43" fontId="2" fillId="0" borderId="11" xfId="3" applyFont="1" applyFill="1" applyBorder="1" applyProtection="1"/>
    <xf numFmtId="43" fontId="9" fillId="0" borderId="0" xfId="5" applyNumberFormat="1" applyFont="1" applyProtection="1"/>
    <xf numFmtId="43" fontId="2" fillId="4" borderId="0" xfId="3" applyFont="1" applyFill="1" applyProtection="1"/>
    <xf numFmtId="0" fontId="2" fillId="4" borderId="0" xfId="5" applyFont="1" applyFill="1" applyProtection="1"/>
    <xf numFmtId="0" fontId="36" fillId="0" borderId="0" xfId="5" applyFont="1" applyProtection="1"/>
    <xf numFmtId="0" fontId="9" fillId="0" borderId="31" xfId="5" applyFont="1" applyFill="1" applyBorder="1" applyAlignment="1" applyProtection="1">
      <alignment horizontal="center"/>
    </xf>
    <xf numFmtId="43" fontId="9" fillId="0" borderId="8" xfId="1" applyFont="1" applyFill="1" applyBorder="1" applyProtection="1"/>
    <xf numFmtId="43" fontId="9" fillId="0" borderId="8" xfId="1" applyFont="1" applyFill="1" applyBorder="1" applyAlignment="1" applyProtection="1"/>
    <xf numFmtId="43" fontId="9" fillId="8" borderId="8" xfId="1" applyFont="1" applyFill="1" applyBorder="1" applyProtection="1"/>
    <xf numFmtId="43" fontId="9" fillId="4" borderId="8" xfId="1" applyFont="1" applyFill="1" applyBorder="1" applyProtection="1"/>
    <xf numFmtId="43" fontId="2" fillId="0" borderId="29" xfId="1" applyFont="1" applyBorder="1" applyProtection="1"/>
    <xf numFmtId="43" fontId="2" fillId="0" borderId="20" xfId="1" applyFont="1" applyBorder="1" applyAlignment="1" applyProtection="1">
      <alignment horizontal="left"/>
    </xf>
    <xf numFmtId="43" fontId="2" fillId="8" borderId="20" xfId="1" applyFont="1" applyFill="1" applyBorder="1" applyProtection="1"/>
    <xf numFmtId="43" fontId="2" fillId="5" borderId="30" xfId="1" applyFont="1" applyFill="1" applyBorder="1" applyAlignment="1" applyProtection="1">
      <alignment horizontal="center"/>
    </xf>
    <xf numFmtId="43" fontId="36" fillId="0" borderId="0" xfId="1" applyFont="1" applyProtection="1"/>
    <xf numFmtId="43" fontId="35" fillId="0" borderId="0" xfId="1" applyFont="1" applyProtection="1"/>
    <xf numFmtId="43" fontId="9" fillId="0" borderId="0" xfId="1" applyFont="1" applyProtection="1"/>
    <xf numFmtId="43" fontId="1" fillId="0" borderId="0" xfId="1" applyFont="1" applyProtection="1"/>
    <xf numFmtId="0" fontId="37" fillId="0" borderId="0" xfId="0" applyFont="1" applyProtection="1"/>
    <xf numFmtId="2" fontId="2" fillId="3" borderId="32" xfId="1" applyNumberFormat="1" applyFont="1" applyFill="1" applyBorder="1" applyAlignment="1" applyProtection="1">
      <alignment vertical="center"/>
    </xf>
    <xf numFmtId="43" fontId="38" fillId="0" borderId="0" xfId="1" applyFont="1" applyProtection="1"/>
    <xf numFmtId="0" fontId="39" fillId="0" borderId="0" xfId="0" applyFont="1" applyProtection="1"/>
    <xf numFmtId="43" fontId="37" fillId="0" borderId="0" xfId="0" applyNumberFormat="1" applyFont="1" applyProtection="1"/>
    <xf numFmtId="43" fontId="33" fillId="0" borderId="0" xfId="1" applyFont="1" applyProtection="1"/>
    <xf numFmtId="0" fontId="9" fillId="0" borderId="0" xfId="4" applyFont="1" applyFill="1" applyProtection="1"/>
    <xf numFmtId="0" fontId="36" fillId="0" borderId="0" xfId="4" applyFont="1" applyFill="1" applyProtection="1"/>
    <xf numFmtId="0" fontId="35" fillId="0" borderId="0" xfId="4" applyFont="1" applyProtection="1"/>
    <xf numFmtId="0" fontId="9" fillId="0" borderId="33" xfId="4" applyFont="1" applyFill="1" applyBorder="1" applyProtection="1"/>
    <xf numFmtId="0" fontId="2" fillId="0" borderId="33" xfId="4" applyFont="1" applyFill="1" applyBorder="1" applyProtection="1"/>
    <xf numFmtId="43" fontId="9" fillId="0" borderId="0" xfId="1" applyFont="1" applyFill="1" applyProtection="1"/>
    <xf numFmtId="0" fontId="40" fillId="0" borderId="0" xfId="4" applyFont="1" applyProtection="1"/>
    <xf numFmtId="0" fontId="38" fillId="0" borderId="0" xfId="4" applyFont="1" applyProtection="1"/>
    <xf numFmtId="0" fontId="9" fillId="0" borderId="0" xfId="4" applyFont="1" applyProtection="1"/>
    <xf numFmtId="0" fontId="9" fillId="0" borderId="0" xfId="4" applyFont="1" applyAlignment="1" applyProtection="1">
      <alignment horizontal="left"/>
    </xf>
    <xf numFmtId="43" fontId="2" fillId="6" borderId="20" xfId="1" applyFont="1" applyFill="1" applyBorder="1" applyAlignment="1" applyProtection="1">
      <alignment horizontal="center"/>
      <protection hidden="1"/>
    </xf>
    <xf numFmtId="0" fontId="21" fillId="4" borderId="28" xfId="0" applyFont="1" applyFill="1" applyBorder="1" applyAlignment="1" applyProtection="1">
      <alignment horizontal="center"/>
      <protection hidden="1"/>
    </xf>
    <xf numFmtId="0" fontId="21" fillId="3" borderId="31" xfId="0" applyFont="1" applyFill="1" applyBorder="1" applyAlignment="1" applyProtection="1">
      <alignment horizontal="center"/>
      <protection hidden="1"/>
    </xf>
    <xf numFmtId="0" fontId="21" fillId="4" borderId="31" xfId="0" applyFont="1" applyFill="1" applyBorder="1" applyAlignment="1" applyProtection="1">
      <alignment horizontal="center"/>
      <protection hidden="1"/>
    </xf>
    <xf numFmtId="0" fontId="21" fillId="3" borderId="34" xfId="0" applyFont="1" applyFill="1" applyBorder="1" applyAlignment="1" applyProtection="1">
      <alignment horizontal="center"/>
      <protection hidden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1" fillId="4" borderId="16" xfId="0" applyFont="1" applyFill="1" applyBorder="1" applyAlignment="1" applyProtection="1">
      <alignment horizontal="center" vertical="center"/>
      <protection locked="0"/>
    </xf>
    <xf numFmtId="0" fontId="21" fillId="0" borderId="8" xfId="0" applyFont="1" applyBorder="1" applyAlignment="1" applyProtection="1">
      <alignment horizontal="center" vertical="center"/>
      <protection locked="0"/>
    </xf>
    <xf numFmtId="0" fontId="21" fillId="4" borderId="8" xfId="0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hidden="1"/>
    </xf>
    <xf numFmtId="43" fontId="9" fillId="3" borderId="23" xfId="1" applyFont="1" applyFill="1" applyBorder="1" applyProtection="1">
      <protection hidden="1"/>
    </xf>
    <xf numFmtId="43" fontId="21" fillId="4" borderId="16" xfId="0" applyNumberFormat="1" applyFont="1" applyFill="1" applyBorder="1" applyAlignment="1" applyProtection="1">
      <alignment horizontal="center"/>
      <protection locked="0"/>
    </xf>
    <xf numFmtId="43" fontId="21" fillId="0" borderId="8" xfId="0" applyNumberFormat="1" applyFont="1" applyBorder="1" applyAlignment="1" applyProtection="1">
      <alignment horizontal="center"/>
      <protection locked="0"/>
    </xf>
    <xf numFmtId="43" fontId="21" fillId="4" borderId="8" xfId="0" applyNumberFormat="1" applyFont="1" applyFill="1" applyBorder="1" applyAlignment="1" applyProtection="1">
      <alignment horizontal="center"/>
      <protection locked="0"/>
    </xf>
    <xf numFmtId="0" fontId="23" fillId="5" borderId="39" xfId="0" applyFont="1" applyFill="1" applyBorder="1" applyAlignment="1" applyProtection="1">
      <alignment horizontal="center"/>
    </xf>
    <xf numFmtId="0" fontId="23" fillId="5" borderId="19" xfId="0" applyFont="1" applyFill="1" applyBorder="1" applyAlignment="1" applyProtection="1">
      <alignment horizontal="center"/>
    </xf>
    <xf numFmtId="43" fontId="41" fillId="0" borderId="0" xfId="1" applyFont="1" applyAlignment="1">
      <alignment horizontal="center"/>
    </xf>
    <xf numFmtId="43" fontId="41" fillId="0" borderId="0" xfId="1" applyFont="1" applyAlignment="1" applyProtection="1">
      <alignment horizontal="center"/>
      <protection locked="0"/>
    </xf>
    <xf numFmtId="0" fontId="23" fillId="0" borderId="14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40" xfId="0" applyFont="1" applyBorder="1" applyAlignment="1" applyProtection="1">
      <alignment horizontal="center" vertical="center" wrapText="1"/>
    </xf>
    <xf numFmtId="0" fontId="23" fillId="0" borderId="41" xfId="0" applyFont="1" applyBorder="1" applyAlignment="1" applyProtection="1">
      <alignment horizontal="center" vertical="center" wrapText="1"/>
    </xf>
    <xf numFmtId="0" fontId="23" fillId="9" borderId="35" xfId="0" applyFont="1" applyFill="1" applyBorder="1" applyAlignment="1" applyProtection="1">
      <alignment horizontal="center" vertical="center" wrapText="1"/>
    </xf>
    <xf numFmtId="0" fontId="23" fillId="9" borderId="36" xfId="0" applyFont="1" applyFill="1" applyBorder="1" applyAlignment="1" applyProtection="1">
      <alignment horizontal="center" vertical="center" wrapText="1"/>
    </xf>
    <xf numFmtId="0" fontId="23" fillId="9" borderId="37" xfId="0" applyFont="1" applyFill="1" applyBorder="1" applyAlignment="1" applyProtection="1">
      <alignment horizontal="center" vertical="center" wrapText="1"/>
    </xf>
    <xf numFmtId="0" fontId="23" fillId="0" borderId="12" xfId="0" applyFont="1" applyBorder="1" applyAlignment="1" applyProtection="1">
      <alignment horizontal="center" vertical="center" wrapText="1"/>
    </xf>
    <xf numFmtId="0" fontId="23" fillId="0" borderId="34" xfId="0" applyFont="1" applyBorder="1" applyAlignment="1" applyProtection="1">
      <alignment horizontal="center" vertical="center" wrapText="1"/>
    </xf>
    <xf numFmtId="0" fontId="23" fillId="10" borderId="35" xfId="0" applyFont="1" applyFill="1" applyBorder="1" applyAlignment="1" applyProtection="1">
      <alignment horizontal="center" vertical="center"/>
    </xf>
    <xf numFmtId="0" fontId="23" fillId="10" borderId="36" xfId="0" applyFont="1" applyFill="1" applyBorder="1" applyAlignment="1" applyProtection="1">
      <alignment horizontal="center" vertical="center"/>
    </xf>
    <xf numFmtId="0" fontId="23" fillId="10" borderId="38" xfId="0" applyFont="1" applyFill="1" applyBorder="1" applyAlignment="1" applyProtection="1">
      <alignment horizontal="center" vertical="center"/>
    </xf>
    <xf numFmtId="0" fontId="23" fillId="0" borderId="13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0" fontId="23" fillId="7" borderId="14" xfId="0" applyFont="1" applyFill="1" applyBorder="1" applyAlignment="1" applyProtection="1">
      <alignment horizontal="center" vertical="center" wrapText="1"/>
    </xf>
    <xf numFmtId="0" fontId="23" fillId="7" borderId="2" xfId="0" applyFont="1" applyFill="1" applyBorder="1" applyAlignment="1" applyProtection="1">
      <alignment horizontal="center" vertical="center" wrapText="1"/>
    </xf>
    <xf numFmtId="0" fontId="23" fillId="11" borderId="35" xfId="0" applyFont="1" applyFill="1" applyBorder="1" applyAlignment="1" applyProtection="1">
      <alignment horizontal="center" vertical="center" wrapText="1"/>
    </xf>
    <xf numFmtId="0" fontId="23" fillId="11" borderId="36" xfId="0" applyFont="1" applyFill="1" applyBorder="1" applyAlignment="1" applyProtection="1">
      <alignment horizontal="center" vertical="center" wrapText="1"/>
    </xf>
    <xf numFmtId="0" fontId="23" fillId="11" borderId="37" xfId="0" applyFont="1" applyFill="1" applyBorder="1" applyAlignment="1" applyProtection="1">
      <alignment horizontal="center" vertical="center" wrapText="1"/>
    </xf>
    <xf numFmtId="0" fontId="23" fillId="12" borderId="35" xfId="0" applyFont="1" applyFill="1" applyBorder="1" applyAlignment="1" applyProtection="1">
      <alignment horizontal="center" vertical="center" wrapText="1"/>
    </xf>
    <xf numFmtId="0" fontId="23" fillId="12" borderId="36" xfId="0" applyFont="1" applyFill="1" applyBorder="1" applyAlignment="1" applyProtection="1">
      <alignment horizontal="center" vertical="center" wrapText="1"/>
    </xf>
    <xf numFmtId="0" fontId="23" fillId="12" borderId="37" xfId="0" applyFont="1" applyFill="1" applyBorder="1" applyAlignment="1" applyProtection="1">
      <alignment horizontal="center" vertical="center" wrapText="1"/>
    </xf>
    <xf numFmtId="0" fontId="2" fillId="8" borderId="45" xfId="4" applyFont="1" applyFill="1" applyBorder="1" applyAlignment="1" applyProtection="1">
      <alignment horizontal="center" vertical="center"/>
    </xf>
    <xf numFmtId="0" fontId="2" fillId="8" borderId="46" xfId="4" applyFont="1" applyFill="1" applyBorder="1" applyAlignment="1" applyProtection="1">
      <alignment horizontal="center" vertical="center"/>
    </xf>
    <xf numFmtId="0" fontId="2" fillId="8" borderId="4" xfId="4" applyFont="1" applyFill="1" applyBorder="1" applyAlignment="1" applyProtection="1">
      <alignment horizontal="center" vertical="center"/>
    </xf>
    <xf numFmtId="0" fontId="2" fillId="0" borderId="43" xfId="5" applyFont="1" applyFill="1" applyBorder="1" applyAlignment="1" applyProtection="1">
      <alignment horizontal="center" vertical="center" wrapText="1"/>
    </xf>
    <xf numFmtId="0" fontId="2" fillId="0" borderId="27" xfId="5" applyFont="1" applyFill="1" applyBorder="1" applyAlignment="1" applyProtection="1">
      <alignment horizontal="center" vertical="center" wrapText="1"/>
    </xf>
    <xf numFmtId="0" fontId="2" fillId="0" borderId="44" xfId="5" applyFont="1" applyFill="1" applyBorder="1" applyAlignment="1" applyProtection="1">
      <alignment horizontal="center" vertical="center" wrapText="1"/>
    </xf>
    <xf numFmtId="0" fontId="2" fillId="0" borderId="42" xfId="5" applyFont="1" applyFill="1" applyBorder="1" applyAlignment="1" applyProtection="1">
      <alignment horizontal="center" vertical="center" wrapText="1"/>
    </xf>
    <xf numFmtId="0" fontId="2" fillId="0" borderId="24" xfId="5" applyFont="1" applyFill="1" applyBorder="1" applyAlignment="1" applyProtection="1">
      <alignment horizontal="center" vertical="center" wrapText="1"/>
    </xf>
    <xf numFmtId="0" fontId="2" fillId="0" borderId="3" xfId="5" applyFont="1" applyFill="1" applyBorder="1" applyAlignment="1" applyProtection="1">
      <alignment horizontal="center" vertical="center" wrapText="1"/>
    </xf>
    <xf numFmtId="0" fontId="2" fillId="8" borderId="42" xfId="5" applyFont="1" applyFill="1" applyBorder="1" applyAlignment="1" applyProtection="1">
      <alignment horizontal="center" vertical="center"/>
    </xf>
    <xf numFmtId="0" fontId="2" fillId="8" borderId="24" xfId="5" applyFont="1" applyFill="1" applyBorder="1" applyAlignment="1" applyProtection="1">
      <alignment horizontal="center" vertical="center"/>
    </xf>
    <xf numFmtId="0" fontId="2" fillId="8" borderId="3" xfId="5" applyFont="1" applyFill="1" applyBorder="1" applyAlignment="1" applyProtection="1">
      <alignment horizontal="center" vertical="center"/>
    </xf>
    <xf numFmtId="0" fontId="2" fillId="4" borderId="42" xfId="5" applyFont="1" applyFill="1" applyBorder="1" applyAlignment="1" applyProtection="1">
      <alignment horizontal="center" vertical="center" wrapText="1"/>
    </xf>
    <xf numFmtId="0" fontId="2" fillId="4" borderId="24" xfId="5" applyFont="1" applyFill="1" applyBorder="1" applyAlignment="1" applyProtection="1">
      <alignment horizontal="center" vertical="center" wrapText="1"/>
    </xf>
    <xf numFmtId="0" fontId="2" fillId="4" borderId="3" xfId="5" applyFont="1" applyFill="1" applyBorder="1" applyAlignment="1" applyProtection="1">
      <alignment horizontal="center" vertical="center" wrapText="1"/>
    </xf>
    <xf numFmtId="43" fontId="2" fillId="3" borderId="13" xfId="2" applyFont="1" applyFill="1" applyBorder="1" applyAlignment="1" applyProtection="1">
      <alignment horizontal="center" vertical="center" wrapText="1"/>
    </xf>
    <xf numFmtId="0" fontId="2" fillId="3" borderId="47" xfId="4" applyFont="1" applyFill="1" applyBorder="1" applyAlignment="1" applyProtection="1">
      <alignment horizontal="center" vertical="center" wrapText="1"/>
    </xf>
    <xf numFmtId="0" fontId="2" fillId="3" borderId="1" xfId="4" applyFont="1" applyFill="1" applyBorder="1" applyAlignment="1" applyProtection="1">
      <alignment horizontal="center" vertical="center" wrapText="1"/>
    </xf>
    <xf numFmtId="43" fontId="2" fillId="5" borderId="45" xfId="3" applyFont="1" applyFill="1" applyBorder="1" applyAlignment="1" applyProtection="1">
      <alignment horizontal="center" vertical="center" wrapText="1"/>
    </xf>
    <xf numFmtId="43" fontId="2" fillId="5" borderId="46" xfId="3" applyFont="1" applyFill="1" applyBorder="1" applyAlignment="1" applyProtection="1">
      <alignment horizontal="center" vertical="center" wrapText="1"/>
    </xf>
    <xf numFmtId="43" fontId="2" fillId="5" borderId="4" xfId="3" applyFont="1" applyFill="1" applyBorder="1" applyAlignment="1" applyProtection="1">
      <alignment horizontal="center" vertical="center" wrapText="1"/>
    </xf>
    <xf numFmtId="43" fontId="2" fillId="0" borderId="42" xfId="2" applyFont="1" applyFill="1" applyBorder="1" applyAlignment="1" applyProtection="1">
      <alignment horizontal="center" vertical="center" wrapText="1"/>
    </xf>
    <xf numFmtId="0" fontId="2" fillId="0" borderId="24" xfId="4" applyFont="1" applyFill="1" applyBorder="1" applyAlignment="1" applyProtection="1">
      <alignment horizontal="center" vertical="center" wrapText="1"/>
    </xf>
    <xf numFmtId="0" fontId="2" fillId="0" borderId="3" xfId="4" applyFont="1" applyFill="1" applyBorder="1" applyAlignment="1" applyProtection="1">
      <alignment horizontal="center" vertical="center" wrapText="1"/>
    </xf>
    <xf numFmtId="43" fontId="2" fillId="4" borderId="42" xfId="2" applyFont="1" applyFill="1" applyBorder="1" applyAlignment="1" applyProtection="1">
      <alignment horizontal="center" vertical="center" wrapText="1"/>
    </xf>
    <xf numFmtId="0" fontId="2" fillId="4" borderId="24" xfId="4" applyFont="1" applyFill="1" applyBorder="1" applyAlignment="1" applyProtection="1">
      <alignment horizontal="center" vertical="center" wrapText="1"/>
    </xf>
    <xf numFmtId="0" fontId="2" fillId="4" borderId="3" xfId="4" applyFont="1" applyFill="1" applyBorder="1" applyAlignment="1" applyProtection="1">
      <alignment horizontal="center" vertical="center" wrapText="1"/>
    </xf>
    <xf numFmtId="0" fontId="17" fillId="0" borderId="0" xfId="4" applyFont="1" applyBorder="1" applyAlignment="1" applyProtection="1">
      <alignment horizontal="left"/>
    </xf>
    <xf numFmtId="0" fontId="2" fillId="0" borderId="42" xfId="4" applyFont="1" applyFill="1" applyBorder="1" applyAlignment="1" applyProtection="1">
      <alignment horizontal="center" vertical="center" wrapText="1"/>
    </xf>
    <xf numFmtId="43" fontId="2" fillId="4" borderId="13" xfId="2" applyFont="1" applyFill="1" applyBorder="1" applyAlignment="1" applyProtection="1">
      <alignment horizontal="center" vertical="center" wrapText="1"/>
    </xf>
    <xf numFmtId="0" fontId="2" fillId="4" borderId="47" xfId="4" applyFont="1" applyFill="1" applyBorder="1" applyAlignment="1" applyProtection="1">
      <alignment horizontal="center" vertical="center" wrapText="1"/>
    </xf>
    <xf numFmtId="0" fontId="2" fillId="4" borderId="1" xfId="4" applyFont="1" applyFill="1" applyBorder="1" applyAlignment="1" applyProtection="1">
      <alignment horizontal="center" vertical="center" wrapText="1"/>
    </xf>
    <xf numFmtId="43" fontId="2" fillId="3" borderId="42" xfId="2" applyFont="1" applyFill="1" applyBorder="1" applyAlignment="1" applyProtection="1">
      <alignment horizontal="center" vertical="center" wrapText="1"/>
    </xf>
    <xf numFmtId="43" fontId="2" fillId="3" borderId="24" xfId="2" applyFont="1" applyFill="1" applyBorder="1" applyAlignment="1" applyProtection="1">
      <alignment horizontal="center" vertical="center" wrapText="1"/>
    </xf>
    <xf numFmtId="43" fontId="2" fillId="3" borderId="3" xfId="2" applyFont="1" applyFill="1" applyBorder="1" applyAlignment="1" applyProtection="1">
      <alignment horizontal="center" vertical="center" wrapText="1"/>
    </xf>
    <xf numFmtId="43" fontId="2" fillId="6" borderId="42" xfId="2" applyFont="1" applyFill="1" applyBorder="1" applyAlignment="1" applyProtection="1">
      <alignment horizontal="center" vertical="center" wrapText="1"/>
      <protection hidden="1"/>
    </xf>
    <xf numFmtId="43" fontId="2" fillId="6" borderId="24" xfId="2" applyFont="1" applyFill="1" applyBorder="1" applyAlignment="1" applyProtection="1">
      <alignment horizontal="center" vertical="center" wrapText="1"/>
      <protection hidden="1"/>
    </xf>
    <xf numFmtId="43" fontId="2" fillId="6" borderId="3" xfId="2" applyFont="1" applyFill="1" applyBorder="1" applyAlignment="1" applyProtection="1">
      <alignment horizontal="center" vertical="center" wrapText="1"/>
      <protection hidden="1"/>
    </xf>
    <xf numFmtId="43" fontId="2" fillId="9" borderId="42" xfId="2" applyFont="1" applyFill="1" applyBorder="1" applyAlignment="1" applyProtection="1">
      <alignment horizontal="center" vertical="center" wrapText="1"/>
    </xf>
    <xf numFmtId="0" fontId="2" fillId="0" borderId="43" xfId="4" applyFont="1" applyFill="1" applyBorder="1" applyAlignment="1" applyProtection="1">
      <alignment horizontal="center" vertical="center" wrapText="1"/>
    </xf>
    <xf numFmtId="0" fontId="2" fillId="0" borderId="27" xfId="4" applyFont="1" applyFill="1" applyBorder="1" applyAlignment="1" applyProtection="1">
      <alignment horizontal="center" vertical="center" wrapText="1"/>
    </xf>
    <xf numFmtId="0" fontId="2" fillId="0" borderId="44" xfId="4" applyFont="1" applyFill="1" applyBorder="1" applyAlignment="1" applyProtection="1">
      <alignment horizontal="center" vertical="center" wrapText="1"/>
    </xf>
    <xf numFmtId="43" fontId="2" fillId="12" borderId="35" xfId="2" applyFont="1" applyFill="1" applyBorder="1" applyAlignment="1" applyProtection="1">
      <alignment horizontal="center" vertical="center" wrapText="1"/>
    </xf>
    <xf numFmtId="43" fontId="2" fillId="12" borderId="36" xfId="2" applyFont="1" applyFill="1" applyBorder="1" applyAlignment="1" applyProtection="1">
      <alignment horizontal="center" vertical="center" wrapText="1"/>
    </xf>
    <xf numFmtId="43" fontId="2" fillId="12" borderId="37" xfId="2" applyFont="1" applyFill="1" applyBorder="1" applyAlignment="1" applyProtection="1">
      <alignment horizontal="center" vertical="center" wrapText="1"/>
    </xf>
    <xf numFmtId="0" fontId="27" fillId="0" borderId="0" xfId="0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center"/>
      <protection hidden="1"/>
    </xf>
    <xf numFmtId="43" fontId="27" fillId="0" borderId="0" xfId="2" applyFont="1" applyBorder="1" applyAlignment="1" applyProtection="1">
      <alignment horizontal="center" vertical="center"/>
      <protection hidden="1"/>
    </xf>
    <xf numFmtId="43" fontId="27" fillId="0" borderId="33" xfId="2" applyFont="1" applyBorder="1" applyAlignment="1" applyProtection="1">
      <alignment horizontal="center" vertical="center"/>
      <protection hidden="1"/>
    </xf>
  </cellXfs>
  <cellStyles count="6">
    <cellStyle name="Comma" xfId="1" builtinId="3"/>
    <cellStyle name="Comma 2" xfId="2"/>
    <cellStyle name="Comma 3" xfId="3"/>
    <cellStyle name="Normal" xfId="0" builtinId="0"/>
    <cellStyle name="Normal 2" xfId="4"/>
    <cellStyle name="Normal 3" xfId="5"/>
  </cellStyles>
  <dxfs count="3"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31"/>
  <sheetViews>
    <sheetView showGridLines="0" tabSelected="1" view="pageBreakPreview" zoomScale="80" zoomScaleSheetLayoutView="8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L19" sqref="L19"/>
    </sheetView>
  </sheetViews>
  <sheetFormatPr defaultRowHeight="15"/>
  <cols>
    <col min="1" max="1" width="4.28515625" style="3" customWidth="1"/>
    <col min="2" max="2" width="4.140625" style="3" customWidth="1"/>
    <col min="3" max="3" width="38" style="3" customWidth="1"/>
    <col min="4" max="4" width="20" style="3" customWidth="1"/>
    <col min="5" max="5" width="11.28515625" style="183" customWidth="1"/>
    <col min="6" max="6" width="12.5703125" style="3" customWidth="1"/>
    <col min="7" max="7" width="13.42578125" style="3" customWidth="1"/>
    <col min="8" max="8" width="9.140625" style="3"/>
    <col min="9" max="9" width="10.140625" style="3" customWidth="1"/>
    <col min="10" max="11" width="9.140625" style="3"/>
    <col min="12" max="12" width="12.85546875" style="3" customWidth="1"/>
    <col min="13" max="13" width="9.7109375" style="3" customWidth="1"/>
    <col min="14" max="15" width="9.140625" style="3"/>
    <col min="16" max="16" width="9.5703125" style="3" customWidth="1"/>
    <col min="17" max="17" width="10" style="3" customWidth="1"/>
    <col min="18" max="18" width="9.7109375" style="3" customWidth="1"/>
    <col min="19" max="19" width="10.7109375" style="3" customWidth="1"/>
    <col min="20" max="20" width="11.7109375" style="3" customWidth="1"/>
    <col min="21" max="21" width="12.140625" style="3" customWidth="1"/>
    <col min="22" max="22" width="11.28515625" style="3" bestFit="1" customWidth="1"/>
    <col min="23" max="23" width="3.28515625" style="23" customWidth="1"/>
    <col min="24" max="24" width="9.140625" style="11"/>
    <col min="25" max="16384" width="9.140625" style="3"/>
  </cols>
  <sheetData>
    <row r="1" spans="1:24" ht="18.75">
      <c r="A1" s="2" t="s">
        <v>9</v>
      </c>
      <c r="F1" s="191" t="s">
        <v>61</v>
      </c>
      <c r="G1" s="191" t="s">
        <v>62</v>
      </c>
    </row>
    <row r="2" spans="1:24" ht="15.75">
      <c r="A2" s="198" t="s">
        <v>10</v>
      </c>
      <c r="B2" s="198"/>
      <c r="C2" s="68" t="s">
        <v>82</v>
      </c>
      <c r="F2" s="191" t="s">
        <v>60</v>
      </c>
      <c r="G2" s="191" t="s">
        <v>63</v>
      </c>
    </row>
    <row r="3" spans="1:24" ht="15.75">
      <c r="A3" s="199" t="s">
        <v>11</v>
      </c>
      <c r="B3" s="199"/>
      <c r="C3" s="68" t="s">
        <v>93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4"/>
      <c r="X3" s="12"/>
    </row>
    <row r="4" spans="1:24">
      <c r="B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24"/>
      <c r="X4" s="12"/>
    </row>
    <row r="5" spans="1:24" ht="15.75" thickBot="1">
      <c r="B5" s="10" t="s">
        <v>16</v>
      </c>
      <c r="C5" s="9"/>
      <c r="D5" s="9"/>
      <c r="E5" s="18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4"/>
      <c r="X5" s="12"/>
    </row>
    <row r="6" spans="1:24" s="27" customFormat="1" ht="15.75" customHeight="1">
      <c r="B6" s="207" t="s">
        <v>17</v>
      </c>
      <c r="C6" s="200" t="s">
        <v>19</v>
      </c>
      <c r="D6" s="212" t="s">
        <v>12</v>
      </c>
      <c r="E6" s="200" t="s">
        <v>21</v>
      </c>
      <c r="F6" s="214" t="s">
        <v>58</v>
      </c>
      <c r="G6" s="214" t="s">
        <v>59</v>
      </c>
      <c r="H6" s="216" t="s">
        <v>13</v>
      </c>
      <c r="I6" s="217"/>
      <c r="J6" s="217"/>
      <c r="K6" s="218"/>
      <c r="L6" s="202" t="s">
        <v>3</v>
      </c>
      <c r="M6" s="219" t="s">
        <v>14</v>
      </c>
      <c r="N6" s="220"/>
      <c r="O6" s="221"/>
      <c r="P6" s="204" t="s">
        <v>15</v>
      </c>
      <c r="Q6" s="205"/>
      <c r="R6" s="206"/>
      <c r="S6" s="209" t="s">
        <v>4</v>
      </c>
      <c r="T6" s="210"/>
      <c r="U6" s="210"/>
      <c r="V6" s="211"/>
      <c r="W6" s="28"/>
      <c r="X6" s="29"/>
    </row>
    <row r="7" spans="1:24" s="27" customFormat="1" ht="32.25" thickBot="1">
      <c r="B7" s="208"/>
      <c r="C7" s="201"/>
      <c r="D7" s="213"/>
      <c r="E7" s="201"/>
      <c r="F7" s="215"/>
      <c r="G7" s="215"/>
      <c r="H7" s="5" t="s">
        <v>6</v>
      </c>
      <c r="I7" s="4" t="s">
        <v>5</v>
      </c>
      <c r="J7" s="4" t="s">
        <v>1</v>
      </c>
      <c r="K7" s="4" t="s">
        <v>2</v>
      </c>
      <c r="L7" s="203"/>
      <c r="M7" s="5" t="s">
        <v>6</v>
      </c>
      <c r="N7" s="4" t="s">
        <v>1</v>
      </c>
      <c r="O7" s="4" t="s">
        <v>2</v>
      </c>
      <c r="P7" s="5" t="s">
        <v>6</v>
      </c>
      <c r="Q7" s="4" t="s">
        <v>1</v>
      </c>
      <c r="R7" s="4" t="s">
        <v>2</v>
      </c>
      <c r="S7" s="6" t="s">
        <v>22</v>
      </c>
      <c r="T7" s="6" t="s">
        <v>23</v>
      </c>
      <c r="U7" s="6" t="s">
        <v>7</v>
      </c>
      <c r="V7" s="7" t="s">
        <v>18</v>
      </c>
      <c r="W7" s="25"/>
      <c r="X7" s="13"/>
    </row>
    <row r="8" spans="1:24" s="1" customFormat="1" ht="7.5" customHeight="1">
      <c r="B8" s="16"/>
      <c r="C8" s="48"/>
      <c r="D8" s="49"/>
      <c r="E8" s="49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  <c r="U8" s="52"/>
      <c r="V8" s="53"/>
      <c r="W8" s="26"/>
      <c r="X8" s="13"/>
    </row>
    <row r="9" spans="1:24" s="1" customFormat="1" ht="7.5" customHeight="1">
      <c r="B9" s="17"/>
      <c r="C9" s="18"/>
      <c r="D9" s="18"/>
      <c r="E9" s="54"/>
      <c r="F9" s="18"/>
      <c r="G9" s="54"/>
      <c r="H9" s="30"/>
      <c r="I9" s="30"/>
      <c r="J9" s="30"/>
      <c r="K9" s="30"/>
      <c r="L9" s="15"/>
      <c r="M9" s="30"/>
      <c r="N9" s="30"/>
      <c r="O9" s="30"/>
      <c r="P9" s="30"/>
      <c r="Q9" s="30"/>
      <c r="R9" s="30"/>
      <c r="S9" s="30"/>
      <c r="T9" s="14"/>
      <c r="U9" s="14"/>
      <c r="V9" s="20"/>
      <c r="W9" s="22"/>
      <c r="X9" s="13"/>
    </row>
    <row r="10" spans="1:24" s="1" customFormat="1" ht="15.75">
      <c r="B10" s="179">
        <f>IF(C10="","",1)</f>
        <v>1</v>
      </c>
      <c r="C10" s="57" t="s">
        <v>83</v>
      </c>
      <c r="D10" s="58" t="s">
        <v>81</v>
      </c>
      <c r="E10" s="185">
        <v>20129</v>
      </c>
      <c r="F10" s="75" t="s">
        <v>61</v>
      </c>
      <c r="G10" s="75" t="s">
        <v>62</v>
      </c>
      <c r="H10" s="193">
        <v>12</v>
      </c>
      <c r="I10" s="193"/>
      <c r="J10" s="193"/>
      <c r="K10" s="56"/>
      <c r="L10" s="57"/>
      <c r="M10" s="193"/>
      <c r="N10" s="56"/>
      <c r="O10" s="56"/>
      <c r="P10" s="193">
        <v>1.5</v>
      </c>
      <c r="Q10" s="56"/>
      <c r="R10" s="56"/>
      <c r="S10" s="193">
        <v>0.46</v>
      </c>
      <c r="T10" s="57"/>
      <c r="U10" s="58"/>
      <c r="V10" s="59"/>
      <c r="W10" s="22"/>
      <c r="X10" s="14"/>
    </row>
    <row r="11" spans="1:24" s="1" customFormat="1" ht="15.75">
      <c r="B11" s="180">
        <f>IF(C11="","",2)</f>
        <v>2</v>
      </c>
      <c r="C11" s="35" t="s">
        <v>89</v>
      </c>
      <c r="D11" s="41" t="s">
        <v>90</v>
      </c>
      <c r="E11" s="186">
        <v>20369</v>
      </c>
      <c r="F11" s="76" t="s">
        <v>61</v>
      </c>
      <c r="G11" s="76" t="s">
        <v>63</v>
      </c>
      <c r="H11" s="194">
        <v>12</v>
      </c>
      <c r="I11" s="194"/>
      <c r="J11" s="194"/>
      <c r="K11" s="32"/>
      <c r="L11" s="35"/>
      <c r="M11" s="194">
        <v>1</v>
      </c>
      <c r="N11" s="32"/>
      <c r="O11" s="32"/>
      <c r="P11" s="194">
        <v>13.5</v>
      </c>
      <c r="Q11" s="32"/>
      <c r="R11" s="32"/>
      <c r="S11" s="194">
        <v>1.19</v>
      </c>
      <c r="T11" s="35"/>
      <c r="U11" s="41"/>
      <c r="V11" s="37"/>
      <c r="W11" s="22"/>
      <c r="X11" s="14"/>
    </row>
    <row r="12" spans="1:24" s="1" customFormat="1" ht="15.75">
      <c r="B12" s="181">
        <f>IF(C12="","",3)</f>
        <v>3</v>
      </c>
      <c r="C12" s="34" t="s">
        <v>85</v>
      </c>
      <c r="D12" s="40" t="s">
        <v>86</v>
      </c>
      <c r="E12" s="187">
        <v>20121</v>
      </c>
      <c r="F12" s="76" t="s">
        <v>61</v>
      </c>
      <c r="G12" s="76" t="s">
        <v>63</v>
      </c>
      <c r="H12" s="195">
        <v>10</v>
      </c>
      <c r="I12" s="195">
        <v>2</v>
      </c>
      <c r="J12" s="195"/>
      <c r="K12" s="31"/>
      <c r="L12" s="34"/>
      <c r="M12" s="195"/>
      <c r="N12" s="31"/>
      <c r="O12" s="31"/>
      <c r="P12" s="195">
        <v>6</v>
      </c>
      <c r="Q12" s="31"/>
      <c r="R12" s="31"/>
      <c r="S12" s="195"/>
      <c r="T12" s="34"/>
      <c r="U12" s="40"/>
      <c r="V12" s="36"/>
      <c r="W12" s="22"/>
      <c r="X12" s="14"/>
    </row>
    <row r="13" spans="1:24" s="1" customFormat="1" ht="15.75">
      <c r="B13" s="180">
        <f>IF(C13="","",4)</f>
        <v>4</v>
      </c>
      <c r="C13" s="34" t="s">
        <v>87</v>
      </c>
      <c r="D13" s="40" t="s">
        <v>90</v>
      </c>
      <c r="E13" s="187">
        <v>20251</v>
      </c>
      <c r="F13" s="76" t="s">
        <v>61</v>
      </c>
      <c r="G13" s="76" t="s">
        <v>62</v>
      </c>
      <c r="H13" s="194">
        <v>12</v>
      </c>
      <c r="I13" s="194"/>
      <c r="J13" s="194"/>
      <c r="K13" s="32"/>
      <c r="L13" s="35"/>
      <c r="M13" s="194"/>
      <c r="N13" s="32"/>
      <c r="O13" s="32"/>
      <c r="P13" s="194">
        <v>12</v>
      </c>
      <c r="Q13" s="32"/>
      <c r="R13" s="32"/>
      <c r="S13" s="194">
        <v>0.14000000000000001</v>
      </c>
      <c r="T13" s="35"/>
      <c r="U13" s="41"/>
      <c r="V13" s="37"/>
      <c r="W13" s="22"/>
      <c r="X13" s="14"/>
    </row>
    <row r="14" spans="1:24" s="1" customFormat="1" ht="15.75">
      <c r="B14" s="181">
        <f>IF(C14="","",5)</f>
        <v>5</v>
      </c>
      <c r="C14" s="35" t="s">
        <v>88</v>
      </c>
      <c r="D14" s="41" t="s">
        <v>86</v>
      </c>
      <c r="E14" s="186">
        <v>20532</v>
      </c>
      <c r="F14" s="76" t="s">
        <v>61</v>
      </c>
      <c r="G14" s="76" t="s">
        <v>63</v>
      </c>
      <c r="H14" s="195">
        <v>9</v>
      </c>
      <c r="I14" s="195">
        <v>1</v>
      </c>
      <c r="J14" s="195"/>
      <c r="K14" s="31"/>
      <c r="L14" s="34"/>
      <c r="M14" s="195"/>
      <c r="N14" s="31"/>
      <c r="O14" s="31"/>
      <c r="P14" s="195">
        <v>7.5</v>
      </c>
      <c r="Q14" s="31"/>
      <c r="R14" s="31"/>
      <c r="S14" s="195"/>
      <c r="T14" s="34"/>
      <c r="U14" s="40"/>
      <c r="V14" s="36"/>
      <c r="W14" s="22"/>
      <c r="X14" s="14"/>
    </row>
    <row r="15" spans="1:24" s="1" customFormat="1" ht="15.75">
      <c r="B15" s="180">
        <f>IF(C15="","",6)</f>
        <v>6</v>
      </c>
      <c r="C15" s="34" t="s">
        <v>91</v>
      </c>
      <c r="D15" s="40" t="s">
        <v>84</v>
      </c>
      <c r="E15" s="187">
        <v>20126</v>
      </c>
      <c r="F15" s="76" t="s">
        <v>61</v>
      </c>
      <c r="G15" s="76" t="s">
        <v>63</v>
      </c>
      <c r="H15" s="194">
        <v>11.5</v>
      </c>
      <c r="I15" s="194"/>
      <c r="J15" s="194"/>
      <c r="K15" s="32"/>
      <c r="L15" s="35"/>
      <c r="M15" s="194"/>
      <c r="N15" s="32"/>
      <c r="O15" s="32"/>
      <c r="P15" s="194">
        <v>3</v>
      </c>
      <c r="Q15" s="32"/>
      <c r="R15" s="32"/>
      <c r="S15" s="194">
        <v>1.02</v>
      </c>
      <c r="T15" s="35"/>
      <c r="U15" s="41"/>
      <c r="V15" s="37"/>
      <c r="W15" s="22"/>
      <c r="X15" s="14"/>
    </row>
    <row r="16" spans="1:24" s="1" customFormat="1" ht="15.75">
      <c r="B16" s="181">
        <f>IF(C16="","",7)</f>
        <v>7</v>
      </c>
      <c r="C16" s="35" t="s">
        <v>92</v>
      </c>
      <c r="D16" s="41" t="s">
        <v>84</v>
      </c>
      <c r="E16" s="186">
        <v>20504</v>
      </c>
      <c r="F16" s="76" t="s">
        <v>61</v>
      </c>
      <c r="G16" s="76" t="s">
        <v>63</v>
      </c>
      <c r="H16" s="195">
        <v>3</v>
      </c>
      <c r="I16" s="195"/>
      <c r="J16" s="195"/>
      <c r="K16" s="31"/>
      <c r="L16" s="34"/>
      <c r="M16" s="195"/>
      <c r="N16" s="31"/>
      <c r="O16" s="31"/>
      <c r="P16" s="195">
        <v>4.5</v>
      </c>
      <c r="Q16" s="31"/>
      <c r="R16" s="31"/>
      <c r="S16" s="195">
        <v>0.21</v>
      </c>
      <c r="T16" s="34"/>
      <c r="U16" s="40"/>
      <c r="V16" s="36"/>
      <c r="W16" s="22"/>
      <c r="X16" s="14"/>
    </row>
    <row r="17" spans="1:24" s="1" customFormat="1" ht="15.75">
      <c r="B17" s="180" t="str">
        <f>IF(C17="","",8)</f>
        <v/>
      </c>
      <c r="C17" s="35"/>
      <c r="D17" s="41"/>
      <c r="E17" s="186"/>
      <c r="F17" s="76"/>
      <c r="G17" s="76"/>
      <c r="H17" s="194"/>
      <c r="I17" s="194"/>
      <c r="J17" s="194"/>
      <c r="K17" s="32"/>
      <c r="L17" s="35"/>
      <c r="M17" s="194"/>
      <c r="N17" s="32"/>
      <c r="O17" s="32"/>
      <c r="P17" s="194"/>
      <c r="Q17" s="32"/>
      <c r="R17" s="32"/>
      <c r="S17" s="194"/>
      <c r="T17" s="35"/>
      <c r="U17" s="41"/>
      <c r="V17" s="37"/>
      <c r="W17" s="22"/>
      <c r="X17" s="14"/>
    </row>
    <row r="18" spans="1:24" s="1" customFormat="1" ht="15.75">
      <c r="B18" s="181" t="str">
        <f>IF(C18="","",9)</f>
        <v/>
      </c>
      <c r="C18" s="34"/>
      <c r="D18" s="40"/>
      <c r="E18" s="187"/>
      <c r="F18" s="76"/>
      <c r="G18" s="76"/>
      <c r="H18" s="31"/>
      <c r="I18" s="31"/>
      <c r="J18" s="31"/>
      <c r="K18" s="31"/>
      <c r="L18" s="34"/>
      <c r="M18" s="31"/>
      <c r="N18" s="31"/>
      <c r="O18" s="31"/>
      <c r="P18" s="31"/>
      <c r="Q18" s="31"/>
      <c r="R18" s="31"/>
      <c r="S18" s="31"/>
      <c r="T18" s="34"/>
      <c r="U18" s="40"/>
      <c r="V18" s="36"/>
      <c r="W18" s="22"/>
      <c r="X18" s="14"/>
    </row>
    <row r="19" spans="1:24" s="1" customFormat="1" ht="15.75">
      <c r="B19" s="180" t="str">
        <f>IF(C19="","",10)</f>
        <v/>
      </c>
      <c r="C19" s="35"/>
      <c r="D19" s="41"/>
      <c r="E19" s="186"/>
      <c r="F19" s="76"/>
      <c r="G19" s="76"/>
      <c r="H19" s="32"/>
      <c r="I19" s="32"/>
      <c r="J19" s="32"/>
      <c r="K19" s="32"/>
      <c r="L19" s="35"/>
      <c r="M19" s="32"/>
      <c r="N19" s="32"/>
      <c r="O19" s="32"/>
      <c r="P19" s="32"/>
      <c r="Q19" s="32"/>
      <c r="R19" s="32"/>
      <c r="S19" s="32"/>
      <c r="T19" s="35"/>
      <c r="U19" s="41"/>
      <c r="V19" s="37"/>
      <c r="W19" s="22"/>
      <c r="X19" s="14"/>
    </row>
    <row r="20" spans="1:24" s="1" customFormat="1" ht="15.75">
      <c r="B20" s="181" t="str">
        <f>IF(C20="","",11)</f>
        <v/>
      </c>
      <c r="C20" s="34"/>
      <c r="D20" s="40"/>
      <c r="E20" s="187"/>
      <c r="F20" s="76"/>
      <c r="G20" s="76"/>
      <c r="H20" s="31"/>
      <c r="I20" s="31"/>
      <c r="J20" s="31"/>
      <c r="K20" s="31"/>
      <c r="L20" s="34"/>
      <c r="M20" s="31"/>
      <c r="N20" s="31"/>
      <c r="O20" s="31"/>
      <c r="P20" s="31"/>
      <c r="Q20" s="31"/>
      <c r="R20" s="31"/>
      <c r="S20" s="31"/>
      <c r="T20" s="34"/>
      <c r="U20" s="40"/>
      <c r="V20" s="36"/>
      <c r="W20" s="22"/>
      <c r="X20" s="14"/>
    </row>
    <row r="21" spans="1:24" s="1" customFormat="1" ht="15.75">
      <c r="B21" s="180" t="str">
        <f>IF(C21="","",12)</f>
        <v/>
      </c>
      <c r="C21" s="35"/>
      <c r="D21" s="41"/>
      <c r="E21" s="186"/>
      <c r="F21" s="76"/>
      <c r="G21" s="76"/>
      <c r="H21" s="32"/>
      <c r="I21" s="32"/>
      <c r="J21" s="32"/>
      <c r="K21" s="32"/>
      <c r="L21" s="35"/>
      <c r="M21" s="32"/>
      <c r="N21" s="32"/>
      <c r="O21" s="32"/>
      <c r="P21" s="32"/>
      <c r="Q21" s="32"/>
      <c r="R21" s="32"/>
      <c r="S21" s="32"/>
      <c r="T21" s="35"/>
      <c r="U21" s="41"/>
      <c r="V21" s="37"/>
      <c r="W21" s="22"/>
      <c r="X21" s="14"/>
    </row>
    <row r="22" spans="1:24" s="1" customFormat="1" ht="15.75">
      <c r="B22" s="181" t="str">
        <f>IF(C22="","",13)</f>
        <v/>
      </c>
      <c r="C22" s="34"/>
      <c r="D22" s="40"/>
      <c r="E22" s="187"/>
      <c r="F22" s="76"/>
      <c r="G22" s="76"/>
      <c r="H22" s="31"/>
      <c r="I22" s="31"/>
      <c r="J22" s="31"/>
      <c r="K22" s="31"/>
      <c r="L22" s="34"/>
      <c r="M22" s="31"/>
      <c r="N22" s="31"/>
      <c r="O22" s="31"/>
      <c r="P22" s="31"/>
      <c r="Q22" s="31"/>
      <c r="R22" s="31"/>
      <c r="S22" s="31"/>
      <c r="T22" s="34"/>
      <c r="U22" s="40"/>
      <c r="V22" s="36"/>
      <c r="W22" s="22"/>
      <c r="X22" s="14"/>
    </row>
    <row r="23" spans="1:24" s="1" customFormat="1" ht="15.75">
      <c r="B23" s="180" t="str">
        <f>IF(C23="","",14)</f>
        <v/>
      </c>
      <c r="C23" s="35"/>
      <c r="D23" s="41"/>
      <c r="E23" s="186"/>
      <c r="F23" s="76"/>
      <c r="G23" s="76"/>
      <c r="H23" s="32"/>
      <c r="I23" s="32"/>
      <c r="J23" s="32"/>
      <c r="K23" s="32"/>
      <c r="L23" s="35"/>
      <c r="M23" s="32"/>
      <c r="N23" s="32"/>
      <c r="O23" s="32"/>
      <c r="P23" s="32"/>
      <c r="Q23" s="32"/>
      <c r="R23" s="32"/>
      <c r="S23" s="32"/>
      <c r="T23" s="35"/>
      <c r="U23" s="41"/>
      <c r="V23" s="37"/>
      <c r="W23" s="22"/>
      <c r="X23" s="14"/>
    </row>
    <row r="24" spans="1:24" s="1" customFormat="1" ht="15.75">
      <c r="B24" s="181" t="str">
        <f>IF(C24="","",15)</f>
        <v/>
      </c>
      <c r="C24" s="34"/>
      <c r="D24" s="40"/>
      <c r="E24" s="187"/>
      <c r="F24" s="76"/>
      <c r="G24" s="76"/>
      <c r="H24" s="31"/>
      <c r="I24" s="31"/>
      <c r="J24" s="31"/>
      <c r="K24" s="31"/>
      <c r="L24" s="34"/>
      <c r="M24" s="31"/>
      <c r="N24" s="31"/>
      <c r="O24" s="31"/>
      <c r="P24" s="31"/>
      <c r="Q24" s="31"/>
      <c r="R24" s="31"/>
      <c r="S24" s="31"/>
      <c r="T24" s="34"/>
      <c r="U24" s="40"/>
      <c r="V24" s="36"/>
      <c r="W24" s="22"/>
      <c r="X24" s="14"/>
    </row>
    <row r="25" spans="1:24" s="1" customFormat="1" ht="15.75">
      <c r="B25" s="180" t="str">
        <f>IF(C25="","",16)</f>
        <v/>
      </c>
      <c r="C25" s="35"/>
      <c r="D25" s="41"/>
      <c r="E25" s="186"/>
      <c r="F25" s="76"/>
      <c r="G25" s="76"/>
      <c r="H25" s="32"/>
      <c r="I25" s="32"/>
      <c r="J25" s="32"/>
      <c r="K25" s="32"/>
      <c r="L25" s="35"/>
      <c r="M25" s="32"/>
      <c r="N25" s="32"/>
      <c r="O25" s="32"/>
      <c r="P25" s="32"/>
      <c r="Q25" s="32"/>
      <c r="R25" s="32"/>
      <c r="S25" s="32"/>
      <c r="T25" s="35"/>
      <c r="U25" s="41"/>
      <c r="V25" s="37"/>
      <c r="W25" s="22"/>
      <c r="X25" s="14"/>
    </row>
    <row r="26" spans="1:24" s="1" customFormat="1" ht="15.75">
      <c r="B26" s="181" t="str">
        <f>IF(C26="","",17)</f>
        <v/>
      </c>
      <c r="C26" s="34"/>
      <c r="D26" s="40"/>
      <c r="E26" s="187"/>
      <c r="F26" s="76"/>
      <c r="G26" s="76"/>
      <c r="H26" s="31"/>
      <c r="I26" s="31"/>
      <c r="J26" s="31"/>
      <c r="K26" s="31"/>
      <c r="L26" s="34"/>
      <c r="M26" s="31"/>
      <c r="N26" s="31"/>
      <c r="O26" s="31"/>
      <c r="P26" s="31"/>
      <c r="Q26" s="31"/>
      <c r="R26" s="31"/>
      <c r="S26" s="31"/>
      <c r="T26" s="34"/>
      <c r="U26" s="40"/>
      <c r="V26" s="36"/>
      <c r="W26" s="22"/>
      <c r="X26" s="14"/>
    </row>
    <row r="27" spans="1:24" s="1" customFormat="1" ht="15.75">
      <c r="B27" s="180" t="str">
        <f>IF(C27="","",18)</f>
        <v/>
      </c>
      <c r="C27" s="35"/>
      <c r="D27" s="41"/>
      <c r="E27" s="186"/>
      <c r="F27" s="76"/>
      <c r="G27" s="76"/>
      <c r="H27" s="32"/>
      <c r="I27" s="32"/>
      <c r="J27" s="32"/>
      <c r="K27" s="32"/>
      <c r="L27" s="35"/>
      <c r="M27" s="32"/>
      <c r="N27" s="32"/>
      <c r="O27" s="32"/>
      <c r="P27" s="32"/>
      <c r="Q27" s="32"/>
      <c r="R27" s="32"/>
      <c r="S27" s="32"/>
      <c r="T27" s="35"/>
      <c r="U27" s="41"/>
      <c r="V27" s="37"/>
      <c r="W27" s="22"/>
      <c r="X27" s="14"/>
    </row>
    <row r="28" spans="1:24" s="1" customFormat="1" ht="15.75">
      <c r="B28" s="181" t="str">
        <f>IF(C28="","",19)</f>
        <v/>
      </c>
      <c r="C28" s="34"/>
      <c r="D28" s="40"/>
      <c r="E28" s="187"/>
      <c r="F28" s="76"/>
      <c r="G28" s="76"/>
      <c r="H28" s="31"/>
      <c r="I28" s="31"/>
      <c r="J28" s="31"/>
      <c r="K28" s="31"/>
      <c r="L28" s="34"/>
      <c r="M28" s="31"/>
      <c r="N28" s="31"/>
      <c r="O28" s="31"/>
      <c r="P28" s="31"/>
      <c r="Q28" s="31"/>
      <c r="R28" s="31"/>
      <c r="S28" s="31"/>
      <c r="T28" s="34"/>
      <c r="U28" s="40"/>
      <c r="V28" s="36"/>
      <c r="W28" s="22"/>
      <c r="X28" s="14"/>
    </row>
    <row r="29" spans="1:24" s="1" customFormat="1" ht="16.5" thickBot="1">
      <c r="B29" s="182" t="str">
        <f>IF(C29="","",20)</f>
        <v/>
      </c>
      <c r="C29" s="38"/>
      <c r="D29" s="55"/>
      <c r="E29" s="188"/>
      <c r="F29" s="77"/>
      <c r="G29" s="77"/>
      <c r="H29" s="33"/>
      <c r="I29" s="33"/>
      <c r="J29" s="33"/>
      <c r="K29" s="33"/>
      <c r="L29" s="38"/>
      <c r="M29" s="33"/>
      <c r="N29" s="33"/>
      <c r="O29" s="33"/>
      <c r="P29" s="33"/>
      <c r="Q29" s="33"/>
      <c r="R29" s="33"/>
      <c r="S29" s="33"/>
      <c r="T29" s="38"/>
      <c r="U29" s="55"/>
      <c r="V29" s="39"/>
      <c r="W29" s="22"/>
      <c r="X29" s="14"/>
    </row>
    <row r="30" spans="1:24" s="1" customFormat="1" ht="16.5" thickBot="1">
      <c r="B30" s="196" t="s">
        <v>20</v>
      </c>
      <c r="C30" s="197"/>
      <c r="D30" s="60"/>
      <c r="E30" s="189"/>
      <c r="F30" s="60"/>
      <c r="G30" s="60"/>
      <c r="H30" s="61">
        <f t="shared" ref="H30:V30" si="0">SUM(H10:H29)</f>
        <v>69.5</v>
      </c>
      <c r="I30" s="61">
        <f t="shared" si="0"/>
        <v>3</v>
      </c>
      <c r="J30" s="61">
        <f t="shared" si="0"/>
        <v>0</v>
      </c>
      <c r="K30" s="61">
        <f t="shared" si="0"/>
        <v>0</v>
      </c>
      <c r="L30" s="62">
        <f t="shared" si="0"/>
        <v>0</v>
      </c>
      <c r="M30" s="61">
        <f t="shared" si="0"/>
        <v>1</v>
      </c>
      <c r="N30" s="61">
        <f t="shared" si="0"/>
        <v>0</v>
      </c>
      <c r="O30" s="61">
        <f t="shared" si="0"/>
        <v>0</v>
      </c>
      <c r="P30" s="61">
        <f t="shared" si="0"/>
        <v>48</v>
      </c>
      <c r="Q30" s="61">
        <f t="shared" si="0"/>
        <v>0</v>
      </c>
      <c r="R30" s="61">
        <f t="shared" si="0"/>
        <v>0</v>
      </c>
      <c r="S30" s="61">
        <f t="shared" si="0"/>
        <v>3.02</v>
      </c>
      <c r="T30" s="63">
        <f t="shared" si="0"/>
        <v>0</v>
      </c>
      <c r="U30" s="62">
        <f t="shared" si="0"/>
        <v>0</v>
      </c>
      <c r="V30" s="64">
        <f t="shared" si="0"/>
        <v>0</v>
      </c>
      <c r="W30" s="22"/>
      <c r="X30" s="14"/>
    </row>
    <row r="31" spans="1:24" s="1" customFormat="1" ht="16.5" thickTop="1">
      <c r="A31" s="21"/>
      <c r="B31" s="18"/>
      <c r="C31" s="19"/>
      <c r="D31" s="19"/>
      <c r="E31" s="190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4"/>
      <c r="U31" s="14"/>
      <c r="V31" s="14"/>
      <c r="W31" s="22"/>
      <c r="X31" s="14"/>
    </row>
  </sheetData>
  <sheetProtection password="C578" sheet="1"/>
  <mergeCells count="14">
    <mergeCell ref="P6:R6"/>
    <mergeCell ref="B6:B7"/>
    <mergeCell ref="S6:V6"/>
    <mergeCell ref="C6:C7"/>
    <mergeCell ref="D6:D7"/>
    <mergeCell ref="G6:G7"/>
    <mergeCell ref="F6:F7"/>
    <mergeCell ref="H6:K6"/>
    <mergeCell ref="M6:O6"/>
    <mergeCell ref="B30:C30"/>
    <mergeCell ref="A2:B2"/>
    <mergeCell ref="A3:B3"/>
    <mergeCell ref="E6:E7"/>
    <mergeCell ref="L6:L7"/>
  </mergeCells>
  <dataValidations count="2">
    <dataValidation type="list" allowBlank="1" showInputMessage="1" showErrorMessage="1" sqref="F10:F29">
      <formula1>$F$1:$F$2</formula1>
    </dataValidation>
    <dataValidation type="list" allowBlank="1" showInputMessage="1" showErrorMessage="1" sqref="G10:G29">
      <formula1>$G$1:$G$2</formula1>
    </dataValidation>
  </dataValidations>
  <pageMargins left="0.7" right="0.7" top="0.75" bottom="0.75" header="0.3" footer="0.3"/>
  <pageSetup scale="4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2"/>
  <sheetViews>
    <sheetView showGridLines="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16" sqref="C16"/>
    </sheetView>
  </sheetViews>
  <sheetFormatPr defaultRowHeight="15"/>
  <cols>
    <col min="1" max="1" width="2.140625" style="78" customWidth="1"/>
    <col min="2" max="2" width="4" style="78" customWidth="1"/>
    <col min="3" max="3" width="18.85546875" style="78" customWidth="1"/>
    <col min="4" max="4" width="15.42578125" style="78" customWidth="1"/>
    <col min="5" max="5" width="9.7109375" style="78" customWidth="1"/>
    <col min="6" max="6" width="10.140625" style="78" customWidth="1"/>
    <col min="7" max="15" width="9.140625" style="78"/>
    <col min="16" max="16" width="9.28515625" style="78" bestFit="1" customWidth="1"/>
    <col min="17" max="21" width="9.140625" style="78"/>
    <col min="22" max="22" width="9.85546875" style="78" customWidth="1"/>
    <col min="23" max="23" width="10.42578125" style="78" customWidth="1"/>
    <col min="24" max="16384" width="9.140625" style="78"/>
  </cols>
  <sheetData>
    <row r="1" spans="1:24" ht="20.25">
      <c r="B1" s="79" t="s">
        <v>24</v>
      </c>
      <c r="C1" s="79"/>
      <c r="D1" s="79"/>
      <c r="E1" s="79"/>
      <c r="F1" s="79"/>
      <c r="G1" s="79"/>
      <c r="H1" s="79"/>
      <c r="I1" s="79"/>
      <c r="J1" s="80"/>
      <c r="K1" s="80"/>
      <c r="L1" s="80"/>
      <c r="M1" s="81"/>
      <c r="N1" s="81"/>
      <c r="O1" s="81"/>
      <c r="P1" s="81"/>
      <c r="Q1" s="80"/>
      <c r="R1" s="82"/>
      <c r="S1" s="82"/>
      <c r="T1" s="82"/>
      <c r="U1" s="80"/>
      <c r="V1" s="80"/>
      <c r="W1" s="80"/>
      <c r="X1" s="82"/>
    </row>
    <row r="2" spans="1:24" ht="18">
      <c r="A2" s="83"/>
      <c r="B2" s="249" t="s">
        <v>10</v>
      </c>
      <c r="C2" s="249"/>
      <c r="D2" s="84" t="s">
        <v>79</v>
      </c>
      <c r="E2" s="84"/>
      <c r="F2" s="84"/>
      <c r="G2" s="84"/>
      <c r="H2" s="84"/>
      <c r="I2" s="84"/>
      <c r="J2" s="85"/>
      <c r="K2" s="85"/>
      <c r="L2" s="85"/>
      <c r="M2" s="86"/>
      <c r="N2" s="86"/>
      <c r="O2" s="86"/>
      <c r="P2" s="86"/>
      <c r="Q2" s="85"/>
      <c r="R2" s="87"/>
      <c r="S2" s="87"/>
      <c r="T2" s="87"/>
      <c r="U2" s="85"/>
      <c r="V2" s="85"/>
      <c r="W2" s="85"/>
      <c r="X2" s="87"/>
    </row>
    <row r="3" spans="1:24" ht="15.75">
      <c r="A3" s="83"/>
      <c r="B3" s="249" t="s">
        <v>25</v>
      </c>
      <c r="C3" s="249"/>
      <c r="D3" s="88" t="str">
        <f>Timekeeping!C3</f>
        <v>April 11-25,2018</v>
      </c>
      <c r="E3" s="88"/>
      <c r="F3" s="88"/>
      <c r="G3" s="88"/>
      <c r="H3" s="88"/>
      <c r="I3" s="88"/>
      <c r="J3" s="89"/>
      <c r="K3" s="89"/>
      <c r="L3" s="89"/>
      <c r="M3" s="90"/>
      <c r="N3" s="90"/>
      <c r="O3" s="90"/>
      <c r="P3" s="90"/>
      <c r="Q3" s="89"/>
      <c r="R3" s="91"/>
      <c r="S3" s="91"/>
      <c r="T3" s="91"/>
      <c r="U3" s="89"/>
      <c r="V3" s="89"/>
      <c r="W3" s="89"/>
      <c r="X3" s="91"/>
    </row>
    <row r="4" spans="1:24">
      <c r="B4" s="92"/>
      <c r="C4" s="87"/>
      <c r="D4" s="87"/>
      <c r="E4" s="87"/>
      <c r="F4" s="93"/>
      <c r="G4" s="85"/>
      <c r="H4" s="85"/>
      <c r="I4" s="85"/>
      <c r="J4" s="85"/>
      <c r="K4" s="85"/>
      <c r="L4" s="85"/>
      <c r="M4" s="86"/>
      <c r="N4" s="86"/>
      <c r="O4" s="86"/>
      <c r="P4" s="86"/>
      <c r="Q4" s="85"/>
      <c r="R4" s="87"/>
      <c r="S4" s="87"/>
      <c r="T4" s="87"/>
      <c r="U4" s="85"/>
      <c r="V4" s="85"/>
      <c r="W4" s="85"/>
      <c r="X4" s="87"/>
    </row>
    <row r="5" spans="1:24" ht="15.75" thickBot="1">
      <c r="B5" s="92"/>
      <c r="C5" s="87"/>
      <c r="D5" s="87"/>
      <c r="E5" s="87"/>
      <c r="F5" s="93"/>
      <c r="G5" s="94"/>
      <c r="H5" s="85"/>
      <c r="I5" s="85"/>
      <c r="J5" s="85"/>
      <c r="K5" s="85"/>
      <c r="L5" s="85"/>
      <c r="M5" s="85"/>
      <c r="N5" s="85"/>
      <c r="O5" s="85"/>
      <c r="P5" s="85"/>
      <c r="Q5" s="85"/>
      <c r="R5" s="87"/>
      <c r="S5" s="87"/>
      <c r="T5" s="87"/>
      <c r="U5" s="85"/>
      <c r="V5" s="95"/>
      <c r="W5" s="85"/>
      <c r="X5" s="87"/>
    </row>
    <row r="6" spans="1:24" ht="15" customHeight="1">
      <c r="B6" s="261" t="s">
        <v>17</v>
      </c>
      <c r="C6" s="250" t="s">
        <v>27</v>
      </c>
      <c r="D6" s="250" t="s">
        <v>12</v>
      </c>
      <c r="E6" s="250" t="s">
        <v>64</v>
      </c>
      <c r="F6" s="250" t="s">
        <v>28</v>
      </c>
      <c r="G6" s="250" t="s">
        <v>5</v>
      </c>
      <c r="H6" s="257" t="s">
        <v>29</v>
      </c>
      <c r="I6" s="254" t="s">
        <v>30</v>
      </c>
      <c r="J6" s="254" t="s">
        <v>80</v>
      </c>
      <c r="K6" s="264" t="s">
        <v>0</v>
      </c>
      <c r="L6" s="265"/>
      <c r="M6" s="266"/>
      <c r="N6" s="246" t="s">
        <v>67</v>
      </c>
      <c r="O6" s="243" t="s">
        <v>1</v>
      </c>
      <c r="P6" s="246" t="s">
        <v>31</v>
      </c>
      <c r="Q6" s="243" t="s">
        <v>2</v>
      </c>
      <c r="R6" s="246" t="s">
        <v>31</v>
      </c>
      <c r="S6" s="260" t="s">
        <v>66</v>
      </c>
      <c r="T6" s="260"/>
      <c r="U6" s="260"/>
      <c r="V6" s="246" t="s">
        <v>68</v>
      </c>
      <c r="W6" s="246" t="s">
        <v>32</v>
      </c>
      <c r="X6" s="222" t="s">
        <v>8</v>
      </c>
    </row>
    <row r="7" spans="1:24">
      <c r="B7" s="262"/>
      <c r="C7" s="244"/>
      <c r="D7" s="244"/>
      <c r="E7" s="244"/>
      <c r="F7" s="244"/>
      <c r="G7" s="244"/>
      <c r="H7" s="258"/>
      <c r="I7" s="255"/>
      <c r="J7" s="255"/>
      <c r="K7" s="244" t="s">
        <v>33</v>
      </c>
      <c r="L7" s="244" t="s">
        <v>34</v>
      </c>
      <c r="M7" s="244" t="s">
        <v>35</v>
      </c>
      <c r="N7" s="247"/>
      <c r="O7" s="244"/>
      <c r="P7" s="247"/>
      <c r="Q7" s="244"/>
      <c r="R7" s="247"/>
      <c r="S7" s="244" t="s">
        <v>33</v>
      </c>
      <c r="T7" s="244" t="s">
        <v>34</v>
      </c>
      <c r="U7" s="244" t="s">
        <v>35</v>
      </c>
      <c r="V7" s="247"/>
      <c r="W7" s="247"/>
      <c r="X7" s="223"/>
    </row>
    <row r="8" spans="1:24" ht="15.75" thickBot="1">
      <c r="B8" s="263"/>
      <c r="C8" s="245"/>
      <c r="D8" s="245"/>
      <c r="E8" s="245"/>
      <c r="F8" s="245"/>
      <c r="G8" s="245"/>
      <c r="H8" s="259"/>
      <c r="I8" s="256"/>
      <c r="J8" s="256"/>
      <c r="K8" s="245"/>
      <c r="L8" s="245"/>
      <c r="M8" s="245"/>
      <c r="N8" s="248"/>
      <c r="O8" s="245"/>
      <c r="P8" s="248"/>
      <c r="Q8" s="245"/>
      <c r="R8" s="248"/>
      <c r="S8" s="245"/>
      <c r="T8" s="245"/>
      <c r="U8" s="245"/>
      <c r="V8" s="248"/>
      <c r="W8" s="248"/>
      <c r="X8" s="224"/>
    </row>
    <row r="9" spans="1:24">
      <c r="B9" s="96">
        <f>Timekeeping!$B10</f>
        <v>1</v>
      </c>
      <c r="C9" s="97" t="str">
        <f>Timekeeping!$C10</f>
        <v>Cahilig,Benzen</v>
      </c>
      <c r="D9" s="98" t="str">
        <f>Timekeeping!$D10</f>
        <v>Cook</v>
      </c>
      <c r="E9" s="67" t="str">
        <f>Timekeeping!$F10</f>
        <v>R</v>
      </c>
      <c r="F9" s="99">
        <f>Timekeeping!$H10</f>
        <v>12</v>
      </c>
      <c r="G9" s="99">
        <f>Timekeeping!$I10</f>
        <v>0</v>
      </c>
      <c r="H9" s="70">
        <f>IFERROR(HLOOKUP($E9,Rates!$C$1:$D$12,12,0),0)</f>
        <v>630.11538461538464</v>
      </c>
      <c r="I9" s="100">
        <f>SUM($F9:$G9)*$H9</f>
        <v>7561.3846153846152</v>
      </c>
      <c r="J9" s="192">
        <f t="shared" ref="J9:J28" si="0">IF($E9=0,0,IF($E9="T",0,IF($E9="R",($F9+$G9+$O9)*10)))</f>
        <v>120</v>
      </c>
      <c r="K9" s="99">
        <f>Timekeeping!$M10</f>
        <v>0</v>
      </c>
      <c r="L9" s="99">
        <f>Timekeeping!$N10</f>
        <v>0</v>
      </c>
      <c r="M9" s="99">
        <f>Timekeeping!$O10</f>
        <v>0</v>
      </c>
      <c r="N9" s="71">
        <f>IF($E9=0,0,IF($E9="R",((Rates!$C$6/8)*125%)*$K9+((((Rates!$C$6/8)*200%)*130%)*$L9)+((((Rates!$C$6/8)*130%)*130%)*$M9),IF($E9="T",((Rates!$D$6/8)*125%)*$K9+((((Rates!$D$6/8)*200%)*130%)*$L9)+((((Rates!$D$6/8)*130%)*130%)*$M9))))</f>
        <v>0</v>
      </c>
      <c r="O9" s="99">
        <f>Timekeeping!$J10</f>
        <v>0</v>
      </c>
      <c r="P9" s="71">
        <f>IF($E9=0,0,IF($E9="R",$O9*Rates!$C$6,IF($E9="T",$O9*Rates!$D$6)))</f>
        <v>0</v>
      </c>
      <c r="Q9" s="99">
        <f>Timekeeping!$K10</f>
        <v>0</v>
      </c>
      <c r="R9" s="71">
        <f>IF($E9=0,0,IF($E9="R",$Q9*(Rates!$C$6*30%),IF($E9="T",$Q9*(Rates!$D$6*30%))))</f>
        <v>0</v>
      </c>
      <c r="S9" s="99">
        <f>Timekeeping!$P10</f>
        <v>1.5</v>
      </c>
      <c r="T9" s="99">
        <f>Timekeeping!$Q10</f>
        <v>0</v>
      </c>
      <c r="U9" s="99">
        <f>Timekeeping!$R10</f>
        <v>0</v>
      </c>
      <c r="V9" s="71">
        <f>IF($E9=0,0,IF($E9="R",((Rates!$C$6/8)*10%)*$S9+((((Rates!$C$6/8)*13%)*2)*$T9)+((((Rates!$C$6/8)*13%)*$U9)),IF($E9="T",((Rates!$D$6/8)*10%)*$S9+((((Rates!$D$6/8)*13%)*2)*$T9)+((((Rates!$D$6/8)*13%)*$U9)))))</f>
        <v>9.4125000000000014</v>
      </c>
      <c r="W9" s="101">
        <f>Timekeeping!$L10</f>
        <v>0</v>
      </c>
      <c r="X9" s="102">
        <f>I9+J9+N9+P9+R9+V9+W9</f>
        <v>7690.7971153846156</v>
      </c>
    </row>
    <row r="10" spans="1:24">
      <c r="B10" s="103">
        <f>Timekeeping!$B11</f>
        <v>2</v>
      </c>
      <c r="C10" s="104" t="str">
        <f>Timekeeping!$C11</f>
        <v>Espinosa,Camille Denise</v>
      </c>
      <c r="D10" s="105" t="str">
        <f>Timekeeping!$D11</f>
        <v>Cashier</v>
      </c>
      <c r="E10" s="67" t="str">
        <f>Timekeeping!$F11</f>
        <v>R</v>
      </c>
      <c r="F10" s="99">
        <f>Timekeeping!$H11</f>
        <v>12</v>
      </c>
      <c r="G10" s="99">
        <f>Timekeeping!$I11</f>
        <v>0</v>
      </c>
      <c r="H10" s="70">
        <f>IFERROR(HLOOKUP($E10,Rates!$C$1:$D$12,12,0),0)</f>
        <v>630.11538461538464</v>
      </c>
      <c r="I10" s="100">
        <f>SUM($F10:$G10)*$H10</f>
        <v>7561.3846153846152</v>
      </c>
      <c r="J10" s="192">
        <f t="shared" si="0"/>
        <v>120</v>
      </c>
      <c r="K10" s="99">
        <f>Timekeeping!$M11</f>
        <v>1</v>
      </c>
      <c r="L10" s="99">
        <f>Timekeeping!$N11</f>
        <v>0</v>
      </c>
      <c r="M10" s="99">
        <f>Timekeeping!$O11</f>
        <v>0</v>
      </c>
      <c r="N10" s="71">
        <f>IF($E10=0,0,IF($E10="R",((Rates!$C$6/8)*125%)*$K10+((((Rates!$C$6/8)*200%)*130%)*$L10)+((((Rates!$C$6/8)*130%)*130%)*$M10),IF($E10="T",((Rates!$D$6/8)*125%)*$K10+((((Rates!$D$6/8)*200%)*130%)*$L10)+((((Rates!$D$6/8)*130%)*130%)*$M10))))</f>
        <v>78.4375</v>
      </c>
      <c r="O10" s="99">
        <f>Timekeeping!$J11</f>
        <v>0</v>
      </c>
      <c r="P10" s="71">
        <f>IF($E10=0,0,IF($E10="R",$O10*Rates!$C$6,IF($E10="T",$O10*Rates!$D$6)))</f>
        <v>0</v>
      </c>
      <c r="Q10" s="99">
        <f>Timekeeping!$K11</f>
        <v>0</v>
      </c>
      <c r="R10" s="71">
        <f>IF($E10=0,0,IF($E10="R",$Q10*(Rates!$C$6*30%),IF($E10="T",$Q10*(Rates!$D$6*30%))))</f>
        <v>0</v>
      </c>
      <c r="S10" s="99">
        <f>Timekeeping!$P11</f>
        <v>13.5</v>
      </c>
      <c r="T10" s="99">
        <f>Timekeeping!$Q11</f>
        <v>0</v>
      </c>
      <c r="U10" s="99">
        <f>Timekeeping!$R11</f>
        <v>0</v>
      </c>
      <c r="V10" s="71">
        <f>IF($E10=0,0,IF($E10="R",((Rates!$C$6/8)*10%)*$S10+((((Rates!$C$6/8)*13%)*2)*$T10)+((((Rates!$C$6/8)*13%)*$U10)),IF($E10="T",((Rates!$D$6/8)*10%)*$S10+((((Rates!$D$6/8)*13%)*2)*$T10)+((((Rates!$D$6/8)*13%)*$U10)))))</f>
        <v>84.712500000000006</v>
      </c>
      <c r="W10" s="101">
        <f>Timekeeping!$L11</f>
        <v>0</v>
      </c>
      <c r="X10" s="102">
        <f>I10+J10+N10+P10+R10+V10+W10</f>
        <v>7844.5346153846149</v>
      </c>
    </row>
    <row r="11" spans="1:24">
      <c r="B11" s="103">
        <f>Timekeeping!$B12</f>
        <v>3</v>
      </c>
      <c r="C11" s="104" t="str">
        <f>Timekeeping!$C12</f>
        <v>Hayagan,Ruel</v>
      </c>
      <c r="D11" s="105" t="str">
        <f>Timekeeping!$D12</f>
        <v>Pantry</v>
      </c>
      <c r="E11" s="67" t="str">
        <f>Timekeeping!$F12</f>
        <v>R</v>
      </c>
      <c r="F11" s="99">
        <f>Timekeeping!$H12</f>
        <v>10</v>
      </c>
      <c r="G11" s="99">
        <f>Timekeeping!$I12</f>
        <v>2</v>
      </c>
      <c r="H11" s="70">
        <f>IFERROR(HLOOKUP($E11,Rates!$C$1:$D$12,12,0),0)</f>
        <v>630.11538461538464</v>
      </c>
      <c r="I11" s="100">
        <f>SUM($F11:$G11)*$H11</f>
        <v>7561.3846153846152</v>
      </c>
      <c r="J11" s="192">
        <f t="shared" si="0"/>
        <v>120</v>
      </c>
      <c r="K11" s="99">
        <f>Timekeeping!$M12</f>
        <v>0</v>
      </c>
      <c r="L11" s="99">
        <f>Timekeeping!$N12</f>
        <v>0</v>
      </c>
      <c r="M11" s="99">
        <f>Timekeeping!$O12</f>
        <v>0</v>
      </c>
      <c r="N11" s="71">
        <f>IF($E11=0,0,IF($E11="R",((Rates!$C$6/8)*125%)*$K11+((((Rates!$C$6/8)*200%)*130%)*$L11)+((((Rates!$C$6/8)*130%)*130%)*$M11),IF($E11="T",((Rates!$D$6/8)*125%)*$K11+((((Rates!$D$6/8)*200%)*130%)*$L11)+((((Rates!$D$6/8)*130%)*130%)*$M11))))</f>
        <v>0</v>
      </c>
      <c r="O11" s="99">
        <f>Timekeeping!$J12</f>
        <v>0</v>
      </c>
      <c r="P11" s="71">
        <f>IF($E11=0,0,IF($E11="R",$O11*Rates!$C$6,IF($E11="T",$O11*Rates!$D$6)))</f>
        <v>0</v>
      </c>
      <c r="Q11" s="99">
        <f>Timekeeping!$K12</f>
        <v>0</v>
      </c>
      <c r="R11" s="71">
        <f>IF($E11=0,0,IF($E11="R",$Q11*(Rates!$C$6*30%),IF($E11="T",$Q11*(Rates!$D$6*30%))))</f>
        <v>0</v>
      </c>
      <c r="S11" s="99">
        <f>Timekeeping!$P12</f>
        <v>6</v>
      </c>
      <c r="T11" s="99">
        <f>Timekeeping!$Q12</f>
        <v>0</v>
      </c>
      <c r="U11" s="99">
        <f>Timekeeping!$R12</f>
        <v>0</v>
      </c>
      <c r="V11" s="71">
        <f>IF($E11=0,0,IF($E11="R",((Rates!$C$6/8)*10%)*$S11+((((Rates!$C$6/8)*13%)*2)*$T11)+((((Rates!$C$6/8)*13%)*$U11)),IF($E11="T",((Rates!$D$6/8)*10%)*$S11+((((Rates!$D$6/8)*13%)*2)*$T11)+((((Rates!$D$6/8)*13%)*$U11)))))</f>
        <v>37.650000000000006</v>
      </c>
      <c r="W11" s="101">
        <f>Timekeeping!$L12</f>
        <v>0</v>
      </c>
      <c r="X11" s="102">
        <f t="shared" ref="X11:X28" si="1">I11+J11+N11+P11+R11+V11+W11</f>
        <v>7719.0346153846149</v>
      </c>
    </row>
    <row r="12" spans="1:24">
      <c r="B12" s="103">
        <f>Timekeeping!$B13</f>
        <v>4</v>
      </c>
      <c r="C12" s="104" t="str">
        <f>Timekeeping!$C13</f>
        <v>Pantoja,Nancy</v>
      </c>
      <c r="D12" s="105" t="str">
        <f>Timekeeping!$D13</f>
        <v>Cashier</v>
      </c>
      <c r="E12" s="67" t="str">
        <f>Timekeeping!$F13</f>
        <v>R</v>
      </c>
      <c r="F12" s="99">
        <f>Timekeeping!$H13</f>
        <v>12</v>
      </c>
      <c r="G12" s="99">
        <f>Timekeeping!$I13</f>
        <v>0</v>
      </c>
      <c r="H12" s="70">
        <f>IFERROR(HLOOKUP($E12,Rates!$C$1:$D$12,12,0),0)</f>
        <v>630.11538461538464</v>
      </c>
      <c r="I12" s="100">
        <f>SUM($F12:$G12)*$H12</f>
        <v>7561.3846153846152</v>
      </c>
      <c r="J12" s="192">
        <f t="shared" si="0"/>
        <v>120</v>
      </c>
      <c r="K12" s="99">
        <f>Timekeeping!$M13</f>
        <v>0</v>
      </c>
      <c r="L12" s="99">
        <f>Timekeeping!$N13</f>
        <v>0</v>
      </c>
      <c r="M12" s="99">
        <f>Timekeeping!$O13</f>
        <v>0</v>
      </c>
      <c r="N12" s="71">
        <f>IF($E12=0,0,IF($E12="R",((Rates!$C$6/8)*125%)*$K12+((((Rates!$C$6/8)*200%)*130%)*$L12)+((((Rates!$C$6/8)*130%)*130%)*$M12),IF($E12="T",((Rates!$D$6/8)*125%)*$K12+((((Rates!$D$6/8)*200%)*130%)*$L12)+((((Rates!$D$6/8)*130%)*130%)*$M12))))</f>
        <v>0</v>
      </c>
      <c r="O12" s="99">
        <f>Timekeeping!$J13</f>
        <v>0</v>
      </c>
      <c r="P12" s="71">
        <f>IF($E12=0,0,IF($E12="R",$O12*Rates!$C$6,IF($E12="T",$O12*Rates!$D$6)))</f>
        <v>0</v>
      </c>
      <c r="Q12" s="99">
        <f>Timekeeping!$K13</f>
        <v>0</v>
      </c>
      <c r="R12" s="71">
        <f>IF($E12=0,0,IF($E12="R",$Q12*(Rates!$C$6*30%),IF($E12="T",$Q12*(Rates!$D$6*30%))))</f>
        <v>0</v>
      </c>
      <c r="S12" s="99">
        <f>Timekeeping!$P13</f>
        <v>12</v>
      </c>
      <c r="T12" s="99">
        <f>Timekeeping!$Q13</f>
        <v>0</v>
      </c>
      <c r="U12" s="99">
        <f>Timekeeping!$R13</f>
        <v>0</v>
      </c>
      <c r="V12" s="71">
        <f>IF($E12=0,0,IF($E12="R",((Rates!$C$6/8)*10%)*$S12+((((Rates!$C$6/8)*13%)*2)*$T12)+((((Rates!$C$6/8)*13%)*$U12)),IF($E12="T",((Rates!$D$6/8)*10%)*$S12+((((Rates!$D$6/8)*13%)*2)*$T12)+((((Rates!$D$6/8)*13%)*$U12)))))</f>
        <v>75.300000000000011</v>
      </c>
      <c r="W12" s="101">
        <f>Timekeeping!$L13</f>
        <v>0</v>
      </c>
      <c r="X12" s="102">
        <f t="shared" si="1"/>
        <v>7756.6846153846154</v>
      </c>
    </row>
    <row r="13" spans="1:24">
      <c r="B13" s="103">
        <f>Timekeeping!$B14</f>
        <v>5</v>
      </c>
      <c r="C13" s="104" t="str">
        <f>Timekeeping!$C14</f>
        <v>Villanueva,Jeffrey</v>
      </c>
      <c r="D13" s="105" t="str">
        <f>Timekeeping!$D14</f>
        <v>Pantry</v>
      </c>
      <c r="E13" s="67" t="str">
        <f>Timekeeping!$F14</f>
        <v>R</v>
      </c>
      <c r="F13" s="99">
        <f>Timekeeping!$H14</f>
        <v>9</v>
      </c>
      <c r="G13" s="99">
        <f>Timekeeping!$I14</f>
        <v>1</v>
      </c>
      <c r="H13" s="70">
        <f>IFERROR(HLOOKUP($E13,Rates!$C$1:$D$12,12,0),0)</f>
        <v>630.11538461538464</v>
      </c>
      <c r="I13" s="100">
        <f t="shared" ref="I13:I28" si="2">SUM($F13:$G13)*$H13</f>
        <v>6301.1538461538466</v>
      </c>
      <c r="J13" s="192">
        <f t="shared" si="0"/>
        <v>100</v>
      </c>
      <c r="K13" s="99">
        <f>Timekeeping!$M14</f>
        <v>0</v>
      </c>
      <c r="L13" s="99">
        <f>Timekeeping!$N14</f>
        <v>0</v>
      </c>
      <c r="M13" s="99">
        <f>Timekeeping!$O14</f>
        <v>0</v>
      </c>
      <c r="N13" s="71">
        <f>IF($E13=0,0,IF($E13="R",((Rates!$C$6/8)*125%)*$K13+((((Rates!$C$6/8)*200%)*130%)*$L13)+((((Rates!$C$6/8)*130%)*130%)*$M13),IF($E13="T",((Rates!$D$6/8)*125%)*$K13+((((Rates!$D$6/8)*200%)*130%)*$L13)+((((Rates!$D$6/8)*130%)*130%)*$M13))))</f>
        <v>0</v>
      </c>
      <c r="O13" s="99">
        <f>Timekeeping!$J14</f>
        <v>0</v>
      </c>
      <c r="P13" s="71">
        <f>IF($E13=0,0,IF($E13="R",$O13*Rates!$C$6,IF($E13="T",$O13*Rates!$D$6)))</f>
        <v>0</v>
      </c>
      <c r="Q13" s="99">
        <f>Timekeeping!$K14</f>
        <v>0</v>
      </c>
      <c r="R13" s="71">
        <f>IF($E13=0,0,IF($E13="R",$Q13*(Rates!$C$6*30%),IF($E13="T",$Q13*(Rates!$D$6*30%))))</f>
        <v>0</v>
      </c>
      <c r="S13" s="99">
        <f>Timekeeping!$P14</f>
        <v>7.5</v>
      </c>
      <c r="T13" s="99">
        <f>Timekeeping!$Q14</f>
        <v>0</v>
      </c>
      <c r="U13" s="99">
        <f>Timekeeping!$R14</f>
        <v>0</v>
      </c>
      <c r="V13" s="71">
        <f>IF($E13=0,0,IF($E13="R",((Rates!$C$6/8)*10%)*$S13+((((Rates!$C$6/8)*13%)*2)*$T13)+((((Rates!$C$6/8)*13%)*$U13)),IF($E13="T",((Rates!$D$6/8)*10%)*$S13+((((Rates!$D$6/8)*13%)*2)*$T13)+((((Rates!$D$6/8)*13%)*$U13)))))</f>
        <v>47.0625</v>
      </c>
      <c r="W13" s="101">
        <f>Timekeeping!$L14</f>
        <v>0</v>
      </c>
      <c r="X13" s="102">
        <f t="shared" si="1"/>
        <v>6448.2163461538466</v>
      </c>
    </row>
    <row r="14" spans="1:24">
      <c r="B14" s="103">
        <f>Timekeeping!$B15</f>
        <v>6</v>
      </c>
      <c r="C14" s="104" t="str">
        <f>Timekeeping!$C15</f>
        <v>Atienza,Mark Joseph</v>
      </c>
      <c r="D14" s="105" t="str">
        <f>Timekeeping!$D15</f>
        <v>Waiter</v>
      </c>
      <c r="E14" s="67" t="str">
        <f>Timekeeping!$F15</f>
        <v>R</v>
      </c>
      <c r="F14" s="99">
        <f>Timekeeping!$H15</f>
        <v>11.5</v>
      </c>
      <c r="G14" s="99">
        <f>Timekeeping!$I15</f>
        <v>0</v>
      </c>
      <c r="H14" s="70">
        <f>IFERROR(HLOOKUP($E14,Rates!$C$1:$D$12,12,0),0)</f>
        <v>630.11538461538464</v>
      </c>
      <c r="I14" s="100">
        <f t="shared" si="2"/>
        <v>7246.3269230769238</v>
      </c>
      <c r="J14" s="192">
        <f t="shared" si="0"/>
        <v>115</v>
      </c>
      <c r="K14" s="99">
        <f>Timekeeping!$M15</f>
        <v>0</v>
      </c>
      <c r="L14" s="99">
        <f>Timekeeping!$N15</f>
        <v>0</v>
      </c>
      <c r="M14" s="99">
        <f>Timekeeping!$O15</f>
        <v>0</v>
      </c>
      <c r="N14" s="71">
        <f>IF($E14=0,0,IF($E14="R",((Rates!$C$6/8)*125%)*$K14+((((Rates!$C$6/8)*200%)*130%)*$L14)+((((Rates!$C$6/8)*130%)*130%)*$M14),IF($E14="T",((Rates!$D$6/8)*125%)*$K14+((((Rates!$D$6/8)*200%)*130%)*$L14)+((((Rates!$D$6/8)*130%)*130%)*$M14))))</f>
        <v>0</v>
      </c>
      <c r="O14" s="99">
        <f>Timekeeping!$J15</f>
        <v>0</v>
      </c>
      <c r="P14" s="71">
        <f>IF($E14=0,0,IF($E14="R",$O14*Rates!$C$6,IF($E14="T",$O14*Rates!$D$6)))</f>
        <v>0</v>
      </c>
      <c r="Q14" s="99">
        <f>Timekeeping!$K15</f>
        <v>0</v>
      </c>
      <c r="R14" s="71">
        <f>IF($E14=0,0,IF($E14="R",$Q14*(Rates!$C$6*30%),IF($E14="T",$Q14*(Rates!$D$6*30%))))</f>
        <v>0</v>
      </c>
      <c r="S14" s="99">
        <f>Timekeeping!$P15</f>
        <v>3</v>
      </c>
      <c r="T14" s="99">
        <f>Timekeeping!$Q15</f>
        <v>0</v>
      </c>
      <c r="U14" s="99">
        <f>Timekeeping!$R15</f>
        <v>0</v>
      </c>
      <c r="V14" s="71">
        <f>IF($E14=0,0,IF($E14="R",((Rates!$C$6/8)*10%)*$S14+((((Rates!$C$6/8)*13%)*2)*$T14)+((((Rates!$C$6/8)*13%)*$U14)),IF($E14="T",((Rates!$D$6/8)*10%)*$S14+((((Rates!$D$6/8)*13%)*2)*$T14)+((((Rates!$D$6/8)*13%)*$U14)))))</f>
        <v>18.825000000000003</v>
      </c>
      <c r="W14" s="101">
        <f>Timekeeping!$L15</f>
        <v>0</v>
      </c>
      <c r="X14" s="102">
        <f t="shared" si="1"/>
        <v>7380.1519230769236</v>
      </c>
    </row>
    <row r="15" spans="1:24">
      <c r="B15" s="103">
        <f>Timekeeping!$B16</f>
        <v>7</v>
      </c>
      <c r="C15" s="104" t="str">
        <f>Timekeeping!$C16</f>
        <v>Arel,Issacar</v>
      </c>
      <c r="D15" s="105" t="str">
        <f>Timekeeping!$D16</f>
        <v>Waiter</v>
      </c>
      <c r="E15" s="67" t="str">
        <f>Timekeeping!$F16</f>
        <v>R</v>
      </c>
      <c r="F15" s="99">
        <f>Timekeeping!$H16</f>
        <v>3</v>
      </c>
      <c r="G15" s="99">
        <f>Timekeeping!$I16</f>
        <v>0</v>
      </c>
      <c r="H15" s="70">
        <f>IFERROR(HLOOKUP($E15,Rates!$C$1:$D$12,12,0),0)</f>
        <v>630.11538461538464</v>
      </c>
      <c r="I15" s="100">
        <f t="shared" si="2"/>
        <v>1890.3461538461538</v>
      </c>
      <c r="J15" s="192">
        <f t="shared" si="0"/>
        <v>30</v>
      </c>
      <c r="K15" s="99">
        <f>Timekeeping!$M16</f>
        <v>0</v>
      </c>
      <c r="L15" s="99">
        <f>Timekeeping!$N16</f>
        <v>0</v>
      </c>
      <c r="M15" s="99">
        <f>Timekeeping!$O16</f>
        <v>0</v>
      </c>
      <c r="N15" s="71">
        <f>IF($E15=0,0,IF($E15="R",((Rates!$C$6/8)*125%)*$K15+((((Rates!$C$6/8)*200%)*130%)*$L15)+((((Rates!$C$6/8)*130%)*130%)*$M15),IF($E15="T",((Rates!$D$6/8)*125%)*$K15+((((Rates!$D$6/8)*200%)*130%)*$L15)+((((Rates!$D$6/8)*130%)*130%)*$M15))))</f>
        <v>0</v>
      </c>
      <c r="O15" s="99">
        <f>Timekeeping!$J16</f>
        <v>0</v>
      </c>
      <c r="P15" s="71">
        <f>IF($E15=0,0,IF($E15="R",$O15*Rates!$C$6,IF($E15="T",$O15*Rates!$D$6)))</f>
        <v>0</v>
      </c>
      <c r="Q15" s="99">
        <f>Timekeeping!$K16</f>
        <v>0</v>
      </c>
      <c r="R15" s="71">
        <f>IF($E15=0,0,IF($E15="R",$Q15*(Rates!$C$6*30%),IF($E15="T",$Q15*(Rates!$D$6*30%))))</f>
        <v>0</v>
      </c>
      <c r="S15" s="99">
        <f>Timekeeping!$P16</f>
        <v>4.5</v>
      </c>
      <c r="T15" s="99">
        <f>Timekeeping!$Q16</f>
        <v>0</v>
      </c>
      <c r="U15" s="99">
        <f>Timekeeping!$R16</f>
        <v>0</v>
      </c>
      <c r="V15" s="71">
        <f>IF($E15=0,0,IF($E15="R",((Rates!$C$6/8)*10%)*$S15+((((Rates!$C$6/8)*13%)*2)*$T15)+((((Rates!$C$6/8)*13%)*$U15)),IF($E15="T",((Rates!$D$6/8)*10%)*$S15+((((Rates!$D$6/8)*13%)*2)*$T15)+((((Rates!$D$6/8)*13%)*$U15)))))</f>
        <v>28.237500000000001</v>
      </c>
      <c r="W15" s="101">
        <f>Timekeeping!$L16</f>
        <v>0</v>
      </c>
      <c r="X15" s="102">
        <f t="shared" si="1"/>
        <v>1948.5836538461538</v>
      </c>
    </row>
    <row r="16" spans="1:24">
      <c r="B16" s="103" t="str">
        <f>Timekeeping!$B17</f>
        <v/>
      </c>
      <c r="C16" s="104">
        <f>Timekeeping!$C17</f>
        <v>0</v>
      </c>
      <c r="D16" s="105">
        <f>Timekeeping!$D17</f>
        <v>0</v>
      </c>
      <c r="E16" s="67">
        <f>Timekeeping!$F17</f>
        <v>0</v>
      </c>
      <c r="F16" s="99">
        <f>Timekeeping!$H17</f>
        <v>0</v>
      </c>
      <c r="G16" s="99">
        <f>Timekeeping!$I17</f>
        <v>0</v>
      </c>
      <c r="H16" s="70">
        <f>IFERROR(HLOOKUP($E16,Rates!$C$1:$D$12,12,0),0)</f>
        <v>0</v>
      </c>
      <c r="I16" s="100">
        <f t="shared" si="2"/>
        <v>0</v>
      </c>
      <c r="J16" s="192">
        <f t="shared" si="0"/>
        <v>0</v>
      </c>
      <c r="K16" s="99">
        <f>Timekeeping!$M17</f>
        <v>0</v>
      </c>
      <c r="L16" s="99">
        <f>Timekeeping!$N17</f>
        <v>0</v>
      </c>
      <c r="M16" s="99">
        <f>Timekeeping!$O17</f>
        <v>0</v>
      </c>
      <c r="N16" s="71">
        <f>IF($E16=0,0,IF($E16="R",((Rates!$C$6/8)*125%)*$K16+((((Rates!$C$6/8)*200%)*130%)*$L16)+((((Rates!$C$6/8)*130%)*130%)*$M16),IF($E16="T",((Rates!$D$6/8)*125%)*$K16+((((Rates!$D$6/8)*200%)*130%)*$L16)+((((Rates!$D$6/8)*130%)*130%)*$M16))))</f>
        <v>0</v>
      </c>
      <c r="O16" s="99">
        <f>Timekeeping!$J17</f>
        <v>0</v>
      </c>
      <c r="P16" s="71">
        <f>IF($E16=0,0,IF($E16="R",$O16*Rates!$C$6,IF($E16="T",$O16*Rates!$D$6)))</f>
        <v>0</v>
      </c>
      <c r="Q16" s="99">
        <f>Timekeeping!$K17</f>
        <v>0</v>
      </c>
      <c r="R16" s="71">
        <f>IF($E16=0,0,IF($E16="R",$Q16*(Rates!$C$6*30%),IF($E16="T",$Q16*(Rates!$D$6*30%))))</f>
        <v>0</v>
      </c>
      <c r="S16" s="99">
        <f>Timekeeping!$P17</f>
        <v>0</v>
      </c>
      <c r="T16" s="99">
        <f>Timekeeping!$Q17</f>
        <v>0</v>
      </c>
      <c r="U16" s="99">
        <f>Timekeeping!$R17</f>
        <v>0</v>
      </c>
      <c r="V16" s="71">
        <f>IF($E16=0,0,IF($E16="R",((Rates!$C$6/8)*10%)*$S16+((((Rates!$C$6/8)*13%)*2)*$T16)+((((Rates!$C$6/8)*13%)*$U16)),IF($E16="T",((Rates!$D$6/8)*10%)*$S16+((((Rates!$D$6/8)*13%)*2)*$T16)+((((Rates!$D$6/8)*13%)*$U16)))))</f>
        <v>0</v>
      </c>
      <c r="W16" s="101">
        <f>Timekeeping!$L17</f>
        <v>0</v>
      </c>
      <c r="X16" s="102">
        <f t="shared" si="1"/>
        <v>0</v>
      </c>
    </row>
    <row r="17" spans="2:24">
      <c r="B17" s="103" t="str">
        <f>Timekeeping!$B18</f>
        <v/>
      </c>
      <c r="C17" s="104">
        <f>Timekeeping!$C18</f>
        <v>0</v>
      </c>
      <c r="D17" s="105">
        <f>Timekeeping!$D18</f>
        <v>0</v>
      </c>
      <c r="E17" s="67">
        <f>Timekeeping!$F18</f>
        <v>0</v>
      </c>
      <c r="F17" s="99">
        <f>Timekeeping!$H18</f>
        <v>0</v>
      </c>
      <c r="G17" s="99">
        <f>Timekeeping!$I18</f>
        <v>0</v>
      </c>
      <c r="H17" s="70">
        <f>IFERROR(HLOOKUP($E17,Rates!$C$1:$D$12,12,0),0)</f>
        <v>0</v>
      </c>
      <c r="I17" s="100">
        <f t="shared" si="2"/>
        <v>0</v>
      </c>
      <c r="J17" s="192">
        <f t="shared" si="0"/>
        <v>0</v>
      </c>
      <c r="K17" s="99">
        <f>Timekeeping!$M18</f>
        <v>0</v>
      </c>
      <c r="L17" s="99">
        <f>Timekeeping!$N18</f>
        <v>0</v>
      </c>
      <c r="M17" s="99">
        <f>Timekeeping!$O18</f>
        <v>0</v>
      </c>
      <c r="N17" s="71">
        <f>IF($E17=0,0,IF($E17="R",((Rates!$C$6/8)*125%)*$K17+((((Rates!$C$6/8)*200%)*130%)*$L17)+((((Rates!$C$6/8)*130%)*130%)*$M17),IF($E17="T",((Rates!$D$6/8)*125%)*$K17+((((Rates!$D$6/8)*200%)*130%)*$L17)+((((Rates!$D$6/8)*130%)*130%)*$M17))))</f>
        <v>0</v>
      </c>
      <c r="O17" s="99">
        <f>Timekeeping!$J18</f>
        <v>0</v>
      </c>
      <c r="P17" s="71">
        <f>IF($E17=0,0,IF($E17="R",$O17*Rates!$C$6,IF($E17="T",$O17*Rates!$D$6)))</f>
        <v>0</v>
      </c>
      <c r="Q17" s="99">
        <f>Timekeeping!$K18</f>
        <v>0</v>
      </c>
      <c r="R17" s="71">
        <f>IF($E17=0,0,IF($E17="R",$Q17*(Rates!$C$6*30%),IF($E17="T",$Q17*(Rates!$D$6*30%))))</f>
        <v>0</v>
      </c>
      <c r="S17" s="99">
        <f>Timekeeping!$P18</f>
        <v>0</v>
      </c>
      <c r="T17" s="99">
        <f>Timekeeping!$Q18</f>
        <v>0</v>
      </c>
      <c r="U17" s="99">
        <f>Timekeeping!$R18</f>
        <v>0</v>
      </c>
      <c r="V17" s="71">
        <f>IF($E17=0,0,IF($E17="R",((Rates!$C$6/8)*10%)*$S17+((((Rates!$C$6/8)*13%)*2)*$T17)+((((Rates!$C$6/8)*13%)*$U17)),IF($E17="T",((Rates!$D$6/8)*10%)*$S17+((((Rates!$D$6/8)*13%)*2)*$T17)+((((Rates!$D$6/8)*13%)*$U17)))))</f>
        <v>0</v>
      </c>
      <c r="W17" s="101">
        <f>Timekeeping!$L18</f>
        <v>0</v>
      </c>
      <c r="X17" s="102">
        <f t="shared" si="1"/>
        <v>0</v>
      </c>
    </row>
    <row r="18" spans="2:24">
      <c r="B18" s="103" t="str">
        <f>Timekeeping!$B19</f>
        <v/>
      </c>
      <c r="C18" s="104">
        <f>Timekeeping!$C19</f>
        <v>0</v>
      </c>
      <c r="D18" s="105">
        <f>Timekeeping!$D19</f>
        <v>0</v>
      </c>
      <c r="E18" s="67">
        <f>Timekeeping!$F19</f>
        <v>0</v>
      </c>
      <c r="F18" s="99">
        <f>Timekeeping!$H19</f>
        <v>0</v>
      </c>
      <c r="G18" s="99">
        <f>Timekeeping!$I19</f>
        <v>0</v>
      </c>
      <c r="H18" s="70">
        <f>IFERROR(HLOOKUP($E18,Rates!$C$1:$D$12,12,0),0)</f>
        <v>0</v>
      </c>
      <c r="I18" s="100">
        <f t="shared" si="2"/>
        <v>0</v>
      </c>
      <c r="J18" s="192">
        <f t="shared" si="0"/>
        <v>0</v>
      </c>
      <c r="K18" s="99">
        <f>Timekeeping!$M19</f>
        <v>0</v>
      </c>
      <c r="L18" s="99">
        <f>Timekeeping!$N19</f>
        <v>0</v>
      </c>
      <c r="M18" s="99">
        <f>Timekeeping!$O19</f>
        <v>0</v>
      </c>
      <c r="N18" s="71">
        <f>IF($E18=0,0,IF($E18="R",((Rates!$C$6/8)*125%)*$K18+((((Rates!$C$6/8)*200%)*130%)*$L18)+((((Rates!$C$6/8)*130%)*130%)*$M18),IF($E18="T",((Rates!$D$6/8)*125%)*$K18+((((Rates!$D$6/8)*200%)*130%)*$L18)+((((Rates!$D$6/8)*130%)*130%)*$M18))))</f>
        <v>0</v>
      </c>
      <c r="O18" s="99">
        <f>Timekeeping!$J19</f>
        <v>0</v>
      </c>
      <c r="P18" s="71">
        <f>IF($E18=0,0,IF($E18="R",$O18*Rates!$C$6,IF($E18="T",$O18*Rates!$D$6)))</f>
        <v>0</v>
      </c>
      <c r="Q18" s="99">
        <f>Timekeeping!$K19</f>
        <v>0</v>
      </c>
      <c r="R18" s="71">
        <f>IF($E18=0,0,IF($E18="R",$Q18*(Rates!$C$6*30%),IF($E18="T",$Q18*(Rates!$D$6*30%))))</f>
        <v>0</v>
      </c>
      <c r="S18" s="99">
        <f>Timekeeping!$P19</f>
        <v>0</v>
      </c>
      <c r="T18" s="99">
        <f>Timekeeping!$Q19</f>
        <v>0</v>
      </c>
      <c r="U18" s="99">
        <f>Timekeeping!$R19</f>
        <v>0</v>
      </c>
      <c r="V18" s="71">
        <f>IF($E18=0,0,IF($E18="R",((Rates!$C$6/8)*10%)*$S18+((((Rates!$C$6/8)*13%)*2)*$T18)+((((Rates!$C$6/8)*13%)*$U18)),IF($E18="T",((Rates!$D$6/8)*10%)*$S18+((((Rates!$D$6/8)*13%)*2)*$T18)+((((Rates!$D$6/8)*13%)*$U18)))))</f>
        <v>0</v>
      </c>
      <c r="W18" s="101">
        <f>Timekeeping!$L19</f>
        <v>0</v>
      </c>
      <c r="X18" s="102">
        <f t="shared" si="1"/>
        <v>0</v>
      </c>
    </row>
    <row r="19" spans="2:24">
      <c r="B19" s="103" t="str">
        <f>Timekeeping!$B20</f>
        <v/>
      </c>
      <c r="C19" s="104">
        <f>Timekeeping!$C20</f>
        <v>0</v>
      </c>
      <c r="D19" s="105">
        <f>Timekeeping!$D20</f>
        <v>0</v>
      </c>
      <c r="E19" s="67">
        <f>Timekeeping!$F20</f>
        <v>0</v>
      </c>
      <c r="F19" s="99">
        <f>Timekeeping!$H20</f>
        <v>0</v>
      </c>
      <c r="G19" s="99">
        <f>Timekeeping!$I20</f>
        <v>0</v>
      </c>
      <c r="H19" s="70">
        <f>IFERROR(HLOOKUP($E19,Rates!$C$1:$D$12,12,0),0)</f>
        <v>0</v>
      </c>
      <c r="I19" s="100">
        <f t="shared" si="2"/>
        <v>0</v>
      </c>
      <c r="J19" s="192">
        <f t="shared" si="0"/>
        <v>0</v>
      </c>
      <c r="K19" s="99">
        <f>Timekeeping!$M20</f>
        <v>0</v>
      </c>
      <c r="L19" s="99">
        <f>Timekeeping!$N20</f>
        <v>0</v>
      </c>
      <c r="M19" s="99">
        <f>Timekeeping!$O20</f>
        <v>0</v>
      </c>
      <c r="N19" s="71">
        <f>IF($E19=0,0,IF($E19="R",((Rates!$C$6/8)*125%)*$K19+((((Rates!$C$6/8)*200%)*130%)*$L19)+((((Rates!$C$6/8)*130%)*130%)*$M19),IF($E19="T",((Rates!$D$6/8)*125%)*$K19+((((Rates!$D$6/8)*200%)*130%)*$L19)+((((Rates!$D$6/8)*130%)*130%)*$M19))))</f>
        <v>0</v>
      </c>
      <c r="O19" s="99">
        <f>Timekeeping!$J20</f>
        <v>0</v>
      </c>
      <c r="P19" s="71">
        <f>IF($E19=0,0,IF($E19="R",$O19*Rates!$C$6,IF($E19="T",$O19*Rates!$D$6)))</f>
        <v>0</v>
      </c>
      <c r="Q19" s="99">
        <f>Timekeeping!$K20</f>
        <v>0</v>
      </c>
      <c r="R19" s="71">
        <f>IF($E19=0,0,IF($E19="R",$Q19*(Rates!$C$6*30%),IF($E19="T",$Q19*(Rates!$D$6*30%))))</f>
        <v>0</v>
      </c>
      <c r="S19" s="99">
        <f>Timekeeping!$P20</f>
        <v>0</v>
      </c>
      <c r="T19" s="99">
        <f>Timekeeping!$Q20</f>
        <v>0</v>
      </c>
      <c r="U19" s="99">
        <f>Timekeeping!$R20</f>
        <v>0</v>
      </c>
      <c r="V19" s="71">
        <f>IF($E19=0,0,IF($E19="R",((Rates!$C$6/8)*10%)*$S19+((((Rates!$C$6/8)*13%)*2)*$T19)+((((Rates!$C$6/8)*13%)*$U19)),IF($E19="T",((Rates!$D$6/8)*10%)*$S19+((((Rates!$D$6/8)*13%)*2)*$T19)+((((Rates!$D$6/8)*13%)*$U19)))))</f>
        <v>0</v>
      </c>
      <c r="W19" s="101">
        <f>Timekeeping!$L20</f>
        <v>0</v>
      </c>
      <c r="X19" s="102">
        <f t="shared" si="1"/>
        <v>0</v>
      </c>
    </row>
    <row r="20" spans="2:24">
      <c r="B20" s="103" t="str">
        <f>Timekeeping!$B21</f>
        <v/>
      </c>
      <c r="C20" s="104">
        <f>Timekeeping!$C21</f>
        <v>0</v>
      </c>
      <c r="D20" s="105">
        <f>Timekeeping!$D21</f>
        <v>0</v>
      </c>
      <c r="E20" s="67">
        <f>Timekeeping!$F21</f>
        <v>0</v>
      </c>
      <c r="F20" s="99">
        <f>Timekeeping!$H21</f>
        <v>0</v>
      </c>
      <c r="G20" s="99">
        <f>Timekeeping!$I21</f>
        <v>0</v>
      </c>
      <c r="H20" s="70">
        <f>IFERROR(HLOOKUP($E20,Rates!$C$1:$D$12,12,0),0)</f>
        <v>0</v>
      </c>
      <c r="I20" s="100">
        <f t="shared" si="2"/>
        <v>0</v>
      </c>
      <c r="J20" s="192">
        <f t="shared" si="0"/>
        <v>0</v>
      </c>
      <c r="K20" s="99">
        <f>Timekeeping!$M21</f>
        <v>0</v>
      </c>
      <c r="L20" s="99">
        <f>Timekeeping!$N21</f>
        <v>0</v>
      </c>
      <c r="M20" s="99">
        <f>Timekeeping!$O21</f>
        <v>0</v>
      </c>
      <c r="N20" s="71">
        <f>IF($E20=0,0,IF($E20="R",((Rates!$C$6/8)*125%)*$K20+((((Rates!$C$6/8)*200%)*130%)*$L20)+((((Rates!$C$6/8)*130%)*130%)*$M20),IF($E20="T",((Rates!$D$6/8)*125%)*$K20+((((Rates!$D$6/8)*200%)*130%)*$L20)+((((Rates!$D$6/8)*130%)*130%)*$M20))))</f>
        <v>0</v>
      </c>
      <c r="O20" s="99">
        <f>Timekeeping!$J21</f>
        <v>0</v>
      </c>
      <c r="P20" s="71">
        <f>IF($E20=0,0,IF($E20="R",$O20*Rates!$C$6,IF($E20="T",$O20*Rates!$D$6)))</f>
        <v>0</v>
      </c>
      <c r="Q20" s="99">
        <f>Timekeeping!$K21</f>
        <v>0</v>
      </c>
      <c r="R20" s="71">
        <f>IF($E20=0,0,IF($E20="R",$Q20*(Rates!$C$6*30%),IF($E20="T",$Q20*(Rates!$D$6*30%))))</f>
        <v>0</v>
      </c>
      <c r="S20" s="99">
        <f>Timekeeping!$P21</f>
        <v>0</v>
      </c>
      <c r="T20" s="99">
        <f>Timekeeping!$Q21</f>
        <v>0</v>
      </c>
      <c r="U20" s="99">
        <f>Timekeeping!$R21</f>
        <v>0</v>
      </c>
      <c r="V20" s="71">
        <f>IF($E20=0,0,IF($E20="R",((Rates!$C$6/8)*10%)*$S20+((((Rates!$C$6/8)*13%)*2)*$T20)+((((Rates!$C$6/8)*13%)*$U20)),IF($E20="T",((Rates!$D$6/8)*10%)*$S20+((((Rates!$D$6/8)*13%)*2)*$T20)+((((Rates!$D$6/8)*13%)*$U20)))))</f>
        <v>0</v>
      </c>
      <c r="W20" s="101">
        <f>Timekeeping!$L21</f>
        <v>0</v>
      </c>
      <c r="X20" s="102">
        <f t="shared" si="1"/>
        <v>0</v>
      </c>
    </row>
    <row r="21" spans="2:24">
      <c r="B21" s="103" t="str">
        <f>Timekeeping!$B22</f>
        <v/>
      </c>
      <c r="C21" s="104">
        <f>Timekeeping!$C22</f>
        <v>0</v>
      </c>
      <c r="D21" s="105">
        <f>Timekeeping!$D22</f>
        <v>0</v>
      </c>
      <c r="E21" s="67">
        <f>Timekeeping!$F22</f>
        <v>0</v>
      </c>
      <c r="F21" s="99">
        <f>Timekeeping!$H22</f>
        <v>0</v>
      </c>
      <c r="G21" s="99">
        <f>Timekeeping!$I22</f>
        <v>0</v>
      </c>
      <c r="H21" s="70">
        <f>IFERROR(HLOOKUP($E21,Rates!$C$1:$D$12,12,0),0)</f>
        <v>0</v>
      </c>
      <c r="I21" s="100">
        <f t="shared" si="2"/>
        <v>0</v>
      </c>
      <c r="J21" s="192">
        <f t="shared" si="0"/>
        <v>0</v>
      </c>
      <c r="K21" s="99">
        <f>Timekeeping!$M22</f>
        <v>0</v>
      </c>
      <c r="L21" s="99">
        <f>Timekeeping!$N22</f>
        <v>0</v>
      </c>
      <c r="M21" s="99">
        <f>Timekeeping!$O22</f>
        <v>0</v>
      </c>
      <c r="N21" s="71">
        <f>IF($E21=0,0,IF($E21="R",((Rates!$C$6/8)*125%)*$K21+((((Rates!$C$6/8)*200%)*130%)*$L21)+((((Rates!$C$6/8)*130%)*130%)*$M21),IF($E21="T",((Rates!$D$6/8)*125%)*$K21+((((Rates!$D$6/8)*200%)*130%)*$L21)+((((Rates!$D$6/8)*130%)*130%)*$M21))))</f>
        <v>0</v>
      </c>
      <c r="O21" s="99">
        <f>Timekeeping!$J22</f>
        <v>0</v>
      </c>
      <c r="P21" s="71">
        <f>IF($E21=0,0,IF($E21="R",$O21*Rates!$C$6,IF($E21="T",$O21*Rates!$D$6)))</f>
        <v>0</v>
      </c>
      <c r="Q21" s="99">
        <f>Timekeeping!$K22</f>
        <v>0</v>
      </c>
      <c r="R21" s="71">
        <f>IF($E21=0,0,IF($E21="R",$Q21*(Rates!$C$6*30%),IF($E21="T",$Q21*(Rates!$D$6*30%))))</f>
        <v>0</v>
      </c>
      <c r="S21" s="99">
        <f>Timekeeping!$P22</f>
        <v>0</v>
      </c>
      <c r="T21" s="99">
        <f>Timekeeping!$Q22</f>
        <v>0</v>
      </c>
      <c r="U21" s="99">
        <f>Timekeeping!$R22</f>
        <v>0</v>
      </c>
      <c r="V21" s="71">
        <f>IF($E21=0,0,IF($E21="R",((Rates!$C$6/8)*10%)*$S21+((((Rates!$C$6/8)*13%)*2)*$T21)+((((Rates!$C$6/8)*13%)*$U21)),IF($E21="T",((Rates!$D$6/8)*10%)*$S21+((((Rates!$D$6/8)*13%)*2)*$T21)+((((Rates!$D$6/8)*13%)*$U21)))))</f>
        <v>0</v>
      </c>
      <c r="W21" s="101">
        <f>Timekeeping!$L22</f>
        <v>0</v>
      </c>
      <c r="X21" s="102">
        <f>I21+J21+N21+P21+R21+V21+W21</f>
        <v>0</v>
      </c>
    </row>
    <row r="22" spans="2:24">
      <c r="B22" s="103" t="str">
        <f>Timekeeping!$B23</f>
        <v/>
      </c>
      <c r="C22" s="104">
        <f>Timekeeping!$C23</f>
        <v>0</v>
      </c>
      <c r="D22" s="105">
        <f>Timekeeping!$D23</f>
        <v>0</v>
      </c>
      <c r="E22" s="67">
        <f>Timekeeping!$F23</f>
        <v>0</v>
      </c>
      <c r="F22" s="99">
        <f>Timekeeping!$H23</f>
        <v>0</v>
      </c>
      <c r="G22" s="99">
        <f>Timekeeping!$I23</f>
        <v>0</v>
      </c>
      <c r="H22" s="70">
        <f>IFERROR(HLOOKUP($E22,Rates!$C$1:$D$12,12,0),0)</f>
        <v>0</v>
      </c>
      <c r="I22" s="100">
        <f t="shared" si="2"/>
        <v>0</v>
      </c>
      <c r="J22" s="192">
        <f t="shared" si="0"/>
        <v>0</v>
      </c>
      <c r="K22" s="99">
        <f>Timekeeping!$M23</f>
        <v>0</v>
      </c>
      <c r="L22" s="99">
        <f>Timekeeping!$N23</f>
        <v>0</v>
      </c>
      <c r="M22" s="99">
        <f>Timekeeping!$O23</f>
        <v>0</v>
      </c>
      <c r="N22" s="71">
        <f>IF($E22=0,0,IF($E22="R",((Rates!$C$6/8)*125%)*$K22+((((Rates!$C$6/8)*200%)*130%)*$L22)+((((Rates!$C$6/8)*130%)*130%)*$M22),IF($E22="T",((Rates!$D$6/8)*125%)*$K22+((((Rates!$D$6/8)*200%)*130%)*$L22)+((((Rates!$D$6/8)*130%)*130%)*$M22))))</f>
        <v>0</v>
      </c>
      <c r="O22" s="99">
        <f>Timekeeping!$J23</f>
        <v>0</v>
      </c>
      <c r="P22" s="71">
        <f>IF($E22=0,0,IF($E22="R",$O22*Rates!$C$6,IF($E22="T",$O22*Rates!$D$6)))</f>
        <v>0</v>
      </c>
      <c r="Q22" s="99">
        <f>Timekeeping!$K23</f>
        <v>0</v>
      </c>
      <c r="R22" s="71">
        <f>IF($E22=0,0,IF($E22="R",$Q22*(Rates!$C$6*30%),IF($E22="T",$Q22*(Rates!$D$6*30%))))</f>
        <v>0</v>
      </c>
      <c r="S22" s="99">
        <f>Timekeeping!$P23</f>
        <v>0</v>
      </c>
      <c r="T22" s="99">
        <f>Timekeeping!$Q23</f>
        <v>0</v>
      </c>
      <c r="U22" s="99">
        <f>Timekeeping!$R23</f>
        <v>0</v>
      </c>
      <c r="V22" s="71">
        <f>IF($E22=0,0,IF($E22="R",((Rates!$C$6/8)*10%)*$S22+((((Rates!$C$6/8)*13%)*2)*$T22)+((((Rates!$C$6/8)*13%)*$U22)),IF($E22="T",((Rates!$D$6/8)*10%)*$S22+((((Rates!$D$6/8)*13%)*2)*$T22)+((((Rates!$D$6/8)*13%)*$U22)))))</f>
        <v>0</v>
      </c>
      <c r="W22" s="101">
        <f>Timekeeping!$L23</f>
        <v>0</v>
      </c>
      <c r="X22" s="102">
        <f t="shared" si="1"/>
        <v>0</v>
      </c>
    </row>
    <row r="23" spans="2:24">
      <c r="B23" s="103" t="str">
        <f>Timekeeping!$B24</f>
        <v/>
      </c>
      <c r="C23" s="104">
        <f>Timekeeping!$C24</f>
        <v>0</v>
      </c>
      <c r="D23" s="105">
        <f>Timekeeping!$D24</f>
        <v>0</v>
      </c>
      <c r="E23" s="67">
        <f>Timekeeping!$F24</f>
        <v>0</v>
      </c>
      <c r="F23" s="99">
        <f>Timekeeping!$H24</f>
        <v>0</v>
      </c>
      <c r="G23" s="99">
        <f>Timekeeping!$I24</f>
        <v>0</v>
      </c>
      <c r="H23" s="70">
        <f>IFERROR(HLOOKUP($E23,Rates!$C$1:$D$12,12,0),0)</f>
        <v>0</v>
      </c>
      <c r="I23" s="100">
        <f t="shared" si="2"/>
        <v>0</v>
      </c>
      <c r="J23" s="192">
        <f t="shared" si="0"/>
        <v>0</v>
      </c>
      <c r="K23" s="99">
        <f>Timekeeping!$M24</f>
        <v>0</v>
      </c>
      <c r="L23" s="99">
        <f>Timekeeping!$N24</f>
        <v>0</v>
      </c>
      <c r="M23" s="99">
        <f>Timekeeping!$O24</f>
        <v>0</v>
      </c>
      <c r="N23" s="71">
        <f>IF($E23=0,0,IF($E23="R",((Rates!$C$6/8)*125%)*$K23+((((Rates!$C$6/8)*200%)*130%)*$L23)+((((Rates!$C$6/8)*130%)*130%)*$M23),IF($E23="T",((Rates!$D$6/8)*125%)*$K23+((((Rates!$D$6/8)*200%)*130%)*$L23)+((((Rates!$D$6/8)*130%)*130%)*$M23))))</f>
        <v>0</v>
      </c>
      <c r="O23" s="99">
        <f>Timekeeping!$J24</f>
        <v>0</v>
      </c>
      <c r="P23" s="71">
        <f>IF($E23=0,0,IF($E23="R",$O23*Rates!$C$6,IF($E23="T",$O23*Rates!$D$6)))</f>
        <v>0</v>
      </c>
      <c r="Q23" s="99">
        <f>Timekeeping!$K24</f>
        <v>0</v>
      </c>
      <c r="R23" s="71">
        <f>IF($E23=0,0,IF($E23="R",$Q23*(Rates!$C$6*30%),IF($E23="T",$Q23*(Rates!$D$6*30%))))</f>
        <v>0</v>
      </c>
      <c r="S23" s="99">
        <f>Timekeeping!$P24</f>
        <v>0</v>
      </c>
      <c r="T23" s="99">
        <f>Timekeeping!$Q24</f>
        <v>0</v>
      </c>
      <c r="U23" s="99">
        <f>Timekeeping!$R24</f>
        <v>0</v>
      </c>
      <c r="V23" s="71">
        <f>IF($E23=0,0,IF($E23="R",((Rates!$C$6/8)*10%)*$S23+((((Rates!$C$6/8)*13%)*2)*$T23)+((((Rates!$C$6/8)*13%)*$U23)),IF($E23="T",((Rates!$D$6/8)*10%)*$S23+((((Rates!$D$6/8)*13%)*2)*$T23)+((((Rates!$D$6/8)*13%)*$U23)))))</f>
        <v>0</v>
      </c>
      <c r="W23" s="101">
        <f>Timekeeping!$L24</f>
        <v>0</v>
      </c>
      <c r="X23" s="102">
        <f t="shared" si="1"/>
        <v>0</v>
      </c>
    </row>
    <row r="24" spans="2:24">
      <c r="B24" s="103" t="str">
        <f>Timekeeping!$B25</f>
        <v/>
      </c>
      <c r="C24" s="104">
        <f>Timekeeping!$C25</f>
        <v>0</v>
      </c>
      <c r="D24" s="105">
        <f>Timekeeping!$D25</f>
        <v>0</v>
      </c>
      <c r="E24" s="67">
        <f>Timekeeping!$F25</f>
        <v>0</v>
      </c>
      <c r="F24" s="99">
        <f>Timekeeping!$H25</f>
        <v>0</v>
      </c>
      <c r="G24" s="99">
        <f>Timekeeping!$I25</f>
        <v>0</v>
      </c>
      <c r="H24" s="70">
        <f>IFERROR(HLOOKUP($E24,Rates!$C$1:$D$12,12,0),0)</f>
        <v>0</v>
      </c>
      <c r="I24" s="100">
        <f t="shared" si="2"/>
        <v>0</v>
      </c>
      <c r="J24" s="192">
        <f t="shared" si="0"/>
        <v>0</v>
      </c>
      <c r="K24" s="99">
        <f>Timekeeping!$M25</f>
        <v>0</v>
      </c>
      <c r="L24" s="99">
        <f>Timekeeping!$N25</f>
        <v>0</v>
      </c>
      <c r="M24" s="99">
        <f>Timekeeping!$O25</f>
        <v>0</v>
      </c>
      <c r="N24" s="71">
        <f>IF($E24=0,0,IF($E24="R",((Rates!$C$6/8)*125%)*$K24+((((Rates!$C$6/8)*200%)*130%)*$L24)+((((Rates!$C$6/8)*130%)*130%)*$M24),IF($E24="T",((Rates!$D$6/8)*125%)*$K24+((((Rates!$D$6/8)*200%)*130%)*$L24)+((((Rates!$D$6/8)*130%)*130%)*$M24))))</f>
        <v>0</v>
      </c>
      <c r="O24" s="99">
        <f>Timekeeping!$J25</f>
        <v>0</v>
      </c>
      <c r="P24" s="71">
        <f>IF($E24=0,0,IF($E24="R",$O24*Rates!$C$6,IF($E24="T",$O24*Rates!$D$6)))</f>
        <v>0</v>
      </c>
      <c r="Q24" s="99">
        <f>Timekeeping!$K25</f>
        <v>0</v>
      </c>
      <c r="R24" s="71">
        <f>IF($E24=0,0,IF($E24="R",$Q24*(Rates!$C$6*30%),IF($E24="T",$Q24*(Rates!$D$6*30%))))</f>
        <v>0</v>
      </c>
      <c r="S24" s="99">
        <f>Timekeeping!$P25</f>
        <v>0</v>
      </c>
      <c r="T24" s="99">
        <f>Timekeeping!$Q25</f>
        <v>0</v>
      </c>
      <c r="U24" s="99">
        <f>Timekeeping!$R25</f>
        <v>0</v>
      </c>
      <c r="V24" s="71">
        <f>IF($E24=0,0,IF($E24="R",((Rates!$C$6/8)*10%)*$S24+((((Rates!$C$6/8)*13%)*2)*$T24)+((((Rates!$C$6/8)*13%)*$U24)),IF($E24="T",((Rates!$D$6/8)*10%)*$S24+((((Rates!$D$6/8)*13%)*2)*$T24)+((((Rates!$D$6/8)*13%)*$U24)))))</f>
        <v>0</v>
      </c>
      <c r="W24" s="101">
        <f>Timekeeping!$L25</f>
        <v>0</v>
      </c>
      <c r="X24" s="102">
        <f t="shared" si="1"/>
        <v>0</v>
      </c>
    </row>
    <row r="25" spans="2:24">
      <c r="B25" s="103" t="str">
        <f>Timekeeping!$B26</f>
        <v/>
      </c>
      <c r="C25" s="104">
        <f>Timekeeping!$C26</f>
        <v>0</v>
      </c>
      <c r="D25" s="105">
        <f>Timekeeping!$D26</f>
        <v>0</v>
      </c>
      <c r="E25" s="67">
        <f>Timekeeping!$F26</f>
        <v>0</v>
      </c>
      <c r="F25" s="99">
        <f>Timekeeping!$H26</f>
        <v>0</v>
      </c>
      <c r="G25" s="99">
        <f>Timekeeping!$I26</f>
        <v>0</v>
      </c>
      <c r="H25" s="70">
        <f>IFERROR(HLOOKUP($E25,Rates!$C$1:$D$12,12,0),0)</f>
        <v>0</v>
      </c>
      <c r="I25" s="100">
        <f t="shared" si="2"/>
        <v>0</v>
      </c>
      <c r="J25" s="192">
        <f t="shared" si="0"/>
        <v>0</v>
      </c>
      <c r="K25" s="99">
        <f>Timekeeping!$M26</f>
        <v>0</v>
      </c>
      <c r="L25" s="99">
        <f>Timekeeping!$N26</f>
        <v>0</v>
      </c>
      <c r="M25" s="99">
        <f>Timekeeping!$O26</f>
        <v>0</v>
      </c>
      <c r="N25" s="71">
        <f>IF($E25=0,0,IF($E25="R",((Rates!$C$6/8)*125%)*$K25+((((Rates!$C$6/8)*200%)*130%)*$L25)+((((Rates!$C$6/8)*130%)*130%)*$M25),IF($E25="T",((Rates!$D$6/8)*125%)*$K25+((((Rates!$D$6/8)*200%)*130%)*$L25)+((((Rates!$D$6/8)*130%)*130%)*$M25))))</f>
        <v>0</v>
      </c>
      <c r="O25" s="99">
        <f>Timekeeping!$J26</f>
        <v>0</v>
      </c>
      <c r="P25" s="71">
        <f>IF($E25=0,0,IF($E25="R",$O25*Rates!$C$6,IF($E25="T",$O25*Rates!$D$6)))</f>
        <v>0</v>
      </c>
      <c r="Q25" s="99">
        <f>Timekeeping!$K26</f>
        <v>0</v>
      </c>
      <c r="R25" s="71">
        <f>IF($E25=0,0,IF($E25="R",$Q25*(Rates!$C$6*30%),IF($E25="T",$Q25*(Rates!$D$6*30%))))</f>
        <v>0</v>
      </c>
      <c r="S25" s="99">
        <f>Timekeeping!$P26</f>
        <v>0</v>
      </c>
      <c r="T25" s="99">
        <f>Timekeeping!$Q26</f>
        <v>0</v>
      </c>
      <c r="U25" s="99">
        <f>Timekeeping!$R26</f>
        <v>0</v>
      </c>
      <c r="V25" s="71">
        <f>IF($E25=0,0,IF($E25="R",((Rates!$C$6/8)*10%)*$S25+((((Rates!$C$6/8)*13%)*2)*$T25)+((((Rates!$C$6/8)*13%)*$U25)),IF($E25="T",((Rates!$D$6/8)*10%)*$S25+((((Rates!$D$6/8)*13%)*2)*$T25)+((((Rates!$D$6/8)*13%)*$U25)))))</f>
        <v>0</v>
      </c>
      <c r="W25" s="101">
        <f>Timekeeping!$L26</f>
        <v>0</v>
      </c>
      <c r="X25" s="102">
        <f t="shared" si="1"/>
        <v>0</v>
      </c>
    </row>
    <row r="26" spans="2:24">
      <c r="B26" s="103" t="str">
        <f>Timekeeping!$B27</f>
        <v/>
      </c>
      <c r="C26" s="104">
        <f>Timekeeping!$C27</f>
        <v>0</v>
      </c>
      <c r="D26" s="105">
        <f>Timekeeping!$D27</f>
        <v>0</v>
      </c>
      <c r="E26" s="67">
        <f>Timekeeping!$F27</f>
        <v>0</v>
      </c>
      <c r="F26" s="99">
        <f>Timekeeping!$H27</f>
        <v>0</v>
      </c>
      <c r="G26" s="99">
        <f>Timekeeping!$I27</f>
        <v>0</v>
      </c>
      <c r="H26" s="70">
        <f>IFERROR(HLOOKUP($E26,Rates!$C$1:$D$12,12,0),0)</f>
        <v>0</v>
      </c>
      <c r="I26" s="100">
        <f t="shared" si="2"/>
        <v>0</v>
      </c>
      <c r="J26" s="192">
        <f t="shared" si="0"/>
        <v>0</v>
      </c>
      <c r="K26" s="99">
        <f>Timekeeping!$M27</f>
        <v>0</v>
      </c>
      <c r="L26" s="99">
        <f>Timekeeping!$N27</f>
        <v>0</v>
      </c>
      <c r="M26" s="99">
        <f>Timekeeping!$O27</f>
        <v>0</v>
      </c>
      <c r="N26" s="71">
        <f>IF($E26=0,0,IF($E26="R",((Rates!$C$6/8)*125%)*$K26+((((Rates!$C$6/8)*200%)*130%)*$L26)+((((Rates!$C$6/8)*130%)*130%)*$M26),IF($E26="T",((Rates!$D$6/8)*125%)*$K26+((((Rates!$D$6/8)*200%)*130%)*$L26)+((((Rates!$D$6/8)*130%)*130%)*$M26))))</f>
        <v>0</v>
      </c>
      <c r="O26" s="99">
        <f>Timekeeping!$J27</f>
        <v>0</v>
      </c>
      <c r="P26" s="71">
        <f>IF($E26=0,0,IF($E26="R",$O26*Rates!$C$6,IF($E26="T",$O26*Rates!$D$6)))</f>
        <v>0</v>
      </c>
      <c r="Q26" s="99">
        <f>Timekeeping!$K27</f>
        <v>0</v>
      </c>
      <c r="R26" s="71">
        <f>IF($E26=0,0,IF($E26="R",$Q26*(Rates!$C$6*30%),IF($E26="T",$Q26*(Rates!$D$6*30%))))</f>
        <v>0</v>
      </c>
      <c r="S26" s="99">
        <f>Timekeeping!$P27</f>
        <v>0</v>
      </c>
      <c r="T26" s="99">
        <f>Timekeeping!$Q27</f>
        <v>0</v>
      </c>
      <c r="U26" s="99">
        <f>Timekeeping!$R27</f>
        <v>0</v>
      </c>
      <c r="V26" s="71">
        <f>IF($E26=0,0,IF($E26="R",((Rates!$C$6/8)*10%)*$S26+((((Rates!$C$6/8)*13%)*2)*$T26)+((((Rates!$C$6/8)*13%)*$U26)),IF($E26="T",((Rates!$D$6/8)*10%)*$S26+((((Rates!$D$6/8)*13%)*2)*$T26)+((((Rates!$D$6/8)*13%)*$U26)))))</f>
        <v>0</v>
      </c>
      <c r="W26" s="101">
        <f>Timekeeping!$L27</f>
        <v>0</v>
      </c>
      <c r="X26" s="102">
        <f t="shared" si="1"/>
        <v>0</v>
      </c>
    </row>
    <row r="27" spans="2:24">
      <c r="B27" s="103" t="str">
        <f>Timekeeping!$B28</f>
        <v/>
      </c>
      <c r="C27" s="104">
        <f>Timekeeping!$C28</f>
        <v>0</v>
      </c>
      <c r="D27" s="105">
        <f>Timekeeping!$D28</f>
        <v>0</v>
      </c>
      <c r="E27" s="67">
        <f>Timekeeping!$F28</f>
        <v>0</v>
      </c>
      <c r="F27" s="99">
        <f>Timekeeping!$H28</f>
        <v>0</v>
      </c>
      <c r="G27" s="99">
        <f>Timekeeping!$I28</f>
        <v>0</v>
      </c>
      <c r="H27" s="70">
        <f>IFERROR(HLOOKUP($E27,Rates!$C$1:$D$12,12,0),0)</f>
        <v>0</v>
      </c>
      <c r="I27" s="100">
        <f t="shared" si="2"/>
        <v>0</v>
      </c>
      <c r="J27" s="192">
        <f t="shared" si="0"/>
        <v>0</v>
      </c>
      <c r="K27" s="99">
        <f>Timekeeping!$M28</f>
        <v>0</v>
      </c>
      <c r="L27" s="99">
        <f>Timekeeping!$N28</f>
        <v>0</v>
      </c>
      <c r="M27" s="99">
        <f>Timekeeping!$O28</f>
        <v>0</v>
      </c>
      <c r="N27" s="71">
        <f>IF($E27=0,0,IF($E27="R",((Rates!$C$6/8)*125%)*$K27+((((Rates!$C$6/8)*200%)*130%)*$L27)+((((Rates!$C$6/8)*130%)*130%)*$M27),IF($E27="T",((Rates!$D$6/8)*125%)*$K27+((((Rates!$D$6/8)*200%)*130%)*$L27)+((((Rates!$D$6/8)*130%)*130%)*$M27))))</f>
        <v>0</v>
      </c>
      <c r="O27" s="99">
        <f>Timekeeping!$J28</f>
        <v>0</v>
      </c>
      <c r="P27" s="71">
        <f>IF($E27=0,0,IF($E27="R",$O27*Rates!$C$6,IF($E27="T",$O27*Rates!$D$6)))</f>
        <v>0</v>
      </c>
      <c r="Q27" s="99">
        <f>Timekeeping!$K28</f>
        <v>0</v>
      </c>
      <c r="R27" s="71">
        <f>IF($E27=0,0,IF($E27="R",$Q27*(Rates!$C$6*30%),IF($E27="T",$Q27*(Rates!$D$6*30%))))</f>
        <v>0</v>
      </c>
      <c r="S27" s="99">
        <f>Timekeeping!$P28</f>
        <v>0</v>
      </c>
      <c r="T27" s="99">
        <f>Timekeeping!$Q28</f>
        <v>0</v>
      </c>
      <c r="U27" s="99">
        <f>Timekeeping!$R28</f>
        <v>0</v>
      </c>
      <c r="V27" s="71">
        <f>IF($E27=0,0,IF($E27="R",((Rates!$C$6/8)*10%)*$S27+((((Rates!$C$6/8)*13%)*2)*$T27)+((((Rates!$C$6/8)*13%)*$U27)),IF($E27="T",((Rates!$D$6/8)*10%)*$S27+((((Rates!$D$6/8)*13%)*2)*$T27)+((((Rates!$D$6/8)*13%)*$U27)))))</f>
        <v>0</v>
      </c>
      <c r="W27" s="101">
        <f>Timekeeping!$L28</f>
        <v>0</v>
      </c>
      <c r="X27" s="102">
        <f t="shared" si="1"/>
        <v>0</v>
      </c>
    </row>
    <row r="28" spans="2:24" ht="15.75" thickBot="1">
      <c r="B28" s="106" t="str">
        <f>Timekeeping!$B29</f>
        <v/>
      </c>
      <c r="C28" s="107">
        <f>Timekeeping!$C29</f>
        <v>0</v>
      </c>
      <c r="D28" s="108">
        <f>Timekeeping!$D29</f>
        <v>0</v>
      </c>
      <c r="E28" s="69">
        <f>Timekeeping!$F29</f>
        <v>0</v>
      </c>
      <c r="F28" s="109">
        <f>Timekeeping!$H29</f>
        <v>0</v>
      </c>
      <c r="G28" s="109">
        <f>Timekeeping!$I29</f>
        <v>0</v>
      </c>
      <c r="H28" s="70">
        <f>IFERROR(HLOOKUP($E28,Rates!$C$1:$D$12,12,0),0)</f>
        <v>0</v>
      </c>
      <c r="I28" s="110">
        <f t="shared" si="2"/>
        <v>0</v>
      </c>
      <c r="J28" s="192">
        <f t="shared" si="0"/>
        <v>0</v>
      </c>
      <c r="K28" s="109">
        <f>Timekeeping!$M29</f>
        <v>0</v>
      </c>
      <c r="L28" s="109">
        <f>Timekeeping!$N29</f>
        <v>0</v>
      </c>
      <c r="M28" s="109">
        <f>Timekeeping!$O29</f>
        <v>0</v>
      </c>
      <c r="N28" s="71">
        <f>IF($E28=0,0,IF($E28="R",((Rates!$C$6/8)*125%)*$K28+((((Rates!$C$6/8)*200%)*130%)*$L28)+((((Rates!$C$6/8)*130%)*130%)*$M28),IF($E28="T",((Rates!$D$6/8)*125%)*$K28+((((Rates!$D$6/8)*200%)*130%)*$L28)+((((Rates!$D$6/8)*130%)*130%)*$M28))))</f>
        <v>0</v>
      </c>
      <c r="O28" s="109">
        <f>Timekeeping!$J29</f>
        <v>0</v>
      </c>
      <c r="P28" s="71">
        <f>IF($E28=0,0,IF($E28="R",$O28*Rates!$C$6,IF($E28="T",$O28*Rates!$D$6)))</f>
        <v>0</v>
      </c>
      <c r="Q28" s="99">
        <f>Timekeeping!$K29</f>
        <v>0</v>
      </c>
      <c r="R28" s="71">
        <f>IF($E28=0,0,IF($E28="R",$Q28*(Rates!$C$6*30%),IF($E28="T",$Q28*(Rates!$D$6*30%))))</f>
        <v>0</v>
      </c>
      <c r="S28" s="99">
        <f>Timekeeping!$P29</f>
        <v>0</v>
      </c>
      <c r="T28" s="99">
        <f>Timekeeping!$Q29</f>
        <v>0</v>
      </c>
      <c r="U28" s="99">
        <f>Timekeeping!$R29</f>
        <v>0</v>
      </c>
      <c r="V28" s="71">
        <f>IF($E28=0,0,IF($E28="R",((Rates!$C$6/8)*10%)*$S28+((((Rates!$C$6/8)*13%)*2)*$T28)+((((Rates!$C$6/8)*13%)*$U28)),IF($E28="T",((Rates!$D$6/8)*10%)*$S28+((((Rates!$D$6/8)*13%)*2)*$T28)+((((Rates!$D$6/8)*13%)*$U28)))))</f>
        <v>0</v>
      </c>
      <c r="W28" s="101">
        <f>Timekeeping!$L29</f>
        <v>0</v>
      </c>
      <c r="X28" s="102">
        <f t="shared" si="1"/>
        <v>0</v>
      </c>
    </row>
    <row r="29" spans="2:24" ht="15.75" thickBot="1">
      <c r="B29" s="111" t="s">
        <v>20</v>
      </c>
      <c r="C29" s="112"/>
      <c r="D29" s="112"/>
      <c r="E29" s="113"/>
      <c r="F29" s="114">
        <f>SUM(F9:F28)</f>
        <v>69.5</v>
      </c>
      <c r="G29" s="114">
        <f>SUM(G9:G28)</f>
        <v>3</v>
      </c>
      <c r="H29" s="178"/>
      <c r="I29" s="115">
        <f t="shared" ref="I29:V29" si="3">SUM(I9:I28)</f>
        <v>45683.365384615383</v>
      </c>
      <c r="J29" s="115">
        <f>SUM(J9:J28)</f>
        <v>725</v>
      </c>
      <c r="K29" s="114">
        <f t="shared" si="3"/>
        <v>1</v>
      </c>
      <c r="L29" s="114">
        <f t="shared" si="3"/>
        <v>0</v>
      </c>
      <c r="M29" s="114">
        <f t="shared" si="3"/>
        <v>0</v>
      </c>
      <c r="N29" s="116">
        <f t="shared" si="3"/>
        <v>78.4375</v>
      </c>
      <c r="O29" s="114">
        <f t="shared" si="3"/>
        <v>0</v>
      </c>
      <c r="P29" s="116">
        <f t="shared" si="3"/>
        <v>0</v>
      </c>
      <c r="Q29" s="114">
        <f t="shared" si="3"/>
        <v>0</v>
      </c>
      <c r="R29" s="116">
        <f t="shared" si="3"/>
        <v>0</v>
      </c>
      <c r="S29" s="114">
        <f t="shared" si="3"/>
        <v>48</v>
      </c>
      <c r="T29" s="114">
        <f t="shared" si="3"/>
        <v>0</v>
      </c>
      <c r="U29" s="114">
        <f t="shared" si="3"/>
        <v>0</v>
      </c>
      <c r="V29" s="116">
        <f t="shared" si="3"/>
        <v>301.20000000000005</v>
      </c>
      <c r="W29" s="116">
        <f>SUM(W9:W28)</f>
        <v>0</v>
      </c>
      <c r="X29" s="117">
        <f>SUM(X9:X28)</f>
        <v>46788.002884615387</v>
      </c>
    </row>
    <row r="30" spans="2:24" s="123" customFormat="1" ht="15.75" thickTop="1">
      <c r="B30" s="118"/>
      <c r="C30" s="119" t="s">
        <v>65</v>
      </c>
      <c r="D30" s="120"/>
      <c r="E30" s="121"/>
      <c r="F30" s="122" t="b">
        <f>F29=Timekeeping!H30</f>
        <v>1</v>
      </c>
      <c r="G30" s="122" t="b">
        <f>G29=Timekeeping!I30</f>
        <v>1</v>
      </c>
      <c r="H30" s="122"/>
      <c r="I30" s="122"/>
      <c r="J30" s="122"/>
      <c r="K30" s="122" t="b">
        <f>K29=Timekeeping!M30</f>
        <v>1</v>
      </c>
      <c r="L30" s="122" t="b">
        <f>L29=Timekeeping!N30</f>
        <v>1</v>
      </c>
      <c r="M30" s="122" t="b">
        <f>M29=Timekeeping!O30</f>
        <v>1</v>
      </c>
      <c r="N30" s="122"/>
      <c r="O30" s="122" t="b">
        <f>O29=Timekeeping!J30</f>
        <v>1</v>
      </c>
      <c r="P30" s="122"/>
      <c r="Q30" s="122" t="b">
        <f>Q29=Timekeeping!K30</f>
        <v>1</v>
      </c>
      <c r="R30" s="122"/>
      <c r="S30" s="122" t="b">
        <f>S29=Timekeeping!P30</f>
        <v>1</v>
      </c>
      <c r="T30" s="122" t="b">
        <f>T29=Timekeeping!Q30</f>
        <v>1</v>
      </c>
      <c r="U30" s="122" t="b">
        <f>U29=Timekeeping!R30</f>
        <v>1</v>
      </c>
      <c r="V30" s="122"/>
      <c r="W30" s="122" t="b">
        <f>W29=Timekeeping!L30</f>
        <v>1</v>
      </c>
      <c r="X30" s="122"/>
    </row>
    <row r="31" spans="2:24" ht="15.75" thickBot="1">
      <c r="B31" s="124"/>
      <c r="C31" s="125"/>
      <c r="D31" s="125"/>
      <c r="E31" s="125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6"/>
    </row>
    <row r="32" spans="2:24">
      <c r="B32" s="225" t="s">
        <v>26</v>
      </c>
      <c r="C32" s="228" t="s">
        <v>27</v>
      </c>
      <c r="D32" s="228" t="s">
        <v>12</v>
      </c>
      <c r="E32" s="228" t="s">
        <v>69</v>
      </c>
      <c r="F32" s="231" t="s">
        <v>8</v>
      </c>
      <c r="G32" s="228" t="s">
        <v>36</v>
      </c>
      <c r="H32" s="251" t="s">
        <v>31</v>
      </c>
      <c r="I32" s="234" t="s">
        <v>37</v>
      </c>
      <c r="J32" s="234" t="s">
        <v>38</v>
      </c>
      <c r="K32" s="237" t="s">
        <v>70</v>
      </c>
      <c r="L32" s="240" t="s">
        <v>39</v>
      </c>
      <c r="M32" s="127"/>
      <c r="N32" s="127"/>
      <c r="O32" s="125"/>
      <c r="P32" s="128"/>
      <c r="Q32" s="127"/>
      <c r="R32" s="127"/>
      <c r="S32" s="127"/>
      <c r="T32" s="127"/>
      <c r="U32" s="125"/>
      <c r="V32" s="127"/>
      <c r="W32" s="127"/>
      <c r="X32" s="125"/>
    </row>
    <row r="33" spans="2:24">
      <c r="B33" s="226"/>
      <c r="C33" s="229"/>
      <c r="D33" s="229"/>
      <c r="E33" s="229"/>
      <c r="F33" s="232"/>
      <c r="G33" s="229"/>
      <c r="H33" s="252"/>
      <c r="I33" s="235"/>
      <c r="J33" s="235"/>
      <c r="K33" s="238"/>
      <c r="L33" s="241"/>
      <c r="M33" s="127"/>
      <c r="N33" s="129"/>
      <c r="O33" s="130"/>
      <c r="P33" s="128"/>
      <c r="Q33" s="127"/>
      <c r="R33" s="127"/>
      <c r="S33" s="127"/>
      <c r="T33" s="127"/>
      <c r="U33" s="125"/>
      <c r="V33" s="127"/>
      <c r="W33" s="127"/>
      <c r="X33" s="125"/>
    </row>
    <row r="34" spans="2:24" ht="15.75" thickBot="1">
      <c r="B34" s="227"/>
      <c r="C34" s="230"/>
      <c r="D34" s="230"/>
      <c r="E34" s="230"/>
      <c r="F34" s="233"/>
      <c r="G34" s="230"/>
      <c r="H34" s="253"/>
      <c r="I34" s="236"/>
      <c r="J34" s="236"/>
      <c r="K34" s="239"/>
      <c r="L34" s="242"/>
      <c r="M34" s="131"/>
      <c r="O34" s="132" t="s">
        <v>40</v>
      </c>
      <c r="P34" s="127"/>
      <c r="Q34" s="127"/>
      <c r="R34" s="127"/>
      <c r="S34" s="127"/>
      <c r="T34" s="125"/>
      <c r="U34" s="127"/>
      <c r="V34" s="127"/>
      <c r="W34" s="125"/>
    </row>
    <row r="35" spans="2:24">
      <c r="B35" s="96">
        <f t="shared" ref="B35:B54" si="4">$B9</f>
        <v>1</v>
      </c>
      <c r="C35" s="97" t="str">
        <f t="shared" ref="C35:C54" si="5">$C9</f>
        <v>Cahilig,Benzen</v>
      </c>
      <c r="D35" s="98" t="str">
        <f t="shared" ref="D35:D54" si="6">$D9</f>
        <v>Cook</v>
      </c>
      <c r="E35" s="67" t="str">
        <f>Timekeeping!$G10</f>
        <v>Y</v>
      </c>
      <c r="F35" s="133">
        <f>$X9</f>
        <v>7690.7971153846156</v>
      </c>
      <c r="G35" s="99">
        <f>Timekeeping!$S10</f>
        <v>0.46</v>
      </c>
      <c r="H35" s="71">
        <f>IF($E9=0,0,IF($E9="R",(Rates!$C$6/8)*$G35,IF($E9="T",(Rates!$D$6/8)*$G35)))</f>
        <v>28.865000000000002</v>
      </c>
      <c r="I35" s="101">
        <f>Timekeeping!$T10</f>
        <v>0</v>
      </c>
      <c r="J35" s="101">
        <f>Timekeeping!$U10+Timekeeping!$V10</f>
        <v>0</v>
      </c>
      <c r="K35" s="72">
        <f>IF($E35=0,0,IF($E35="Y",0,IF($E35="N",$F9*40)))</f>
        <v>0</v>
      </c>
      <c r="L35" s="134">
        <f t="shared" ref="L35:L54" si="7">$F35-SUM($H35:$K35)</f>
        <v>7661.9321153846158</v>
      </c>
      <c r="M35" s="135"/>
      <c r="O35" s="136" t="s">
        <v>71</v>
      </c>
      <c r="P35" s="124"/>
      <c r="Q35" s="137">
        <f>F55-H55-SUM(Q36:Q39)</f>
        <v>40032.600448717953</v>
      </c>
      <c r="R35" s="124"/>
      <c r="S35" s="124"/>
      <c r="T35" s="138"/>
      <c r="U35" s="124"/>
      <c r="V35" s="124"/>
      <c r="W35" s="138"/>
    </row>
    <row r="36" spans="2:24">
      <c r="B36" s="96">
        <f t="shared" si="4"/>
        <v>2</v>
      </c>
      <c r="C36" s="97" t="str">
        <f t="shared" si="5"/>
        <v>Espinosa,Camille Denise</v>
      </c>
      <c r="D36" s="98" t="str">
        <f t="shared" si="6"/>
        <v>Cashier</v>
      </c>
      <c r="E36" s="67" t="str">
        <f>Timekeeping!$G11</f>
        <v>N</v>
      </c>
      <c r="F36" s="133">
        <f>$X10</f>
        <v>7844.5346153846149</v>
      </c>
      <c r="G36" s="99">
        <f>Timekeeping!$S11</f>
        <v>1.19</v>
      </c>
      <c r="H36" s="71">
        <f>IF($E10=0,0,IF($E10="R",(Rates!$C$6/8)*$G36,IF($E10="T",(Rates!$D$6/8)*$G36)))</f>
        <v>74.672499999999999</v>
      </c>
      <c r="I36" s="101">
        <f>Timekeeping!$T11</f>
        <v>0</v>
      </c>
      <c r="J36" s="101">
        <f>Timekeeping!$U11+Timekeeping!$V11</f>
        <v>0</v>
      </c>
      <c r="K36" s="72">
        <f>IF($E36=0,0,IF($E36="Y",0,IF($E36="N",$F10*40)))</f>
        <v>480</v>
      </c>
      <c r="L36" s="134">
        <f t="shared" si="7"/>
        <v>7289.8621153846152</v>
      </c>
      <c r="M36" s="135"/>
      <c r="N36" s="74">
        <f>Rates!C8</f>
        <v>38.634615384615387</v>
      </c>
      <c r="O36" s="139" t="s">
        <v>72</v>
      </c>
      <c r="P36" s="124"/>
      <c r="Q36" s="136">
        <f>($F$29+$G$29)*$N36</f>
        <v>2801.0096153846157</v>
      </c>
      <c r="R36" s="136"/>
      <c r="S36" s="136"/>
      <c r="T36" s="138"/>
      <c r="U36" s="124"/>
      <c r="V36" s="124"/>
      <c r="W36" s="138"/>
    </row>
    <row r="37" spans="2:24">
      <c r="B37" s="96">
        <f t="shared" si="4"/>
        <v>3</v>
      </c>
      <c r="C37" s="97" t="str">
        <f t="shared" si="5"/>
        <v>Hayagan,Ruel</v>
      </c>
      <c r="D37" s="98" t="str">
        <f t="shared" si="6"/>
        <v>Pantry</v>
      </c>
      <c r="E37" s="67" t="str">
        <f>Timekeeping!$G12</f>
        <v>N</v>
      </c>
      <c r="F37" s="133">
        <f t="shared" ref="F37:F54" si="8">$X11</f>
        <v>7719.0346153846149</v>
      </c>
      <c r="G37" s="99">
        <f>Timekeeping!$S12</f>
        <v>0</v>
      </c>
      <c r="H37" s="71">
        <f>IF($E11=0,0,IF($E11="R",(Rates!$C$6/8)*$G37,IF($E11="T",(Rates!$D$6/8)*$G37)))</f>
        <v>0</v>
      </c>
      <c r="I37" s="101">
        <f>Timekeeping!$T12</f>
        <v>0</v>
      </c>
      <c r="J37" s="101">
        <f>Timekeeping!$U12+Timekeeping!$V12</f>
        <v>0</v>
      </c>
      <c r="K37" s="72">
        <f>IF($E37=0,0,IF($E37="Y",0,IF($E37="N",$F11*40)))</f>
        <v>400</v>
      </c>
      <c r="L37" s="134">
        <f t="shared" si="7"/>
        <v>7319.0346153846149</v>
      </c>
      <c r="M37" s="140"/>
      <c r="N37" s="74">
        <f>Rates!C9</f>
        <v>6.25</v>
      </c>
      <c r="O37" s="139" t="s">
        <v>73</v>
      </c>
      <c r="P37" s="141"/>
      <c r="Q37" s="136">
        <f>($F$29+$G$29)*$N37</f>
        <v>453.125</v>
      </c>
      <c r="R37" s="141"/>
      <c r="S37" s="141"/>
      <c r="T37" s="141"/>
      <c r="U37" s="142"/>
      <c r="V37" s="142"/>
      <c r="W37" s="141"/>
    </row>
    <row r="38" spans="2:24">
      <c r="B38" s="96">
        <f t="shared" si="4"/>
        <v>4</v>
      </c>
      <c r="C38" s="97" t="str">
        <f t="shared" si="5"/>
        <v>Pantoja,Nancy</v>
      </c>
      <c r="D38" s="98" t="str">
        <f t="shared" si="6"/>
        <v>Cashier</v>
      </c>
      <c r="E38" s="67" t="str">
        <f>Timekeeping!$G13</f>
        <v>Y</v>
      </c>
      <c r="F38" s="133">
        <f t="shared" si="8"/>
        <v>7756.6846153846154</v>
      </c>
      <c r="G38" s="99">
        <f>Timekeeping!$S13</f>
        <v>0.14000000000000001</v>
      </c>
      <c r="H38" s="71">
        <f>IF($E12=0,0,IF($E12="R",(Rates!$C$6/8)*$G38,IF($E12="T",(Rates!$D$6/8)*$G38)))</f>
        <v>8.7850000000000001</v>
      </c>
      <c r="I38" s="101">
        <f>Timekeeping!$T13</f>
        <v>0</v>
      </c>
      <c r="J38" s="101">
        <f>Timekeeping!$U13+Timekeeping!$V13</f>
        <v>0</v>
      </c>
      <c r="K38" s="72">
        <f>IF($E38=0,0,IF($E38="Y",0,IF($E38="N",$F12*40)))</f>
        <v>0</v>
      </c>
      <c r="L38" s="134">
        <f t="shared" si="7"/>
        <v>7747.8996153846156</v>
      </c>
      <c r="M38" s="140"/>
      <c r="N38" s="74">
        <f>Rates!C10</f>
        <v>3.8461538461538463</v>
      </c>
      <c r="O38" s="139" t="s">
        <v>74</v>
      </c>
      <c r="P38" s="141"/>
      <c r="Q38" s="136">
        <f>($F$29+$G$29)*$N38</f>
        <v>278.84615384615387</v>
      </c>
      <c r="R38" s="141"/>
      <c r="S38" s="141"/>
      <c r="T38" s="141"/>
      <c r="U38" s="142"/>
      <c r="V38" s="142"/>
      <c r="W38" s="141"/>
    </row>
    <row r="39" spans="2:24">
      <c r="B39" s="96">
        <f t="shared" si="4"/>
        <v>5</v>
      </c>
      <c r="C39" s="97" t="str">
        <f t="shared" si="5"/>
        <v>Villanueva,Jeffrey</v>
      </c>
      <c r="D39" s="98" t="str">
        <f t="shared" si="6"/>
        <v>Pantry</v>
      </c>
      <c r="E39" s="67" t="str">
        <f>Timekeeping!$G14</f>
        <v>N</v>
      </c>
      <c r="F39" s="133">
        <f t="shared" si="8"/>
        <v>6448.2163461538466</v>
      </c>
      <c r="G39" s="99">
        <f>Timekeeping!$S14</f>
        <v>0</v>
      </c>
      <c r="H39" s="71">
        <f>IF($E13=0,0,IF($E13="R",(Rates!$C$6/8)*$G39,IF($E13="T",(Rates!$D$6/8)*$G39)))</f>
        <v>0</v>
      </c>
      <c r="I39" s="101">
        <f>Timekeeping!$T14</f>
        <v>0</v>
      </c>
      <c r="J39" s="101">
        <f>Timekeeping!$U14+Timekeeping!$V14</f>
        <v>0</v>
      </c>
      <c r="K39" s="72">
        <f>IF($E39=0,0,IF($E39="Y",0,IF($E39="N",$F13*40)))</f>
        <v>360</v>
      </c>
      <c r="L39" s="134">
        <f t="shared" si="7"/>
        <v>6088.2163461538466</v>
      </c>
      <c r="M39" s="140"/>
      <c r="N39" s="74">
        <f>Rates!C7</f>
        <v>41.833333333333336</v>
      </c>
      <c r="O39" s="139" t="s">
        <v>75</v>
      </c>
      <c r="P39" s="141"/>
      <c r="Q39" s="136">
        <f>($F$29+$G$29)*$N39</f>
        <v>3032.916666666667</v>
      </c>
      <c r="R39" s="141"/>
      <c r="S39" s="141"/>
      <c r="T39" s="141"/>
      <c r="U39" s="142"/>
      <c r="V39" s="142"/>
      <c r="W39" s="141"/>
    </row>
    <row r="40" spans="2:24">
      <c r="B40" s="96">
        <f t="shared" si="4"/>
        <v>6</v>
      </c>
      <c r="C40" s="97" t="str">
        <f t="shared" si="5"/>
        <v>Atienza,Mark Joseph</v>
      </c>
      <c r="D40" s="98" t="str">
        <f t="shared" si="6"/>
        <v>Waiter</v>
      </c>
      <c r="E40" s="67" t="str">
        <f>Timekeeping!$G15</f>
        <v>N</v>
      </c>
      <c r="F40" s="133">
        <f t="shared" si="8"/>
        <v>7380.1519230769236</v>
      </c>
      <c r="G40" s="99">
        <f>Timekeeping!$S15</f>
        <v>1.02</v>
      </c>
      <c r="H40" s="71">
        <f>IF($E14=0,0,IF($E14="R",(Rates!$C$6/8)*$G40,IF($E14="T",(Rates!$D$6/8)*$G40)))</f>
        <v>64.004999999999995</v>
      </c>
      <c r="I40" s="101">
        <f>Timekeeping!$T15</f>
        <v>0</v>
      </c>
      <c r="J40" s="101">
        <f>Timekeeping!$U15+Timekeeping!$V15</f>
        <v>0</v>
      </c>
      <c r="K40" s="72">
        <f t="shared" ref="K40:K54" si="9">IF($E40=0,0,IF($E40="Y",0,IF($E40="N",$F14*40)))</f>
        <v>460</v>
      </c>
      <c r="L40" s="134">
        <f t="shared" si="7"/>
        <v>6856.1469230769235</v>
      </c>
      <c r="M40" s="140"/>
      <c r="O40" s="139" t="s">
        <v>76</v>
      </c>
      <c r="P40" s="141"/>
      <c r="Q40" s="141"/>
      <c r="R40" s="136">
        <f>SUM(I55:K55)</f>
        <v>1820</v>
      </c>
      <c r="S40" s="141"/>
      <c r="T40" s="141"/>
      <c r="U40" s="142"/>
      <c r="V40" s="142"/>
      <c r="W40" s="141"/>
    </row>
    <row r="41" spans="2:24">
      <c r="B41" s="96">
        <f t="shared" si="4"/>
        <v>7</v>
      </c>
      <c r="C41" s="97" t="str">
        <f t="shared" si="5"/>
        <v>Arel,Issacar</v>
      </c>
      <c r="D41" s="98" t="str">
        <f t="shared" si="6"/>
        <v>Waiter</v>
      </c>
      <c r="E41" s="67" t="str">
        <f>Timekeeping!$G16</f>
        <v>N</v>
      </c>
      <c r="F41" s="133">
        <f t="shared" si="8"/>
        <v>1948.5836538461538</v>
      </c>
      <c r="G41" s="99">
        <f>Timekeeping!$S16</f>
        <v>0.21</v>
      </c>
      <c r="H41" s="71">
        <f>IF($E15=0,0,IF($E15="R",(Rates!$C$6/8)*$G41,IF($E15="T",(Rates!$D$6/8)*$G41)))</f>
        <v>13.1775</v>
      </c>
      <c r="I41" s="101">
        <f>Timekeeping!$T16</f>
        <v>0</v>
      </c>
      <c r="J41" s="101">
        <f>Timekeeping!$U16+Timekeeping!$V16</f>
        <v>0</v>
      </c>
      <c r="K41" s="72">
        <f t="shared" si="9"/>
        <v>120</v>
      </c>
      <c r="L41" s="134">
        <f t="shared" si="7"/>
        <v>1815.4061538461538</v>
      </c>
      <c r="M41" s="140"/>
      <c r="N41" s="141"/>
      <c r="O41" s="139" t="s">
        <v>77</v>
      </c>
      <c r="P41" s="141"/>
      <c r="R41" s="136">
        <f>L55</f>
        <v>44778.497884615383</v>
      </c>
      <c r="S41" s="141"/>
      <c r="T41" s="141"/>
      <c r="U41" s="142"/>
      <c r="V41" s="142"/>
      <c r="W41" s="141"/>
    </row>
    <row r="42" spans="2:24" ht="15.75" thickBot="1">
      <c r="B42" s="96" t="str">
        <f t="shared" si="4"/>
        <v/>
      </c>
      <c r="C42" s="97">
        <f t="shared" si="5"/>
        <v>0</v>
      </c>
      <c r="D42" s="98">
        <f t="shared" si="6"/>
        <v>0</v>
      </c>
      <c r="E42" s="67">
        <f>Timekeeping!$G17</f>
        <v>0</v>
      </c>
      <c r="F42" s="133">
        <f t="shared" si="8"/>
        <v>0</v>
      </c>
      <c r="G42" s="99">
        <f>Timekeeping!$S17</f>
        <v>0</v>
      </c>
      <c r="H42" s="71">
        <f>IF($E16=0,0,IF($E16="R",(Rates!$C$6/8)*$G42,IF($E16="T",(Rates!$D$6/8)*$G42)))</f>
        <v>0</v>
      </c>
      <c r="I42" s="101">
        <f>Timekeeping!$T17</f>
        <v>0</v>
      </c>
      <c r="J42" s="101">
        <f>Timekeeping!$U17+Timekeeping!$V17</f>
        <v>0</v>
      </c>
      <c r="K42" s="72">
        <f t="shared" si="9"/>
        <v>0</v>
      </c>
      <c r="L42" s="134">
        <f t="shared" si="7"/>
        <v>0</v>
      </c>
      <c r="M42" s="140"/>
      <c r="N42" s="141"/>
      <c r="O42" s="143"/>
      <c r="P42" s="143"/>
      <c r="Q42" s="144">
        <f>SUM(Q35:Q41)</f>
        <v>46598.49788461539</v>
      </c>
      <c r="R42" s="144">
        <f>SUM(R35:R41)</f>
        <v>46598.497884615383</v>
      </c>
      <c r="S42" s="141"/>
      <c r="T42" s="141"/>
      <c r="U42" s="142"/>
      <c r="V42" s="142"/>
      <c r="W42" s="141"/>
    </row>
    <row r="43" spans="2:24" ht="15.75" thickTop="1">
      <c r="B43" s="96" t="str">
        <f t="shared" si="4"/>
        <v/>
      </c>
      <c r="C43" s="97">
        <f t="shared" si="5"/>
        <v>0</v>
      </c>
      <c r="D43" s="98">
        <f t="shared" si="6"/>
        <v>0</v>
      </c>
      <c r="E43" s="67">
        <f>Timekeeping!$G18</f>
        <v>0</v>
      </c>
      <c r="F43" s="133">
        <f t="shared" si="8"/>
        <v>0</v>
      </c>
      <c r="G43" s="99">
        <f>Timekeeping!$S18</f>
        <v>0</v>
      </c>
      <c r="H43" s="71">
        <f>IF($E17=0,0,IF($E17="R",(Rates!$C$6/8)*$G43,IF($E17="T",(Rates!$D$6/8)*$G43)))</f>
        <v>0</v>
      </c>
      <c r="I43" s="101">
        <f>Timekeeping!$T18</f>
        <v>0</v>
      </c>
      <c r="J43" s="101">
        <f>Timekeeping!$U18+Timekeeping!$V18</f>
        <v>0</v>
      </c>
      <c r="K43" s="72">
        <f t="shared" si="9"/>
        <v>0</v>
      </c>
      <c r="L43" s="134">
        <f t="shared" si="7"/>
        <v>0</v>
      </c>
      <c r="M43" s="140"/>
      <c r="N43" s="141"/>
      <c r="O43" s="141"/>
      <c r="P43" s="141"/>
      <c r="R43" s="145">
        <f>Q42-R42</f>
        <v>0</v>
      </c>
      <c r="S43" s="141"/>
      <c r="T43" s="141"/>
      <c r="U43" s="142"/>
      <c r="V43" s="142"/>
      <c r="W43" s="141"/>
    </row>
    <row r="44" spans="2:24">
      <c r="B44" s="96" t="str">
        <f t="shared" si="4"/>
        <v/>
      </c>
      <c r="C44" s="97">
        <f t="shared" si="5"/>
        <v>0</v>
      </c>
      <c r="D44" s="98">
        <f t="shared" si="6"/>
        <v>0</v>
      </c>
      <c r="E44" s="67">
        <f>Timekeeping!$G19</f>
        <v>0</v>
      </c>
      <c r="F44" s="133">
        <f t="shared" si="8"/>
        <v>0</v>
      </c>
      <c r="G44" s="99">
        <f>Timekeeping!$S19</f>
        <v>0</v>
      </c>
      <c r="H44" s="71">
        <f>IF($E18=0,0,IF($E18="R",(Rates!$C$6/8)*$G44,IF($E18="T",(Rates!$D$6/8)*$G44)))</f>
        <v>0</v>
      </c>
      <c r="I44" s="101">
        <f>Timekeeping!$T19</f>
        <v>0</v>
      </c>
      <c r="J44" s="101">
        <f>Timekeeping!$U19+Timekeeping!$V19</f>
        <v>0</v>
      </c>
      <c r="K44" s="72">
        <f t="shared" si="9"/>
        <v>0</v>
      </c>
      <c r="L44" s="134">
        <f t="shared" si="7"/>
        <v>0</v>
      </c>
      <c r="M44" s="140"/>
      <c r="N44" s="141"/>
      <c r="O44" s="146" t="s">
        <v>78</v>
      </c>
      <c r="P44" s="147"/>
      <c r="Q44" s="146">
        <f>R41*2%</f>
        <v>895.56995769230764</v>
      </c>
      <c r="R44" s="141"/>
      <c r="S44" s="141"/>
      <c r="T44" s="141"/>
      <c r="U44" s="142"/>
      <c r="V44" s="142"/>
      <c r="W44" s="141"/>
    </row>
    <row r="45" spans="2:24">
      <c r="B45" s="96" t="str">
        <f t="shared" si="4"/>
        <v/>
      </c>
      <c r="C45" s="97">
        <f t="shared" si="5"/>
        <v>0</v>
      </c>
      <c r="D45" s="98">
        <f t="shared" si="6"/>
        <v>0</v>
      </c>
      <c r="E45" s="67">
        <f>Timekeeping!$G20</f>
        <v>0</v>
      </c>
      <c r="F45" s="133">
        <f t="shared" si="8"/>
        <v>0</v>
      </c>
      <c r="G45" s="99">
        <f>Timekeeping!$S20</f>
        <v>0</v>
      </c>
      <c r="H45" s="71">
        <f>IF($E19=0,0,IF($E19="R",(Rates!$C$6/8)*$G45,IF($E19="T",(Rates!$D$6/8)*$G45)))</f>
        <v>0</v>
      </c>
      <c r="I45" s="101">
        <f>Timekeeping!$T20</f>
        <v>0</v>
      </c>
      <c r="J45" s="101">
        <f>Timekeeping!$U20+Timekeeping!$V20</f>
        <v>0</v>
      </c>
      <c r="K45" s="72">
        <f t="shared" si="9"/>
        <v>0</v>
      </c>
      <c r="L45" s="134">
        <f t="shared" si="7"/>
        <v>0</v>
      </c>
      <c r="M45" s="140"/>
      <c r="N45" s="141"/>
      <c r="R45" s="141"/>
      <c r="S45" s="141"/>
      <c r="T45" s="141"/>
      <c r="U45" s="142"/>
      <c r="V45" s="142"/>
      <c r="W45" s="141"/>
    </row>
    <row r="46" spans="2:24">
      <c r="B46" s="96" t="str">
        <f t="shared" si="4"/>
        <v/>
      </c>
      <c r="C46" s="97">
        <f t="shared" si="5"/>
        <v>0</v>
      </c>
      <c r="D46" s="98">
        <f t="shared" si="6"/>
        <v>0</v>
      </c>
      <c r="E46" s="67">
        <f>Timekeeping!$G21</f>
        <v>0</v>
      </c>
      <c r="F46" s="133">
        <f t="shared" si="8"/>
        <v>0</v>
      </c>
      <c r="G46" s="99">
        <f>Timekeeping!$S21</f>
        <v>0</v>
      </c>
      <c r="H46" s="71">
        <f>IF($E20=0,0,IF($E20="R",(Rates!$C$6/8)*$G46,IF($E20="T",(Rates!$D$6/8)*$G46)))</f>
        <v>0</v>
      </c>
      <c r="I46" s="101">
        <f>Timekeeping!$T21</f>
        <v>0</v>
      </c>
      <c r="J46" s="101">
        <f>Timekeeping!$U21+Timekeeping!$V21</f>
        <v>0</v>
      </c>
      <c r="K46" s="72">
        <f t="shared" si="9"/>
        <v>0</v>
      </c>
      <c r="L46" s="134">
        <f t="shared" si="7"/>
        <v>0</v>
      </c>
      <c r="M46" s="140"/>
      <c r="N46" s="139"/>
      <c r="O46" s="142"/>
      <c r="P46" s="139"/>
      <c r="R46" s="139"/>
      <c r="S46" s="139"/>
      <c r="T46" s="141"/>
      <c r="U46" s="142"/>
      <c r="V46" s="142"/>
      <c r="W46" s="141"/>
    </row>
    <row r="47" spans="2:24">
      <c r="B47" s="96" t="str">
        <f t="shared" si="4"/>
        <v/>
      </c>
      <c r="C47" s="97">
        <f t="shared" si="5"/>
        <v>0</v>
      </c>
      <c r="D47" s="98">
        <f t="shared" si="6"/>
        <v>0</v>
      </c>
      <c r="E47" s="67">
        <f>Timekeeping!$G22</f>
        <v>0</v>
      </c>
      <c r="F47" s="133">
        <f t="shared" si="8"/>
        <v>0</v>
      </c>
      <c r="G47" s="99">
        <f>Timekeeping!$S22</f>
        <v>0</v>
      </c>
      <c r="H47" s="71">
        <f>IF($E21=0,0,IF($E21="R",(Rates!$C$6/8)*$G47,IF($E21="T",(Rates!$D$6/8)*$G47)))</f>
        <v>0</v>
      </c>
      <c r="I47" s="101">
        <f>Timekeeping!$T22</f>
        <v>0</v>
      </c>
      <c r="J47" s="101">
        <f>Timekeeping!$U22+Timekeeping!$V22</f>
        <v>0</v>
      </c>
      <c r="K47" s="72">
        <f t="shared" si="9"/>
        <v>0</v>
      </c>
      <c r="L47" s="134">
        <f t="shared" si="7"/>
        <v>0</v>
      </c>
      <c r="M47" s="140"/>
      <c r="N47" s="139"/>
      <c r="O47" s="142"/>
      <c r="P47" s="139"/>
      <c r="R47" s="139"/>
      <c r="S47" s="139"/>
      <c r="T47" s="141"/>
      <c r="U47" s="142"/>
      <c r="V47" s="142"/>
      <c r="W47" s="141"/>
    </row>
    <row r="48" spans="2:24">
      <c r="B48" s="96" t="str">
        <f t="shared" si="4"/>
        <v/>
      </c>
      <c r="C48" s="97">
        <f t="shared" si="5"/>
        <v>0</v>
      </c>
      <c r="D48" s="98">
        <f t="shared" si="6"/>
        <v>0</v>
      </c>
      <c r="E48" s="67">
        <f>Timekeeping!$G23</f>
        <v>0</v>
      </c>
      <c r="F48" s="133">
        <f t="shared" si="8"/>
        <v>0</v>
      </c>
      <c r="G48" s="99">
        <f>Timekeeping!$S23</f>
        <v>0</v>
      </c>
      <c r="H48" s="71">
        <f>IF($E22=0,0,IF($E22="R",(Rates!$C$6/8)*$G48,IF($E22="T",(Rates!$D$6/8)*$G48)))</f>
        <v>0</v>
      </c>
      <c r="I48" s="101">
        <f>Timekeeping!$T23</f>
        <v>0</v>
      </c>
      <c r="J48" s="101">
        <f>Timekeeping!$U23+Timekeeping!$V23</f>
        <v>0</v>
      </c>
      <c r="K48" s="72">
        <f t="shared" si="9"/>
        <v>0</v>
      </c>
      <c r="L48" s="134">
        <f t="shared" si="7"/>
        <v>0</v>
      </c>
      <c r="M48" s="140"/>
      <c r="N48" s="139"/>
      <c r="O48" s="142"/>
      <c r="P48" s="139"/>
      <c r="R48" s="139"/>
      <c r="S48" s="139"/>
      <c r="T48" s="141"/>
      <c r="U48" s="142"/>
      <c r="V48" s="142"/>
      <c r="W48" s="141"/>
    </row>
    <row r="49" spans="2:24">
      <c r="B49" s="96" t="str">
        <f t="shared" si="4"/>
        <v/>
      </c>
      <c r="C49" s="97">
        <f t="shared" si="5"/>
        <v>0</v>
      </c>
      <c r="D49" s="98">
        <f t="shared" si="6"/>
        <v>0</v>
      </c>
      <c r="E49" s="67">
        <f>Timekeeping!$G24</f>
        <v>0</v>
      </c>
      <c r="F49" s="133">
        <f t="shared" si="8"/>
        <v>0</v>
      </c>
      <c r="G49" s="99">
        <f>Timekeeping!$S24</f>
        <v>0</v>
      </c>
      <c r="H49" s="71">
        <f>IF($E23=0,0,IF($E23="R",(Rates!$C$6/8)*$G49,IF($E23="T",(Rates!$D$6/8)*$G49)))</f>
        <v>0</v>
      </c>
      <c r="I49" s="101">
        <f>Timekeeping!$T24</f>
        <v>0</v>
      </c>
      <c r="J49" s="101">
        <f>Timekeeping!$U24+Timekeeping!$V24</f>
        <v>0</v>
      </c>
      <c r="K49" s="72">
        <f t="shared" si="9"/>
        <v>0</v>
      </c>
      <c r="L49" s="134">
        <f t="shared" si="7"/>
        <v>0</v>
      </c>
      <c r="M49" s="140"/>
      <c r="N49" s="139"/>
      <c r="O49" s="142"/>
      <c r="P49" s="139"/>
      <c r="R49" s="139"/>
      <c r="S49" s="139"/>
      <c r="T49" s="141"/>
      <c r="U49" s="142"/>
      <c r="V49" s="142"/>
      <c r="W49" s="141"/>
    </row>
    <row r="50" spans="2:24">
      <c r="B50" s="96" t="str">
        <f t="shared" si="4"/>
        <v/>
      </c>
      <c r="C50" s="97">
        <f t="shared" si="5"/>
        <v>0</v>
      </c>
      <c r="D50" s="98">
        <f t="shared" si="6"/>
        <v>0</v>
      </c>
      <c r="E50" s="67">
        <f>Timekeeping!$G25</f>
        <v>0</v>
      </c>
      <c r="F50" s="133">
        <f t="shared" si="8"/>
        <v>0</v>
      </c>
      <c r="G50" s="99">
        <f>Timekeeping!$S25</f>
        <v>0</v>
      </c>
      <c r="H50" s="71">
        <f>IF($E24=0,0,IF($E24="R",(Rates!$C$6/8)*$G50,IF($E24="T",(Rates!$D$6/8)*$G50)))</f>
        <v>0</v>
      </c>
      <c r="I50" s="101">
        <f>Timekeeping!$T25</f>
        <v>0</v>
      </c>
      <c r="J50" s="101">
        <f>Timekeeping!$U25+Timekeeping!$V25</f>
        <v>0</v>
      </c>
      <c r="K50" s="72">
        <f t="shared" si="9"/>
        <v>0</v>
      </c>
      <c r="L50" s="134">
        <f t="shared" si="7"/>
        <v>0</v>
      </c>
      <c r="M50" s="140"/>
      <c r="N50" s="148"/>
      <c r="O50" s="142"/>
      <c r="P50" s="139"/>
      <c r="R50" s="139"/>
      <c r="S50" s="139"/>
      <c r="T50" s="141"/>
      <c r="U50" s="142"/>
      <c r="V50" s="142"/>
      <c r="W50" s="141"/>
    </row>
    <row r="51" spans="2:24">
      <c r="B51" s="96" t="str">
        <f t="shared" si="4"/>
        <v/>
      </c>
      <c r="C51" s="97">
        <f t="shared" si="5"/>
        <v>0</v>
      </c>
      <c r="D51" s="98">
        <f t="shared" si="6"/>
        <v>0</v>
      </c>
      <c r="E51" s="67">
        <f>Timekeeping!$G26</f>
        <v>0</v>
      </c>
      <c r="F51" s="133">
        <f t="shared" si="8"/>
        <v>0</v>
      </c>
      <c r="G51" s="99">
        <f>Timekeeping!$S26</f>
        <v>0</v>
      </c>
      <c r="H51" s="71">
        <f>IF($E25=0,0,IF($E25="R",(Rates!$C$6/8)*$G51,IF($E25="T",(Rates!$D$6/8)*$G51)))</f>
        <v>0</v>
      </c>
      <c r="I51" s="101">
        <f>Timekeeping!$T26</f>
        <v>0</v>
      </c>
      <c r="J51" s="101">
        <f>Timekeeping!$U26+Timekeeping!$V26</f>
        <v>0</v>
      </c>
      <c r="K51" s="72">
        <f t="shared" si="9"/>
        <v>0</v>
      </c>
      <c r="L51" s="134">
        <f t="shared" si="7"/>
        <v>0</v>
      </c>
      <c r="M51" s="140"/>
      <c r="N51" s="148"/>
      <c r="O51" s="142"/>
      <c r="P51" s="139"/>
      <c r="R51" s="139"/>
      <c r="S51" s="139"/>
      <c r="T51" s="141"/>
      <c r="U51" s="142"/>
      <c r="V51" s="142"/>
      <c r="W51" s="141"/>
    </row>
    <row r="52" spans="2:24">
      <c r="B52" s="96" t="str">
        <f t="shared" si="4"/>
        <v/>
      </c>
      <c r="C52" s="97">
        <f t="shared" si="5"/>
        <v>0</v>
      </c>
      <c r="D52" s="98">
        <f t="shared" si="6"/>
        <v>0</v>
      </c>
      <c r="E52" s="67">
        <f>Timekeeping!$G27</f>
        <v>0</v>
      </c>
      <c r="F52" s="133">
        <f t="shared" si="8"/>
        <v>0</v>
      </c>
      <c r="G52" s="99">
        <f>Timekeeping!$S27</f>
        <v>0</v>
      </c>
      <c r="H52" s="71">
        <f>IF($E26=0,0,IF($E26="R",(Rates!$C$6/8)*$G52,IF($E26="T",(Rates!$D$6/8)*$G52)))</f>
        <v>0</v>
      </c>
      <c r="I52" s="101">
        <f>Timekeeping!$T27</f>
        <v>0</v>
      </c>
      <c r="J52" s="101">
        <f>Timekeeping!$U27+Timekeeping!$V27</f>
        <v>0</v>
      </c>
      <c r="K52" s="72">
        <f t="shared" si="9"/>
        <v>0</v>
      </c>
      <c r="L52" s="134">
        <f t="shared" si="7"/>
        <v>0</v>
      </c>
      <c r="M52" s="140"/>
      <c r="N52" s="148"/>
      <c r="O52" s="142"/>
      <c r="P52" s="139"/>
      <c r="R52" s="139"/>
      <c r="S52" s="139"/>
      <c r="T52" s="141"/>
      <c r="U52" s="142"/>
      <c r="V52" s="142"/>
      <c r="W52" s="141"/>
    </row>
    <row r="53" spans="2:24">
      <c r="B53" s="96" t="str">
        <f t="shared" si="4"/>
        <v/>
      </c>
      <c r="C53" s="97">
        <f t="shared" si="5"/>
        <v>0</v>
      </c>
      <c r="D53" s="98">
        <f t="shared" si="6"/>
        <v>0</v>
      </c>
      <c r="E53" s="67">
        <f>Timekeeping!$G28</f>
        <v>0</v>
      </c>
      <c r="F53" s="133">
        <f t="shared" si="8"/>
        <v>0</v>
      </c>
      <c r="G53" s="99">
        <f>Timekeeping!$S28</f>
        <v>0</v>
      </c>
      <c r="H53" s="71">
        <f>IF($E27=0,0,IF($E27="R",(Rates!$C$6/8)*$G53,IF($E27="T",(Rates!$D$6/8)*$G53)))</f>
        <v>0</v>
      </c>
      <c r="I53" s="101">
        <f>Timekeeping!$T28</f>
        <v>0</v>
      </c>
      <c r="J53" s="101">
        <f>Timekeeping!$U28+Timekeeping!$V28</f>
        <v>0</v>
      </c>
      <c r="K53" s="72">
        <f t="shared" si="9"/>
        <v>0</v>
      </c>
      <c r="L53" s="134">
        <f t="shared" si="7"/>
        <v>0</v>
      </c>
      <c r="M53" s="140"/>
      <c r="N53" s="140"/>
      <c r="O53" s="142"/>
      <c r="P53" s="139"/>
      <c r="R53" s="139"/>
      <c r="S53" s="139"/>
      <c r="T53" s="141"/>
      <c r="U53" s="142"/>
      <c r="V53" s="142"/>
      <c r="W53" s="141"/>
    </row>
    <row r="54" spans="2:24" ht="15.75" thickBot="1">
      <c r="B54" s="149" t="str">
        <f t="shared" si="4"/>
        <v/>
      </c>
      <c r="C54" s="150">
        <f t="shared" si="5"/>
        <v>0</v>
      </c>
      <c r="D54" s="151">
        <f t="shared" si="6"/>
        <v>0</v>
      </c>
      <c r="E54" s="69">
        <f>Timekeeping!$G29</f>
        <v>0</v>
      </c>
      <c r="F54" s="152">
        <f t="shared" si="8"/>
        <v>0</v>
      </c>
      <c r="G54" s="109">
        <f>Timekeeping!$S29</f>
        <v>0</v>
      </c>
      <c r="H54" s="71">
        <f>IF($E28=0,0,IF($E28="R",(Rates!$C$6/8)*$G54,IF($E28="T",(Rates!$D$6/8)*$G54)))</f>
        <v>0</v>
      </c>
      <c r="I54" s="153">
        <f>Timekeeping!$T29</f>
        <v>0</v>
      </c>
      <c r="J54" s="153">
        <f>Timekeeping!$U29+Timekeeping!$V29</f>
        <v>0</v>
      </c>
      <c r="K54" s="73">
        <f t="shared" si="9"/>
        <v>0</v>
      </c>
      <c r="L54" s="134">
        <f t="shared" si="7"/>
        <v>0</v>
      </c>
      <c r="M54" s="140"/>
      <c r="N54" s="140"/>
      <c r="O54" s="142"/>
      <c r="P54" s="139"/>
      <c r="R54" s="139"/>
      <c r="S54" s="139"/>
      <c r="T54" s="141"/>
      <c r="U54" s="142"/>
      <c r="V54" s="142"/>
      <c r="W54" s="141"/>
    </row>
    <row r="55" spans="2:24" ht="15.75" thickBot="1">
      <c r="B55" s="154" t="s">
        <v>20</v>
      </c>
      <c r="C55" s="155"/>
      <c r="D55" s="155"/>
      <c r="E55" s="155"/>
      <c r="F55" s="156">
        <f t="shared" ref="F55:L55" si="10">SUM(F35:F54)</f>
        <v>46788.002884615387</v>
      </c>
      <c r="G55" s="114">
        <f t="shared" si="10"/>
        <v>3.02</v>
      </c>
      <c r="H55" s="116">
        <f t="shared" si="10"/>
        <v>189.505</v>
      </c>
      <c r="I55" s="116">
        <f t="shared" si="10"/>
        <v>0</v>
      </c>
      <c r="J55" s="116">
        <f t="shared" si="10"/>
        <v>0</v>
      </c>
      <c r="K55" s="115">
        <f t="shared" si="10"/>
        <v>1820</v>
      </c>
      <c r="L55" s="157">
        <f t="shared" si="10"/>
        <v>44778.497884615383</v>
      </c>
      <c r="M55" s="158"/>
      <c r="N55" s="159"/>
      <c r="O55" s="142"/>
      <c r="P55" s="139"/>
      <c r="R55" s="139"/>
      <c r="S55" s="139"/>
      <c r="T55" s="160"/>
      <c r="U55" s="161"/>
      <c r="V55" s="161"/>
      <c r="W55" s="160"/>
    </row>
    <row r="56" spans="2:24" ht="15.75" thickTop="1">
      <c r="B56" s="162"/>
      <c r="C56" s="119" t="s">
        <v>65</v>
      </c>
      <c r="D56" s="162"/>
      <c r="E56" s="162"/>
      <c r="F56" s="162"/>
      <c r="G56" s="122" t="b">
        <f>G55=Timekeeping!S30</f>
        <v>1</v>
      </c>
      <c r="H56" s="162"/>
      <c r="I56" s="163" t="b">
        <f>I55=Timekeeping!T30</f>
        <v>1</v>
      </c>
      <c r="J56" s="163" t="b">
        <f>J55=(Timekeeping!U30+Timekeeping!V30)</f>
        <v>1</v>
      </c>
      <c r="K56" s="162"/>
      <c r="L56" s="164"/>
      <c r="M56" s="165"/>
      <c r="N56" s="165"/>
      <c r="O56" s="142"/>
      <c r="P56" s="139"/>
      <c r="R56" s="139"/>
      <c r="S56" s="139"/>
      <c r="T56" s="166"/>
      <c r="U56" s="162"/>
      <c r="V56" s="162"/>
      <c r="W56" s="162"/>
      <c r="X56" s="162"/>
    </row>
    <row r="57" spans="2:24"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7"/>
      <c r="M57" s="165"/>
      <c r="N57" s="165"/>
      <c r="O57" s="142"/>
      <c r="P57" s="139"/>
      <c r="R57" s="139"/>
      <c r="S57" s="139"/>
      <c r="T57" s="166"/>
      <c r="U57" s="162"/>
      <c r="V57" s="162"/>
      <c r="W57" s="162"/>
      <c r="X57" s="162"/>
    </row>
    <row r="58" spans="2:24">
      <c r="B58" s="92"/>
      <c r="C58" s="168" t="s">
        <v>41</v>
      </c>
      <c r="D58" s="168"/>
      <c r="E58" s="168"/>
      <c r="F58" s="168" t="s">
        <v>42</v>
      </c>
      <c r="G58" s="168"/>
      <c r="H58" s="168"/>
      <c r="I58" s="92"/>
      <c r="J58" s="168" t="s">
        <v>43</v>
      </c>
      <c r="K58" s="168"/>
      <c r="L58" s="168"/>
      <c r="M58" s="169"/>
      <c r="N58" s="170"/>
      <c r="O58" s="142"/>
      <c r="P58" s="139"/>
      <c r="R58" s="139"/>
      <c r="S58" s="139"/>
      <c r="T58" s="92"/>
      <c r="U58" s="92"/>
      <c r="V58" s="92"/>
      <c r="W58" s="92"/>
      <c r="X58" s="92"/>
    </row>
    <row r="59" spans="2:24">
      <c r="B59" s="92"/>
      <c r="C59" s="171"/>
      <c r="D59" s="171"/>
      <c r="E59" s="168"/>
      <c r="F59" s="171"/>
      <c r="G59" s="171"/>
      <c r="H59" s="171"/>
      <c r="I59" s="92"/>
      <c r="J59" s="172" t="s">
        <v>44</v>
      </c>
      <c r="K59" s="171"/>
      <c r="L59" s="171"/>
      <c r="M59" s="173"/>
      <c r="N59" s="174"/>
      <c r="O59" s="175"/>
      <c r="P59" s="92"/>
      <c r="Q59" s="92"/>
      <c r="R59" s="92"/>
      <c r="S59" s="92"/>
      <c r="T59" s="92"/>
      <c r="U59" s="92"/>
      <c r="V59" s="92"/>
      <c r="W59" s="92"/>
      <c r="X59" s="92"/>
    </row>
    <row r="60" spans="2:24">
      <c r="B60" s="92"/>
      <c r="C60" s="168" t="s">
        <v>45</v>
      </c>
      <c r="D60" s="168"/>
      <c r="E60" s="168"/>
      <c r="F60" s="168" t="s">
        <v>46</v>
      </c>
      <c r="G60" s="168"/>
      <c r="H60" s="168"/>
      <c r="I60" s="92"/>
      <c r="J60" s="168" t="s">
        <v>47</v>
      </c>
      <c r="K60" s="168"/>
      <c r="L60" s="168"/>
      <c r="M60" s="168"/>
      <c r="N60" s="92"/>
      <c r="O60" s="176"/>
      <c r="P60" s="92"/>
      <c r="Q60" s="92"/>
      <c r="R60" s="92"/>
      <c r="S60" s="92"/>
      <c r="T60" s="92"/>
      <c r="U60" s="92"/>
      <c r="V60" s="92"/>
      <c r="W60" s="92"/>
      <c r="X60" s="92"/>
    </row>
    <row r="61" spans="2:24">
      <c r="B61" s="92"/>
      <c r="C61" s="168"/>
      <c r="D61" s="168"/>
      <c r="E61" s="168"/>
      <c r="F61" s="168"/>
      <c r="G61" s="168"/>
      <c r="H61" s="92"/>
      <c r="I61" s="92"/>
      <c r="J61" s="168"/>
      <c r="K61" s="168"/>
      <c r="L61" s="168"/>
      <c r="M61" s="168"/>
      <c r="N61" s="92"/>
      <c r="O61" s="176"/>
      <c r="P61" s="92"/>
      <c r="Q61" s="92"/>
      <c r="R61" s="92"/>
      <c r="S61" s="92"/>
      <c r="T61" s="92"/>
      <c r="U61" s="92"/>
      <c r="V61" s="92"/>
      <c r="W61" s="92"/>
      <c r="X61" s="92"/>
    </row>
    <row r="62" spans="2:24">
      <c r="B62" s="92"/>
      <c r="C62" s="92"/>
      <c r="D62" s="92"/>
      <c r="E62" s="92"/>
      <c r="F62" s="177"/>
      <c r="G62" s="92"/>
      <c r="H62" s="92"/>
      <c r="I62" s="92"/>
      <c r="J62" s="92"/>
      <c r="K62" s="92"/>
      <c r="L62" s="92"/>
      <c r="M62" s="92"/>
      <c r="N62" s="92"/>
      <c r="O62" s="176"/>
      <c r="P62" s="92"/>
      <c r="Q62" s="92"/>
      <c r="R62" s="92"/>
      <c r="S62" s="92"/>
      <c r="T62" s="92"/>
      <c r="U62" s="92"/>
      <c r="V62" s="92"/>
      <c r="W62" s="92"/>
      <c r="X62" s="92"/>
    </row>
  </sheetData>
  <sheetProtection password="C578" sheet="1"/>
  <mergeCells count="38">
    <mergeCell ref="M7:M8"/>
    <mergeCell ref="B6:B8"/>
    <mergeCell ref="C6:C8"/>
    <mergeCell ref="D6:D8"/>
    <mergeCell ref="F6:F8"/>
    <mergeCell ref="G6:G8"/>
    <mergeCell ref="L7:L8"/>
    <mergeCell ref="K6:M6"/>
    <mergeCell ref="U7:U8"/>
    <mergeCell ref="P6:P8"/>
    <mergeCell ref="Q6:Q8"/>
    <mergeCell ref="S6:U6"/>
    <mergeCell ref="S7:S8"/>
    <mergeCell ref="B2:C2"/>
    <mergeCell ref="B3:C3"/>
    <mergeCell ref="E6:E8"/>
    <mergeCell ref="H32:H34"/>
    <mergeCell ref="K7:K8"/>
    <mergeCell ref="J6:J8"/>
    <mergeCell ref="E32:E34"/>
    <mergeCell ref="H6:H8"/>
    <mergeCell ref="I6:I8"/>
    <mergeCell ref="X6:X8"/>
    <mergeCell ref="B32:B34"/>
    <mergeCell ref="C32:C34"/>
    <mergeCell ref="D32:D34"/>
    <mergeCell ref="F32:F34"/>
    <mergeCell ref="G32:G34"/>
    <mergeCell ref="I32:I34"/>
    <mergeCell ref="J32:J34"/>
    <mergeCell ref="K32:K34"/>
    <mergeCell ref="L32:L34"/>
    <mergeCell ref="O6:O8"/>
    <mergeCell ref="R6:R8"/>
    <mergeCell ref="N6:N8"/>
    <mergeCell ref="V6:V8"/>
    <mergeCell ref="W6:W8"/>
    <mergeCell ref="T7:T8"/>
  </mergeCells>
  <conditionalFormatting sqref="G56 C56 C30:X30">
    <cfRule type="containsText" dxfId="2" priority="8" operator="containsText" text="FALSE">
      <formula>NOT(ISERROR(SEARCH("FALSE",C30)))</formula>
    </cfRule>
    <cfRule type="containsText" dxfId="1" priority="9" operator="containsText" text="FALSE">
      <formula>NOT(ISERROR(SEARCH("FALSE",C30)))</formula>
    </cfRule>
  </conditionalFormatting>
  <conditionalFormatting sqref="C56:L56">
    <cfRule type="containsText" dxfId="0" priority="1" operator="containsText" text="FALSE">
      <formula>NOT(ISERROR(SEARCH("FALSE",C56)))</formula>
    </cfRule>
  </conditionalFormatting>
  <pageMargins left="0.17" right="0.17" top="0.27" bottom="0.3" header="0.28000000000000003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showGridLines="0" view="pageBreakPreview" topLeftCell="A25" zoomScaleSheetLayoutView="100" workbookViewId="0">
      <selection activeCell="C11" sqref="C11"/>
    </sheetView>
  </sheetViews>
  <sheetFormatPr defaultRowHeight="15"/>
  <cols>
    <col min="1" max="1" width="2.42578125" customWidth="1"/>
    <col min="2" max="2" width="29.42578125" customWidth="1"/>
    <col min="3" max="3" width="10.85546875" customWidth="1"/>
    <col min="4" max="4" width="11.85546875" bestFit="1" customWidth="1"/>
  </cols>
  <sheetData>
    <row r="1" spans="1:5">
      <c r="A1" s="65"/>
      <c r="B1" s="65"/>
      <c r="C1" s="66" t="s">
        <v>61</v>
      </c>
      <c r="D1" s="66" t="s">
        <v>60</v>
      </c>
      <c r="E1" s="42"/>
    </row>
    <row r="2" spans="1:5">
      <c r="A2" s="269" t="s">
        <v>56</v>
      </c>
      <c r="B2" s="269"/>
      <c r="C2" s="269"/>
      <c r="D2" s="269"/>
      <c r="E2" s="42"/>
    </row>
    <row r="3" spans="1:5">
      <c r="A3" s="270"/>
      <c r="B3" s="270"/>
      <c r="C3" s="270"/>
      <c r="D3" s="270"/>
      <c r="E3" s="42"/>
    </row>
    <row r="4" spans="1:5">
      <c r="A4" s="42"/>
      <c r="B4" s="267" t="s">
        <v>57</v>
      </c>
      <c r="C4" s="268" t="s">
        <v>31</v>
      </c>
      <c r="D4" s="268"/>
      <c r="E4" s="42"/>
    </row>
    <row r="5" spans="1:5">
      <c r="A5" s="42"/>
      <c r="B5" s="267"/>
      <c r="C5" s="43" t="s">
        <v>48</v>
      </c>
      <c r="D5" s="43" t="s">
        <v>49</v>
      </c>
      <c r="E5" s="42"/>
    </row>
    <row r="6" spans="1:5">
      <c r="A6" s="44"/>
      <c r="B6" s="45" t="s">
        <v>50</v>
      </c>
      <c r="C6" s="46">
        <v>502</v>
      </c>
      <c r="D6" s="46">
        <v>250</v>
      </c>
      <c r="E6" s="44"/>
    </row>
    <row r="7" spans="1:5">
      <c r="A7" s="44"/>
      <c r="B7" s="45" t="s">
        <v>51</v>
      </c>
      <c r="C7" s="46">
        <f>C6/26*26/12</f>
        <v>41.833333333333336</v>
      </c>
      <c r="D7" s="46">
        <v>0</v>
      </c>
      <c r="E7" s="44"/>
    </row>
    <row r="8" spans="1:5">
      <c r="A8" s="44"/>
      <c r="B8" s="45" t="s">
        <v>52</v>
      </c>
      <c r="C8" s="46">
        <f>1004.5/26</f>
        <v>38.634615384615387</v>
      </c>
      <c r="D8" s="46">
        <v>0</v>
      </c>
      <c r="E8" s="44"/>
    </row>
    <row r="9" spans="1:5">
      <c r="A9" s="44"/>
      <c r="B9" s="45" t="s">
        <v>53</v>
      </c>
      <c r="C9" s="46">
        <f>162.5/26</f>
        <v>6.25</v>
      </c>
      <c r="D9" s="46">
        <v>0</v>
      </c>
      <c r="E9" s="44"/>
    </row>
    <row r="10" spans="1:5">
      <c r="A10" s="44"/>
      <c r="B10" s="45" t="s">
        <v>54</v>
      </c>
      <c r="C10" s="46">
        <f>100/26</f>
        <v>3.8461538461538463</v>
      </c>
      <c r="D10" s="46">
        <v>0</v>
      </c>
      <c r="E10" s="44"/>
    </row>
    <row r="11" spans="1:5">
      <c r="A11" s="44"/>
      <c r="B11" s="45" t="s">
        <v>55</v>
      </c>
      <c r="C11" s="46">
        <f>25+((SUM(C6:C10)+35)*2%)</f>
        <v>37.551282051282051</v>
      </c>
      <c r="D11" s="46">
        <f>25+12.06</f>
        <v>37.06</v>
      </c>
      <c r="E11" s="44"/>
    </row>
    <row r="12" spans="1:5" ht="15.75" thickBot="1">
      <c r="A12" s="44"/>
      <c r="B12" s="44"/>
      <c r="C12" s="47">
        <f>SUM(C6:C11)</f>
        <v>630.11538461538464</v>
      </c>
      <c r="D12" s="47">
        <f>SUM(D6:D11)</f>
        <v>287.06</v>
      </c>
      <c r="E12" s="44"/>
    </row>
    <row r="13" spans="1:5" ht="15.75" thickTop="1">
      <c r="A13" s="44"/>
      <c r="B13" s="44"/>
      <c r="C13" s="44"/>
      <c r="D13" s="44"/>
      <c r="E13" s="44"/>
    </row>
    <row r="14" spans="1:5">
      <c r="A14" s="44"/>
      <c r="B14" s="44"/>
      <c r="C14" s="44"/>
      <c r="D14" s="44"/>
      <c r="E14" s="44"/>
    </row>
    <row r="15" spans="1:5">
      <c r="A15" s="44"/>
      <c r="B15" s="44"/>
      <c r="C15" s="44"/>
      <c r="D15" s="44"/>
      <c r="E15" s="44"/>
    </row>
    <row r="16" spans="1:5">
      <c r="A16" s="44"/>
      <c r="B16" s="44"/>
      <c r="C16" s="44"/>
      <c r="D16" s="44"/>
      <c r="E16" s="44"/>
    </row>
  </sheetData>
  <sheetProtection password="CA83" sheet="1" objects="1" scenarios="1"/>
  <mergeCells count="3">
    <mergeCell ref="B4:B5"/>
    <mergeCell ref="C4:D4"/>
    <mergeCell ref="A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Timekeeping</vt:lpstr>
      <vt:lpstr>Coop Payroll</vt:lpstr>
      <vt:lpstr>Rates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2017-01-17T21:23:53Z</cp:lastPrinted>
  <dcterms:created xsi:type="dcterms:W3CDTF">2017-01-17T11:27:37Z</dcterms:created>
  <dcterms:modified xsi:type="dcterms:W3CDTF">2018-04-25T15:26:23Z</dcterms:modified>
</cp:coreProperties>
</file>