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5" yWindow="1440" windowWidth="12510" windowHeight="8760" tabRatio="687" activeTab="4"/>
  </bookViews>
  <sheets>
    <sheet name="2.26-3.10" sheetId="65" r:id="rId1"/>
    <sheet name="26-10 payroll" sheetId="20" r:id="rId2"/>
    <sheet name="26-10 payslip" sheetId="21" r:id="rId3"/>
    <sheet name="3.11-25" sheetId="66" r:id="rId4"/>
    <sheet name="11-25 payroll" sheetId="63" r:id="rId5"/>
    <sheet name="11-25 payslip" sheetId="64" r:id="rId6"/>
    <sheet name="Contribution" sheetId="5" r:id="rId7"/>
  </sheets>
  <externalReferences>
    <externalReference r:id="rId8"/>
  </externalReferences>
  <definedNames>
    <definedName name="_xlnm.Print_Area" localSheetId="4">'11-25 payroll'!$A$1:$Y$74</definedName>
    <definedName name="_xlnm.Print_Area" localSheetId="5">'11-25 payslip'!$J$35:$P$65</definedName>
    <definedName name="_xlnm.Print_Area" localSheetId="0">'2.26-3.10'!$A$1:$AB$304</definedName>
    <definedName name="_xlnm.Print_Area" localSheetId="1">'26-10 payroll'!$A$1:$Y$76</definedName>
    <definedName name="_xlnm.Print_Area" localSheetId="2">'26-10 payslip'!$J$35:$P$65</definedName>
    <definedName name="_xlnm.Print_Area" localSheetId="3">'3.11-25'!$A$1:$AB$334</definedName>
    <definedName name="_xlnm.Print_Area" localSheetId="6">Contribution!$A$11:$U$32</definedName>
    <definedName name="Z_2EF2580B_764A_44D6_8997_219DAE86C0B9_.wvu.Cols" localSheetId="5" hidden="1">'11-25 payslip'!$G:$G,'11-25 payslip'!$O:$O</definedName>
    <definedName name="Z_2EF2580B_764A_44D6_8997_219DAE86C0B9_.wvu.Cols" localSheetId="2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2" hidden="1">'26-10 payslip'!$A$1:$Q$165</definedName>
    <definedName name="Z_2EF2580B_764A_44D6_8997_219DAE86C0B9_.wvu.Rows" localSheetId="6" hidden="1">Contribution!$1:$10</definedName>
  </definedNames>
  <calcPr calcId="12451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J28" i="63"/>
  <c r="J27"/>
  <c r="F24"/>
  <c r="B27"/>
  <c r="K13"/>
  <c r="M12"/>
  <c r="K12"/>
  <c r="J12"/>
  <c r="D13"/>
  <c r="E13" s="1"/>
  <c r="D12"/>
  <c r="E12" s="1"/>
  <c r="I9" l="1"/>
  <c r="I162" i="66"/>
  <c r="I164" s="1"/>
  <c r="X333"/>
  <c r="W333"/>
  <c r="V333"/>
  <c r="U333"/>
  <c r="T333"/>
  <c r="S333"/>
  <c r="R333"/>
  <c r="Q333"/>
  <c r="P333"/>
  <c r="O333"/>
  <c r="M333"/>
  <c r="L333"/>
  <c r="K333"/>
  <c r="J333"/>
  <c r="I333"/>
  <c r="H333"/>
  <c r="N329"/>
  <c r="N333"/>
  <c r="W303"/>
  <c r="V303"/>
  <c r="U303"/>
  <c r="T303"/>
  <c r="S303"/>
  <c r="R303"/>
  <c r="E25" i="63"/>
  <c r="P38" s="1"/>
  <c r="Q303" i="66"/>
  <c r="P303"/>
  <c r="O303"/>
  <c r="M10" i="63"/>
  <c r="N303" i="66"/>
  <c r="L303"/>
  <c r="K303"/>
  <c r="J303"/>
  <c r="L10" i="63"/>
  <c r="I303" i="66"/>
  <c r="H303"/>
  <c r="M299"/>
  <c r="M303"/>
  <c r="X283"/>
  <c r="W283"/>
  <c r="V283"/>
  <c r="U283"/>
  <c r="T283"/>
  <c r="S283"/>
  <c r="R283"/>
  <c r="Q283"/>
  <c r="P283"/>
  <c r="O283"/>
  <c r="N283"/>
  <c r="L283"/>
  <c r="K283"/>
  <c r="J283"/>
  <c r="L8" i="63" s="1"/>
  <c r="I283" i="66"/>
  <c r="K8" i="63" s="1"/>
  <c r="H283" i="66"/>
  <c r="M275"/>
  <c r="M273"/>
  <c r="M283"/>
  <c r="X252"/>
  <c r="W252"/>
  <c r="V252"/>
  <c r="U252"/>
  <c r="T252"/>
  <c r="S252"/>
  <c r="R252"/>
  <c r="Q252"/>
  <c r="P252"/>
  <c r="O252"/>
  <c r="N252"/>
  <c r="L252"/>
  <c r="K252"/>
  <c r="J252"/>
  <c r="I252"/>
  <c r="H252"/>
  <c r="M250"/>
  <c r="M227"/>
  <c r="M252"/>
  <c r="X221"/>
  <c r="W221"/>
  <c r="V221"/>
  <c r="U221"/>
  <c r="T221"/>
  <c r="S221"/>
  <c r="R221"/>
  <c r="Q221"/>
  <c r="P221"/>
  <c r="O221"/>
  <c r="M221"/>
  <c r="L221"/>
  <c r="K221"/>
  <c r="J221"/>
  <c r="I221"/>
  <c r="H221"/>
  <c r="N219"/>
  <c r="N221"/>
  <c r="W191"/>
  <c r="V191"/>
  <c r="U191"/>
  <c r="T191"/>
  <c r="S191"/>
  <c r="R191"/>
  <c r="Q191"/>
  <c r="P191"/>
  <c r="O191"/>
  <c r="N191"/>
  <c r="L191"/>
  <c r="K191"/>
  <c r="J191"/>
  <c r="I191"/>
  <c r="H191"/>
  <c r="X186"/>
  <c r="X191" s="1"/>
  <c r="M186"/>
  <c r="M184"/>
  <c r="M183"/>
  <c r="M182"/>
  <c r="M191"/>
  <c r="X164"/>
  <c r="W164"/>
  <c r="V164"/>
  <c r="U164"/>
  <c r="T164"/>
  <c r="S164"/>
  <c r="R164"/>
  <c r="Q164"/>
  <c r="P164"/>
  <c r="O164"/>
  <c r="M9" i="63" s="1"/>
  <c r="L164" i="66"/>
  <c r="K164"/>
  <c r="J164"/>
  <c r="L9" i="63"/>
  <c r="H164" i="66"/>
  <c r="M158"/>
  <c r="N157"/>
  <c r="M151"/>
  <c r="N150"/>
  <c r="N164" s="1"/>
  <c r="M150"/>
  <c r="M164" s="1"/>
  <c r="X145"/>
  <c r="W145"/>
  <c r="V145"/>
  <c r="U145"/>
  <c r="T145"/>
  <c r="S145"/>
  <c r="R145"/>
  <c r="Q145"/>
  <c r="P145"/>
  <c r="O145"/>
  <c r="N145"/>
  <c r="L145"/>
  <c r="K145"/>
  <c r="J145"/>
  <c r="I145"/>
  <c r="H145"/>
  <c r="M131"/>
  <c r="M123"/>
  <c r="M145" s="1"/>
  <c r="W116"/>
  <c r="V116"/>
  <c r="U116"/>
  <c r="T116"/>
  <c r="S116"/>
  <c r="R116"/>
  <c r="Q116"/>
  <c r="P116"/>
  <c r="O116"/>
  <c r="M11" i="63"/>
  <c r="N116" i="66"/>
  <c r="L116"/>
  <c r="E77" i="64"/>
  <c r="K116" i="66"/>
  <c r="J116"/>
  <c r="I116"/>
  <c r="K11" i="63" s="1"/>
  <c r="H116" i="66"/>
  <c r="J11" i="63" s="1"/>
  <c r="X111" i="66"/>
  <c r="X299" s="1"/>
  <c r="X303" s="1"/>
  <c r="M111"/>
  <c r="M107"/>
  <c r="M99"/>
  <c r="M116"/>
  <c r="M93"/>
  <c r="X85"/>
  <c r="W85"/>
  <c r="V85"/>
  <c r="U85"/>
  <c r="T85"/>
  <c r="S85"/>
  <c r="R85"/>
  <c r="E22" i="63"/>
  <c r="P35" s="1"/>
  <c r="Q85" i="66"/>
  <c r="P85"/>
  <c r="O85"/>
  <c r="M7" i="63" s="1"/>
  <c r="N85" i="66"/>
  <c r="M85"/>
  <c r="L85"/>
  <c r="K85"/>
  <c r="J85"/>
  <c r="L7" i="63"/>
  <c r="I85" i="66"/>
  <c r="H85"/>
  <c r="X65"/>
  <c r="W65"/>
  <c r="V65"/>
  <c r="U65"/>
  <c r="T65"/>
  <c r="S65"/>
  <c r="R65"/>
  <c r="Q65"/>
  <c r="P65"/>
  <c r="O65"/>
  <c r="N65"/>
  <c r="L65"/>
  <c r="K65"/>
  <c r="J65"/>
  <c r="I65"/>
  <c r="H65"/>
  <c r="M62"/>
  <c r="M56"/>
  <c r="M51"/>
  <c r="M49"/>
  <c r="M47"/>
  <c r="M43"/>
  <c r="M65" s="1"/>
  <c r="X35"/>
  <c r="W35"/>
  <c r="V35"/>
  <c r="U35"/>
  <c r="T35"/>
  <c r="S35"/>
  <c r="R35"/>
  <c r="Q35"/>
  <c r="P35"/>
  <c r="O35"/>
  <c r="N35"/>
  <c r="L35"/>
  <c r="K35"/>
  <c r="J35"/>
  <c r="I35"/>
  <c r="H35"/>
  <c r="M33"/>
  <c r="M31"/>
  <c r="M29"/>
  <c r="M23"/>
  <c r="M13"/>
  <c r="M35" s="1"/>
  <c r="X304" i="65"/>
  <c r="W304"/>
  <c r="V304"/>
  <c r="U304"/>
  <c r="T304"/>
  <c r="S304"/>
  <c r="R304"/>
  <c r="Q304"/>
  <c r="P304"/>
  <c r="O304"/>
  <c r="N304"/>
  <c r="M304"/>
  <c r="L304"/>
  <c r="K304"/>
  <c r="J304"/>
  <c r="I304"/>
  <c r="H304"/>
  <c r="X276"/>
  <c r="W276"/>
  <c r="V276"/>
  <c r="U276"/>
  <c r="T276"/>
  <c r="S276"/>
  <c r="U10" i="20" s="1"/>
  <c r="V10" s="1"/>
  <c r="R276" i="65"/>
  <c r="E25" i="20" s="1"/>
  <c r="Q276" i="65"/>
  <c r="P276"/>
  <c r="O276"/>
  <c r="M10" i="20" s="1"/>
  <c r="P10" s="1"/>
  <c r="N276" i="65"/>
  <c r="L276"/>
  <c r="F10" i="20"/>
  <c r="M44" i="21" s="1"/>
  <c r="K276" i="65"/>
  <c r="J276"/>
  <c r="L10" i="20" s="1"/>
  <c r="I276" i="65"/>
  <c r="K10" i="20" s="1"/>
  <c r="H276" i="65"/>
  <c r="J10" i="20" s="1"/>
  <c r="M264" i="65"/>
  <c r="M276" s="1"/>
  <c r="G25" i="20" s="1"/>
  <c r="H25" s="1"/>
  <c r="X259" i="65"/>
  <c r="W259"/>
  <c r="V259"/>
  <c r="U259"/>
  <c r="T259"/>
  <c r="S259"/>
  <c r="U8" i="20" s="1"/>
  <c r="R259" i="65"/>
  <c r="E23" i="20" s="1"/>
  <c r="Q259" i="65"/>
  <c r="P259"/>
  <c r="O259"/>
  <c r="M8" i="20" s="1"/>
  <c r="N259" i="65"/>
  <c r="L259"/>
  <c r="F8" i="20"/>
  <c r="M11" i="21" s="1"/>
  <c r="K259" i="65"/>
  <c r="J259"/>
  <c r="L8" i="20" s="1"/>
  <c r="I259" i="65"/>
  <c r="K8" i="20" s="1"/>
  <c r="H259" i="65"/>
  <c r="J8" i="20" s="1"/>
  <c r="M254" i="65"/>
  <c r="M259" s="1"/>
  <c r="G23" i="20" s="1"/>
  <c r="X231" i="65"/>
  <c r="W231"/>
  <c r="V231"/>
  <c r="U231"/>
  <c r="T231"/>
  <c r="S231"/>
  <c r="R231"/>
  <c r="Q231"/>
  <c r="P231"/>
  <c r="O231"/>
  <c r="N231"/>
  <c r="L231"/>
  <c r="K231"/>
  <c r="J231"/>
  <c r="I231"/>
  <c r="H231"/>
  <c r="M226"/>
  <c r="M220"/>
  <c r="M216"/>
  <c r="M212"/>
  <c r="M208"/>
  <c r="M231"/>
  <c r="X203"/>
  <c r="W203"/>
  <c r="V203"/>
  <c r="U203"/>
  <c r="T203"/>
  <c r="S203"/>
  <c r="R203"/>
  <c r="Q203"/>
  <c r="P203"/>
  <c r="O203"/>
  <c r="N203"/>
  <c r="M203"/>
  <c r="L203"/>
  <c r="K203"/>
  <c r="J203"/>
  <c r="I203"/>
  <c r="H203"/>
  <c r="X176"/>
  <c r="W176"/>
  <c r="V176"/>
  <c r="U176"/>
  <c r="T176"/>
  <c r="S176"/>
  <c r="R176"/>
  <c r="Q176"/>
  <c r="P176"/>
  <c r="O176"/>
  <c r="N176"/>
  <c r="L176"/>
  <c r="K176"/>
  <c r="J176"/>
  <c r="I176"/>
  <c r="H176"/>
  <c r="M168"/>
  <c r="M166"/>
  <c r="M163"/>
  <c r="M155"/>
  <c r="M176" s="1"/>
  <c r="X149"/>
  <c r="W149"/>
  <c r="V149"/>
  <c r="U149"/>
  <c r="T149"/>
  <c r="S149"/>
  <c r="U9" i="20" s="1"/>
  <c r="V9" s="1"/>
  <c r="R149" i="65"/>
  <c r="E24" i="20" s="1"/>
  <c r="Q149" i="65"/>
  <c r="P149"/>
  <c r="O149"/>
  <c r="M9" i="20" s="1"/>
  <c r="P9" s="1"/>
  <c r="L149" i="65"/>
  <c r="F9" i="20" s="1"/>
  <c r="K149" i="65"/>
  <c r="J149"/>
  <c r="L9" i="20"/>
  <c r="I149" i="65"/>
  <c r="K9" i="20"/>
  <c r="H149" i="65"/>
  <c r="J9" i="20"/>
  <c r="N139" i="65"/>
  <c r="N149"/>
  <c r="M137"/>
  <c r="M149"/>
  <c r="G24" i="20" s="1"/>
  <c r="H24" s="1"/>
  <c r="X132" i="65"/>
  <c r="W132"/>
  <c r="V132"/>
  <c r="U132"/>
  <c r="T132"/>
  <c r="S132"/>
  <c r="R132"/>
  <c r="Q132"/>
  <c r="P132"/>
  <c r="O132"/>
  <c r="N132"/>
  <c r="L132"/>
  <c r="K132"/>
  <c r="J132"/>
  <c r="I132"/>
  <c r="H132"/>
  <c r="M122"/>
  <c r="M112"/>
  <c r="M132" s="1"/>
  <c r="X107"/>
  <c r="W107"/>
  <c r="V107"/>
  <c r="U107"/>
  <c r="T107"/>
  <c r="S107"/>
  <c r="U11" i="20" s="1"/>
  <c r="V11" s="1"/>
  <c r="R107" i="65"/>
  <c r="E26" i="20" s="1"/>
  <c r="F26" s="1"/>
  <c r="Q107" i="65"/>
  <c r="P107"/>
  <c r="O107"/>
  <c r="M11" i="20" s="1"/>
  <c r="P11" s="1"/>
  <c r="N107" i="65"/>
  <c r="L107"/>
  <c r="F11" i="20"/>
  <c r="K107" i="65"/>
  <c r="J107"/>
  <c r="L11" i="20" s="1"/>
  <c r="I107" i="65"/>
  <c r="K11" i="20" s="1"/>
  <c r="H107" i="65"/>
  <c r="J11" i="20" s="1"/>
  <c r="M86" i="65"/>
  <c r="M107" s="1"/>
  <c r="G26" i="20" s="1"/>
  <c r="X79" i="65"/>
  <c r="W79"/>
  <c r="V79"/>
  <c r="U79"/>
  <c r="T79"/>
  <c r="S79"/>
  <c r="U7" i="20"/>
  <c r="R79" i="65"/>
  <c r="E22" i="20"/>
  <c r="Q79" i="65"/>
  <c r="P79"/>
  <c r="O79"/>
  <c r="M7" i="20"/>
  <c r="N79" i="65"/>
  <c r="M79"/>
  <c r="L79"/>
  <c r="F7" i="20"/>
  <c r="E11" i="21" s="1"/>
  <c r="K79" i="65"/>
  <c r="J79"/>
  <c r="L7" i="20"/>
  <c r="I79" i="65"/>
  <c r="K7" i="20"/>
  <c r="H79" i="65"/>
  <c r="J7" i="20"/>
  <c r="X61" i="65"/>
  <c r="W61"/>
  <c r="V61"/>
  <c r="U61"/>
  <c r="T61"/>
  <c r="S61"/>
  <c r="R61"/>
  <c r="Q61"/>
  <c r="P61"/>
  <c r="O61"/>
  <c r="N61"/>
  <c r="L61"/>
  <c r="K61"/>
  <c r="J61"/>
  <c r="I61"/>
  <c r="H61"/>
  <c r="X60"/>
  <c r="X62" s="1"/>
  <c r="W60"/>
  <c r="W62" s="1"/>
  <c r="V60"/>
  <c r="V62" s="1"/>
  <c r="U60"/>
  <c r="U62" s="1"/>
  <c r="T60"/>
  <c r="T62" s="1"/>
  <c r="S60"/>
  <c r="S62" s="1"/>
  <c r="R60"/>
  <c r="R62" s="1"/>
  <c r="Q60"/>
  <c r="Q62" s="1"/>
  <c r="P60"/>
  <c r="P62" s="1"/>
  <c r="O60"/>
  <c r="O62" s="1"/>
  <c r="N60"/>
  <c r="N62" s="1"/>
  <c r="L60"/>
  <c r="L62" s="1"/>
  <c r="K60"/>
  <c r="K62" s="1"/>
  <c r="J60"/>
  <c r="J62" s="1"/>
  <c r="I60"/>
  <c r="I62" s="1"/>
  <c r="H60"/>
  <c r="H62" s="1"/>
  <c r="M58"/>
  <c r="M52"/>
  <c r="M50"/>
  <c r="M47"/>
  <c r="M45"/>
  <c r="M43"/>
  <c r="M61" s="1"/>
  <c r="M39"/>
  <c r="M60"/>
  <c r="M62" s="1"/>
  <c r="X33"/>
  <c r="W33"/>
  <c r="V33"/>
  <c r="U33"/>
  <c r="T33"/>
  <c r="S33"/>
  <c r="R33"/>
  <c r="Q33"/>
  <c r="P33"/>
  <c r="O33"/>
  <c r="N33"/>
  <c r="L33"/>
  <c r="K33"/>
  <c r="J33"/>
  <c r="I33"/>
  <c r="H33"/>
  <c r="M26"/>
  <c r="M16"/>
  <c r="M33"/>
  <c r="H60" i="20"/>
  <c r="F89" i="21"/>
  <c r="H58" i="20"/>
  <c r="H57"/>
  <c r="H56"/>
  <c r="H67" s="1"/>
  <c r="D11"/>
  <c r="D10"/>
  <c r="D9"/>
  <c r="D8"/>
  <c r="E8" s="1"/>
  <c r="D7"/>
  <c r="G7"/>
  <c r="H10" i="21" s="1"/>
  <c r="D11" i="63"/>
  <c r="D10"/>
  <c r="E10" s="1"/>
  <c r="D9"/>
  <c r="D8"/>
  <c r="D18" s="1"/>
  <c r="D7"/>
  <c r="M34" i="5"/>
  <c r="M36" s="1"/>
  <c r="M39"/>
  <c r="M38"/>
  <c r="M37"/>
  <c r="G58" i="20"/>
  <c r="G56"/>
  <c r="G67" s="1"/>
  <c r="N56" i="64"/>
  <c r="H58" i="63"/>
  <c r="F56" i="64" s="1"/>
  <c r="H56" i="63"/>
  <c r="N26" i="20"/>
  <c r="U22" i="5"/>
  <c r="N122" i="64"/>
  <c r="M60" i="63"/>
  <c r="K60"/>
  <c r="M59"/>
  <c r="M58"/>
  <c r="M57"/>
  <c r="K57"/>
  <c r="M56"/>
  <c r="L60" i="20"/>
  <c r="J60"/>
  <c r="L59"/>
  <c r="L58"/>
  <c r="L57"/>
  <c r="J57"/>
  <c r="L56"/>
  <c r="K22" i="63"/>
  <c r="K33" s="1"/>
  <c r="N23" i="64"/>
  <c r="N27"/>
  <c r="A14" i="5"/>
  <c r="A15"/>
  <c r="T18"/>
  <c r="S19"/>
  <c r="T19"/>
  <c r="U19"/>
  <c r="R20"/>
  <c r="T20"/>
  <c r="T21"/>
  <c r="U21"/>
  <c r="A22"/>
  <c r="R22"/>
  <c r="S22"/>
  <c r="T22"/>
  <c r="A23"/>
  <c r="R23"/>
  <c r="S23"/>
  <c r="T23"/>
  <c r="U23"/>
  <c r="U29" s="1"/>
  <c r="A24"/>
  <c r="R24"/>
  <c r="S24"/>
  <c r="T24"/>
  <c r="U24"/>
  <c r="A25"/>
  <c r="R25"/>
  <c r="S25"/>
  <c r="T25"/>
  <c r="U25"/>
  <c r="A26"/>
  <c r="R26"/>
  <c r="S26"/>
  <c r="T26"/>
  <c r="U26"/>
  <c r="A27"/>
  <c r="R27"/>
  <c r="S27"/>
  <c r="T27"/>
  <c r="U27"/>
  <c r="A34"/>
  <c r="C36"/>
  <c r="D36"/>
  <c r="E36"/>
  <c r="F36"/>
  <c r="A37"/>
  <c r="G37"/>
  <c r="A38"/>
  <c r="G38"/>
  <c r="O38"/>
  <c r="A39"/>
  <c r="G39"/>
  <c r="G41" s="1"/>
  <c r="C41"/>
  <c r="D41"/>
  <c r="D44" s="1"/>
  <c r="E41"/>
  <c r="E44" s="1"/>
  <c r="F41"/>
  <c r="B2" i="64"/>
  <c r="J2"/>
  <c r="D9"/>
  <c r="L9"/>
  <c r="F24"/>
  <c r="N24"/>
  <c r="N26"/>
  <c r="F27"/>
  <c r="B35"/>
  <c r="J35"/>
  <c r="D42"/>
  <c r="L42"/>
  <c r="F53"/>
  <c r="F57"/>
  <c r="N57"/>
  <c r="F59"/>
  <c r="N59"/>
  <c r="F60"/>
  <c r="N60"/>
  <c r="B68"/>
  <c r="J68"/>
  <c r="D73"/>
  <c r="L73"/>
  <c r="D75"/>
  <c r="L75"/>
  <c r="M77"/>
  <c r="F86"/>
  <c r="N86"/>
  <c r="F89"/>
  <c r="N89"/>
  <c r="F90"/>
  <c r="N90"/>
  <c r="F92"/>
  <c r="N92"/>
  <c r="F93"/>
  <c r="N93"/>
  <c r="B101"/>
  <c r="J101"/>
  <c r="D106"/>
  <c r="D108"/>
  <c r="L108"/>
  <c r="E110"/>
  <c r="M110"/>
  <c r="F119"/>
  <c r="N119"/>
  <c r="F122"/>
  <c r="F123"/>
  <c r="N123"/>
  <c r="F125"/>
  <c r="N125"/>
  <c r="F126"/>
  <c r="N126"/>
  <c r="B134"/>
  <c r="J134"/>
  <c r="D139"/>
  <c r="L139"/>
  <c r="L140"/>
  <c r="D141"/>
  <c r="L141"/>
  <c r="L142"/>
  <c r="P142"/>
  <c r="E143"/>
  <c r="M143"/>
  <c r="N145"/>
  <c r="N146"/>
  <c r="N147"/>
  <c r="N148"/>
  <c r="N149"/>
  <c r="N151"/>
  <c r="F152"/>
  <c r="N152"/>
  <c r="N153"/>
  <c r="N154"/>
  <c r="F155"/>
  <c r="N155"/>
  <c r="F156"/>
  <c r="N156"/>
  <c r="N157"/>
  <c r="F158"/>
  <c r="N158"/>
  <c r="F159"/>
  <c r="N159"/>
  <c r="D2" i="63"/>
  <c r="J3" i="64" s="1"/>
  <c r="B7" i="63"/>
  <c r="A18" i="5" s="1"/>
  <c r="C7" i="63"/>
  <c r="C22" s="1"/>
  <c r="C56" s="1"/>
  <c r="L7" i="64"/>
  <c r="C23" i="63"/>
  <c r="C57" s="1"/>
  <c r="B9"/>
  <c r="A20" i="5" s="1"/>
  <c r="C9" i="63"/>
  <c r="C24" s="1"/>
  <c r="C58" s="1"/>
  <c r="I18"/>
  <c r="B10"/>
  <c r="A21" i="5" s="1"/>
  <c r="C25" i="63"/>
  <c r="C59" s="1"/>
  <c r="E11"/>
  <c r="P11" s="1"/>
  <c r="F79" i="64" s="1"/>
  <c r="G11" i="63"/>
  <c r="H76" i="64" s="1"/>
  <c r="H27" i="63"/>
  <c r="G12"/>
  <c r="P76" i="64" s="1"/>
  <c r="H12" i="63"/>
  <c r="P13"/>
  <c r="G13"/>
  <c r="H13"/>
  <c r="F113" i="64" s="1"/>
  <c r="E14" i="63"/>
  <c r="H29" s="1"/>
  <c r="G14"/>
  <c r="H14"/>
  <c r="N113" i="64" s="1"/>
  <c r="E15" i="63"/>
  <c r="P15" s="1"/>
  <c r="F145" i="64" s="1"/>
  <c r="G15" i="63"/>
  <c r="H142" i="64" s="1"/>
  <c r="H15" i="63"/>
  <c r="E16"/>
  <c r="V16" s="1"/>
  <c r="G16"/>
  <c r="H16"/>
  <c r="X17"/>
  <c r="R21"/>
  <c r="F26" i="64"/>
  <c r="R19" i="5"/>
  <c r="B26" i="63"/>
  <c r="B60" s="1"/>
  <c r="C26"/>
  <c r="C60" s="1"/>
  <c r="B61"/>
  <c r="C27"/>
  <c r="C61" s="1"/>
  <c r="B28"/>
  <c r="B62" s="1"/>
  <c r="C28"/>
  <c r="C62" s="1"/>
  <c r="B29"/>
  <c r="L106" i="64" s="1"/>
  <c r="C29" i="63"/>
  <c r="C63" s="1"/>
  <c r="B30"/>
  <c r="M43" s="1"/>
  <c r="C30"/>
  <c r="C64" s="1"/>
  <c r="B31"/>
  <c r="M44" s="1"/>
  <c r="C31"/>
  <c r="C65" s="1"/>
  <c r="E67"/>
  <c r="F67"/>
  <c r="G67"/>
  <c r="O35"/>
  <c r="K56" s="1"/>
  <c r="O37"/>
  <c r="K58" s="1"/>
  <c r="O38"/>
  <c r="K59" s="1"/>
  <c r="B2" i="21"/>
  <c r="J2"/>
  <c r="B3"/>
  <c r="J3"/>
  <c r="D7"/>
  <c r="L7"/>
  <c r="D9"/>
  <c r="L9"/>
  <c r="F19"/>
  <c r="N19"/>
  <c r="F20"/>
  <c r="N20"/>
  <c r="F21"/>
  <c r="N21"/>
  <c r="F22"/>
  <c r="N22"/>
  <c r="F23"/>
  <c r="F24"/>
  <c r="N24"/>
  <c r="N26"/>
  <c r="B35"/>
  <c r="J35"/>
  <c r="B36"/>
  <c r="J36"/>
  <c r="L40"/>
  <c r="D42"/>
  <c r="L42"/>
  <c r="F52"/>
  <c r="N52"/>
  <c r="F53"/>
  <c r="F54"/>
  <c r="N54"/>
  <c r="F55"/>
  <c r="N55"/>
  <c r="F57"/>
  <c r="N57"/>
  <c r="N59"/>
  <c r="B68"/>
  <c r="J68"/>
  <c r="B69"/>
  <c r="J69"/>
  <c r="D73"/>
  <c r="L73"/>
  <c r="D75"/>
  <c r="L75"/>
  <c r="M77"/>
  <c r="F85"/>
  <c r="N85"/>
  <c r="F86"/>
  <c r="N86"/>
  <c r="F87"/>
  <c r="N87"/>
  <c r="F88"/>
  <c r="N88"/>
  <c r="N89"/>
  <c r="F90"/>
  <c r="N90"/>
  <c r="F92"/>
  <c r="N92"/>
  <c r="B101"/>
  <c r="J101"/>
  <c r="B102"/>
  <c r="J102"/>
  <c r="D106"/>
  <c r="D108"/>
  <c r="L108"/>
  <c r="E110"/>
  <c r="M110"/>
  <c r="F118"/>
  <c r="N118"/>
  <c r="F119"/>
  <c r="N119"/>
  <c r="F120"/>
  <c r="N120"/>
  <c r="F121"/>
  <c r="N121"/>
  <c r="F122"/>
  <c r="N122"/>
  <c r="F123"/>
  <c r="N123"/>
  <c r="F125"/>
  <c r="N125"/>
  <c r="B134"/>
  <c r="J134"/>
  <c r="B135"/>
  <c r="J135"/>
  <c r="D139"/>
  <c r="L139"/>
  <c r="L140"/>
  <c r="D141"/>
  <c r="L141"/>
  <c r="L142"/>
  <c r="P142"/>
  <c r="E143"/>
  <c r="M143"/>
  <c r="N145"/>
  <c r="N146"/>
  <c r="N147"/>
  <c r="N148"/>
  <c r="N149"/>
  <c r="F151"/>
  <c r="N151"/>
  <c r="F152"/>
  <c r="N152"/>
  <c r="F153"/>
  <c r="N153"/>
  <c r="F154"/>
  <c r="N154"/>
  <c r="F155"/>
  <c r="N155"/>
  <c r="F156"/>
  <c r="N156"/>
  <c r="N157"/>
  <c r="F158"/>
  <c r="N158"/>
  <c r="N159"/>
  <c r="E7" i="20"/>
  <c r="P7"/>
  <c r="I9"/>
  <c r="I18"/>
  <c r="E12"/>
  <c r="L74" i="21"/>
  <c r="T12" i="20"/>
  <c r="N82" i="21"/>
  <c r="G12" i="20"/>
  <c r="P76" i="21"/>
  <c r="H12" i="20"/>
  <c r="E13"/>
  <c r="P13" s="1"/>
  <c r="G13"/>
  <c r="H13"/>
  <c r="F113" i="21"/>
  <c r="E14" i="20"/>
  <c r="F29"/>
  <c r="N124" i="21" s="1"/>
  <c r="G14" i="20"/>
  <c r="P109" i="21" s="1"/>
  <c r="H14" i="20"/>
  <c r="N113" i="21" s="1"/>
  <c r="E15" i="20"/>
  <c r="H30" s="1"/>
  <c r="R30" s="1"/>
  <c r="G26" i="5" s="1"/>
  <c r="G15" i="20"/>
  <c r="H142" i="21" s="1"/>
  <c r="H15" i="20"/>
  <c r="E16"/>
  <c r="T16"/>
  <c r="G16"/>
  <c r="H16"/>
  <c r="X17"/>
  <c r="R21"/>
  <c r="B22"/>
  <c r="C22"/>
  <c r="C56" s="1"/>
  <c r="B23"/>
  <c r="M36" s="1"/>
  <c r="C23"/>
  <c r="C57" s="1"/>
  <c r="B24"/>
  <c r="C24"/>
  <c r="C58"/>
  <c r="F59" i="21"/>
  <c r="B25" i="20"/>
  <c r="M38" s="1"/>
  <c r="C25"/>
  <c r="C59" s="1"/>
  <c r="K33"/>
  <c r="B26"/>
  <c r="B60"/>
  <c r="M39"/>
  <c r="C26"/>
  <c r="C60" s="1"/>
  <c r="B27"/>
  <c r="M40" s="1"/>
  <c r="C27"/>
  <c r="C61" s="1"/>
  <c r="B28"/>
  <c r="M41" s="1"/>
  <c r="C28"/>
  <c r="C62" s="1"/>
  <c r="B29"/>
  <c r="M42" s="1"/>
  <c r="C29"/>
  <c r="C63" s="1"/>
  <c r="B30"/>
  <c r="B64" s="1"/>
  <c r="C30"/>
  <c r="C64" s="1"/>
  <c r="B31"/>
  <c r="B65" s="1"/>
  <c r="C31"/>
  <c r="C65" s="1"/>
  <c r="D67"/>
  <c r="J33"/>
  <c r="L33"/>
  <c r="O33"/>
  <c r="E67"/>
  <c r="F67"/>
  <c r="O35"/>
  <c r="J56" s="1"/>
  <c r="O37"/>
  <c r="J58" s="1"/>
  <c r="O38"/>
  <c r="J59" s="1"/>
  <c r="A19" i="5"/>
  <c r="N20" i="64"/>
  <c r="B23" i="63"/>
  <c r="B57" s="1"/>
  <c r="M33"/>
  <c r="U20" i="5"/>
  <c r="N53" i="21"/>
  <c r="N33" i="20"/>
  <c r="F26" i="21"/>
  <c r="U18" i="5"/>
  <c r="N33" i="63"/>
  <c r="O37" i="5"/>
  <c r="N23" i="21"/>
  <c r="I67" i="63"/>
  <c r="F28"/>
  <c r="D74" i="64"/>
  <c r="R21" i="5"/>
  <c r="N53" i="64"/>
  <c r="L107" i="21"/>
  <c r="F146" i="64"/>
  <c r="R11" i="63"/>
  <c r="F81" i="64" s="1"/>
  <c r="G34" i="5"/>
  <c r="G36" s="1"/>
  <c r="T14" i="63"/>
  <c r="N115" i="64" s="1"/>
  <c r="V13" i="63"/>
  <c r="F116" i="64" s="1"/>
  <c r="H28" i="63"/>
  <c r="L74" i="64"/>
  <c r="G8" i="63"/>
  <c r="B38" i="5" s="1"/>
  <c r="R16" i="20"/>
  <c r="H31"/>
  <c r="H29"/>
  <c r="G9" i="63"/>
  <c r="H43" i="64" s="1"/>
  <c r="E9" i="63"/>
  <c r="D41" i="64" s="1"/>
  <c r="B69"/>
  <c r="J102"/>
  <c r="F28" i="20"/>
  <c r="A37"/>
  <c r="R14" i="63"/>
  <c r="N114" i="64" s="1"/>
  <c r="F29" i="63"/>
  <c r="E7"/>
  <c r="V7" s="1"/>
  <c r="G7"/>
  <c r="B36" i="64"/>
  <c r="M39" i="63"/>
  <c r="B25"/>
  <c r="A37" s="1"/>
  <c r="B22"/>
  <c r="M35" s="1"/>
  <c r="E10" i="20"/>
  <c r="N80" i="21"/>
  <c r="N80" i="64"/>
  <c r="G11" i="20"/>
  <c r="H76" i="21"/>
  <c r="E11" i="20"/>
  <c r="G8"/>
  <c r="P10" i="21" s="1"/>
  <c r="H27" i="20"/>
  <c r="F27"/>
  <c r="P12"/>
  <c r="N79" i="21" s="1"/>
  <c r="V12" i="20"/>
  <c r="N83" i="21" s="1"/>
  <c r="B63" i="63"/>
  <c r="J69" i="64"/>
  <c r="J36"/>
  <c r="A11" i="5"/>
  <c r="G10" i="63"/>
  <c r="P43" i="64" s="1"/>
  <c r="F27" i="63"/>
  <c r="R12"/>
  <c r="N81" i="64" s="1"/>
  <c r="V12" i="63"/>
  <c r="N83" i="64" s="1"/>
  <c r="T12" i="63"/>
  <c r="N82" i="64" s="1"/>
  <c r="P12" i="63"/>
  <c r="N79" i="64" s="1"/>
  <c r="N56" i="21"/>
  <c r="S21" i="5"/>
  <c r="M43" i="20"/>
  <c r="D8" i="21"/>
  <c r="R13" i="20"/>
  <c r="F114" i="21" s="1"/>
  <c r="T13" i="20"/>
  <c r="F115" i="21" s="1"/>
  <c r="H28" i="20"/>
  <c r="F124" i="21" s="1"/>
  <c r="F20" i="64"/>
  <c r="R18" i="5"/>
  <c r="D107" i="21"/>
  <c r="B59" i="20"/>
  <c r="T7"/>
  <c r="F16" i="21" s="1"/>
  <c r="B3" i="64"/>
  <c r="J135"/>
  <c r="B102"/>
  <c r="B135"/>
  <c r="H10"/>
  <c r="F146" i="21"/>
  <c r="T10" i="20"/>
  <c r="L41" i="21"/>
  <c r="R10" i="20"/>
  <c r="G10"/>
  <c r="P43" i="21" s="1"/>
  <c r="B62" i="20"/>
  <c r="V15"/>
  <c r="F149" i="21"/>
  <c r="L106"/>
  <c r="B63" i="20"/>
  <c r="F23" i="64"/>
  <c r="S18" i="5"/>
  <c r="S29" s="1"/>
  <c r="D140" i="21"/>
  <c r="V14" i="20"/>
  <c r="N116" i="21"/>
  <c r="R14" i="20"/>
  <c r="N114" i="21"/>
  <c r="P14" i="20"/>
  <c r="S20" i="5"/>
  <c r="F56" i="21"/>
  <c r="F30" i="20"/>
  <c r="P15"/>
  <c r="Q27" i="5"/>
  <c r="N88" i="64"/>
  <c r="Q23" i="5"/>
  <c r="Q24"/>
  <c r="F121" i="64"/>
  <c r="F154"/>
  <c r="Q26" i="5"/>
  <c r="Q22"/>
  <c r="Q25"/>
  <c r="N121" i="64"/>
  <c r="F88"/>
  <c r="Q21" i="5"/>
  <c r="N55" i="64"/>
  <c r="N22"/>
  <c r="Q19" i="5"/>
  <c r="Q18"/>
  <c r="F22" i="64"/>
  <c r="F55"/>
  <c r="Q20" i="5"/>
  <c r="O33" i="63"/>
  <c r="N91" i="21"/>
  <c r="D74"/>
  <c r="R11" i="20"/>
  <c r="F81" i="21" s="1"/>
  <c r="V13" i="20"/>
  <c r="F116" i="21" s="1"/>
  <c r="P16" i="20"/>
  <c r="R12"/>
  <c r="C44" i="5"/>
  <c r="B37"/>
  <c r="N112" i="21"/>
  <c r="F13"/>
  <c r="O34" i="5"/>
  <c r="O36" s="1"/>
  <c r="I33" i="20"/>
  <c r="N49" i="21"/>
  <c r="R7" i="20"/>
  <c r="F15" i="21"/>
  <c r="T11" i="20"/>
  <c r="F82" i="21"/>
  <c r="F26" i="63"/>
  <c r="L60"/>
  <c r="R9"/>
  <c r="P10" i="64"/>
  <c r="B61" i="20"/>
  <c r="R15"/>
  <c r="B57"/>
  <c r="F31"/>
  <c r="V16"/>
  <c r="X16"/>
  <c r="D31" s="1"/>
  <c r="T15"/>
  <c r="F148" i="21" s="1"/>
  <c r="H109"/>
  <c r="V7" i="20"/>
  <c r="T14"/>
  <c r="R29" s="1"/>
  <c r="G25" i="5" s="1"/>
  <c r="F48" i="64"/>
  <c r="K60" i="20"/>
  <c r="G22"/>
  <c r="H22" s="1"/>
  <c r="F147" i="21"/>
  <c r="P35" i="20"/>
  <c r="N48" i="21"/>
  <c r="X116" i="66"/>
  <c r="L27" i="5"/>
  <c r="M31" i="20"/>
  <c r="J31" i="63"/>
  <c r="J27" i="5" s="1"/>
  <c r="K27"/>
  <c r="L26"/>
  <c r="M30" i="20"/>
  <c r="O26" i="5" s="1"/>
  <c r="P26" s="1"/>
  <c r="O27"/>
  <c r="P27" s="1"/>
  <c r="L23"/>
  <c r="J23"/>
  <c r="K23"/>
  <c r="M27" i="20"/>
  <c r="O23" i="5" s="1"/>
  <c r="P23" s="1"/>
  <c r="H26" i="63"/>
  <c r="F91" i="64" s="1"/>
  <c r="N93" i="21"/>
  <c r="P93" s="1"/>
  <c r="F159"/>
  <c r="J30" i="63"/>
  <c r="F151" i="64" s="1"/>
  <c r="K26" i="5"/>
  <c r="N81" i="21"/>
  <c r="E77"/>
  <c r="B59" i="63"/>
  <c r="M44" i="20"/>
  <c r="L25" i="5"/>
  <c r="M29" i="20"/>
  <c r="K25" i="5"/>
  <c r="M28" i="20"/>
  <c r="K24" i="5"/>
  <c r="L24"/>
  <c r="M23" i="20"/>
  <c r="N27" i="21" s="1"/>
  <c r="K21" i="5"/>
  <c r="L21"/>
  <c r="J25" i="63"/>
  <c r="J21" i="5" s="1"/>
  <c r="K22"/>
  <c r="L22"/>
  <c r="J26" i="63"/>
  <c r="F85" i="64" s="1"/>
  <c r="K19" i="5"/>
  <c r="L19"/>
  <c r="J23" i="63"/>
  <c r="N19" i="64" s="1"/>
  <c r="J22" i="5"/>
  <c r="J29" i="63"/>
  <c r="N118" i="64" s="1"/>
  <c r="O19" i="5"/>
  <c r="P19" s="1"/>
  <c r="F126" i="21"/>
  <c r="O24" i="5"/>
  <c r="P24" s="1"/>
  <c r="J24"/>
  <c r="O25"/>
  <c r="P25" s="1"/>
  <c r="N126" i="21"/>
  <c r="M25" i="20"/>
  <c r="M26"/>
  <c r="F118" i="64"/>
  <c r="L18" i="5"/>
  <c r="J22" i="63"/>
  <c r="F19" i="64" s="1"/>
  <c r="K18" i="5"/>
  <c r="M22" i="20"/>
  <c r="O18" i="5" s="1"/>
  <c r="K20"/>
  <c r="L20"/>
  <c r="J24" i="63"/>
  <c r="J20" i="5" s="1"/>
  <c r="O22"/>
  <c r="P22" s="1"/>
  <c r="F93" i="21"/>
  <c r="N60"/>
  <c r="O21" i="5"/>
  <c r="P21" s="1"/>
  <c r="J18"/>
  <c r="F52" i="64"/>
  <c r="M24" i="20"/>
  <c r="F60" i="21" s="1"/>
  <c r="O20" i="5"/>
  <c r="P20" s="1"/>
  <c r="H109" i="64"/>
  <c r="M11"/>
  <c r="F27" i="21"/>
  <c r="X14" i="20"/>
  <c r="D29"/>
  <c r="N115" i="21"/>
  <c r="R31" i="20"/>
  <c r="G27" i="5" s="1"/>
  <c r="R29"/>
  <c r="J26"/>
  <c r="K56" i="20"/>
  <c r="F17" i="21"/>
  <c r="R27" i="20"/>
  <c r="G23" i="5"/>
  <c r="X12" i="20"/>
  <c r="D27"/>
  <c r="F145" i="21"/>
  <c r="X15" i="20"/>
  <c r="D30" s="1"/>
  <c r="M37"/>
  <c r="D40" i="21"/>
  <c r="B58" i="20"/>
  <c r="D37"/>
  <c r="P109" i="64"/>
  <c r="T29" i="5"/>
  <c r="P149" i="21"/>
  <c r="H31" i="63"/>
  <c r="R16"/>
  <c r="P16"/>
  <c r="D140" i="64"/>
  <c r="H30" i="63"/>
  <c r="R15"/>
  <c r="F147" i="64" s="1"/>
  <c r="B24" i="63"/>
  <c r="M37" s="1"/>
  <c r="F44" i="5"/>
  <c r="D18" i="20"/>
  <c r="G9"/>
  <c r="E9"/>
  <c r="B56"/>
  <c r="M35"/>
  <c r="E8" i="63"/>
  <c r="L8" i="64" s="1"/>
  <c r="P159" i="21"/>
  <c r="B34" i="5"/>
  <c r="G18" i="20"/>
  <c r="H43" i="21"/>
  <c r="I61" i="20"/>
  <c r="N61" s="1"/>
  <c r="P27"/>
  <c r="S40" s="1"/>
  <c r="I63"/>
  <c r="P29"/>
  <c r="S42" s="1"/>
  <c r="T9"/>
  <c r="R9"/>
  <c r="D41" i="21"/>
  <c r="J34" i="5"/>
  <c r="J36" s="1"/>
  <c r="F48" i="21"/>
  <c r="B36" i="5"/>
  <c r="F49" i="21"/>
  <c r="X12" i="63" l="1"/>
  <c r="D27" s="1"/>
  <c r="M41"/>
  <c r="R10"/>
  <c r="L41" i="64"/>
  <c r="P10" i="63"/>
  <c r="N46" i="64" s="1"/>
  <c r="H25" i="63"/>
  <c r="N58" i="64" s="1"/>
  <c r="E18" i="63"/>
  <c r="T8"/>
  <c r="N16" i="64" s="1"/>
  <c r="D37" i="63"/>
  <c r="F30"/>
  <c r="F157" i="64" s="1"/>
  <c r="V15" i="63"/>
  <c r="F149" i="64" s="1"/>
  <c r="T15" i="63"/>
  <c r="F148" i="64" s="1"/>
  <c r="J25" i="5"/>
  <c r="N52" i="64"/>
  <c r="M36" i="63"/>
  <c r="H67"/>
  <c r="F25"/>
  <c r="D7" i="64"/>
  <c r="V14" i="63"/>
  <c r="N116" i="64" s="1"/>
  <c r="L107"/>
  <c r="R13" i="63"/>
  <c r="F114" i="64" s="1"/>
  <c r="P14" i="63"/>
  <c r="T13"/>
  <c r="F115" i="64" s="1"/>
  <c r="D107"/>
  <c r="R27" i="63"/>
  <c r="H23" i="5" s="1"/>
  <c r="I23" s="1"/>
  <c r="P27" i="63" s="1"/>
  <c r="N124" i="64"/>
  <c r="Q29" i="5"/>
  <c r="L54" s="1"/>
  <c r="L56" s="1"/>
  <c r="R8" i="63"/>
  <c r="N15" i="64" s="1"/>
  <c r="B58" i="63"/>
  <c r="R30"/>
  <c r="H26" i="5" s="1"/>
  <c r="J33" i="63"/>
  <c r="G18"/>
  <c r="J19" i="5"/>
  <c r="J29" s="1"/>
  <c r="M38" i="63"/>
  <c r="H22"/>
  <c r="F25" i="64" s="1"/>
  <c r="B39" i="5"/>
  <c r="B41" s="1"/>
  <c r="B44" s="1"/>
  <c r="B56" i="63"/>
  <c r="L40" i="64"/>
  <c r="B65" i="63"/>
  <c r="B64"/>
  <c r="F124" i="64"/>
  <c r="F31" i="63"/>
  <c r="N91" i="64"/>
  <c r="P7" i="63"/>
  <c r="F13" i="64" s="1"/>
  <c r="P9" i="63"/>
  <c r="F46" i="64" s="1"/>
  <c r="V9" i="63"/>
  <c r="H23"/>
  <c r="P83" i="64"/>
  <c r="D8"/>
  <c r="T9" i="63"/>
  <c r="T10"/>
  <c r="V10"/>
  <c r="L39" i="5" s="1"/>
  <c r="M42" i="63"/>
  <c r="T7"/>
  <c r="T16"/>
  <c r="M40"/>
  <c r="H24"/>
  <c r="P8"/>
  <c r="N13" i="64" s="1"/>
  <c r="V8" i="63"/>
  <c r="H149" i="64"/>
  <c r="P160" i="21"/>
  <c r="L37" i="5"/>
  <c r="H8" i="20"/>
  <c r="H10"/>
  <c r="H8" i="63"/>
  <c r="N14" i="64" s="1"/>
  <c r="D40"/>
  <c r="I64" i="20"/>
  <c r="P30"/>
  <c r="S43" s="1"/>
  <c r="P18" i="5"/>
  <c r="P29" s="1"/>
  <c r="O31" s="1"/>
  <c r="O29"/>
  <c r="I65" i="20"/>
  <c r="P31"/>
  <c r="S44" s="1"/>
  <c r="N48" i="64"/>
  <c r="J39" i="5"/>
  <c r="X13" i="20"/>
  <c r="D28" s="1"/>
  <c r="F112" i="21"/>
  <c r="H116" s="1"/>
  <c r="R28" i="20"/>
  <c r="G24" i="5" s="1"/>
  <c r="L8" i="21"/>
  <c r="T8" i="20"/>
  <c r="R8"/>
  <c r="H23"/>
  <c r="P8"/>
  <c r="V8"/>
  <c r="E18"/>
  <c r="P18"/>
  <c r="F23"/>
  <c r="E33"/>
  <c r="P36"/>
  <c r="K57" s="1"/>
  <c r="P38"/>
  <c r="N50" i="21" s="1"/>
  <c r="F25" i="20"/>
  <c r="N58" i="21" s="1"/>
  <c r="P60" s="1"/>
  <c r="E11" i="64"/>
  <c r="H7" i="63"/>
  <c r="F14" i="64" s="1"/>
  <c r="O39" i="5"/>
  <c r="O41" s="1"/>
  <c r="O44" s="1"/>
  <c r="I33" i="63"/>
  <c r="H9"/>
  <c r="F47" i="64" s="1"/>
  <c r="E44"/>
  <c r="L58" i="63"/>
  <c r="P36"/>
  <c r="P38" i="5" s="1"/>
  <c r="E33" i="63"/>
  <c r="F23"/>
  <c r="N25" i="64" s="1"/>
  <c r="H10" i="63"/>
  <c r="M44" i="64"/>
  <c r="F112"/>
  <c r="H116" s="1"/>
  <c r="E44" i="21"/>
  <c r="H9" i="20"/>
  <c r="P37"/>
  <c r="F50" i="21" s="1"/>
  <c r="F24" i="20"/>
  <c r="I39" i="5"/>
  <c r="N46" i="21"/>
  <c r="I26" i="5"/>
  <c r="L30" i="63" s="1"/>
  <c r="F157" i="21"/>
  <c r="H159" s="1"/>
  <c r="P83"/>
  <c r="P94" s="1"/>
  <c r="V94" s="1"/>
  <c r="H26" i="20"/>
  <c r="H11"/>
  <c r="F80" i="21" s="1"/>
  <c r="F91"/>
  <c r="V160"/>
  <c r="H149"/>
  <c r="P116"/>
  <c r="M33" i="20"/>
  <c r="P126" i="21"/>
  <c r="H126"/>
  <c r="H127" s="1"/>
  <c r="K29" i="5"/>
  <c r="N85" i="64"/>
  <c r="R7" i="63"/>
  <c r="H93" i="21"/>
  <c r="F22" i="20"/>
  <c r="F25" i="21" s="1"/>
  <c r="H27" s="1"/>
  <c r="V11" i="63"/>
  <c r="F83" i="64" s="1"/>
  <c r="L29" i="5"/>
  <c r="T11" i="63"/>
  <c r="P159" i="64"/>
  <c r="P149"/>
  <c r="M41" i="5"/>
  <c r="M44" s="1"/>
  <c r="H7" i="20"/>
  <c r="R22" s="1"/>
  <c r="G18" i="5" s="1"/>
  <c r="F22" i="63"/>
  <c r="N37" i="5" s="1"/>
  <c r="L56" i="63"/>
  <c r="P37" i="5"/>
  <c r="F17" i="64"/>
  <c r="R26" i="20"/>
  <c r="G22" i="5" s="1"/>
  <c r="F79" i="21"/>
  <c r="X11" i="20"/>
  <c r="D26" s="1"/>
  <c r="F83" i="21"/>
  <c r="V18" i="20"/>
  <c r="R23"/>
  <c r="G19" i="5" s="1"/>
  <c r="N14" i="21"/>
  <c r="N47"/>
  <c r="P50" s="1"/>
  <c r="X10" i="20"/>
  <c r="D25" s="1"/>
  <c r="P18" i="63"/>
  <c r="L34" i="5"/>
  <c r="L36" s="1"/>
  <c r="P39"/>
  <c r="L59" i="63"/>
  <c r="F46" i="21"/>
  <c r="Q31" i="5"/>
  <c r="K59" i="20"/>
  <c r="H11" i="63"/>
  <c r="H34" i="5" l="1"/>
  <c r="N87" i="64"/>
  <c r="P93" s="1"/>
  <c r="P94" s="1"/>
  <c r="M23" i="5"/>
  <c r="N23" s="1"/>
  <c r="N112" i="64"/>
  <c r="P116" s="1"/>
  <c r="R29" i="63"/>
  <c r="H25" i="5" s="1"/>
  <c r="I25" s="1"/>
  <c r="L29" i="63" s="1"/>
  <c r="N50" i="64"/>
  <c r="I37" i="5"/>
  <c r="J61" i="63"/>
  <c r="O61" s="1"/>
  <c r="P160" i="64"/>
  <c r="X13" i="63"/>
  <c r="D28" s="1"/>
  <c r="R28"/>
  <c r="H24" i="5" s="1"/>
  <c r="I24" s="1"/>
  <c r="X15" i="63"/>
  <c r="D30" s="1"/>
  <c r="X14"/>
  <c r="D29" s="1"/>
  <c r="J64"/>
  <c r="H18" i="20"/>
  <c r="H39" i="5"/>
  <c r="H33" i="63"/>
  <c r="N17" i="64"/>
  <c r="P17" s="1"/>
  <c r="L57" i="63"/>
  <c r="F50" i="64"/>
  <c r="N38" i="5"/>
  <c r="H38"/>
  <c r="F153" i="64"/>
  <c r="H159" s="1"/>
  <c r="H160" s="1"/>
  <c r="F16"/>
  <c r="K37" i="5"/>
  <c r="F49" i="64"/>
  <c r="H50" s="1"/>
  <c r="K34" i="5"/>
  <c r="K36" s="1"/>
  <c r="F33" i="63"/>
  <c r="F58" i="64"/>
  <c r="X9" i="63"/>
  <c r="D24" s="1"/>
  <c r="I34" i="5"/>
  <c r="I36" s="1"/>
  <c r="X8" i="63"/>
  <c r="D23" s="1"/>
  <c r="X16"/>
  <c r="D31" s="1"/>
  <c r="R31"/>
  <c r="H27" i="5" s="1"/>
  <c r="I27" s="1"/>
  <c r="L31" i="63" s="1"/>
  <c r="M27" i="5" s="1"/>
  <c r="N27" s="1"/>
  <c r="N49" i="64"/>
  <c r="K39" i="5"/>
  <c r="H33" i="20"/>
  <c r="P61" i="21"/>
  <c r="R22" i="63"/>
  <c r="H18" i="5" s="1"/>
  <c r="I18" s="1"/>
  <c r="R24" i="63"/>
  <c r="H20" i="5" s="1"/>
  <c r="I20" s="1"/>
  <c r="L24" i="63" s="1"/>
  <c r="M20" i="5" s="1"/>
  <c r="M26"/>
  <c r="N26" s="1"/>
  <c r="F33" i="20"/>
  <c r="P34" i="5"/>
  <c r="P36" s="1"/>
  <c r="K58" i="20"/>
  <c r="N17" i="21"/>
  <c r="L38" i="5"/>
  <c r="L41" s="1"/>
  <c r="L44" s="1"/>
  <c r="N16" i="21"/>
  <c r="T18" i="20"/>
  <c r="K38" i="5"/>
  <c r="I62" i="20"/>
  <c r="P28"/>
  <c r="S41" s="1"/>
  <c r="T127" i="21" s="1"/>
  <c r="F14"/>
  <c r="H17" s="1"/>
  <c r="H28" s="1"/>
  <c r="X7" i="20"/>
  <c r="D22" s="1"/>
  <c r="H37" i="5"/>
  <c r="F82" i="64"/>
  <c r="T18" i="63"/>
  <c r="F15" i="64"/>
  <c r="J37" i="5"/>
  <c r="R18" i="63"/>
  <c r="F58" i="21"/>
  <c r="H60" s="1"/>
  <c r="N34" i="5"/>
  <c r="N36" s="1"/>
  <c r="F47" i="21"/>
  <c r="X9" i="20"/>
  <c r="D24" s="1"/>
  <c r="R24"/>
  <c r="G20" i="5" s="1"/>
  <c r="R25" i="63"/>
  <c r="H21" i="5" s="1"/>
  <c r="N47" i="64"/>
  <c r="X10" i="63"/>
  <c r="D25" s="1"/>
  <c r="I38" i="5"/>
  <c r="I41" s="1"/>
  <c r="N13" i="21"/>
  <c r="P17" s="1"/>
  <c r="N15"/>
  <c r="R18" i="20"/>
  <c r="J38" i="5"/>
  <c r="J41" s="1"/>
  <c r="J44" s="1"/>
  <c r="P127" i="21"/>
  <c r="V127" s="1"/>
  <c r="R23" i="63"/>
  <c r="H19" i="5" s="1"/>
  <c r="I19" s="1"/>
  <c r="L23" i="63" s="1"/>
  <c r="H50" i="21"/>
  <c r="H61" s="1"/>
  <c r="V18" i="63"/>
  <c r="X7"/>
  <c r="D22" s="1"/>
  <c r="R25" i="20"/>
  <c r="G21" i="5" s="1"/>
  <c r="N25" i="21"/>
  <c r="P27" s="1"/>
  <c r="X8" i="20"/>
  <c r="D23" s="1"/>
  <c r="P30" i="63"/>
  <c r="D64" s="1"/>
  <c r="H160" i="21"/>
  <c r="T160" s="1"/>
  <c r="N39" i="5"/>
  <c r="N41" s="1"/>
  <c r="K31"/>
  <c r="R26" i="63"/>
  <c r="H22" i="5" s="1"/>
  <c r="I22" s="1"/>
  <c r="L26" i="63" s="1"/>
  <c r="F80" i="64"/>
  <c r="X11" i="63"/>
  <c r="D26" s="1"/>
  <c r="I60" i="20"/>
  <c r="N60" s="1"/>
  <c r="P26"/>
  <c r="S39" s="1"/>
  <c r="H36" i="5"/>
  <c r="P25" i="20"/>
  <c r="S38" s="1"/>
  <c r="I59"/>
  <c r="N59" s="1"/>
  <c r="H18" i="63"/>
  <c r="H83" i="21"/>
  <c r="H94" s="1"/>
  <c r="D61" i="63"/>
  <c r="S40"/>
  <c r="P41" i="5"/>
  <c r="J63" i="63" l="1"/>
  <c r="P29"/>
  <c r="V94" i="64"/>
  <c r="H17"/>
  <c r="N120"/>
  <c r="P126" s="1"/>
  <c r="P127" s="1"/>
  <c r="M25" i="5"/>
  <c r="N25" s="1"/>
  <c r="P28" i="21"/>
  <c r="V61"/>
  <c r="I44" i="5"/>
  <c r="P50" i="64"/>
  <c r="I21" i="5"/>
  <c r="L25" i="63" s="1"/>
  <c r="N54" i="64" s="1"/>
  <c r="P60" s="1"/>
  <c r="H41" i="5"/>
  <c r="S43" i="63"/>
  <c r="T160" i="64" s="1"/>
  <c r="K41" i="5"/>
  <c r="K44" s="1"/>
  <c r="P31" i="63"/>
  <c r="J65"/>
  <c r="P24"/>
  <c r="S37" s="1"/>
  <c r="H29" i="5"/>
  <c r="M21"/>
  <c r="N21" s="1"/>
  <c r="N44"/>
  <c r="G29"/>
  <c r="H44"/>
  <c r="X18" i="20"/>
  <c r="F54" i="64"/>
  <c r="H60" s="1"/>
  <c r="H61" s="1"/>
  <c r="N20" i="5"/>
  <c r="L52"/>
  <c r="J57" i="63"/>
  <c r="O57" s="1"/>
  <c r="M19" i="5"/>
  <c r="N19" s="1"/>
  <c r="N21" i="64"/>
  <c r="P27" s="1"/>
  <c r="P28" s="1"/>
  <c r="P23" i="63"/>
  <c r="S36" s="1"/>
  <c r="I58" i="20"/>
  <c r="N58" s="1"/>
  <c r="P24"/>
  <c r="S37" s="1"/>
  <c r="P22"/>
  <c r="S35" s="1"/>
  <c r="T28" i="21" s="1"/>
  <c r="I56" i="20"/>
  <c r="N56" s="1"/>
  <c r="M24" i="5"/>
  <c r="N24" s="1"/>
  <c r="J62" i="63"/>
  <c r="O62" s="1"/>
  <c r="P28"/>
  <c r="F120" i="64"/>
  <c r="H126" s="1"/>
  <c r="H127" s="1"/>
  <c r="P25" i="63"/>
  <c r="L50" i="5"/>
  <c r="M50" s="1"/>
  <c r="N50" s="1"/>
  <c r="P44"/>
  <c r="J58" i="63"/>
  <c r="O58" s="1"/>
  <c r="T94" i="21"/>
  <c r="X18" i="63"/>
  <c r="H83" i="64"/>
  <c r="T61" i="21"/>
  <c r="D33" i="20"/>
  <c r="I57"/>
  <c r="P23"/>
  <c r="L22" i="63"/>
  <c r="P22" s="1"/>
  <c r="D33"/>
  <c r="J60"/>
  <c r="O60" s="1"/>
  <c r="P26"/>
  <c r="M22" i="5"/>
  <c r="N22" s="1"/>
  <c r="F87" i="64"/>
  <c r="H93" s="1"/>
  <c r="P61" l="1"/>
  <c r="D63" i="63"/>
  <c r="S42"/>
  <c r="V127" i="64" s="1"/>
  <c r="I29" i="5"/>
  <c r="M48" s="1"/>
  <c r="J59" i="63"/>
  <c r="O59" s="1"/>
  <c r="S44"/>
  <c r="V160" i="64" s="1"/>
  <c r="D65" i="63"/>
  <c r="D57"/>
  <c r="D58"/>
  <c r="V28" i="64"/>
  <c r="T61"/>
  <c r="Q44" i="5"/>
  <c r="D59" i="63"/>
  <c r="S38"/>
  <c r="V61" i="64" s="1"/>
  <c r="S41" i="63"/>
  <c r="T127" i="64" s="1"/>
  <c r="D62" i="63"/>
  <c r="H94" i="64"/>
  <c r="D56" i="63"/>
  <c r="P33"/>
  <c r="P46" s="1"/>
  <c r="S35"/>
  <c r="L33"/>
  <c r="F21" i="64"/>
  <c r="H27" s="1"/>
  <c r="H28" s="1"/>
  <c r="T28" s="1"/>
  <c r="M18" i="5"/>
  <c r="N57" i="20"/>
  <c r="N67" s="1"/>
  <c r="I67"/>
  <c r="S39" i="63"/>
  <c r="D60"/>
  <c r="S36" i="20"/>
  <c r="V28" i="21" s="1"/>
  <c r="P33" i="20"/>
  <c r="P46" s="1"/>
  <c r="J56" i="63"/>
  <c r="T94" i="64" l="1"/>
  <c r="D67" i="63"/>
  <c r="J67"/>
  <c r="O56"/>
  <c r="O67" s="1"/>
  <c r="N18" i="5"/>
  <c r="N29" s="1"/>
  <c r="M29"/>
  <c r="L49"/>
  <c r="M49" l="1"/>
  <c r="M31"/>
  <c r="L51"/>
  <c r="L48" s="1"/>
  <c r="N48" s="1"/>
  <c r="M51" l="1"/>
  <c r="N51" s="1"/>
  <c r="N49"/>
  <c r="M52" l="1"/>
  <c r="N52" s="1"/>
</calcChain>
</file>

<file path=xl/comments1.xml><?xml version="1.0" encoding="utf-8"?>
<comments xmlns="http://schemas.openxmlformats.org/spreadsheetml/2006/main">
  <authors>
    <author>jovie</author>
  </authors>
  <commentList>
    <comment ref="N14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TOTAL HRS EXTENDED DUTY NOT ENOUGH</t>
        </r>
      </text>
    </comment>
    <comment ref="C196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7:06 PM DTR</t>
        </r>
      </text>
    </comment>
  </commentList>
</comments>
</file>

<file path=xl/comments2.xml><?xml version="1.0" encoding="utf-8"?>
<comments xmlns="http://schemas.openxmlformats.org/spreadsheetml/2006/main">
  <authors>
    <author>jovie</author>
    <author>Rjhay Adriano</author>
  </authors>
  <commentList>
    <comment ref="J7" authorId="0">
      <text>
        <r>
          <rPr>
            <b/>
            <sz val="9"/>
            <color indexed="81"/>
            <rFont val="Tahoma"/>
            <charset val="1"/>
          </rPr>
          <t>jovie:</t>
        </r>
        <r>
          <rPr>
            <sz val="9"/>
            <color indexed="81"/>
            <rFont val="Tahoma"/>
            <charset val="1"/>
          </rPr>
          <t xml:space="preserve">
2.26
3.10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jovie:</t>
        </r>
        <r>
          <rPr>
            <sz val="9"/>
            <color indexed="81"/>
            <rFont val="Tahoma"/>
            <charset val="1"/>
          </rPr>
          <t xml:space="preserve">
2.26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jovie:</t>
        </r>
        <r>
          <rPr>
            <sz val="9"/>
            <color indexed="81"/>
            <rFont val="Tahoma"/>
            <charset val="1"/>
          </rPr>
          <t xml:space="preserve">
3.5=1
3.9=.5</t>
        </r>
      </text>
    </comment>
    <comment ref="G56" authorId="1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9.25.17 - 9.10.18</t>
        </r>
      </text>
    </comment>
    <comment ref="G58" authorId="1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9.25.17 - 03.10.19</t>
        </r>
      </text>
    </comment>
    <comment ref="G59" authorId="1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9.25.17 - 03.10.19</t>
        </r>
      </text>
    </comment>
  </commentList>
</comments>
</file>

<file path=xl/comments3.xml><?xml version="1.0" encoding="utf-8"?>
<comments xmlns="http://schemas.openxmlformats.org/spreadsheetml/2006/main">
  <authors>
    <author>jovie</author>
  </authors>
  <commentList>
    <comment ref="N155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TOTAL HRS EXTENDED DUTY NOT ENOUGH</t>
        </r>
      </text>
    </comment>
  </commentList>
</comments>
</file>

<file path=xl/comments4.xml><?xml version="1.0" encoding="utf-8"?>
<comments xmlns="http://schemas.openxmlformats.org/spreadsheetml/2006/main">
  <authors>
    <author>Rjhay Adriano</author>
  </authors>
  <commentList>
    <comment ref="H56" authorId="0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9.25.17 - 9.10.18</t>
        </r>
      </text>
    </comment>
    <comment ref="H58" authorId="0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9.25.17 - 03.10.19</t>
        </r>
      </text>
    </comment>
    <comment ref="H59" authorId="0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9.25.17 - 03.10.19</t>
        </r>
      </text>
    </comment>
  </commentList>
</comments>
</file>

<file path=xl/sharedStrings.xml><?xml version="1.0" encoding="utf-8"?>
<sst xmlns="http://schemas.openxmlformats.org/spreadsheetml/2006/main" count="2254" uniqueCount="315">
  <si>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</si>
  <si>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</si>
  <si>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</si>
  <si>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</si>
  <si>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</si>
  <si>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</si>
  <si>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</si>
  <si>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</si>
  <si>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</si>
  <si>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</si>
  <si>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</si>
  <si>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</si>
  <si>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</si>
  <si>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</si>
  <si>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</si>
  <si>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</si>
  <si>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</si>
  <si>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</si>
  <si>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</si>
  <si>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</si>
  <si>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</si>
  <si>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</si>
  <si>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</si>
  <si>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</si>
  <si>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</si>
  <si>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</si>
  <si>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</si>
  <si>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</si>
  <si>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</si>
  <si>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</si>
  <si>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</si>
  <si>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</si>
  <si>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</si>
  <si>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</si>
  <si>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</si>
  <si>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</si>
  <si>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</si>
  <si>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</si>
  <si>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</si>
  <si>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</si>
  <si>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</si>
  <si>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</si>
  <si>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</si>
  <si>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</si>
  <si>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</si>
  <si>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</si>
  <si>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</si>
  <si>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</si>
  <si>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</si>
  <si>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</si>
  <si>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</si>
  <si>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</si>
  <si>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</si>
  <si>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</si>
  <si>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</si>
  <si>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</si>
  <si>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</si>
  <si>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</si>
  <si>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</si>
  <si>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</si>
  <si>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</si>
  <si>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</si>
  <si>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</si>
  <si>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</si>
  <si>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</si>
  <si>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</si>
  <si>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</si>
  <si>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</si>
  <si>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</si>
  <si>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</si>
  <si>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</si>
  <si>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</si>
  <si>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</si>
  <si>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</si>
  <si>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</si>
  <si>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</si>
  <si>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</si>
  <si>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</si>
  <si>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</si>
  <si>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</si>
  <si>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</si>
  <si>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</si>
  <si>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</si>
  <si>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</si>
  <si>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</si>
  <si>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</si>
  <si>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</si>
  <si>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</si>
  <si>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</si>
  <si>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</si>
  <si>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</si>
  <si>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</si>
  <si>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</si>
  <si>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</si>
  <si>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</si>
  <si>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</si>
  <si>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</si>
  <si>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</si>
  <si>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</si>
  <si>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</si>
  <si>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</si>
  <si>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</si>
  <si>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</si>
  <si>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</si>
  <si>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</si>
  <si>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</si>
  <si>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</si>
  <si>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</si>
  <si>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</si>
  <si>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</si>
  <si>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</si>
  <si>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</si>
  <si>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</si>
  <si>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</si>
  <si>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</si>
  <si>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</si>
  <si>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</si>
  <si>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</si>
  <si>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</si>
  <si>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</si>
  <si>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</si>
  <si>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M.T. Purchaser</t>
  </si>
  <si>
    <t>Dino, Joyce</t>
  </si>
  <si>
    <t>Store Manager</t>
  </si>
  <si>
    <t xml:space="preserve">Sosa, Anna Marie </t>
  </si>
  <si>
    <t>Admin. Assistant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</si>
  <si>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</si>
  <si>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</si>
  <si>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</si>
  <si>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</si>
  <si>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</si>
  <si>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</si>
  <si>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</si>
  <si>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</si>
  <si>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</si>
  <si>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</si>
  <si>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</si>
  <si>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</si>
  <si>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</si>
  <si>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</si>
  <si>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</si>
  <si>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</si>
  <si>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</si>
  <si>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</si>
  <si>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</si>
  <si>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</si>
  <si>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</si>
  <si>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</si>
  <si>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</si>
  <si>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</si>
  <si>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</si>
  <si>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</si>
  <si>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</si>
  <si>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</si>
  <si>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Briones, Christain Joy</t>
  </si>
  <si>
    <t>Asst. Cook</t>
  </si>
  <si>
    <t>FEBRUARY 26 - MARCH 10, 2018</t>
  </si>
  <si>
    <t>Filtered By Branch: VALERO</t>
  </si>
  <si>
    <t>Payperiod:   18. FEBRUARY 26 - MARCH 10, 2018 (02/26/2018 to 03/10/2018)</t>
  </si>
  <si>
    <t>Report Date:   March 13, 2018 01:51 PM</t>
  </si>
  <si>
    <t>.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</si>
  <si>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</si>
  <si>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</si>
  <si>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</si>
  <si>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</si>
  <si>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</si>
  <si>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</si>
  <si>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</si>
  <si>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</si>
  <si>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</si>
  <si>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</si>
  <si>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</si>
  <si>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</si>
  <si>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</si>
  <si>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</si>
  <si>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</si>
  <si>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</si>
  <si>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</si>
  <si>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TOSH-20504</t>
  </si>
  <si>
    <t>EMPLOYEE NAME:</t>
  </si>
  <si>
    <t>Arel , Issacar Bron</t>
  </si>
  <si>
    <t>Monday February 26, 2018</t>
  </si>
  <si>
    <t>Tuesday February 27, 2018</t>
  </si>
  <si>
    <t>Wednesday February 28, 2018</t>
  </si>
  <si>
    <t>Thursday March 1, 2018</t>
  </si>
  <si>
    <t>10 min late (overbreak)</t>
  </si>
  <si>
    <t>Friday March 2, 2018</t>
  </si>
  <si>
    <t>Saturday March 3, 2018</t>
  </si>
  <si>
    <t>OFF</t>
  </si>
  <si>
    <t>Sunday March 4, 2018</t>
  </si>
  <si>
    <t>Monday March 5, 2018</t>
  </si>
  <si>
    <t>Tuesday March 6, 2018</t>
  </si>
  <si>
    <t>Wednesday March 7, 2018</t>
  </si>
  <si>
    <t>Thursday March 8, 2018</t>
  </si>
  <si>
    <t>Friday March 9, 2018</t>
  </si>
  <si>
    <t>Saturday March 10, 2018</t>
  </si>
  <si>
    <t>TOSH-20126</t>
  </si>
  <si>
    <t>Atienza, Mark Joseph Briones</t>
  </si>
  <si>
    <t>14 min late</t>
  </si>
  <si>
    <t>28 min late</t>
  </si>
  <si>
    <t>11 min late</t>
  </si>
  <si>
    <t>19 min late</t>
  </si>
  <si>
    <t>11.30-11.30</t>
  </si>
  <si>
    <t>TRAINING PAY</t>
  </si>
  <si>
    <t>REGULAR PAY</t>
  </si>
  <si>
    <t>TOSH-10079</t>
  </si>
  <si>
    <t>Biarcal, Ronald Glenn Ablan</t>
  </si>
  <si>
    <t>Halfday VL</t>
  </si>
  <si>
    <t>1hr extended duty</t>
  </si>
  <si>
    <t>1.5hrs extended duty</t>
  </si>
  <si>
    <t>OFF SET</t>
  </si>
  <si>
    <t xml:space="preserve">OFF  </t>
  </si>
  <si>
    <t>3.5hrs extended duty</t>
  </si>
  <si>
    <t>10-7</t>
  </si>
  <si>
    <t>0NXT C.O</t>
  </si>
  <si>
    <t>TOSH-20128</t>
  </si>
  <si>
    <t>Briones, Christian Joy Magsese</t>
  </si>
  <si>
    <t>not late-uploading masterfilesnnpls refer time in to timecard</t>
  </si>
  <si>
    <t>13 min late</t>
  </si>
  <si>
    <t>TOSH-20129</t>
  </si>
  <si>
    <t>Cahilig, Benzen Bonifacio</t>
  </si>
  <si>
    <t>not late in timecard</t>
  </si>
  <si>
    <t>26 min late</t>
  </si>
  <si>
    <t>TOSH-10077</t>
  </si>
  <si>
    <t>Dino, Joyce Flores</t>
  </si>
  <si>
    <t>late mid shift/ went to health venue c/o APE</t>
  </si>
  <si>
    <t>Undertime 3 hrs</t>
  </si>
  <si>
    <t>3 hrs extended duty</t>
  </si>
  <si>
    <t>OFFSET</t>
  </si>
  <si>
    <t xml:space="preserve">OFF </t>
  </si>
  <si>
    <t>Not late, went to Tronix printing shop c/o printing of POPS</t>
  </si>
  <si>
    <t>2.5 hrs extended duty, went to sm and ace hardware c/o purchased of materials for c.r. maintenance and repairs</t>
  </si>
  <si>
    <t>half day vl</t>
  </si>
  <si>
    <t>0NXT C.O.</t>
  </si>
  <si>
    <t>TOSH-20369</t>
  </si>
  <si>
    <t>ESPINOSA, CAMILLE DENICE DE VERA</t>
  </si>
  <si>
    <t>1.47 min late</t>
  </si>
  <si>
    <t>2.43 min late</t>
  </si>
  <si>
    <t>15 min late</t>
  </si>
  <si>
    <t>8 min late</t>
  </si>
  <si>
    <t>TOSH-20121</t>
  </si>
  <si>
    <t>Hayagan, Ruel Balano</t>
  </si>
  <si>
    <t>time out pls refer to timecard</t>
  </si>
  <si>
    <t>TOSH-20251</t>
  </si>
  <si>
    <t>Pantoja, Nancy Astonga</t>
  </si>
  <si>
    <t>10 min late</t>
  </si>
  <si>
    <t>17 min late</t>
  </si>
  <si>
    <t>9 min overbreak</t>
  </si>
  <si>
    <t>TOSH-10080</t>
  </si>
  <si>
    <t>Sanchez, Angelo F.</t>
  </si>
  <si>
    <t>not late-forgot to time in after break</t>
  </si>
  <si>
    <t>TOSH-20107</t>
  </si>
  <si>
    <t>Sosa, Anna Marie Lustre</t>
  </si>
  <si>
    <t>not late-updating masterfilesnnpls refer time in to timecardnn1 hr extended duty</t>
  </si>
  <si>
    <t>2.23 min late</t>
  </si>
  <si>
    <t>1.30-11.30</t>
  </si>
  <si>
    <t>1 hr extended duty</t>
  </si>
  <si>
    <t>2 hrs extended duty</t>
  </si>
  <si>
    <t>1HR NXT C.O</t>
  </si>
  <si>
    <t>TOSH-20532</t>
  </si>
  <si>
    <t>Villanueva, Jeffrey Dirige</t>
  </si>
  <si>
    <t>Powered By:</t>
  </si>
  <si>
    <t>APE 4 OF 4</t>
  </si>
  <si>
    <t>Payperiod:   18. MARCH 11 - 25, 2018 (03/11/2018 to 03/25/2018)</t>
  </si>
  <si>
    <t>Report Date:   March 26, 2018 04:04 PM</t>
  </si>
  <si>
    <t>Sunday March 11, 2018</t>
  </si>
  <si>
    <t>Monday March 12, 2018</t>
  </si>
  <si>
    <t>Tuesday March 13, 2018</t>
  </si>
  <si>
    <t>16 min late</t>
  </si>
  <si>
    <t>Wednesday March 14, 2018</t>
  </si>
  <si>
    <t>Thursday March 15, 2018</t>
  </si>
  <si>
    <t>Friday March 16, 2018</t>
  </si>
  <si>
    <t>7 min late</t>
  </si>
  <si>
    <t>Saturday March 17, 2018</t>
  </si>
  <si>
    <t>Sunday March 18, 2018</t>
  </si>
  <si>
    <t>Monday March 19, 2018</t>
  </si>
  <si>
    <t>Tuesday March 20, 2018</t>
  </si>
  <si>
    <t>Wednesday March 21, 2018</t>
  </si>
  <si>
    <t>Thursday March 22, 2018</t>
  </si>
  <si>
    <t>Friday March 23, 2018</t>
  </si>
  <si>
    <t>12-9</t>
  </si>
  <si>
    <t>Saturday March 24, 2018</t>
  </si>
  <si>
    <t>Sunday March 25, 2018</t>
  </si>
  <si>
    <t>12 min late</t>
  </si>
  <si>
    <t>18 min late</t>
  </si>
  <si>
    <t>52 min late</t>
  </si>
  <si>
    <t>25 min late</t>
  </si>
  <si>
    <t>29 min late</t>
  </si>
  <si>
    <t>30 min late</t>
  </si>
  <si>
    <t>1 hhr extended</t>
  </si>
  <si>
    <t>4hrs extended duty</t>
  </si>
  <si>
    <t>2.30-11.30</t>
  </si>
  <si>
    <t>March 21 duty 11:30am - 12:30am</t>
  </si>
  <si>
    <t>10-9</t>
  </si>
  <si>
    <t>6-3</t>
  </si>
  <si>
    <t>Undertime 2 hrs</t>
  </si>
  <si>
    <t>late, went to doctors c/o check up of my son</t>
  </si>
  <si>
    <t>1h extended duty</t>
  </si>
  <si>
    <t>undertime -30 mins</t>
  </si>
  <si>
    <t>late, due to check up of my son @ Banawe orthopedic hospital</t>
  </si>
  <si>
    <t>20 min late</t>
  </si>
  <si>
    <t>9-7</t>
  </si>
  <si>
    <t>1-10</t>
  </si>
  <si>
    <t>ot 1hrnn</t>
  </si>
  <si>
    <t>11-9</t>
  </si>
  <si>
    <t>1.5 extended duty</t>
  </si>
  <si>
    <t>16 min late plus 32 min late charge (camille and Christian)</t>
  </si>
  <si>
    <t>0 NXT C.O</t>
  </si>
  <si>
    <t>M.T. Bookkeeper</t>
  </si>
  <si>
    <t>JUNE  11 - 25, 2018</t>
  </si>
  <si>
    <t>GTS 7  OF 7</t>
  </si>
  <si>
    <t>Cahilig,Benzen</t>
  </si>
  <si>
    <t>Cook</t>
  </si>
  <si>
    <t>Pantoja,Nancy</t>
  </si>
  <si>
    <t>Cashier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</si>
</sst>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82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7"/>
      <color rgb="FF000000"/>
      <name val="Arial"/>
      <family val="2"/>
    </font>
    <font>
      <b/>
      <sz val="9"/>
      <color rgb="FFFFFFFF"/>
      <name val="Arial"/>
      <family val="2"/>
    </font>
    <font>
      <b/>
      <sz val="8"/>
      <color rgb="FFFFFFFF"/>
      <name val="Arial"/>
      <family val="2"/>
    </font>
    <font>
      <b/>
      <sz val="7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sz val="9"/>
      <color rgb="FFFFFFFF"/>
      <name val="Arial"/>
      <family val="2"/>
    </font>
    <font>
      <b/>
      <sz val="9"/>
      <color rgb="FFFEAC02"/>
      <name val="Arial"/>
      <family val="2"/>
    </font>
    <font>
      <b/>
      <sz val="7"/>
      <color rgb="FFFEAC02"/>
      <name val="Arial"/>
      <family val="2"/>
    </font>
    <font>
      <b/>
      <sz val="10"/>
      <color rgb="FF000000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24"/>
      <color rgb="FF171717"/>
      <name val="Arial"/>
      <family val="2"/>
    </font>
    <font>
      <b/>
      <sz val="10"/>
      <color rgb="FF008000"/>
      <name val="Verdana"/>
      <family val="2"/>
    </font>
    <font>
      <b/>
      <sz val="5"/>
      <color rgb="FFFF0000"/>
      <name val="Verdana"/>
      <family val="2"/>
    </font>
    <font>
      <b/>
      <sz val="8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1" fillId="0" borderId="0"/>
    <xf numFmtId="0" fontId="3" fillId="0" borderId="0"/>
    <xf numFmtId="0" fontId="3" fillId="0" borderId="0"/>
    <xf numFmtId="0" fontId="38" fillId="0" borderId="0"/>
    <xf numFmtId="0" fontId="22" fillId="0" borderId="0"/>
    <xf numFmtId="0" fontId="3" fillId="0" borderId="0"/>
    <xf numFmtId="0" fontId="38" fillId="0" borderId="0"/>
    <xf numFmtId="0" fontId="22" fillId="0" borderId="0"/>
    <xf numFmtId="0" fontId="38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34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2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2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3" fillId="0" borderId="0" xfId="105" applyFont="1"/>
    <xf numFmtId="43" fontId="43" fillId="0" borderId="0" xfId="1" applyFont="1"/>
    <xf numFmtId="0" fontId="44" fillId="0" borderId="0" xfId="105" applyFont="1"/>
    <xf numFmtId="43" fontId="44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5" fillId="0" borderId="0" xfId="105" quotePrefix="1" applyNumberFormat="1" applyFont="1"/>
    <xf numFmtId="0" fontId="45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6" fillId="0" borderId="0" xfId="105" applyFont="1" applyProtection="1"/>
    <xf numFmtId="0" fontId="46" fillId="0" borderId="0" xfId="105" applyFont="1" applyAlignment="1" applyProtection="1">
      <alignment horizontal="center"/>
    </xf>
    <xf numFmtId="0" fontId="44" fillId="0" borderId="0" xfId="105" applyFont="1" applyProtection="1"/>
    <xf numFmtId="43" fontId="44" fillId="0" borderId="0" xfId="1" applyFont="1" applyProtection="1"/>
    <xf numFmtId="43" fontId="46" fillId="0" borderId="0" xfId="1" applyFont="1" applyProtection="1"/>
    <xf numFmtId="43" fontId="46" fillId="0" borderId="0" xfId="105" applyNumberFormat="1" applyFont="1" applyProtection="1"/>
    <xf numFmtId="43" fontId="46" fillId="0" borderId="0" xfId="1" applyFont="1" applyAlignment="1" applyProtection="1">
      <alignment horizontal="center"/>
    </xf>
    <xf numFmtId="0" fontId="43" fillId="0" borderId="0" xfId="105" applyFont="1" applyProtection="1"/>
    <xf numFmtId="0" fontId="43" fillId="0" borderId="0" xfId="105" applyFont="1" applyAlignment="1" applyProtection="1">
      <alignment horizontal="center"/>
    </xf>
    <xf numFmtId="43" fontId="43" fillId="0" borderId="0" xfId="1" applyFont="1" applyProtection="1"/>
    <xf numFmtId="43" fontId="43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7" fillId="0" borderId="0" xfId="59" applyNumberFormat="1" applyFont="1" applyFill="1" applyProtection="1"/>
    <xf numFmtId="0" fontId="8" fillId="0" borderId="0" xfId="59" applyFont="1"/>
    <xf numFmtId="0" fontId="43" fillId="0" borderId="0" xfId="59" applyFont="1" applyFill="1"/>
    <xf numFmtId="0" fontId="8" fillId="0" borderId="0" xfId="59" applyFont="1" applyFill="1"/>
    <xf numFmtId="0" fontId="43" fillId="0" borderId="0" xfId="59" applyFont="1"/>
    <xf numFmtId="0" fontId="9" fillId="0" borderId="0" xfId="59" applyFont="1"/>
    <xf numFmtId="0" fontId="47" fillId="9" borderId="0" xfId="59" applyFont="1" applyFill="1"/>
    <xf numFmtId="0" fontId="48" fillId="0" borderId="0" xfId="59" applyFont="1"/>
    <xf numFmtId="0" fontId="49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7" fillId="9" borderId="0" xfId="59" applyFont="1" applyFill="1" applyBorder="1"/>
    <xf numFmtId="0" fontId="48" fillId="0" borderId="0" xfId="59" applyFont="1" applyBorder="1"/>
    <xf numFmtId="0" fontId="49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50" fillId="9" borderId="0" xfId="59" applyFont="1" applyFill="1"/>
    <xf numFmtId="0" fontId="51" fillId="0" borderId="0" xfId="59" applyFont="1"/>
    <xf numFmtId="0" fontId="51" fillId="10" borderId="0" xfId="59" applyFont="1" applyFill="1"/>
    <xf numFmtId="0" fontId="48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2" fillId="8" borderId="0" xfId="59" applyNumberFormat="1" applyFont="1" applyFill="1" applyBorder="1" applyAlignment="1">
      <alignment horizontal="center"/>
    </xf>
    <xf numFmtId="2" fontId="42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7" fillId="9" borderId="0" xfId="59" applyNumberFormat="1" applyFont="1" applyFill="1"/>
    <xf numFmtId="0" fontId="48" fillId="7" borderId="0" xfId="59" applyFont="1" applyFill="1"/>
    <xf numFmtId="43" fontId="48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9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2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3" fillId="12" borderId="0" xfId="105" applyNumberFormat="1" applyFont="1" applyFill="1" applyProtection="1"/>
    <xf numFmtId="43" fontId="1" fillId="0" borderId="0" xfId="1" quotePrefix="1" applyProtection="1"/>
    <xf numFmtId="43" fontId="52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4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5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6" fillId="0" borderId="0" xfId="34" applyFont="1" applyBorder="1" applyAlignment="1"/>
    <xf numFmtId="170" fontId="56" fillId="0" borderId="0" xfId="34" applyNumberFormat="1" applyFont="1" applyBorder="1" applyAlignment="1">
      <alignment vertical="center"/>
    </xf>
    <xf numFmtId="0" fontId="57" fillId="0" borderId="0" xfId="34" applyFont="1" applyBorder="1" applyAlignment="1">
      <alignment vertical="center"/>
    </xf>
    <xf numFmtId="0" fontId="58" fillId="0" borderId="0" xfId="34" applyFont="1" applyBorder="1" applyAlignment="1">
      <alignment vertical="center"/>
    </xf>
    <xf numFmtId="0" fontId="59" fillId="0" borderId="0" xfId="34" applyFont="1" applyBorder="1" applyAlignment="1">
      <alignment vertical="center"/>
    </xf>
    <xf numFmtId="0" fontId="56" fillId="0" borderId="0" xfId="34" applyFont="1" applyBorder="1" applyAlignment="1">
      <alignment vertical="center"/>
    </xf>
    <xf numFmtId="170" fontId="60" fillId="14" borderId="0" xfId="34" applyNumberFormat="1" applyFont="1" applyFill="1" applyBorder="1" applyAlignment="1">
      <alignment vertical="center"/>
    </xf>
    <xf numFmtId="0" fontId="61" fillId="14" borderId="0" xfId="34" applyFont="1" applyFill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171" fontId="63" fillId="6" borderId="84" xfId="2" applyNumberFormat="1" applyFont="1" applyFill="1" applyBorder="1" applyAlignment="1">
      <alignment horizontal="center" vertical="center" wrapText="1"/>
    </xf>
    <xf numFmtId="171" fontId="63" fillId="6" borderId="85" xfId="2" applyNumberFormat="1" applyFont="1" applyFill="1" applyBorder="1" applyAlignment="1">
      <alignment horizontal="center" vertical="center" wrapText="1"/>
    </xf>
    <xf numFmtId="171" fontId="64" fillId="6" borderId="84" xfId="2" applyNumberFormat="1" applyFont="1" applyFill="1" applyBorder="1" applyAlignment="1">
      <alignment horizontal="center" vertical="center" wrapText="1"/>
    </xf>
    <xf numFmtId="171" fontId="64" fillId="6" borderId="85" xfId="2" applyNumberFormat="1" applyFont="1" applyFill="1" applyBorder="1" applyAlignment="1">
      <alignment horizontal="center" vertical="center" wrapText="1"/>
    </xf>
    <xf numFmtId="0" fontId="65" fillId="14" borderId="0" xfId="34" applyFont="1" applyFill="1" applyBorder="1" applyAlignment="1">
      <alignment horizontal="left" vertical="center"/>
    </xf>
    <xf numFmtId="0" fontId="66" fillId="14" borderId="0" xfId="34" applyFont="1" applyFill="1" applyBorder="1" applyAlignment="1">
      <alignment vertical="center"/>
    </xf>
    <xf numFmtId="0" fontId="67" fillId="14" borderId="0" xfId="34" applyFont="1" applyFill="1" applyBorder="1" applyAlignment="1">
      <alignment vertical="center"/>
    </xf>
    <xf numFmtId="0" fontId="56" fillId="15" borderId="0" xfId="34" applyFont="1" applyFill="1" applyBorder="1" applyAlignment="1">
      <alignment horizontal="left" vertical="center"/>
    </xf>
    <xf numFmtId="18" fontId="56" fillId="15" borderId="0" xfId="34" applyNumberFormat="1" applyFont="1" applyFill="1" applyBorder="1" applyAlignment="1">
      <alignment horizontal="center" vertical="center"/>
    </xf>
    <xf numFmtId="18" fontId="55" fillId="15" borderId="0" xfId="34" applyNumberFormat="1" applyFont="1" applyFill="1" applyBorder="1" applyAlignment="1">
      <alignment horizontal="center" vertical="center"/>
    </xf>
    <xf numFmtId="18" fontId="59" fillId="15" borderId="0" xfId="34" applyNumberFormat="1" applyFont="1" applyFill="1" applyBorder="1" applyAlignment="1">
      <alignment horizontal="center" vertical="center"/>
    </xf>
    <xf numFmtId="0" fontId="56" fillId="16" borderId="0" xfId="34" applyFont="1" applyFill="1" applyBorder="1" applyAlignment="1">
      <alignment horizontal="left" vertical="center"/>
    </xf>
    <xf numFmtId="18" fontId="56" fillId="16" borderId="0" xfId="34" applyNumberFormat="1" applyFont="1" applyFill="1" applyBorder="1" applyAlignment="1">
      <alignment horizontal="center" vertical="center"/>
    </xf>
    <xf numFmtId="18" fontId="55" fillId="16" borderId="0" xfId="34" applyNumberFormat="1" applyFont="1" applyFill="1" applyBorder="1" applyAlignment="1">
      <alignment horizontal="center" vertical="center"/>
    </xf>
    <xf numFmtId="18" fontId="59" fillId="16" borderId="0" xfId="34" applyNumberFormat="1" applyFont="1" applyFill="1" applyBorder="1" applyAlignment="1">
      <alignment horizontal="center" vertical="center"/>
    </xf>
    <xf numFmtId="0" fontId="56" fillId="15" borderId="0" xfId="34" applyFont="1" applyFill="1" applyBorder="1" applyAlignment="1">
      <alignment horizontal="center" vertical="center"/>
    </xf>
    <xf numFmtId="0" fontId="55" fillId="15" borderId="0" xfId="34" applyFont="1" applyFill="1" applyBorder="1" applyAlignment="1">
      <alignment horizontal="center" vertical="center"/>
    </xf>
    <xf numFmtId="0" fontId="59" fillId="15" borderId="0" xfId="34" applyFont="1" applyFill="1" applyBorder="1" applyAlignment="1">
      <alignment horizontal="center" vertical="center"/>
    </xf>
    <xf numFmtId="0" fontId="56" fillId="16" borderId="0" xfId="34" applyFont="1" applyFill="1" applyBorder="1" applyAlignment="1">
      <alignment horizontal="center" vertical="center"/>
    </xf>
    <xf numFmtId="0" fontId="55" fillId="16" borderId="0" xfId="34" applyFont="1" applyFill="1" applyBorder="1" applyAlignment="1">
      <alignment horizontal="center" vertical="center"/>
    </xf>
    <xf numFmtId="0" fontId="59" fillId="16" borderId="0" xfId="34" applyFont="1" applyFill="1" applyBorder="1" applyAlignment="1">
      <alignment horizontal="center" vertical="center"/>
    </xf>
    <xf numFmtId="0" fontId="60" fillId="14" borderId="0" xfId="34" applyFont="1" applyFill="1" applyBorder="1" applyAlignment="1">
      <alignment vertical="center"/>
    </xf>
    <xf numFmtId="0" fontId="59" fillId="0" borderId="0" xfId="34" applyFont="1" applyBorder="1" applyAlignment="1"/>
    <xf numFmtId="0" fontId="68" fillId="0" borderId="0" xfId="34" applyFont="1" applyBorder="1" applyAlignment="1">
      <alignment vertical="top"/>
    </xf>
    <xf numFmtId="0" fontId="69" fillId="0" borderId="0" xfId="34" applyFont="1" applyBorder="1" applyAlignment="1">
      <alignment vertical="top"/>
    </xf>
    <xf numFmtId="0" fontId="38" fillId="0" borderId="0" xfId="34" applyBorder="1" applyAlignment="1"/>
    <xf numFmtId="0" fontId="70" fillId="0" borderId="0" xfId="34" applyFont="1" applyBorder="1" applyAlignment="1"/>
    <xf numFmtId="171" fontId="64" fillId="6" borderId="85" xfId="2" applyNumberFormat="1" applyFont="1" applyFill="1" applyBorder="1" applyAlignment="1">
      <alignment horizontal="center" vertical="center" wrapText="1"/>
    </xf>
    <xf numFmtId="0" fontId="71" fillId="0" borderId="0" xfId="34" applyFont="1" applyBorder="1" applyAlignment="1"/>
    <xf numFmtId="2" fontId="72" fillId="14" borderId="0" xfId="34" applyNumberFormat="1" applyFont="1" applyFill="1" applyBorder="1" applyAlignment="1">
      <alignment vertical="center"/>
    </xf>
    <xf numFmtId="2" fontId="73" fillId="14" borderId="0" xfId="34" applyNumberFormat="1" applyFont="1" applyFill="1" applyBorder="1" applyAlignment="1">
      <alignment vertical="center"/>
    </xf>
    <xf numFmtId="2" fontId="72" fillId="15" borderId="0" xfId="34" applyNumberFormat="1" applyFont="1" applyFill="1" applyBorder="1" applyAlignment="1">
      <alignment horizontal="center" vertical="center"/>
    </xf>
    <xf numFmtId="2" fontId="74" fillId="15" borderId="0" xfId="34" applyNumberFormat="1" applyFont="1" applyFill="1" applyBorder="1" applyAlignment="1">
      <alignment horizontal="center" vertical="center"/>
    </xf>
    <xf numFmtId="2" fontId="72" fillId="16" borderId="0" xfId="34" applyNumberFormat="1" applyFont="1" applyFill="1" applyBorder="1" applyAlignment="1">
      <alignment horizontal="center" vertical="center"/>
    </xf>
    <xf numFmtId="2" fontId="74" fillId="16" borderId="0" xfId="34" applyNumberFormat="1" applyFont="1" applyFill="1" applyBorder="1" applyAlignment="1">
      <alignment horizontal="center" vertical="center"/>
    </xf>
    <xf numFmtId="2" fontId="75" fillId="17" borderId="0" xfId="34" applyNumberFormat="1" applyFont="1" applyFill="1" applyBorder="1" applyAlignment="1">
      <alignment horizontal="center" vertical="center"/>
    </xf>
    <xf numFmtId="2" fontId="72" fillId="0" borderId="0" xfId="34" applyNumberFormat="1" applyFont="1" applyBorder="1" applyAlignment="1"/>
    <xf numFmtId="2" fontId="74" fillId="0" borderId="0" xfId="34" applyNumberFormat="1" applyFont="1" applyBorder="1" applyAlignment="1"/>
    <xf numFmtId="2" fontId="72" fillId="15" borderId="0" xfId="34" quotePrefix="1" applyNumberFormat="1" applyFont="1" applyFill="1" applyBorder="1" applyAlignment="1">
      <alignment horizontal="center" vertical="center"/>
    </xf>
    <xf numFmtId="2" fontId="74" fillId="18" borderId="0" xfId="34" applyNumberFormat="1" applyFont="1" applyFill="1" applyBorder="1" applyAlignment="1">
      <alignment horizontal="center" vertical="center"/>
    </xf>
    <xf numFmtId="2" fontId="76" fillId="0" borderId="0" xfId="34" applyNumberFormat="1" applyFont="1" applyBorder="1" applyAlignment="1"/>
    <xf numFmtId="2" fontId="77" fillId="11" borderId="0" xfId="34" applyNumberFormat="1" applyFont="1" applyFill="1" applyBorder="1" applyAlignment="1">
      <alignment horizontal="center" vertical="center"/>
    </xf>
    <xf numFmtId="2" fontId="77" fillId="12" borderId="0" xfId="34" applyNumberFormat="1" applyFont="1" applyFill="1" applyBorder="1" applyAlignment="1">
      <alignment horizontal="center" vertical="center"/>
    </xf>
    <xf numFmtId="171" fontId="64" fillId="6" borderId="85" xfId="2" applyNumberFormat="1" applyFont="1" applyFill="1" applyBorder="1" applyAlignment="1">
      <alignment horizontal="center" vertical="center" wrapText="1"/>
    </xf>
    <xf numFmtId="171" fontId="64" fillId="6" borderId="85" xfId="2" applyNumberFormat="1" applyFont="1" applyFill="1" applyBorder="1" applyAlignment="1">
      <alignment horizontal="center" vertical="center" wrapText="1"/>
    </xf>
    <xf numFmtId="171" fontId="72" fillId="14" borderId="0" xfId="34" applyNumberFormat="1" applyFont="1" applyFill="1" applyBorder="1" applyAlignment="1">
      <alignment vertical="center"/>
    </xf>
    <xf numFmtId="171" fontId="73" fillId="14" borderId="0" xfId="34" applyNumberFormat="1" applyFont="1" applyFill="1" applyBorder="1" applyAlignment="1">
      <alignment vertical="center"/>
    </xf>
    <xf numFmtId="171" fontId="72" fillId="15" borderId="0" xfId="34" applyNumberFormat="1" applyFont="1" applyFill="1" applyBorder="1" applyAlignment="1">
      <alignment horizontal="center" vertical="center"/>
    </xf>
    <xf numFmtId="171" fontId="74" fillId="15" borderId="0" xfId="34" applyNumberFormat="1" applyFont="1" applyFill="1" applyBorder="1" applyAlignment="1">
      <alignment horizontal="center" vertical="center"/>
    </xf>
    <xf numFmtId="171" fontId="72" fillId="16" borderId="0" xfId="34" applyNumberFormat="1" applyFont="1" applyFill="1" applyBorder="1" applyAlignment="1">
      <alignment horizontal="center" vertical="center"/>
    </xf>
    <xf numFmtId="171" fontId="74" fillId="16" borderId="0" xfId="34" applyNumberFormat="1" applyFont="1" applyFill="1" applyBorder="1" applyAlignment="1">
      <alignment horizontal="center" vertical="center"/>
    </xf>
    <xf numFmtId="171" fontId="75" fillId="17" borderId="0" xfId="34" applyNumberFormat="1" applyFont="1" applyFill="1" applyBorder="1" applyAlignment="1">
      <alignment horizontal="center" vertical="center"/>
    </xf>
    <xf numFmtId="171" fontId="72" fillId="0" borderId="0" xfId="34" applyNumberFormat="1" applyFont="1" applyBorder="1" applyAlignment="1"/>
    <xf numFmtId="171" fontId="74" fillId="0" borderId="0" xfId="34" applyNumberFormat="1" applyFont="1" applyBorder="1" applyAlignment="1"/>
    <xf numFmtId="171" fontId="76" fillId="0" borderId="0" xfId="34" applyNumberFormat="1" applyFont="1" applyBorder="1" applyAlignment="1"/>
    <xf numFmtId="43" fontId="2" fillId="8" borderId="2" xfId="1" applyFont="1" applyFill="1" applyBorder="1" applyAlignment="1" applyProtection="1">
      <protection locked="0"/>
    </xf>
    <xf numFmtId="0" fontId="78" fillId="0" borderId="0" xfId="34" applyFont="1" applyBorder="1" applyAlignment="1">
      <alignment horizontal="center" vertical="center"/>
    </xf>
    <xf numFmtId="171" fontId="34" fillId="6" borderId="86" xfId="2" applyNumberFormat="1" applyFont="1" applyFill="1" applyBorder="1" applyAlignment="1">
      <alignment horizontal="center" vertical="center"/>
    </xf>
    <xf numFmtId="171" fontId="79" fillId="6" borderId="87" xfId="2" applyNumberFormat="1" applyFont="1" applyFill="1" applyBorder="1" applyAlignment="1">
      <alignment horizontal="center" vertical="center" wrapText="1"/>
    </xf>
    <xf numFmtId="171" fontId="79" fillId="6" borderId="88" xfId="2" applyNumberFormat="1" applyFont="1" applyFill="1" applyBorder="1" applyAlignment="1">
      <alignment horizontal="center" vertical="center" wrapText="1"/>
    </xf>
    <xf numFmtId="171" fontId="79" fillId="6" borderId="85" xfId="2" applyNumberFormat="1" applyFont="1" applyFill="1" applyBorder="1" applyAlignment="1">
      <alignment horizontal="center" vertical="center" wrapText="1"/>
    </xf>
    <xf numFmtId="171" fontId="64" fillId="6" borderId="89" xfId="2" applyNumberFormat="1" applyFont="1" applyFill="1" applyBorder="1" applyAlignment="1">
      <alignment horizontal="center" vertical="center" wrapText="1"/>
    </xf>
    <xf numFmtId="171" fontId="64" fillId="6" borderId="90" xfId="2" applyNumberFormat="1" applyFont="1" applyFill="1" applyBorder="1" applyAlignment="1">
      <alignment horizontal="center" vertical="center" wrapText="1"/>
    </xf>
    <xf numFmtId="171" fontId="64" fillId="6" borderId="91" xfId="2" applyNumberFormat="1" applyFont="1" applyFill="1" applyBorder="1" applyAlignment="1">
      <alignment horizontal="center" vertical="center" wrapText="1"/>
    </xf>
    <xf numFmtId="171" fontId="64" fillId="6" borderId="86" xfId="2" applyNumberFormat="1" applyFont="1" applyFill="1" applyBorder="1" applyAlignment="1">
      <alignment horizontal="center" vertical="center" wrapText="1"/>
    </xf>
    <xf numFmtId="171" fontId="64" fillId="6" borderId="87" xfId="2" applyNumberFormat="1" applyFont="1" applyFill="1" applyBorder="1" applyAlignment="1">
      <alignment horizontal="center" vertical="center" wrapText="1"/>
    </xf>
    <xf numFmtId="171" fontId="64" fillId="6" borderId="88" xfId="2" applyNumberFormat="1" applyFont="1" applyFill="1" applyBorder="1" applyAlignment="1">
      <alignment horizontal="center" vertical="center" wrapText="1"/>
    </xf>
    <xf numFmtId="171" fontId="64" fillId="6" borderId="85" xfId="2" applyNumberFormat="1" applyFont="1" applyFill="1" applyBorder="1" applyAlignment="1">
      <alignment horizontal="center" vertical="center" wrapText="1"/>
    </xf>
    <xf numFmtId="171" fontId="80" fillId="6" borderId="92" xfId="2" applyNumberFormat="1" applyFont="1" applyFill="1" applyBorder="1" applyAlignment="1">
      <alignment horizontal="center" vertical="center" wrapText="1"/>
    </xf>
    <xf numFmtId="171" fontId="80" fillId="6" borderId="93" xfId="2" applyNumberFormat="1" applyFont="1" applyFill="1" applyBorder="1" applyAlignment="1">
      <alignment horizontal="center" vertical="center" wrapText="1"/>
    </xf>
    <xf numFmtId="18" fontId="17" fillId="15" borderId="0" xfId="34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0" fontId="53" fillId="12" borderId="0" xfId="34" applyFont="1" applyFill="1" applyBorder="1" applyAlignment="1">
      <alignment horizontal="center" vertical="center"/>
    </xf>
    <xf numFmtId="0" fontId="53" fillId="11" borderId="0" xfId="34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81" fillId="19" borderId="11" xfId="8" applyFont="1" applyFill="1" applyBorder="1" applyAlignment="1" applyProtection="1">
      <alignment horizontal="center" vertical="center" wrapText="1"/>
      <protection locked="0"/>
    </xf>
    <xf numFmtId="43" fontId="81" fillId="19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0" fontId="1" fillId="0" borderId="56" xfId="59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0" fontId="17" fillId="14" borderId="0" xfId="34" applyFont="1" applyFill="1" applyBorder="1" applyAlignment="1">
      <alignment vertical="center"/>
    </xf>
    <xf numFmtId="0" fontId="52" fillId="19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8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8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8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8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8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8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1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1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1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1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1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1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1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5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8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8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8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8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8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8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8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8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8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1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5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5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5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6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6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6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6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6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9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9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9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9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9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9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9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1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1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1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3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6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6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6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6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6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6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6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6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29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3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3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3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MAR%20201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>
        <row r="18">
          <cell r="J18">
            <v>490.5</v>
          </cell>
          <cell r="K18">
            <v>994.5</v>
          </cell>
          <cell r="L18">
            <v>10</v>
          </cell>
          <cell r="O18">
            <v>100</v>
          </cell>
        </row>
        <row r="19">
          <cell r="J19">
            <v>490.5</v>
          </cell>
          <cell r="K19">
            <v>994.5</v>
          </cell>
          <cell r="L19">
            <v>10</v>
          </cell>
          <cell r="O19">
            <v>100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  <cell r="O20">
            <v>100</v>
          </cell>
        </row>
        <row r="21">
          <cell r="J21">
            <v>472.3</v>
          </cell>
          <cell r="K21">
            <v>957.7</v>
          </cell>
          <cell r="L21">
            <v>10</v>
          </cell>
          <cell r="O21">
            <v>100</v>
          </cell>
        </row>
        <row r="22">
          <cell r="J22">
            <v>472.3</v>
          </cell>
          <cell r="K22">
            <v>957.7</v>
          </cell>
          <cell r="L22">
            <v>10</v>
          </cell>
        </row>
        <row r="23">
          <cell r="K23">
            <v>0</v>
          </cell>
          <cell r="L23">
            <v>0</v>
          </cell>
          <cell r="O23">
            <v>0</v>
          </cell>
        </row>
        <row r="24">
          <cell r="K24">
            <v>0</v>
          </cell>
          <cell r="L24">
            <v>0</v>
          </cell>
          <cell r="O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O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O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O27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6"/>
  <sheetViews>
    <sheetView zoomScale="90" zoomScaleNormal="90" workbookViewId="0">
      <pane ySplit="6" topLeftCell="A130" activePane="bottomLeft" state="frozen"/>
      <selection pane="bottomLeft" activeCell="N141" sqref="N141"/>
    </sheetView>
  </sheetViews>
  <sheetFormatPr defaultRowHeight="15" customHeight="1"/>
  <cols>
    <col min="1" max="1" width="24.7109375" style="311" customWidth="1"/>
    <col min="2" max="7" width="8.7109375" style="311" customWidth="1"/>
    <col min="8" max="8" width="7.140625" style="322" bestFit="1" customWidth="1"/>
    <col min="9" max="9" width="9.140625" style="322" bestFit="1" customWidth="1"/>
    <col min="10" max="10" width="7.140625" style="322" bestFit="1" customWidth="1"/>
    <col min="11" max="11" width="7.5703125" style="322" bestFit="1" customWidth="1"/>
    <col min="12" max="12" width="5.42578125" style="326" bestFit="1" customWidth="1"/>
    <col min="13" max="13" width="4.7109375" style="326" bestFit="1" customWidth="1"/>
    <col min="14" max="15" width="4.42578125" style="326" bestFit="1" customWidth="1"/>
    <col min="16" max="17" width="5.7109375" style="326" hidden="1" customWidth="1"/>
    <col min="18" max="18" width="4.42578125" style="326" bestFit="1" customWidth="1"/>
    <col min="19" max="19" width="5.42578125" style="326" bestFit="1" customWidth="1"/>
    <col min="20" max="23" width="5.7109375" style="326" hidden="1" customWidth="1"/>
    <col min="24" max="24" width="6.140625" style="326" bestFit="1" customWidth="1"/>
    <col min="25" max="26" width="11.42578125" style="312" hidden="1" customWidth="1"/>
    <col min="27" max="27" width="30.85546875" style="314" customWidth="1"/>
    <col min="28" max="16384" width="9.140625" style="311"/>
  </cols>
  <sheetData>
    <row r="1" spans="1:27" s="277" customFormat="1" ht="30">
      <c r="A1" s="342" t="s">
        <v>157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  <c r="W1" s="342"/>
      <c r="X1" s="342"/>
      <c r="Y1" s="342"/>
      <c r="Z1" s="342"/>
      <c r="AA1" s="342"/>
    </row>
    <row r="2" spans="1:27" s="277" customFormat="1" ht="30">
      <c r="A2" s="342" t="s">
        <v>158</v>
      </c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  <c r="R2" s="342"/>
      <c r="S2" s="342"/>
      <c r="T2" s="342"/>
      <c r="U2" s="342"/>
      <c r="V2" s="342"/>
      <c r="W2" s="342"/>
      <c r="X2" s="342"/>
      <c r="Y2" s="342"/>
      <c r="Z2" s="342"/>
      <c r="AA2" s="342"/>
    </row>
    <row r="3" spans="1:27" s="277" customFormat="1" ht="30">
      <c r="A3" s="342" t="s">
        <v>159</v>
      </c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  <c r="X3" s="342"/>
      <c r="Y3" s="342"/>
      <c r="Z3" s="342"/>
      <c r="AA3" s="342"/>
    </row>
    <row r="4" spans="1:27" s="282" customFormat="1" ht="22.5" customHeight="1" thickBot="1">
      <c r="A4" s="278" t="s">
        <v>160</v>
      </c>
      <c r="B4" s="279"/>
      <c r="C4" s="279"/>
      <c r="D4" s="279"/>
      <c r="E4" s="279"/>
      <c r="F4" s="280"/>
      <c r="G4" s="280"/>
      <c r="H4" s="343" t="s">
        <v>161</v>
      </c>
      <c r="I4" s="343"/>
      <c r="J4" s="343"/>
      <c r="K4" s="343"/>
      <c r="L4" s="343"/>
      <c r="M4" s="343"/>
      <c r="N4" s="343"/>
      <c r="O4" s="343"/>
      <c r="P4" s="343"/>
      <c r="Q4" s="343"/>
      <c r="R4" s="343"/>
      <c r="S4" s="343"/>
      <c r="T4" s="343"/>
      <c r="U4" s="343"/>
      <c r="V4" s="343"/>
      <c r="W4" s="343"/>
      <c r="X4" s="343"/>
      <c r="Y4" s="281"/>
      <c r="Z4" s="281"/>
    </row>
    <row r="5" spans="1:27" s="282" customFormat="1" ht="22.5" customHeight="1" thickBot="1">
      <c r="A5" s="283" t="s">
        <v>162</v>
      </c>
      <c r="B5" s="284" t="s">
        <v>163</v>
      </c>
      <c r="C5" s="284"/>
      <c r="D5" s="284" t="s">
        <v>164</v>
      </c>
      <c r="E5" s="284"/>
      <c r="F5" s="284" t="s">
        <v>164</v>
      </c>
      <c r="G5" s="284"/>
      <c r="H5" s="344" t="s">
        <v>91</v>
      </c>
      <c r="I5" s="345"/>
      <c r="J5" s="345"/>
      <c r="K5" s="346"/>
      <c r="L5" s="347" t="s">
        <v>90</v>
      </c>
      <c r="M5" s="349" t="s">
        <v>165</v>
      </c>
      <c r="N5" s="349" t="s">
        <v>166</v>
      </c>
      <c r="O5" s="351" t="s">
        <v>167</v>
      </c>
      <c r="P5" s="352"/>
      <c r="Q5" s="353"/>
      <c r="R5" s="349" t="s">
        <v>168</v>
      </c>
      <c r="S5" s="351" t="s">
        <v>19</v>
      </c>
      <c r="T5" s="352"/>
      <c r="U5" s="353"/>
      <c r="V5" s="349" t="s">
        <v>126</v>
      </c>
      <c r="W5" s="349" t="s">
        <v>127</v>
      </c>
      <c r="X5" s="354" t="s">
        <v>105</v>
      </c>
      <c r="Y5" s="285" t="s">
        <v>169</v>
      </c>
      <c r="Z5" s="285"/>
      <c r="AA5" s="307" t="s">
        <v>170</v>
      </c>
    </row>
    <row r="6" spans="1:27" s="282" customFormat="1" ht="22.5" customHeight="1" thickBot="1">
      <c r="A6" s="283"/>
      <c r="B6" s="284" t="s">
        <v>171</v>
      </c>
      <c r="C6" s="284" t="s">
        <v>172</v>
      </c>
      <c r="D6" s="284" t="s">
        <v>171</v>
      </c>
      <c r="E6" s="284" t="s">
        <v>172</v>
      </c>
      <c r="F6" s="284" t="s">
        <v>171</v>
      </c>
      <c r="G6" s="284" t="s">
        <v>172</v>
      </c>
      <c r="H6" s="286" t="s">
        <v>173</v>
      </c>
      <c r="I6" s="286" t="s">
        <v>93</v>
      </c>
      <c r="J6" s="286" t="s">
        <v>94</v>
      </c>
      <c r="K6" s="287" t="s">
        <v>174</v>
      </c>
      <c r="L6" s="348"/>
      <c r="M6" s="350"/>
      <c r="N6" s="350"/>
      <c r="O6" s="288" t="s">
        <v>175</v>
      </c>
      <c r="P6" s="288" t="s">
        <v>176</v>
      </c>
      <c r="Q6" s="289" t="s">
        <v>127</v>
      </c>
      <c r="R6" s="350"/>
      <c r="S6" s="288" t="s">
        <v>175</v>
      </c>
      <c r="T6" s="288" t="s">
        <v>176</v>
      </c>
      <c r="U6" s="289" t="s">
        <v>127</v>
      </c>
      <c r="V6" s="350"/>
      <c r="W6" s="350"/>
      <c r="X6" s="355"/>
      <c r="Y6" s="285" t="s">
        <v>171</v>
      </c>
      <c r="Z6" s="285" t="s">
        <v>172</v>
      </c>
      <c r="AA6" s="307"/>
    </row>
    <row r="7" spans="1:27" s="277" customFormat="1" ht="22.5" customHeight="1">
      <c r="A7" s="290" t="s">
        <v>177</v>
      </c>
      <c r="B7" s="291" t="s">
        <v>178</v>
      </c>
      <c r="C7" s="291"/>
      <c r="D7" s="291"/>
      <c r="E7" s="291"/>
      <c r="F7" s="291"/>
      <c r="G7" s="291"/>
      <c r="H7" s="315"/>
      <c r="I7" s="315"/>
      <c r="J7" s="315"/>
      <c r="K7" s="315"/>
      <c r="L7" s="316"/>
      <c r="M7" s="316"/>
      <c r="N7" s="316"/>
      <c r="O7" s="316"/>
      <c r="P7" s="316"/>
      <c r="Q7" s="316"/>
      <c r="R7" s="316"/>
      <c r="S7" s="316"/>
      <c r="T7" s="316"/>
      <c r="U7" s="316"/>
      <c r="V7" s="316"/>
      <c r="W7" s="316"/>
      <c r="X7" s="316"/>
      <c r="Y7" s="292"/>
      <c r="Z7" s="292"/>
      <c r="AA7" s="291"/>
    </row>
    <row r="8" spans="1:27" s="277" customFormat="1" ht="22.5" customHeight="1">
      <c r="A8" s="290" t="s">
        <v>179</v>
      </c>
      <c r="B8" s="291" t="s">
        <v>180</v>
      </c>
      <c r="C8" s="291"/>
      <c r="D8" s="291"/>
      <c r="E8" s="291"/>
      <c r="F8" s="291"/>
      <c r="G8" s="291"/>
      <c r="H8" s="315"/>
      <c r="I8" s="315"/>
      <c r="J8" s="315"/>
      <c r="K8" s="315"/>
      <c r="L8" s="316"/>
      <c r="M8" s="316"/>
      <c r="N8" s="316"/>
      <c r="O8" s="316"/>
      <c r="P8" s="316"/>
      <c r="Q8" s="316"/>
      <c r="R8" s="316"/>
      <c r="S8" s="316"/>
      <c r="T8" s="316"/>
      <c r="U8" s="316"/>
      <c r="V8" s="316"/>
      <c r="W8" s="316"/>
      <c r="X8" s="316"/>
      <c r="Y8" s="292"/>
      <c r="Z8" s="292"/>
      <c r="AA8" s="291"/>
    </row>
    <row r="9" spans="1:27" s="277" customFormat="1" ht="22.5" customHeight="1">
      <c r="A9" s="293" t="s">
        <v>181</v>
      </c>
      <c r="B9" s="294">
        <v>0.46736111111111112</v>
      </c>
      <c r="C9" s="294">
        <v>0.59027777777777779</v>
      </c>
      <c r="D9" s="294">
        <v>0.46736111111111112</v>
      </c>
      <c r="E9" s="294">
        <v>0.59027777777777779</v>
      </c>
      <c r="F9" s="295">
        <v>0.47916666666666669</v>
      </c>
      <c r="G9" s="295">
        <v>0.59027777777777779</v>
      </c>
      <c r="H9" s="317"/>
      <c r="I9" s="317"/>
      <c r="J9" s="317"/>
      <c r="K9" s="317"/>
      <c r="L9" s="318"/>
      <c r="M9" s="318"/>
      <c r="N9" s="318"/>
      <c r="O9" s="318"/>
      <c r="P9" s="318"/>
      <c r="Q9" s="318"/>
      <c r="R9" s="318"/>
      <c r="S9" s="318"/>
      <c r="T9" s="318"/>
      <c r="U9" s="318"/>
      <c r="V9" s="318"/>
      <c r="W9" s="318"/>
      <c r="X9" s="318"/>
      <c r="Y9" s="296">
        <v>0</v>
      </c>
      <c r="Z9" s="296">
        <v>0</v>
      </c>
      <c r="AA9" s="293"/>
    </row>
    <row r="10" spans="1:27" s="277" customFormat="1" ht="22.5" customHeight="1">
      <c r="A10" s="297" t="s">
        <v>181</v>
      </c>
      <c r="B10" s="298">
        <v>0.74375000000000002</v>
      </c>
      <c r="C10" s="298">
        <v>0.98055555555555562</v>
      </c>
      <c r="D10" s="298">
        <v>0.74375000000000002</v>
      </c>
      <c r="E10" s="298">
        <v>0.98055555555555562</v>
      </c>
      <c r="F10" s="299">
        <v>0.75694444444444453</v>
      </c>
      <c r="G10" s="299">
        <v>0.97916666666666663</v>
      </c>
      <c r="H10" s="319"/>
      <c r="I10" s="319"/>
      <c r="J10" s="319"/>
      <c r="K10" s="319"/>
      <c r="L10" s="320">
        <v>1</v>
      </c>
      <c r="M10" s="320"/>
      <c r="N10" s="320"/>
      <c r="O10" s="320"/>
      <c r="P10" s="320"/>
      <c r="Q10" s="320"/>
      <c r="R10" s="320"/>
      <c r="S10" s="320">
        <v>1.5</v>
      </c>
      <c r="T10" s="320"/>
      <c r="U10" s="320"/>
      <c r="V10" s="320"/>
      <c r="W10" s="320"/>
      <c r="X10" s="320"/>
      <c r="Y10" s="300">
        <v>0</v>
      </c>
      <c r="Z10" s="300">
        <v>0</v>
      </c>
      <c r="AA10" s="297"/>
    </row>
    <row r="11" spans="1:27" s="277" customFormat="1" ht="22.5" customHeight="1">
      <c r="A11" s="293" t="s">
        <v>182</v>
      </c>
      <c r="B11" s="294">
        <v>0.47916666666666669</v>
      </c>
      <c r="C11" s="294">
        <v>0.58888888888888891</v>
      </c>
      <c r="D11" s="294">
        <v>0.47916666666666669</v>
      </c>
      <c r="E11" s="294">
        <v>0.58888888888888891</v>
      </c>
      <c r="F11" s="295">
        <v>0.47916666666666669</v>
      </c>
      <c r="G11" s="295">
        <v>0.58888888888888891</v>
      </c>
      <c r="H11" s="317"/>
      <c r="I11" s="317"/>
      <c r="J11" s="317"/>
      <c r="K11" s="317"/>
      <c r="L11" s="318"/>
      <c r="M11" s="318"/>
      <c r="N11" s="318"/>
      <c r="O11" s="318"/>
      <c r="P11" s="318"/>
      <c r="Q11" s="318"/>
      <c r="R11" s="318"/>
      <c r="S11" s="318"/>
      <c r="T11" s="318"/>
      <c r="U11" s="318"/>
      <c r="V11" s="318"/>
      <c r="W11" s="318"/>
      <c r="X11" s="318"/>
      <c r="Y11" s="296">
        <v>0</v>
      </c>
      <c r="Z11" s="296">
        <v>0</v>
      </c>
      <c r="AA11" s="293"/>
    </row>
    <row r="12" spans="1:27" s="277" customFormat="1" ht="22.5" customHeight="1">
      <c r="A12" s="297" t="s">
        <v>182</v>
      </c>
      <c r="B12" s="298">
        <v>0.75347222222222221</v>
      </c>
      <c r="C12" s="298">
        <v>0.97986111111111107</v>
      </c>
      <c r="D12" s="298">
        <v>0.75347222222222221</v>
      </c>
      <c r="E12" s="298">
        <v>0.97986111111111107</v>
      </c>
      <c r="F12" s="299">
        <v>0.75555555555555554</v>
      </c>
      <c r="G12" s="299">
        <v>0.97916666666666663</v>
      </c>
      <c r="H12" s="319"/>
      <c r="I12" s="319"/>
      <c r="J12" s="319"/>
      <c r="K12" s="319"/>
      <c r="L12" s="320">
        <v>1</v>
      </c>
      <c r="M12" s="320"/>
      <c r="N12" s="320"/>
      <c r="O12" s="320"/>
      <c r="P12" s="320"/>
      <c r="Q12" s="320"/>
      <c r="R12" s="320"/>
      <c r="S12" s="320">
        <v>1.5</v>
      </c>
      <c r="T12" s="320"/>
      <c r="U12" s="320"/>
      <c r="V12" s="320"/>
      <c r="W12" s="320"/>
      <c r="X12" s="320"/>
      <c r="Y12" s="300">
        <v>0</v>
      </c>
      <c r="Z12" s="300">
        <v>0</v>
      </c>
      <c r="AA12" s="297"/>
    </row>
    <row r="13" spans="1:27" s="277" customFormat="1" ht="22.5" customHeight="1">
      <c r="A13" s="293" t="s">
        <v>183</v>
      </c>
      <c r="B13" s="294">
        <v>0.47638888888888892</v>
      </c>
      <c r="C13" s="294">
        <v>0.58750000000000002</v>
      </c>
      <c r="D13" s="294">
        <v>0.47638888888888892</v>
      </c>
      <c r="E13" s="294">
        <v>0.58750000000000002</v>
      </c>
      <c r="F13" s="295">
        <v>0.47916666666666669</v>
      </c>
      <c r="G13" s="295">
        <v>0.58750000000000002</v>
      </c>
      <c r="H13" s="317"/>
      <c r="I13" s="317"/>
      <c r="J13" s="317"/>
      <c r="K13" s="317"/>
      <c r="L13" s="318"/>
      <c r="M13" s="318"/>
      <c r="N13" s="318"/>
      <c r="O13" s="318"/>
      <c r="P13" s="318"/>
      <c r="Q13" s="318"/>
      <c r="R13" s="318"/>
      <c r="S13" s="318"/>
      <c r="T13" s="318"/>
      <c r="U13" s="318"/>
      <c r="V13" s="318"/>
      <c r="W13" s="318"/>
      <c r="X13" s="318"/>
      <c r="Y13" s="296">
        <v>0</v>
      </c>
      <c r="Z13" s="296">
        <v>0</v>
      </c>
      <c r="AA13" s="293"/>
    </row>
    <row r="14" spans="1:27" s="277" customFormat="1" ht="22.5" customHeight="1">
      <c r="A14" s="297" t="s">
        <v>183</v>
      </c>
      <c r="B14" s="298">
        <v>0.7416666666666667</v>
      </c>
      <c r="C14" s="298">
        <v>0.97986111111111107</v>
      </c>
      <c r="D14" s="298">
        <v>0.7416666666666667</v>
      </c>
      <c r="E14" s="298">
        <v>0.97986111111111107</v>
      </c>
      <c r="F14" s="299">
        <v>0.75416666666666676</v>
      </c>
      <c r="G14" s="299">
        <v>0.97916666666666663</v>
      </c>
      <c r="H14" s="319"/>
      <c r="I14" s="319"/>
      <c r="J14" s="319"/>
      <c r="K14" s="319"/>
      <c r="L14" s="320">
        <v>1</v>
      </c>
      <c r="M14" s="320"/>
      <c r="N14" s="320"/>
      <c r="O14" s="320"/>
      <c r="P14" s="320"/>
      <c r="Q14" s="320"/>
      <c r="R14" s="320"/>
      <c r="S14" s="320">
        <v>1.5</v>
      </c>
      <c r="T14" s="320"/>
      <c r="U14" s="320"/>
      <c r="V14" s="320"/>
      <c r="W14" s="320"/>
      <c r="X14" s="320"/>
      <c r="Y14" s="300">
        <v>0</v>
      </c>
      <c r="Z14" s="300">
        <v>0</v>
      </c>
      <c r="AA14" s="297"/>
    </row>
    <row r="15" spans="1:27" s="277" customFormat="1" ht="22.5" customHeight="1">
      <c r="A15" s="297" t="s">
        <v>184</v>
      </c>
      <c r="B15" s="298">
        <v>0.4777777777777778</v>
      </c>
      <c r="C15" s="298">
        <v>0.59305555555555556</v>
      </c>
      <c r="D15" s="298">
        <v>0.4777777777777778</v>
      </c>
      <c r="E15" s="298">
        <v>0.59305555555555556</v>
      </c>
      <c r="F15" s="299">
        <v>0.47916666666666669</v>
      </c>
      <c r="G15" s="299">
        <v>0.59305555555555556</v>
      </c>
      <c r="H15" s="319"/>
      <c r="I15" s="319"/>
      <c r="J15" s="319"/>
      <c r="K15" s="319"/>
      <c r="L15" s="320"/>
      <c r="M15" s="320"/>
      <c r="N15" s="320"/>
      <c r="O15" s="320"/>
      <c r="P15" s="320"/>
      <c r="Q15" s="320"/>
      <c r="R15" s="320"/>
      <c r="S15" s="320"/>
      <c r="T15" s="320"/>
      <c r="U15" s="320"/>
      <c r="V15" s="320"/>
      <c r="W15" s="320"/>
      <c r="X15" s="320"/>
      <c r="Y15" s="300">
        <v>0</v>
      </c>
      <c r="Z15" s="300">
        <v>0</v>
      </c>
      <c r="AA15" s="297"/>
    </row>
    <row r="16" spans="1:27" s="277" customFormat="1" ht="22.5" customHeight="1">
      <c r="A16" s="293" t="s">
        <v>184</v>
      </c>
      <c r="B16" s="294">
        <v>0.76666666666666661</v>
      </c>
      <c r="C16" s="294">
        <v>0.97986111111111107</v>
      </c>
      <c r="D16" s="294">
        <v>0.76666666666666661</v>
      </c>
      <c r="E16" s="294">
        <v>0.97986111111111107</v>
      </c>
      <c r="F16" s="295">
        <v>0.7597222222222223</v>
      </c>
      <c r="G16" s="295">
        <v>0.97916666666666663</v>
      </c>
      <c r="H16" s="317"/>
      <c r="I16" s="317"/>
      <c r="J16" s="317"/>
      <c r="K16" s="317"/>
      <c r="L16" s="318">
        <v>1</v>
      </c>
      <c r="M16" s="318">
        <f>10/60</f>
        <v>0.16666666666666666</v>
      </c>
      <c r="N16" s="318"/>
      <c r="O16" s="318"/>
      <c r="P16" s="318"/>
      <c r="Q16" s="318"/>
      <c r="R16" s="318"/>
      <c r="S16" s="318">
        <v>1.5</v>
      </c>
      <c r="T16" s="318"/>
      <c r="U16" s="318"/>
      <c r="V16" s="318"/>
      <c r="W16" s="318"/>
      <c r="X16" s="318"/>
      <c r="Y16" s="296">
        <v>0</v>
      </c>
      <c r="Z16" s="296">
        <v>0</v>
      </c>
      <c r="AA16" s="293" t="s">
        <v>185</v>
      </c>
    </row>
    <row r="17" spans="1:27" s="277" customFormat="1" ht="22.5" customHeight="1">
      <c r="A17" s="293" t="s">
        <v>186</v>
      </c>
      <c r="B17" s="294">
        <v>0.47916666666666669</v>
      </c>
      <c r="C17" s="294">
        <v>0.59444444444444444</v>
      </c>
      <c r="D17" s="294">
        <v>0.47916666666666669</v>
      </c>
      <c r="E17" s="294">
        <v>0.59444444444444444</v>
      </c>
      <c r="F17" s="295">
        <v>0.47916666666666669</v>
      </c>
      <c r="G17" s="295">
        <v>0.59444444444444444</v>
      </c>
      <c r="H17" s="317"/>
      <c r="I17" s="317"/>
      <c r="J17" s="317"/>
      <c r="K17" s="317"/>
      <c r="L17" s="318"/>
      <c r="M17" s="318"/>
      <c r="N17" s="318"/>
      <c r="O17" s="318"/>
      <c r="P17" s="318"/>
      <c r="Q17" s="318"/>
      <c r="R17" s="318"/>
      <c r="S17" s="318"/>
      <c r="T17" s="318"/>
      <c r="U17" s="318"/>
      <c r="V17" s="318"/>
      <c r="W17" s="318"/>
      <c r="X17" s="318"/>
      <c r="Y17" s="296">
        <v>0</v>
      </c>
      <c r="Z17" s="296">
        <v>0</v>
      </c>
      <c r="AA17" s="293"/>
    </row>
    <row r="18" spans="1:27" s="277" customFormat="1" ht="22.5" customHeight="1">
      <c r="A18" s="297" t="s">
        <v>186</v>
      </c>
      <c r="B18" s="298">
        <v>0.75347222222222221</v>
      </c>
      <c r="C18" s="298">
        <v>0.98055555555555562</v>
      </c>
      <c r="D18" s="298">
        <v>0.75347222222222221</v>
      </c>
      <c r="E18" s="298">
        <v>0.98055555555555562</v>
      </c>
      <c r="F18" s="299">
        <v>0.76111111111111107</v>
      </c>
      <c r="G18" s="299">
        <v>0.97916666666666663</v>
      </c>
      <c r="H18" s="319"/>
      <c r="I18" s="319"/>
      <c r="J18" s="319"/>
      <c r="K18" s="319"/>
      <c r="L18" s="320">
        <v>1</v>
      </c>
      <c r="M18" s="320"/>
      <c r="N18" s="320"/>
      <c r="O18" s="320"/>
      <c r="P18" s="320"/>
      <c r="Q18" s="320"/>
      <c r="R18" s="320"/>
      <c r="S18" s="320">
        <v>1.5</v>
      </c>
      <c r="T18" s="320"/>
      <c r="U18" s="320"/>
      <c r="V18" s="320"/>
      <c r="W18" s="320"/>
      <c r="X18" s="320"/>
      <c r="Y18" s="300">
        <v>0</v>
      </c>
      <c r="Z18" s="300">
        <v>0</v>
      </c>
      <c r="AA18" s="297"/>
    </row>
    <row r="19" spans="1:27" s="277" customFormat="1" ht="22.5" customHeight="1">
      <c r="A19" s="293" t="s">
        <v>187</v>
      </c>
      <c r="B19" s="301"/>
      <c r="C19" s="301"/>
      <c r="D19" s="302"/>
      <c r="E19" s="302"/>
      <c r="F19" s="356" t="s">
        <v>188</v>
      </c>
      <c r="G19" s="356"/>
      <c r="H19" s="317"/>
      <c r="I19" s="317"/>
      <c r="J19" s="317"/>
      <c r="K19" s="317"/>
      <c r="L19" s="318"/>
      <c r="M19" s="318"/>
      <c r="N19" s="318"/>
      <c r="O19" s="318"/>
      <c r="P19" s="318"/>
      <c r="Q19" s="318"/>
      <c r="R19" s="318"/>
      <c r="S19" s="318"/>
      <c r="T19" s="318"/>
      <c r="U19" s="318"/>
      <c r="V19" s="318"/>
      <c r="W19" s="318"/>
      <c r="X19" s="318"/>
      <c r="Y19" s="303"/>
      <c r="Z19" s="303"/>
      <c r="AA19" s="293"/>
    </row>
    <row r="20" spans="1:27" s="277" customFormat="1" ht="22.5" customHeight="1">
      <c r="A20" s="297" t="s">
        <v>189</v>
      </c>
      <c r="B20" s="304"/>
      <c r="C20" s="304"/>
      <c r="D20" s="305"/>
      <c r="E20" s="305"/>
      <c r="F20" s="357" t="s">
        <v>188</v>
      </c>
      <c r="G20" s="357"/>
      <c r="H20" s="319"/>
      <c r="I20" s="319"/>
      <c r="J20" s="319"/>
      <c r="K20" s="319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6"/>
      <c r="Z20" s="306"/>
      <c r="AA20" s="297"/>
    </row>
    <row r="21" spans="1:27" s="277" customFormat="1" ht="22.5" customHeight="1">
      <c r="A21" s="297" t="s">
        <v>190</v>
      </c>
      <c r="B21" s="298">
        <v>0.47152777777777777</v>
      </c>
      <c r="C21" s="298">
        <v>0.59652777777777777</v>
      </c>
      <c r="D21" s="298">
        <v>0.47152777777777777</v>
      </c>
      <c r="E21" s="298">
        <v>0.59652777777777777</v>
      </c>
      <c r="F21" s="299">
        <v>0.47916666666666669</v>
      </c>
      <c r="G21" s="299">
        <v>0.59652777777777777</v>
      </c>
      <c r="H21" s="319"/>
      <c r="I21" s="319"/>
      <c r="J21" s="319"/>
      <c r="K21" s="319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0">
        <v>0</v>
      </c>
      <c r="Z21" s="300">
        <v>0</v>
      </c>
      <c r="AA21" s="297"/>
    </row>
    <row r="22" spans="1:27" s="277" customFormat="1" ht="22.5" customHeight="1">
      <c r="A22" s="293" t="s">
        <v>190</v>
      </c>
      <c r="B22" s="294">
        <v>0.75624999999999998</v>
      </c>
      <c r="C22" s="294">
        <v>0.97986111111111107</v>
      </c>
      <c r="D22" s="294">
        <v>0.75624999999999998</v>
      </c>
      <c r="E22" s="294">
        <v>0.97986111111111107</v>
      </c>
      <c r="F22" s="295">
        <v>0.7631944444444444</v>
      </c>
      <c r="G22" s="295">
        <v>0.97916666666666663</v>
      </c>
      <c r="H22" s="317"/>
      <c r="I22" s="317"/>
      <c r="J22" s="317"/>
      <c r="K22" s="317"/>
      <c r="L22" s="318">
        <v>1</v>
      </c>
      <c r="M22" s="318"/>
      <c r="N22" s="318"/>
      <c r="O22" s="318"/>
      <c r="P22" s="318"/>
      <c r="Q22" s="318"/>
      <c r="R22" s="318"/>
      <c r="S22" s="318">
        <v>1.5</v>
      </c>
      <c r="T22" s="318"/>
      <c r="U22" s="318"/>
      <c r="V22" s="318"/>
      <c r="W22" s="318"/>
      <c r="X22" s="318"/>
      <c r="Y22" s="296">
        <v>0</v>
      </c>
      <c r="Z22" s="296">
        <v>0</v>
      </c>
      <c r="AA22" s="293"/>
    </row>
    <row r="23" spans="1:27" s="277" customFormat="1" ht="22.5" customHeight="1">
      <c r="A23" s="293" t="s">
        <v>191</v>
      </c>
      <c r="B23" s="294">
        <v>0.47847222222222219</v>
      </c>
      <c r="C23" s="294">
        <v>0.58958333333333335</v>
      </c>
      <c r="D23" s="294">
        <v>0.47847222222222219</v>
      </c>
      <c r="E23" s="294">
        <v>0.58958333333333335</v>
      </c>
      <c r="F23" s="295">
        <v>0.47916666666666669</v>
      </c>
      <c r="G23" s="295">
        <v>0.58958333333333335</v>
      </c>
      <c r="H23" s="317"/>
      <c r="I23" s="317"/>
      <c r="J23" s="317"/>
      <c r="K23" s="317"/>
      <c r="L23" s="318"/>
      <c r="M23" s="318"/>
      <c r="N23" s="318"/>
      <c r="O23" s="318"/>
      <c r="P23" s="318"/>
      <c r="Q23" s="318"/>
      <c r="R23" s="318"/>
      <c r="S23" s="318"/>
      <c r="T23" s="318"/>
      <c r="U23" s="318"/>
      <c r="V23" s="318"/>
      <c r="W23" s="318"/>
      <c r="X23" s="318"/>
      <c r="Y23" s="296">
        <v>0</v>
      </c>
      <c r="Z23" s="296">
        <v>0</v>
      </c>
      <c r="AA23" s="293"/>
    </row>
    <row r="24" spans="1:27" s="277" customFormat="1" ht="22.5" customHeight="1">
      <c r="A24" s="297" t="s">
        <v>191</v>
      </c>
      <c r="B24" s="298">
        <v>0.63124999999999998</v>
      </c>
      <c r="C24" s="298">
        <v>0.85902777777777783</v>
      </c>
      <c r="D24" s="298">
        <v>0.63124999999999998</v>
      </c>
      <c r="E24" s="298">
        <v>0.85902777777777783</v>
      </c>
      <c r="F24" s="299">
        <v>0.63124999999999998</v>
      </c>
      <c r="G24" s="299">
        <v>0.85416666666666663</v>
      </c>
      <c r="H24" s="319"/>
      <c r="I24" s="319"/>
      <c r="J24" s="319"/>
      <c r="K24" s="319"/>
      <c r="L24" s="320">
        <v>1</v>
      </c>
      <c r="M24" s="320"/>
      <c r="N24" s="320"/>
      <c r="O24" s="320"/>
      <c r="P24" s="320"/>
      <c r="Q24" s="320"/>
      <c r="R24" s="320"/>
      <c r="S24" s="320"/>
      <c r="T24" s="320"/>
      <c r="U24" s="320"/>
      <c r="V24" s="320"/>
      <c r="W24" s="320"/>
      <c r="X24" s="320"/>
      <c r="Y24" s="300">
        <v>0</v>
      </c>
      <c r="Z24" s="300">
        <v>0</v>
      </c>
      <c r="AA24" s="297"/>
    </row>
    <row r="25" spans="1:27" s="277" customFormat="1" ht="22.5" customHeight="1">
      <c r="A25" s="297" t="s">
        <v>192</v>
      </c>
      <c r="B25" s="298">
        <v>0.47986111111111113</v>
      </c>
      <c r="C25" s="298">
        <v>0.58611111111111114</v>
      </c>
      <c r="D25" s="298">
        <v>0.47986111111111113</v>
      </c>
      <c r="E25" s="298">
        <v>0.58611111111111114</v>
      </c>
      <c r="F25" s="299">
        <v>0.47916666666666669</v>
      </c>
      <c r="G25" s="299">
        <v>0.58611111111111114</v>
      </c>
      <c r="H25" s="319"/>
      <c r="I25" s="319"/>
      <c r="J25" s="319"/>
      <c r="K25" s="319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0">
        <v>0</v>
      </c>
      <c r="Z25" s="300">
        <v>0</v>
      </c>
      <c r="AA25" s="297"/>
    </row>
    <row r="26" spans="1:27" s="277" customFormat="1" ht="22.5" customHeight="1">
      <c r="A26" s="293" t="s">
        <v>192</v>
      </c>
      <c r="B26" s="294">
        <v>0.62847222222222221</v>
      </c>
      <c r="C26" s="294">
        <v>0.86111111111111116</v>
      </c>
      <c r="D26" s="294">
        <v>0.62847222222222221</v>
      </c>
      <c r="E26" s="294">
        <v>0.86111111111111116</v>
      </c>
      <c r="F26" s="295">
        <v>0.62777777777777777</v>
      </c>
      <c r="G26" s="295">
        <v>0.85416666666666663</v>
      </c>
      <c r="H26" s="317"/>
      <c r="I26" s="317"/>
      <c r="J26" s="317"/>
      <c r="K26" s="317"/>
      <c r="L26" s="318">
        <v>1</v>
      </c>
      <c r="M26" s="318">
        <f>1/60</f>
        <v>1.6666666666666666E-2</v>
      </c>
      <c r="N26" s="318"/>
      <c r="O26" s="318"/>
      <c r="P26" s="318"/>
      <c r="Q26" s="318"/>
      <c r="R26" s="318"/>
      <c r="S26" s="318"/>
      <c r="T26" s="318"/>
      <c r="U26" s="318"/>
      <c r="V26" s="318"/>
      <c r="W26" s="318"/>
      <c r="X26" s="318"/>
      <c r="Y26" s="296">
        <v>0</v>
      </c>
      <c r="Z26" s="296">
        <v>0</v>
      </c>
      <c r="AA26" s="293"/>
    </row>
    <row r="27" spans="1:27" s="277" customFormat="1" ht="22.5" customHeight="1">
      <c r="A27" s="293" t="s">
        <v>193</v>
      </c>
      <c r="B27" s="294">
        <v>0.47847222222222219</v>
      </c>
      <c r="C27" s="294">
        <v>0.58333333333333337</v>
      </c>
      <c r="D27" s="294">
        <v>0.47847222222222219</v>
      </c>
      <c r="E27" s="294">
        <v>0.58333333333333337</v>
      </c>
      <c r="F27" s="295">
        <v>0.47916666666666669</v>
      </c>
      <c r="G27" s="295">
        <v>0.58333333333333337</v>
      </c>
      <c r="H27" s="317"/>
      <c r="I27" s="317"/>
      <c r="J27" s="317"/>
      <c r="K27" s="317"/>
      <c r="L27" s="318"/>
      <c r="M27" s="318"/>
      <c r="N27" s="318"/>
      <c r="O27" s="318"/>
      <c r="P27" s="318"/>
      <c r="Q27" s="318"/>
      <c r="R27" s="318"/>
      <c r="S27" s="318"/>
      <c r="T27" s="318"/>
      <c r="U27" s="318"/>
      <c r="V27" s="318"/>
      <c r="W27" s="318"/>
      <c r="X27" s="318"/>
      <c r="Y27" s="296">
        <v>0</v>
      </c>
      <c r="Z27" s="296">
        <v>0</v>
      </c>
      <c r="AA27" s="293"/>
    </row>
    <row r="28" spans="1:27" s="277" customFormat="1" ht="22.5" customHeight="1">
      <c r="A28" s="297" t="s">
        <v>193</v>
      </c>
      <c r="B28" s="298">
        <v>0.625</v>
      </c>
      <c r="C28" s="298">
        <v>0.85763888888888884</v>
      </c>
      <c r="D28" s="298">
        <v>0.625</v>
      </c>
      <c r="E28" s="298">
        <v>0.85763888888888884</v>
      </c>
      <c r="F28" s="299">
        <v>0.625</v>
      </c>
      <c r="G28" s="299">
        <v>0.85416666666666663</v>
      </c>
      <c r="H28" s="319"/>
      <c r="I28" s="319"/>
      <c r="J28" s="319"/>
      <c r="K28" s="319"/>
      <c r="L28" s="320">
        <v>1</v>
      </c>
      <c r="M28" s="320"/>
      <c r="N28" s="320"/>
      <c r="O28" s="320"/>
      <c r="P28" s="320"/>
      <c r="Q28" s="320"/>
      <c r="R28" s="320"/>
      <c r="S28" s="320"/>
      <c r="T28" s="320"/>
      <c r="U28" s="320"/>
      <c r="V28" s="320"/>
      <c r="W28" s="320"/>
      <c r="X28" s="320"/>
      <c r="Y28" s="300">
        <v>0</v>
      </c>
      <c r="Z28" s="300">
        <v>0</v>
      </c>
      <c r="AA28" s="297"/>
    </row>
    <row r="29" spans="1:27" s="277" customFormat="1" ht="22.5" customHeight="1">
      <c r="A29" s="297" t="s">
        <v>194</v>
      </c>
      <c r="B29" s="298">
        <v>0.4770833333333333</v>
      </c>
      <c r="C29" s="298">
        <v>0.58888888888888891</v>
      </c>
      <c r="D29" s="298">
        <v>0.4770833333333333</v>
      </c>
      <c r="E29" s="298">
        <v>0.58888888888888891</v>
      </c>
      <c r="F29" s="299">
        <v>0.47916666666666669</v>
      </c>
      <c r="G29" s="299">
        <v>0.58888888888888891</v>
      </c>
      <c r="H29" s="319"/>
      <c r="I29" s="319"/>
      <c r="J29" s="319"/>
      <c r="K29" s="319"/>
      <c r="L29" s="320"/>
      <c r="M29" s="320"/>
      <c r="N29" s="320"/>
      <c r="O29" s="320"/>
      <c r="P29" s="320"/>
      <c r="Q29" s="320"/>
      <c r="R29" s="320"/>
      <c r="S29" s="320"/>
      <c r="T29" s="320"/>
      <c r="U29" s="320"/>
      <c r="V29" s="320"/>
      <c r="W29" s="320"/>
      <c r="X29" s="320"/>
      <c r="Y29" s="300">
        <v>0</v>
      </c>
      <c r="Z29" s="300">
        <v>0</v>
      </c>
      <c r="AA29" s="297"/>
    </row>
    <row r="30" spans="1:27" s="277" customFormat="1" ht="22.5" customHeight="1">
      <c r="A30" s="293" t="s">
        <v>194</v>
      </c>
      <c r="B30" s="294">
        <v>0.63055555555555554</v>
      </c>
      <c r="C30" s="294">
        <v>0.8569444444444444</v>
      </c>
      <c r="D30" s="294">
        <v>0.63055555555555554</v>
      </c>
      <c r="E30" s="294">
        <v>0.8569444444444444</v>
      </c>
      <c r="F30" s="295">
        <v>0.63055555555555554</v>
      </c>
      <c r="G30" s="295">
        <v>0.85416666666666663</v>
      </c>
      <c r="H30" s="317"/>
      <c r="I30" s="317"/>
      <c r="J30" s="317"/>
      <c r="K30" s="317"/>
      <c r="L30" s="318">
        <v>1</v>
      </c>
      <c r="M30" s="318"/>
      <c r="N30" s="318"/>
      <c r="O30" s="318"/>
      <c r="P30" s="318"/>
      <c r="Q30" s="318"/>
      <c r="R30" s="318"/>
      <c r="S30" s="318"/>
      <c r="T30" s="318"/>
      <c r="U30" s="318"/>
      <c r="V30" s="318"/>
      <c r="W30" s="318"/>
      <c r="X30" s="318"/>
      <c r="Y30" s="296">
        <v>0</v>
      </c>
      <c r="Z30" s="296">
        <v>0</v>
      </c>
      <c r="AA30" s="293"/>
    </row>
    <row r="31" spans="1:27" s="277" customFormat="1" ht="22.5" customHeight="1">
      <c r="A31" s="293" t="s">
        <v>195</v>
      </c>
      <c r="B31" s="294">
        <v>0.49513888888888885</v>
      </c>
      <c r="C31" s="294">
        <v>0.63124999999999998</v>
      </c>
      <c r="D31" s="294">
        <v>0.49513888888888885</v>
      </c>
      <c r="E31" s="294">
        <v>0.63124999999999998</v>
      </c>
      <c r="F31" s="295">
        <v>0.5</v>
      </c>
      <c r="G31" s="295">
        <v>0.875</v>
      </c>
      <c r="H31" s="317"/>
      <c r="I31" s="317"/>
      <c r="J31" s="317"/>
      <c r="K31" s="317"/>
      <c r="L31" s="318"/>
      <c r="M31" s="318"/>
      <c r="N31" s="318"/>
      <c r="O31" s="318"/>
      <c r="P31" s="318"/>
      <c r="Q31" s="318"/>
      <c r="R31" s="318"/>
      <c r="S31" s="318"/>
      <c r="T31" s="318"/>
      <c r="U31" s="318"/>
      <c r="V31" s="318"/>
      <c r="W31" s="318"/>
      <c r="X31" s="318"/>
      <c r="Y31" s="296">
        <v>0</v>
      </c>
      <c r="Z31" s="296">
        <v>0</v>
      </c>
      <c r="AA31" s="293"/>
    </row>
    <row r="32" spans="1:27" s="277" customFormat="1" ht="22.5" customHeight="1">
      <c r="A32" s="297" t="s">
        <v>195</v>
      </c>
      <c r="B32" s="298">
        <v>0.67152777777777783</v>
      </c>
      <c r="C32" s="298">
        <v>0.875</v>
      </c>
      <c r="D32" s="298">
        <v>0.67152777777777783</v>
      </c>
      <c r="E32" s="298">
        <v>0.875</v>
      </c>
      <c r="F32" s="357"/>
      <c r="G32" s="357"/>
      <c r="H32" s="319"/>
      <c r="I32" s="319"/>
      <c r="J32" s="319"/>
      <c r="K32" s="319"/>
      <c r="L32" s="320">
        <v>1</v>
      </c>
      <c r="M32" s="320"/>
      <c r="N32" s="320"/>
      <c r="O32" s="320"/>
      <c r="P32" s="320"/>
      <c r="Q32" s="320"/>
      <c r="R32" s="320"/>
      <c r="S32" s="320"/>
      <c r="T32" s="320"/>
      <c r="U32" s="320"/>
      <c r="V32" s="320"/>
      <c r="W32" s="320"/>
      <c r="X32" s="320"/>
      <c r="Y32" s="300">
        <v>0</v>
      </c>
      <c r="Z32" s="300">
        <v>0</v>
      </c>
      <c r="AA32" s="297"/>
    </row>
    <row r="33" spans="1:27" s="277" customFormat="1" ht="22.5" customHeight="1">
      <c r="A33" s="307" t="s">
        <v>3</v>
      </c>
      <c r="B33" s="307"/>
      <c r="C33" s="307"/>
      <c r="D33" s="307"/>
      <c r="E33" s="307"/>
      <c r="F33" s="307"/>
      <c r="G33" s="307"/>
      <c r="H33" s="321">
        <f>SUM(H8:H32)</f>
        <v>0</v>
      </c>
      <c r="I33" s="321">
        <f t="shared" ref="I33:X33" si="0">SUM(I8:I32)</f>
        <v>0</v>
      </c>
      <c r="J33" s="321">
        <f t="shared" si="0"/>
        <v>0</v>
      </c>
      <c r="K33" s="321">
        <f t="shared" si="0"/>
        <v>0</v>
      </c>
      <c r="L33" s="321">
        <f t="shared" si="0"/>
        <v>11</v>
      </c>
      <c r="M33" s="321">
        <f t="shared" si="0"/>
        <v>0.18333333333333332</v>
      </c>
      <c r="N33" s="321">
        <f t="shared" si="0"/>
        <v>0</v>
      </c>
      <c r="O33" s="321">
        <f t="shared" si="0"/>
        <v>0</v>
      </c>
      <c r="P33" s="321">
        <f t="shared" si="0"/>
        <v>0</v>
      </c>
      <c r="Q33" s="321">
        <f t="shared" si="0"/>
        <v>0</v>
      </c>
      <c r="R33" s="321">
        <f t="shared" si="0"/>
        <v>0</v>
      </c>
      <c r="S33" s="321">
        <f t="shared" si="0"/>
        <v>9</v>
      </c>
      <c r="T33" s="321">
        <f t="shared" si="0"/>
        <v>0</v>
      </c>
      <c r="U33" s="321">
        <f t="shared" si="0"/>
        <v>0</v>
      </c>
      <c r="V33" s="321">
        <f t="shared" si="0"/>
        <v>0</v>
      </c>
      <c r="W33" s="321">
        <f t="shared" si="0"/>
        <v>0</v>
      </c>
      <c r="X33" s="321">
        <f t="shared" si="0"/>
        <v>0</v>
      </c>
      <c r="Y33" s="285"/>
      <c r="Z33" s="285"/>
      <c r="AA33" s="307"/>
    </row>
    <row r="34" spans="1:27" s="277" customFormat="1" ht="22.5" customHeight="1" thickBot="1">
      <c r="H34" s="322"/>
      <c r="I34" s="322"/>
      <c r="J34" s="322"/>
      <c r="K34" s="322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08"/>
      <c r="Z34" s="308"/>
    </row>
    <row r="35" spans="1:27" s="277" customFormat="1" ht="22.5" customHeight="1" thickBot="1">
      <c r="A35" s="290" t="s">
        <v>177</v>
      </c>
      <c r="B35" s="291" t="s">
        <v>196</v>
      </c>
      <c r="C35" s="291"/>
      <c r="D35" s="291"/>
      <c r="E35" s="291"/>
      <c r="F35" s="291"/>
      <c r="G35" s="291"/>
      <c r="H35" s="344" t="s">
        <v>91</v>
      </c>
      <c r="I35" s="345"/>
      <c r="J35" s="345"/>
      <c r="K35" s="346"/>
      <c r="L35" s="347" t="s">
        <v>90</v>
      </c>
      <c r="M35" s="349" t="s">
        <v>165</v>
      </c>
      <c r="N35" s="349" t="s">
        <v>166</v>
      </c>
      <c r="O35" s="351" t="s">
        <v>167</v>
      </c>
      <c r="P35" s="352"/>
      <c r="Q35" s="353"/>
      <c r="R35" s="349" t="s">
        <v>168</v>
      </c>
      <c r="S35" s="351" t="s">
        <v>19</v>
      </c>
      <c r="T35" s="352"/>
      <c r="U35" s="353"/>
      <c r="V35" s="349" t="s">
        <v>126</v>
      </c>
      <c r="W35" s="349" t="s">
        <v>127</v>
      </c>
      <c r="X35" s="354" t="s">
        <v>105</v>
      </c>
      <c r="Y35" s="285" t="s">
        <v>169</v>
      </c>
      <c r="Z35" s="285"/>
      <c r="AA35" s="307" t="s">
        <v>170</v>
      </c>
    </row>
    <row r="36" spans="1:27" s="277" customFormat="1" ht="22.5" customHeight="1" thickBot="1">
      <c r="A36" s="290" t="s">
        <v>179</v>
      </c>
      <c r="B36" s="291" t="s">
        <v>197</v>
      </c>
      <c r="C36" s="291"/>
      <c r="D36" s="291"/>
      <c r="E36" s="291"/>
      <c r="F36" s="291"/>
      <c r="G36" s="291"/>
      <c r="H36" s="286" t="s">
        <v>173</v>
      </c>
      <c r="I36" s="286" t="s">
        <v>93</v>
      </c>
      <c r="J36" s="286" t="s">
        <v>94</v>
      </c>
      <c r="K36" s="287" t="s">
        <v>174</v>
      </c>
      <c r="L36" s="348"/>
      <c r="M36" s="350"/>
      <c r="N36" s="350"/>
      <c r="O36" s="288" t="s">
        <v>175</v>
      </c>
      <c r="P36" s="288" t="s">
        <v>176</v>
      </c>
      <c r="Q36" s="313" t="s">
        <v>127</v>
      </c>
      <c r="R36" s="350"/>
      <c r="S36" s="288" t="s">
        <v>175</v>
      </c>
      <c r="T36" s="288" t="s">
        <v>176</v>
      </c>
      <c r="U36" s="313" t="s">
        <v>127</v>
      </c>
      <c r="V36" s="350"/>
      <c r="W36" s="350"/>
      <c r="X36" s="355"/>
      <c r="Y36" s="285" t="s">
        <v>171</v>
      </c>
      <c r="Z36" s="285" t="s">
        <v>172</v>
      </c>
      <c r="AA36" s="307"/>
    </row>
    <row r="37" spans="1:27" s="277" customFormat="1" ht="22.5" customHeight="1">
      <c r="A37" s="293" t="s">
        <v>181</v>
      </c>
      <c r="B37" s="301"/>
      <c r="C37" s="301"/>
      <c r="D37" s="302"/>
      <c r="E37" s="302"/>
      <c r="F37" s="356" t="s">
        <v>188</v>
      </c>
      <c r="G37" s="356"/>
      <c r="H37" s="317"/>
      <c r="I37" s="317"/>
      <c r="J37" s="317"/>
      <c r="K37" s="317"/>
      <c r="L37" s="318"/>
      <c r="M37" s="318"/>
      <c r="N37" s="318"/>
      <c r="O37" s="318"/>
      <c r="P37" s="318"/>
      <c r="Q37" s="318"/>
      <c r="R37" s="318"/>
      <c r="S37" s="318"/>
      <c r="T37" s="318"/>
      <c r="U37" s="318"/>
      <c r="V37" s="318"/>
      <c r="W37" s="318"/>
      <c r="X37" s="318"/>
      <c r="Y37" s="303"/>
      <c r="Z37" s="303"/>
      <c r="AA37" s="293"/>
    </row>
    <row r="38" spans="1:27" s="277" customFormat="1" ht="22.5" customHeight="1">
      <c r="A38" s="297" t="s">
        <v>182</v>
      </c>
      <c r="B38" s="298">
        <v>0.53055555555555556</v>
      </c>
      <c r="C38" s="298">
        <v>0.59861111111111109</v>
      </c>
      <c r="D38" s="298">
        <v>0.53055555555555556</v>
      </c>
      <c r="E38" s="298">
        <v>0.59861111111111109</v>
      </c>
      <c r="F38" s="299">
        <v>0.52083333333333337</v>
      </c>
      <c r="G38" s="299">
        <v>0.59861111111111109</v>
      </c>
      <c r="H38" s="319"/>
      <c r="I38" s="319"/>
      <c r="J38" s="319"/>
      <c r="K38" s="319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0">
        <v>0.33333333333333331</v>
      </c>
      <c r="Z38" s="300">
        <v>0.70833333333333337</v>
      </c>
      <c r="AA38" s="297" t="s">
        <v>198</v>
      </c>
    </row>
    <row r="39" spans="1:27" s="277" customFormat="1" ht="22.5" customHeight="1">
      <c r="A39" s="293" t="s">
        <v>182</v>
      </c>
      <c r="B39" s="294">
        <v>0.6381944444444444</v>
      </c>
      <c r="C39" s="294">
        <v>0.90347222222222223</v>
      </c>
      <c r="D39" s="294">
        <v>0.6381944444444444</v>
      </c>
      <c r="E39" s="294">
        <v>0.90347222222222223</v>
      </c>
      <c r="F39" s="295">
        <v>0.64027777777777783</v>
      </c>
      <c r="G39" s="295">
        <v>0.89583333333333337</v>
      </c>
      <c r="H39" s="317"/>
      <c r="I39" s="317"/>
      <c r="J39" s="317"/>
      <c r="K39" s="317"/>
      <c r="L39" s="318">
        <v>1</v>
      </c>
      <c r="M39" s="318">
        <f>14/60</f>
        <v>0.23333333333333334</v>
      </c>
      <c r="N39" s="318"/>
      <c r="O39" s="318"/>
      <c r="P39" s="318"/>
      <c r="Q39" s="318"/>
      <c r="R39" s="318"/>
      <c r="S39" s="318"/>
      <c r="T39" s="318"/>
      <c r="U39" s="318"/>
      <c r="V39" s="318"/>
      <c r="W39" s="318"/>
      <c r="X39" s="318"/>
      <c r="Y39" s="296">
        <v>0.33333333333333331</v>
      </c>
      <c r="Z39" s="296">
        <v>0.70833333333333337</v>
      </c>
      <c r="AA39" s="293"/>
    </row>
    <row r="40" spans="1:27" s="277" customFormat="1" ht="22.5" customHeight="1">
      <c r="A40" s="297" t="s">
        <v>183</v>
      </c>
      <c r="B40" s="298">
        <v>0.49861111111111112</v>
      </c>
      <c r="C40" s="298">
        <v>0.65138888888888891</v>
      </c>
      <c r="D40" s="298">
        <v>0.49861111111111112</v>
      </c>
      <c r="E40" s="298">
        <v>0.65138888888888891</v>
      </c>
      <c r="F40" s="299">
        <v>0.47916666666666669</v>
      </c>
      <c r="G40" s="299">
        <v>0.65138888888888891</v>
      </c>
      <c r="H40" s="319"/>
      <c r="I40" s="319"/>
      <c r="J40" s="319"/>
      <c r="K40" s="319"/>
      <c r="L40" s="320"/>
      <c r="M40" s="320"/>
      <c r="N40" s="320"/>
      <c r="O40" s="320"/>
      <c r="P40" s="320"/>
      <c r="Q40" s="320"/>
      <c r="R40" s="320"/>
      <c r="S40" s="320"/>
      <c r="T40" s="320"/>
      <c r="U40" s="320"/>
      <c r="V40" s="320"/>
      <c r="W40" s="320"/>
      <c r="X40" s="320"/>
      <c r="Y40" s="300">
        <v>0.33333333333333331</v>
      </c>
      <c r="Z40" s="300">
        <v>0.70833333333333337</v>
      </c>
      <c r="AA40" s="297" t="s">
        <v>199</v>
      </c>
    </row>
    <row r="41" spans="1:27" s="277" customFormat="1" ht="22.5" customHeight="1">
      <c r="A41" s="293" t="s">
        <v>183</v>
      </c>
      <c r="B41" s="294">
        <v>0.81805555555555554</v>
      </c>
      <c r="C41" s="294">
        <v>0.97986111111111107</v>
      </c>
      <c r="D41" s="294">
        <v>0.81805555555555554</v>
      </c>
      <c r="E41" s="294">
        <v>0.97986111111111107</v>
      </c>
      <c r="F41" s="295">
        <v>0.81805555555555554</v>
      </c>
      <c r="G41" s="295">
        <v>0.97916666666666663</v>
      </c>
      <c r="H41" s="317"/>
      <c r="I41" s="317"/>
      <c r="J41" s="317"/>
      <c r="K41" s="317"/>
      <c r="L41" s="318">
        <v>1</v>
      </c>
      <c r="M41" s="318"/>
      <c r="N41" s="318"/>
      <c r="O41" s="318"/>
      <c r="P41" s="318"/>
      <c r="Q41" s="318"/>
      <c r="R41" s="318"/>
      <c r="S41" s="318">
        <v>1.5</v>
      </c>
      <c r="T41" s="318"/>
      <c r="U41" s="318"/>
      <c r="V41" s="318"/>
      <c r="W41" s="318"/>
      <c r="X41" s="318"/>
      <c r="Y41" s="296">
        <v>0.33333333333333331</v>
      </c>
      <c r="Z41" s="296">
        <v>0.70833333333333337</v>
      </c>
      <c r="AA41" s="293"/>
    </row>
    <row r="42" spans="1:27" s="277" customFormat="1" ht="22.5" customHeight="1">
      <c r="A42" s="297" t="s">
        <v>184</v>
      </c>
      <c r="B42" s="298">
        <v>0.25763888888888892</v>
      </c>
      <c r="C42" s="298">
        <v>0.57777777777777783</v>
      </c>
      <c r="D42" s="298">
        <v>0.25763888888888892</v>
      </c>
      <c r="E42" s="298">
        <v>0.57777777777777783</v>
      </c>
      <c r="F42" s="299">
        <v>0.25</v>
      </c>
      <c r="G42" s="299">
        <v>0.57777777777777783</v>
      </c>
      <c r="H42" s="319"/>
      <c r="I42" s="319"/>
      <c r="J42" s="319"/>
      <c r="K42" s="319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0">
        <v>0.33333333333333331</v>
      </c>
      <c r="Z42" s="300">
        <v>0.70833333333333337</v>
      </c>
      <c r="AA42" s="297" t="s">
        <v>200</v>
      </c>
    </row>
    <row r="43" spans="1:27" s="277" customFormat="1" ht="22.5" customHeight="1">
      <c r="A43" s="293" t="s">
        <v>184</v>
      </c>
      <c r="B43" s="294">
        <v>0.62083333333333335</v>
      </c>
      <c r="C43" s="294">
        <v>0.65694444444444444</v>
      </c>
      <c r="D43" s="294">
        <v>0.62083333333333335</v>
      </c>
      <c r="E43" s="294">
        <v>0.65694444444444444</v>
      </c>
      <c r="F43" s="295">
        <v>0.61944444444444446</v>
      </c>
      <c r="G43" s="295">
        <v>0.625</v>
      </c>
      <c r="H43" s="317"/>
      <c r="I43" s="317"/>
      <c r="J43" s="317"/>
      <c r="K43" s="317"/>
      <c r="L43" s="318">
        <v>1</v>
      </c>
      <c r="M43" s="318">
        <f>(11+2)/60</f>
        <v>0.21666666666666667</v>
      </c>
      <c r="N43" s="318"/>
      <c r="O43" s="318"/>
      <c r="P43" s="318"/>
      <c r="Q43" s="318"/>
      <c r="R43" s="318"/>
      <c r="S43" s="318"/>
      <c r="T43" s="318"/>
      <c r="U43" s="318"/>
      <c r="V43" s="318"/>
      <c r="W43" s="318"/>
      <c r="X43" s="318"/>
      <c r="Y43" s="296">
        <v>0.33333333333333331</v>
      </c>
      <c r="Z43" s="296">
        <v>0.70833333333333337</v>
      </c>
      <c r="AA43" s="293"/>
    </row>
    <row r="44" spans="1:27" s="277" customFormat="1" ht="22.5" customHeight="1">
      <c r="A44" s="293" t="s">
        <v>186</v>
      </c>
      <c r="B44" s="294">
        <v>0.25972222222222224</v>
      </c>
      <c r="C44" s="294">
        <v>0.40833333333333338</v>
      </c>
      <c r="D44" s="294">
        <v>0.25972222222222224</v>
      </c>
      <c r="E44" s="294">
        <v>0.40833333333333338</v>
      </c>
      <c r="F44" s="295">
        <v>0.25</v>
      </c>
      <c r="G44" s="295">
        <v>0.90833333333333333</v>
      </c>
      <c r="H44" s="317"/>
      <c r="I44" s="317"/>
      <c r="J44" s="317"/>
      <c r="K44" s="317"/>
      <c r="L44" s="318"/>
      <c r="M44" s="318"/>
      <c r="N44" s="318"/>
      <c r="O44" s="318"/>
      <c r="P44" s="318"/>
      <c r="Q44" s="318"/>
      <c r="R44" s="318"/>
      <c r="S44" s="318"/>
      <c r="T44" s="318"/>
      <c r="U44" s="318"/>
      <c r="V44" s="318"/>
      <c r="W44" s="318"/>
      <c r="X44" s="318"/>
      <c r="Y44" s="296">
        <v>0.33333333333333331</v>
      </c>
      <c r="Z44" s="296">
        <v>0.70833333333333337</v>
      </c>
      <c r="AA44" s="293" t="s">
        <v>198</v>
      </c>
    </row>
    <row r="45" spans="1:27" s="277" customFormat="1" ht="22.5" customHeight="1">
      <c r="A45" s="297" t="s">
        <v>186</v>
      </c>
      <c r="B45" s="298">
        <v>0.44930555555555557</v>
      </c>
      <c r="C45" s="298">
        <v>0.63611111111111118</v>
      </c>
      <c r="D45" s="298">
        <v>0.44930555555555557</v>
      </c>
      <c r="E45" s="298">
        <v>0.63611111111111118</v>
      </c>
      <c r="F45" s="299">
        <v>0.95000000000000007</v>
      </c>
      <c r="G45" s="299">
        <v>0.625</v>
      </c>
      <c r="H45" s="319"/>
      <c r="I45" s="319"/>
      <c r="J45" s="319"/>
      <c r="K45" s="319"/>
      <c r="L45" s="320">
        <v>1</v>
      </c>
      <c r="M45" s="320">
        <f>14/60</f>
        <v>0.23333333333333334</v>
      </c>
      <c r="N45" s="320"/>
      <c r="O45" s="320"/>
      <c r="P45" s="320"/>
      <c r="Q45" s="320"/>
      <c r="R45" s="320"/>
      <c r="S45" s="320"/>
      <c r="T45" s="320"/>
      <c r="U45" s="320"/>
      <c r="V45" s="320"/>
      <c r="W45" s="320"/>
      <c r="X45" s="320"/>
      <c r="Y45" s="300">
        <v>0.33333333333333331</v>
      </c>
      <c r="Z45" s="300">
        <v>0.70833333333333337</v>
      </c>
      <c r="AA45" s="297"/>
    </row>
    <row r="46" spans="1:27" s="277" customFormat="1" ht="22.5" customHeight="1">
      <c r="A46" s="297" t="s">
        <v>187</v>
      </c>
      <c r="B46" s="298">
        <v>0.5131944444444444</v>
      </c>
      <c r="C46" s="298">
        <v>0.63263888888888886</v>
      </c>
      <c r="D46" s="298">
        <v>0.5131944444444444</v>
      </c>
      <c r="E46" s="298">
        <v>0.63263888888888886</v>
      </c>
      <c r="F46" s="299">
        <v>0.5</v>
      </c>
      <c r="G46" s="299">
        <v>0.63263888888888886</v>
      </c>
      <c r="H46" s="319"/>
      <c r="I46" s="319"/>
      <c r="J46" s="319"/>
      <c r="K46" s="319"/>
      <c r="L46" s="320"/>
      <c r="M46" s="320"/>
      <c r="N46" s="320"/>
      <c r="O46" s="320"/>
      <c r="P46" s="320"/>
      <c r="Q46" s="320"/>
      <c r="R46" s="320"/>
      <c r="S46" s="320"/>
      <c r="T46" s="320"/>
      <c r="U46" s="320"/>
      <c r="V46" s="320"/>
      <c r="W46" s="320"/>
      <c r="X46" s="320"/>
      <c r="Y46" s="300">
        <v>0.33333333333333331</v>
      </c>
      <c r="Z46" s="300">
        <v>0.70833333333333337</v>
      </c>
      <c r="AA46" s="297" t="s">
        <v>201</v>
      </c>
    </row>
    <row r="47" spans="1:27" s="277" customFormat="1" ht="22.5" customHeight="1">
      <c r="A47" s="293" t="s">
        <v>187</v>
      </c>
      <c r="B47" s="294">
        <v>0.67361111111111116</v>
      </c>
      <c r="C47" s="294">
        <v>0.875</v>
      </c>
      <c r="D47" s="294">
        <v>0.67361111111111116</v>
      </c>
      <c r="E47" s="294">
        <v>0.875</v>
      </c>
      <c r="F47" s="295">
        <v>0.6743055555555556</v>
      </c>
      <c r="G47" s="295">
        <v>0.625</v>
      </c>
      <c r="H47" s="317"/>
      <c r="I47" s="317"/>
      <c r="J47" s="317"/>
      <c r="K47" s="317"/>
      <c r="L47" s="318">
        <v>1</v>
      </c>
      <c r="M47" s="318">
        <f>19/60</f>
        <v>0.31666666666666665</v>
      </c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296">
        <v>0.33333333333333331</v>
      </c>
      <c r="Z47" s="296">
        <v>0.70833333333333337</v>
      </c>
      <c r="AA47" s="293"/>
    </row>
    <row r="48" spans="1:27" s="277" customFormat="1" ht="22.5" customHeight="1">
      <c r="A48" s="297" t="s">
        <v>189</v>
      </c>
      <c r="B48" s="304"/>
      <c r="C48" s="304"/>
      <c r="D48" s="305"/>
      <c r="E48" s="305"/>
      <c r="F48" s="357" t="s">
        <v>188</v>
      </c>
      <c r="G48" s="357"/>
      <c r="H48" s="319"/>
      <c r="I48" s="319"/>
      <c r="J48" s="319"/>
      <c r="K48" s="319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6"/>
      <c r="Z48" s="306"/>
      <c r="AA48" s="297"/>
    </row>
    <row r="49" spans="1:27" s="277" customFormat="1" ht="22.5" customHeight="1">
      <c r="A49" s="293" t="s">
        <v>190</v>
      </c>
      <c r="B49" s="294">
        <v>0.26319444444444445</v>
      </c>
      <c r="C49" s="294">
        <v>0.45694444444444443</v>
      </c>
      <c r="D49" s="294">
        <v>0.26319444444444445</v>
      </c>
      <c r="E49" s="294">
        <v>0.45694444444444443</v>
      </c>
      <c r="F49" s="295">
        <v>0.25</v>
      </c>
      <c r="G49" s="295">
        <v>0.95694444444444438</v>
      </c>
      <c r="H49" s="317"/>
      <c r="I49" s="317"/>
      <c r="J49" s="317"/>
      <c r="K49" s="317"/>
      <c r="L49" s="318"/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318"/>
      <c r="Y49" s="296">
        <v>0.33333333333333331</v>
      </c>
      <c r="Z49" s="296">
        <v>0.70833333333333337</v>
      </c>
      <c r="AA49" s="293" t="s">
        <v>201</v>
      </c>
    </row>
    <row r="50" spans="1:27" s="277" customFormat="1" ht="22.5" customHeight="1">
      <c r="A50" s="297" t="s">
        <v>190</v>
      </c>
      <c r="B50" s="298">
        <v>0.49861111111111112</v>
      </c>
      <c r="C50" s="298">
        <v>0.64097222222222217</v>
      </c>
      <c r="D50" s="298">
        <v>0.49861111111111112</v>
      </c>
      <c r="E50" s="298">
        <v>0.64097222222222217</v>
      </c>
      <c r="F50" s="299">
        <v>0.99861111111111101</v>
      </c>
      <c r="G50" s="299">
        <v>0.625</v>
      </c>
      <c r="H50" s="319"/>
      <c r="I50" s="319"/>
      <c r="J50" s="319"/>
      <c r="K50" s="319"/>
      <c r="L50" s="320">
        <v>1</v>
      </c>
      <c r="M50" s="320">
        <f>19/60</f>
        <v>0.31666666666666665</v>
      </c>
      <c r="N50" s="320"/>
      <c r="O50" s="320"/>
      <c r="P50" s="320"/>
      <c r="Q50" s="320"/>
      <c r="R50" s="320"/>
      <c r="S50" s="320"/>
      <c r="T50" s="320"/>
      <c r="U50" s="320"/>
      <c r="V50" s="320"/>
      <c r="W50" s="320"/>
      <c r="X50" s="320"/>
      <c r="Y50" s="300">
        <v>0.33333333333333331</v>
      </c>
      <c r="Z50" s="300">
        <v>0.70833333333333337</v>
      </c>
      <c r="AA50" s="297"/>
    </row>
    <row r="51" spans="1:27" s="277" customFormat="1" ht="22.5" customHeight="1">
      <c r="A51" s="293" t="s">
        <v>191</v>
      </c>
      <c r="B51" s="294">
        <v>0.48888888888888887</v>
      </c>
      <c r="C51" s="294">
        <v>0.59722222222222221</v>
      </c>
      <c r="D51" s="294">
        <v>0.48888888888888887</v>
      </c>
      <c r="E51" s="294">
        <v>0.59722222222222221</v>
      </c>
      <c r="F51" s="295">
        <v>0.47916666666666669</v>
      </c>
      <c r="G51" s="295">
        <v>0.59722222222222221</v>
      </c>
      <c r="H51" s="317"/>
      <c r="I51" s="317"/>
      <c r="J51" s="317"/>
      <c r="K51" s="317"/>
      <c r="L51" s="318"/>
      <c r="M51" s="318"/>
      <c r="N51" s="318"/>
      <c r="O51" s="318"/>
      <c r="P51" s="318"/>
      <c r="Q51" s="318"/>
      <c r="R51" s="318"/>
      <c r="S51" s="318"/>
      <c r="T51" s="318"/>
      <c r="U51" s="318"/>
      <c r="V51" s="318"/>
      <c r="W51" s="318"/>
      <c r="X51" s="318"/>
      <c r="Y51" s="296">
        <v>0.33333333333333331</v>
      </c>
      <c r="Z51" s="296">
        <v>0.70833333333333337</v>
      </c>
      <c r="AA51" s="293" t="s">
        <v>198</v>
      </c>
    </row>
    <row r="52" spans="1:27" s="277" customFormat="1" ht="22.5" customHeight="1">
      <c r="A52" s="297" t="s">
        <v>191</v>
      </c>
      <c r="B52" s="298">
        <v>0.76458333333333339</v>
      </c>
      <c r="C52" s="298">
        <v>0.98055555555555562</v>
      </c>
      <c r="D52" s="298">
        <v>0.76458333333333339</v>
      </c>
      <c r="E52" s="298">
        <v>0.98055555555555562</v>
      </c>
      <c r="F52" s="299">
        <v>0.76388888888888884</v>
      </c>
      <c r="G52" s="299">
        <v>0.97916666666666663</v>
      </c>
      <c r="H52" s="319"/>
      <c r="I52" s="319"/>
      <c r="J52" s="319"/>
      <c r="K52" s="319"/>
      <c r="L52" s="320">
        <v>1</v>
      </c>
      <c r="M52" s="320">
        <f>14/60</f>
        <v>0.23333333333333334</v>
      </c>
      <c r="N52" s="320"/>
      <c r="O52" s="320"/>
      <c r="P52" s="320"/>
      <c r="Q52" s="320"/>
      <c r="R52" s="320"/>
      <c r="S52" s="320">
        <v>1.5</v>
      </c>
      <c r="T52" s="320"/>
      <c r="U52" s="320"/>
      <c r="V52" s="320"/>
      <c r="W52" s="320"/>
      <c r="X52" s="320"/>
      <c r="Y52" s="300">
        <v>0.33333333333333331</v>
      </c>
      <c r="Z52" s="300">
        <v>0.70833333333333337</v>
      </c>
      <c r="AA52" s="297"/>
    </row>
    <row r="53" spans="1:27" s="277" customFormat="1" ht="22.5" customHeight="1">
      <c r="A53" s="293" t="s">
        <v>192</v>
      </c>
      <c r="B53" s="294">
        <v>0.47291666666666665</v>
      </c>
      <c r="C53" s="294">
        <v>0.5854166666666667</v>
      </c>
      <c r="D53" s="294">
        <v>0.47291666666666665</v>
      </c>
      <c r="E53" s="294">
        <v>0.5854166666666667</v>
      </c>
      <c r="F53" s="295">
        <v>0.47916666666666669</v>
      </c>
      <c r="G53" s="295">
        <v>0.5854166666666667</v>
      </c>
      <c r="H53" s="317"/>
      <c r="I53" s="317"/>
      <c r="J53" s="317"/>
      <c r="K53" s="317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296">
        <v>0.33333333333333331</v>
      </c>
      <c r="Z53" s="296">
        <v>0.70833333333333337</v>
      </c>
      <c r="AA53" s="293"/>
    </row>
    <row r="54" spans="1:27" s="277" customFormat="1" ht="22.5" customHeight="1">
      <c r="A54" s="297" t="s">
        <v>192</v>
      </c>
      <c r="B54" s="298">
        <v>0.74861111111111101</v>
      </c>
      <c r="C54" s="298">
        <v>0.98541666666666661</v>
      </c>
      <c r="D54" s="298">
        <v>0.74861111111111101</v>
      </c>
      <c r="E54" s="298">
        <v>0.98541666666666661</v>
      </c>
      <c r="F54" s="299">
        <v>0.75208333333333333</v>
      </c>
      <c r="G54" s="299">
        <v>0.97916666666666663</v>
      </c>
      <c r="H54" s="319"/>
      <c r="I54" s="319"/>
      <c r="J54" s="319"/>
      <c r="K54" s="319"/>
      <c r="L54" s="320">
        <v>1</v>
      </c>
      <c r="M54" s="320"/>
      <c r="N54" s="320"/>
      <c r="O54" s="320"/>
      <c r="P54" s="320"/>
      <c r="Q54" s="320"/>
      <c r="R54" s="320"/>
      <c r="S54" s="320">
        <v>1.5</v>
      </c>
      <c r="T54" s="320"/>
      <c r="U54" s="320"/>
      <c r="V54" s="320"/>
      <c r="W54" s="320"/>
      <c r="X54" s="320"/>
      <c r="Y54" s="300">
        <v>0.33333333333333331</v>
      </c>
      <c r="Z54" s="300">
        <v>0.70833333333333337</v>
      </c>
      <c r="AA54" s="297"/>
    </row>
    <row r="55" spans="1:27" s="277" customFormat="1" ht="22.5" customHeight="1">
      <c r="A55" s="297" t="s">
        <v>193</v>
      </c>
      <c r="B55" s="298">
        <v>0.47361111111111115</v>
      </c>
      <c r="C55" s="298">
        <v>0.59444444444444444</v>
      </c>
      <c r="D55" s="298">
        <v>0.47361111111111115</v>
      </c>
      <c r="E55" s="298">
        <v>0.59444444444444444</v>
      </c>
      <c r="F55" s="357"/>
      <c r="G55" s="357"/>
      <c r="H55" s="319"/>
      <c r="I55" s="319"/>
      <c r="J55" s="319"/>
      <c r="K55" s="319"/>
      <c r="L55" s="320"/>
      <c r="M55" s="320"/>
      <c r="N55" s="320"/>
      <c r="O55" s="320"/>
      <c r="P55" s="320"/>
      <c r="Q55" s="320"/>
      <c r="R55" s="320"/>
      <c r="S55" s="320"/>
      <c r="T55" s="320"/>
      <c r="U55" s="320"/>
      <c r="V55" s="320"/>
      <c r="W55" s="320"/>
      <c r="X55" s="320"/>
      <c r="Y55" s="300">
        <v>0.33333333333333331</v>
      </c>
      <c r="Z55" s="300">
        <v>0.70833333333333337</v>
      </c>
      <c r="AA55" s="297"/>
    </row>
    <row r="56" spans="1:27" s="277" customFormat="1" ht="22.5" customHeight="1">
      <c r="A56" s="293" t="s">
        <v>193</v>
      </c>
      <c r="B56" s="294">
        <v>0.76111111111111107</v>
      </c>
      <c r="C56" s="294">
        <v>0.97986111111111107</v>
      </c>
      <c r="D56" s="294">
        <v>0.76111111111111107</v>
      </c>
      <c r="E56" s="294">
        <v>0.97986111111111107</v>
      </c>
      <c r="F56" s="356" t="s">
        <v>202</v>
      </c>
      <c r="G56" s="356"/>
      <c r="H56" s="317"/>
      <c r="I56" s="317"/>
      <c r="J56" s="317"/>
      <c r="K56" s="317"/>
      <c r="L56" s="318">
        <v>1</v>
      </c>
      <c r="M56" s="318"/>
      <c r="N56" s="318"/>
      <c r="O56" s="318"/>
      <c r="P56" s="318"/>
      <c r="Q56" s="318"/>
      <c r="R56" s="318"/>
      <c r="S56" s="318">
        <v>1.5</v>
      </c>
      <c r="T56" s="318"/>
      <c r="U56" s="318"/>
      <c r="V56" s="318"/>
      <c r="W56" s="318"/>
      <c r="X56" s="318"/>
      <c r="Y56" s="296">
        <v>0.33333333333333331</v>
      </c>
      <c r="Z56" s="296">
        <v>0.70833333333333337</v>
      </c>
      <c r="AA56" s="293"/>
    </row>
    <row r="57" spans="1:27" s="277" customFormat="1" ht="22.5" customHeight="1">
      <c r="A57" s="293" t="s">
        <v>194</v>
      </c>
      <c r="B57" s="294">
        <v>0.47500000000000003</v>
      </c>
      <c r="C57" s="294">
        <v>0.59513888888888888</v>
      </c>
      <c r="D57" s="294">
        <v>0.47500000000000003</v>
      </c>
      <c r="E57" s="294">
        <v>0.59513888888888888</v>
      </c>
      <c r="F57" s="356"/>
      <c r="G57" s="356"/>
      <c r="H57" s="317"/>
      <c r="I57" s="317"/>
      <c r="J57" s="317"/>
      <c r="K57" s="317"/>
      <c r="L57" s="318"/>
      <c r="M57" s="318"/>
      <c r="N57" s="318"/>
      <c r="O57" s="318"/>
      <c r="P57" s="318"/>
      <c r="Q57" s="318"/>
      <c r="R57" s="318"/>
      <c r="S57" s="318"/>
      <c r="T57" s="318"/>
      <c r="U57" s="318"/>
      <c r="V57" s="318"/>
      <c r="W57" s="318"/>
      <c r="X57" s="318"/>
      <c r="Y57" s="296">
        <v>0.33333333333333331</v>
      </c>
      <c r="Z57" s="296">
        <v>0.70833333333333337</v>
      </c>
      <c r="AA57" s="293"/>
    </row>
    <row r="58" spans="1:27" s="277" customFormat="1" ht="22.5" customHeight="1">
      <c r="A58" s="297" t="s">
        <v>194</v>
      </c>
      <c r="B58" s="298">
        <v>0.76250000000000007</v>
      </c>
      <c r="C58" s="298">
        <v>0.97916666666666663</v>
      </c>
      <c r="D58" s="298">
        <v>0.76250000000000007</v>
      </c>
      <c r="E58" s="298">
        <v>0.97916666666666663</v>
      </c>
      <c r="F58" s="357" t="s">
        <v>202</v>
      </c>
      <c r="G58" s="357"/>
      <c r="H58" s="319"/>
      <c r="I58" s="319"/>
      <c r="J58" s="319"/>
      <c r="K58" s="319"/>
      <c r="L58" s="320">
        <v>1</v>
      </c>
      <c r="M58" s="320">
        <f>1/60</f>
        <v>1.6666666666666666E-2</v>
      </c>
      <c r="N58" s="320"/>
      <c r="O58" s="320"/>
      <c r="P58" s="320"/>
      <c r="Q58" s="320"/>
      <c r="R58" s="320"/>
      <c r="S58" s="320">
        <v>1.5</v>
      </c>
      <c r="T58" s="320"/>
      <c r="U58" s="320"/>
      <c r="V58" s="320"/>
      <c r="W58" s="320"/>
      <c r="X58" s="320"/>
      <c r="Y58" s="300">
        <v>0.33333333333333331</v>
      </c>
      <c r="Z58" s="300">
        <v>0.70833333333333337</v>
      </c>
      <c r="AA58" s="297"/>
    </row>
    <row r="59" spans="1:27" s="277" customFormat="1" ht="22.5" customHeight="1">
      <c r="A59" s="293" t="s">
        <v>195</v>
      </c>
      <c r="B59" s="301"/>
      <c r="C59" s="301"/>
      <c r="D59" s="302"/>
      <c r="E59" s="302"/>
      <c r="F59" s="356" t="s">
        <v>188</v>
      </c>
      <c r="G59" s="356"/>
      <c r="H59" s="317"/>
      <c r="I59" s="317"/>
      <c r="J59" s="317"/>
      <c r="K59" s="317"/>
      <c r="L59" s="318"/>
      <c r="M59" s="318"/>
      <c r="N59" s="318"/>
      <c r="O59" s="318"/>
      <c r="P59" s="318"/>
      <c r="Q59" s="318"/>
      <c r="R59" s="318"/>
      <c r="S59" s="318"/>
      <c r="T59" s="318"/>
      <c r="U59" s="318"/>
      <c r="V59" s="318"/>
      <c r="W59" s="318"/>
      <c r="X59" s="318"/>
      <c r="Y59" s="303"/>
      <c r="Z59" s="303"/>
      <c r="AA59" s="293"/>
    </row>
    <row r="60" spans="1:27" s="277" customFormat="1" ht="22.5" customHeight="1">
      <c r="A60" s="307" t="s">
        <v>3</v>
      </c>
      <c r="B60" s="307"/>
      <c r="C60" s="307"/>
      <c r="D60" s="307"/>
      <c r="E60" s="307"/>
      <c r="F60" s="307"/>
      <c r="G60" s="307"/>
      <c r="H60" s="321">
        <f>SUM(H35:H59)</f>
        <v>0</v>
      </c>
      <c r="I60" s="321">
        <f t="shared" ref="I60:X60" si="1">SUM(I35:I59)</f>
        <v>0</v>
      </c>
      <c r="J60" s="321">
        <f t="shared" si="1"/>
        <v>0</v>
      </c>
      <c r="K60" s="321">
        <f t="shared" si="1"/>
        <v>0</v>
      </c>
      <c r="L60" s="321">
        <f t="shared" si="1"/>
        <v>10</v>
      </c>
      <c r="M60" s="321">
        <f t="shared" si="1"/>
        <v>1.5666666666666667</v>
      </c>
      <c r="N60" s="321">
        <f t="shared" si="1"/>
        <v>0</v>
      </c>
      <c r="O60" s="321">
        <f t="shared" si="1"/>
        <v>0</v>
      </c>
      <c r="P60" s="321">
        <f t="shared" si="1"/>
        <v>0</v>
      </c>
      <c r="Q60" s="321">
        <f t="shared" si="1"/>
        <v>0</v>
      </c>
      <c r="R60" s="321">
        <f t="shared" si="1"/>
        <v>0</v>
      </c>
      <c r="S60" s="321">
        <f t="shared" si="1"/>
        <v>7.5</v>
      </c>
      <c r="T60" s="321">
        <f t="shared" si="1"/>
        <v>0</v>
      </c>
      <c r="U60" s="321">
        <f t="shared" si="1"/>
        <v>0</v>
      </c>
      <c r="V60" s="321">
        <f t="shared" si="1"/>
        <v>0</v>
      </c>
      <c r="W60" s="321">
        <f t="shared" si="1"/>
        <v>0</v>
      </c>
      <c r="X60" s="321">
        <f t="shared" si="1"/>
        <v>0</v>
      </c>
      <c r="Y60" s="285"/>
      <c r="Z60" s="285"/>
      <c r="AA60" s="307"/>
    </row>
    <row r="61" spans="1:27" s="277" customFormat="1" ht="22.5" customHeight="1">
      <c r="F61" s="358" t="s">
        <v>203</v>
      </c>
      <c r="G61" s="358"/>
      <c r="H61" s="328">
        <f>SUM(H36:H52)</f>
        <v>0</v>
      </c>
      <c r="I61" s="328">
        <f t="shared" ref="I61:X61" si="2">SUM(I36:I52)</f>
        <v>0</v>
      </c>
      <c r="J61" s="328">
        <f t="shared" si="2"/>
        <v>0</v>
      </c>
      <c r="K61" s="328">
        <f t="shared" si="2"/>
        <v>0</v>
      </c>
      <c r="L61" s="328">
        <f t="shared" si="2"/>
        <v>7</v>
      </c>
      <c r="M61" s="328">
        <f t="shared" si="2"/>
        <v>1.55</v>
      </c>
      <c r="N61" s="328">
        <f t="shared" si="2"/>
        <v>0</v>
      </c>
      <c r="O61" s="328">
        <f t="shared" si="2"/>
        <v>0</v>
      </c>
      <c r="P61" s="328">
        <f t="shared" si="2"/>
        <v>0</v>
      </c>
      <c r="Q61" s="328">
        <f t="shared" si="2"/>
        <v>0</v>
      </c>
      <c r="R61" s="328">
        <f t="shared" si="2"/>
        <v>0</v>
      </c>
      <c r="S61" s="328">
        <f t="shared" si="2"/>
        <v>3</v>
      </c>
      <c r="T61" s="328">
        <f t="shared" si="2"/>
        <v>0</v>
      </c>
      <c r="U61" s="328">
        <f t="shared" si="2"/>
        <v>0</v>
      </c>
      <c r="V61" s="328">
        <f t="shared" si="2"/>
        <v>0</v>
      </c>
      <c r="W61" s="328">
        <f t="shared" si="2"/>
        <v>0</v>
      </c>
      <c r="X61" s="328">
        <f t="shared" si="2"/>
        <v>0</v>
      </c>
      <c r="Y61" s="308"/>
      <c r="Z61" s="308"/>
    </row>
    <row r="62" spans="1:27" s="277" customFormat="1" ht="22.5" customHeight="1">
      <c r="F62" s="359" t="s">
        <v>204</v>
      </c>
      <c r="G62" s="359"/>
      <c r="H62" s="327">
        <f>H60-H61</f>
        <v>0</v>
      </c>
      <c r="I62" s="327">
        <f t="shared" ref="I62:X62" si="3">I60-I61</f>
        <v>0</v>
      </c>
      <c r="J62" s="327">
        <f t="shared" si="3"/>
        <v>0</v>
      </c>
      <c r="K62" s="327">
        <f t="shared" si="3"/>
        <v>0</v>
      </c>
      <c r="L62" s="327">
        <f t="shared" si="3"/>
        <v>3</v>
      </c>
      <c r="M62" s="327">
        <f t="shared" si="3"/>
        <v>1.6666666666666607E-2</v>
      </c>
      <c r="N62" s="327">
        <f t="shared" si="3"/>
        <v>0</v>
      </c>
      <c r="O62" s="327">
        <f t="shared" si="3"/>
        <v>0</v>
      </c>
      <c r="P62" s="327">
        <f t="shared" si="3"/>
        <v>0</v>
      </c>
      <c r="Q62" s="327">
        <f t="shared" si="3"/>
        <v>0</v>
      </c>
      <c r="R62" s="327">
        <f t="shared" si="3"/>
        <v>0</v>
      </c>
      <c r="S62" s="327">
        <f t="shared" si="3"/>
        <v>4.5</v>
      </c>
      <c r="T62" s="327">
        <f t="shared" si="3"/>
        <v>0</v>
      </c>
      <c r="U62" s="327">
        <f t="shared" si="3"/>
        <v>0</v>
      </c>
      <c r="V62" s="327">
        <f t="shared" si="3"/>
        <v>0</v>
      </c>
      <c r="W62" s="327">
        <f t="shared" si="3"/>
        <v>0</v>
      </c>
      <c r="X62" s="327">
        <f t="shared" si="3"/>
        <v>0</v>
      </c>
      <c r="Y62" s="308"/>
      <c r="Z62" s="308"/>
    </row>
    <row r="63" spans="1:27" s="277" customFormat="1" ht="22.5" customHeight="1" thickBot="1">
      <c r="H63" s="322"/>
      <c r="I63" s="322"/>
      <c r="J63" s="322"/>
      <c r="K63" s="322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08"/>
      <c r="Z63" s="308"/>
    </row>
    <row r="64" spans="1:27" s="277" customFormat="1" ht="22.5" customHeight="1" thickBot="1">
      <c r="A64" s="290" t="s">
        <v>177</v>
      </c>
      <c r="B64" s="291" t="s">
        <v>205</v>
      </c>
      <c r="C64" s="291"/>
      <c r="D64" s="291"/>
      <c r="E64" s="291"/>
      <c r="F64" s="291"/>
      <c r="G64" s="291"/>
      <c r="H64" s="344" t="s">
        <v>91</v>
      </c>
      <c r="I64" s="345"/>
      <c r="J64" s="345"/>
      <c r="K64" s="346"/>
      <c r="L64" s="347" t="s">
        <v>90</v>
      </c>
      <c r="M64" s="349" t="s">
        <v>165</v>
      </c>
      <c r="N64" s="349" t="s">
        <v>166</v>
      </c>
      <c r="O64" s="351" t="s">
        <v>167</v>
      </c>
      <c r="P64" s="352"/>
      <c r="Q64" s="353"/>
      <c r="R64" s="349" t="s">
        <v>168</v>
      </c>
      <c r="S64" s="351" t="s">
        <v>19</v>
      </c>
      <c r="T64" s="352"/>
      <c r="U64" s="353"/>
      <c r="V64" s="349" t="s">
        <v>126</v>
      </c>
      <c r="W64" s="349" t="s">
        <v>127</v>
      </c>
      <c r="X64" s="354" t="s">
        <v>105</v>
      </c>
      <c r="Y64" s="285" t="s">
        <v>169</v>
      </c>
      <c r="Z64" s="285"/>
      <c r="AA64" s="307" t="s">
        <v>170</v>
      </c>
    </row>
    <row r="65" spans="1:27" s="277" customFormat="1" ht="22.5" customHeight="1" thickBot="1">
      <c r="A65" s="290" t="s">
        <v>179</v>
      </c>
      <c r="B65" s="291" t="s">
        <v>206</v>
      </c>
      <c r="C65" s="291"/>
      <c r="D65" s="291"/>
      <c r="E65" s="291"/>
      <c r="F65" s="291"/>
      <c r="G65" s="291"/>
      <c r="H65" s="286" t="s">
        <v>173</v>
      </c>
      <c r="I65" s="286" t="s">
        <v>93</v>
      </c>
      <c r="J65" s="286" t="s">
        <v>94</v>
      </c>
      <c r="K65" s="287" t="s">
        <v>174</v>
      </c>
      <c r="L65" s="348"/>
      <c r="M65" s="350"/>
      <c r="N65" s="350"/>
      <c r="O65" s="288" t="s">
        <v>175</v>
      </c>
      <c r="P65" s="288" t="s">
        <v>176</v>
      </c>
      <c r="Q65" s="313" t="s">
        <v>127</v>
      </c>
      <c r="R65" s="350"/>
      <c r="S65" s="288" t="s">
        <v>175</v>
      </c>
      <c r="T65" s="288" t="s">
        <v>176</v>
      </c>
      <c r="U65" s="313" t="s">
        <v>127</v>
      </c>
      <c r="V65" s="350"/>
      <c r="W65" s="350"/>
      <c r="X65" s="355"/>
      <c r="Y65" s="285" t="s">
        <v>171</v>
      </c>
      <c r="Z65" s="285" t="s">
        <v>172</v>
      </c>
      <c r="AA65" s="307"/>
    </row>
    <row r="66" spans="1:27" s="277" customFormat="1" ht="22.5" customHeight="1">
      <c r="A66" s="293" t="s">
        <v>181</v>
      </c>
      <c r="B66" s="294">
        <v>0.79583333333333339</v>
      </c>
      <c r="C66" s="294">
        <v>0.98055555555555562</v>
      </c>
      <c r="D66" s="294">
        <v>0.79583333333333339</v>
      </c>
      <c r="E66" s="294">
        <v>0.98055555555555562</v>
      </c>
      <c r="F66" s="295">
        <v>0.8125</v>
      </c>
      <c r="G66" s="295">
        <v>0.97916666666666663</v>
      </c>
      <c r="H66" s="317">
        <v>0.5</v>
      </c>
      <c r="I66" s="317"/>
      <c r="J66" s="317"/>
      <c r="K66" s="317"/>
      <c r="L66" s="318">
        <v>0.5</v>
      </c>
      <c r="M66" s="318"/>
      <c r="N66" s="318"/>
      <c r="O66" s="318"/>
      <c r="P66" s="318"/>
      <c r="Q66" s="318"/>
      <c r="R66" s="318"/>
      <c r="S66" s="318">
        <v>1.5</v>
      </c>
      <c r="T66" s="318"/>
      <c r="U66" s="318"/>
      <c r="V66" s="318"/>
      <c r="W66" s="318"/>
      <c r="X66" s="318"/>
      <c r="Y66" s="296">
        <v>0.33333333333333331</v>
      </c>
      <c r="Z66" s="296">
        <v>0.75</v>
      </c>
      <c r="AA66" s="293" t="s">
        <v>207</v>
      </c>
    </row>
    <row r="67" spans="1:27" s="277" customFormat="1" ht="22.5" customHeight="1">
      <c r="A67" s="297" t="s">
        <v>182</v>
      </c>
      <c r="B67" s="298">
        <v>0.23680555555555557</v>
      </c>
      <c r="C67" s="298">
        <v>0.66736111111111107</v>
      </c>
      <c r="D67" s="298">
        <v>0.23680555555555557</v>
      </c>
      <c r="E67" s="298">
        <v>0.66736111111111107</v>
      </c>
      <c r="F67" s="299">
        <v>0.25</v>
      </c>
      <c r="G67" s="299">
        <v>0.66666666666666663</v>
      </c>
      <c r="H67" s="319"/>
      <c r="I67" s="319"/>
      <c r="J67" s="319"/>
      <c r="K67" s="319"/>
      <c r="L67" s="320">
        <v>1</v>
      </c>
      <c r="M67" s="320"/>
      <c r="N67" s="320"/>
      <c r="O67" s="320"/>
      <c r="P67" s="320"/>
      <c r="Q67" s="320"/>
      <c r="R67" s="320"/>
      <c r="S67" s="320"/>
      <c r="T67" s="320"/>
      <c r="U67" s="320"/>
      <c r="V67" s="320"/>
      <c r="W67" s="320"/>
      <c r="X67" s="320"/>
      <c r="Y67" s="300">
        <v>0.33333333333333331</v>
      </c>
      <c r="Z67" s="300">
        <v>0.75</v>
      </c>
      <c r="AA67" s="297" t="s">
        <v>208</v>
      </c>
    </row>
    <row r="68" spans="1:27" s="277" customFormat="1" ht="22.5" customHeight="1">
      <c r="A68" s="293" t="s">
        <v>183</v>
      </c>
      <c r="B68" s="294">
        <v>0.59444444444444444</v>
      </c>
      <c r="C68" s="294">
        <v>0.97986111111111107</v>
      </c>
      <c r="D68" s="294">
        <v>0.59444444444444444</v>
      </c>
      <c r="E68" s="294">
        <v>0.97986111111111107</v>
      </c>
      <c r="F68" s="295">
        <v>0.60416666666666663</v>
      </c>
      <c r="G68" s="295">
        <v>0.97916666666666663</v>
      </c>
      <c r="H68" s="317"/>
      <c r="I68" s="317"/>
      <c r="J68" s="317"/>
      <c r="K68" s="317"/>
      <c r="L68" s="318">
        <v>1</v>
      </c>
      <c r="M68" s="318"/>
      <c r="N68" s="318"/>
      <c r="O68" s="318"/>
      <c r="P68" s="318"/>
      <c r="Q68" s="318"/>
      <c r="R68" s="318"/>
      <c r="S68" s="318">
        <v>1.5</v>
      </c>
      <c r="T68" s="318"/>
      <c r="U68" s="318"/>
      <c r="V68" s="318"/>
      <c r="W68" s="318"/>
      <c r="X68" s="318"/>
      <c r="Y68" s="296">
        <v>0.33333333333333331</v>
      </c>
      <c r="Z68" s="296">
        <v>0.75</v>
      </c>
      <c r="AA68" s="293"/>
    </row>
    <row r="69" spans="1:27" s="277" customFormat="1" ht="22.5" customHeight="1">
      <c r="A69" s="297" t="s">
        <v>184</v>
      </c>
      <c r="B69" s="298">
        <v>0.24097222222222223</v>
      </c>
      <c r="C69" s="298">
        <v>0.6875</v>
      </c>
      <c r="D69" s="298">
        <v>0.24097222222222223</v>
      </c>
      <c r="E69" s="298">
        <v>0.6875</v>
      </c>
      <c r="F69" s="299">
        <v>0.25</v>
      </c>
      <c r="G69" s="299">
        <v>0.6875</v>
      </c>
      <c r="H69" s="319"/>
      <c r="I69" s="319"/>
      <c r="J69" s="319"/>
      <c r="K69" s="319"/>
      <c r="L69" s="320">
        <v>1</v>
      </c>
      <c r="M69" s="320"/>
      <c r="N69" s="320"/>
      <c r="O69" s="320"/>
      <c r="P69" s="320"/>
      <c r="Q69" s="320"/>
      <c r="R69" s="320"/>
      <c r="S69" s="320"/>
      <c r="T69" s="320"/>
      <c r="U69" s="320"/>
      <c r="V69" s="320"/>
      <c r="W69" s="320"/>
      <c r="X69" s="320"/>
      <c r="Y69" s="300">
        <v>0.33333333333333331</v>
      </c>
      <c r="Z69" s="300">
        <v>0.75</v>
      </c>
      <c r="AA69" s="297" t="s">
        <v>209</v>
      </c>
    </row>
    <row r="70" spans="1:27" s="277" customFormat="1" ht="22.5" customHeight="1">
      <c r="A70" s="293" t="s">
        <v>186</v>
      </c>
      <c r="B70" s="294">
        <v>0.22847222222222222</v>
      </c>
      <c r="C70" s="294">
        <v>0.62777777777777777</v>
      </c>
      <c r="D70" s="294">
        <v>0.22847222222222222</v>
      </c>
      <c r="E70" s="294">
        <v>0.62777777777777777</v>
      </c>
      <c r="F70" s="295">
        <v>0.25</v>
      </c>
      <c r="G70" s="295">
        <v>0.625</v>
      </c>
      <c r="H70" s="317"/>
      <c r="I70" s="317"/>
      <c r="J70" s="317"/>
      <c r="K70" s="317"/>
      <c r="L70" s="318">
        <v>1</v>
      </c>
      <c r="M70" s="318"/>
      <c r="N70" s="318"/>
      <c r="O70" s="318"/>
      <c r="P70" s="318"/>
      <c r="Q70" s="318"/>
      <c r="R70" s="318"/>
      <c r="S70" s="318"/>
      <c r="T70" s="318"/>
      <c r="U70" s="318"/>
      <c r="V70" s="318"/>
      <c r="W70" s="318"/>
      <c r="X70" s="318"/>
      <c r="Y70" s="296">
        <v>0.33333333333333331</v>
      </c>
      <c r="Z70" s="296">
        <v>0.75</v>
      </c>
      <c r="AA70" s="293"/>
    </row>
    <row r="71" spans="1:27" s="277" customFormat="1" ht="22.5" customHeight="1">
      <c r="A71" s="297" t="s">
        <v>187</v>
      </c>
      <c r="B71" s="304"/>
      <c r="C71" s="304"/>
      <c r="D71" s="305"/>
      <c r="E71" s="305"/>
      <c r="F71" s="357" t="s">
        <v>210</v>
      </c>
      <c r="G71" s="357"/>
      <c r="H71" s="319"/>
      <c r="I71" s="319"/>
      <c r="J71" s="319"/>
      <c r="K71" s="319"/>
      <c r="L71" s="320">
        <v>1</v>
      </c>
      <c r="M71" s="320"/>
      <c r="N71" s="320"/>
      <c r="O71" s="320"/>
      <c r="P71" s="320"/>
      <c r="Q71" s="320"/>
      <c r="R71" s="320"/>
      <c r="S71" s="320"/>
      <c r="T71" s="320"/>
      <c r="U71" s="320"/>
      <c r="V71" s="320"/>
      <c r="W71" s="320"/>
      <c r="X71" s="320"/>
      <c r="Y71" s="306"/>
      <c r="Z71" s="306"/>
      <c r="AA71" s="297"/>
    </row>
    <row r="72" spans="1:27" s="277" customFormat="1" ht="22.5" customHeight="1">
      <c r="A72" s="293" t="s">
        <v>189</v>
      </c>
      <c r="B72" s="301"/>
      <c r="C72" s="301"/>
      <c r="D72" s="302"/>
      <c r="E72" s="302"/>
      <c r="F72" s="356" t="s">
        <v>211</v>
      </c>
      <c r="G72" s="356"/>
      <c r="H72" s="317"/>
      <c r="I72" s="317"/>
      <c r="J72" s="317"/>
      <c r="K72" s="317"/>
      <c r="L72" s="318"/>
      <c r="M72" s="318"/>
      <c r="N72" s="318"/>
      <c r="O72" s="318"/>
      <c r="P72" s="318"/>
      <c r="Q72" s="318"/>
      <c r="R72" s="318"/>
      <c r="S72" s="318"/>
      <c r="T72" s="318"/>
      <c r="U72" s="318"/>
      <c r="V72" s="318"/>
      <c r="W72" s="318"/>
      <c r="X72" s="318"/>
      <c r="Y72" s="303"/>
      <c r="Z72" s="303"/>
      <c r="AA72" s="293"/>
    </row>
    <row r="73" spans="1:27" s="277" customFormat="1" ht="22.5" customHeight="1">
      <c r="A73" s="297" t="s">
        <v>190</v>
      </c>
      <c r="B73" s="298">
        <v>0.45555555555555555</v>
      </c>
      <c r="C73" s="298">
        <v>0.97916666666666663</v>
      </c>
      <c r="D73" s="298">
        <v>0.45555555555555555</v>
      </c>
      <c r="E73" s="298">
        <v>0.97916666666666663</v>
      </c>
      <c r="F73" s="299">
        <v>0.45833333333333331</v>
      </c>
      <c r="G73" s="299">
        <v>0.97916666666666663</v>
      </c>
      <c r="H73" s="319"/>
      <c r="I73" s="319"/>
      <c r="J73" s="319"/>
      <c r="K73" s="319"/>
      <c r="L73" s="320">
        <v>1</v>
      </c>
      <c r="M73" s="320"/>
      <c r="N73" s="320"/>
      <c r="O73" s="320"/>
      <c r="P73" s="320"/>
      <c r="Q73" s="320"/>
      <c r="R73" s="320"/>
      <c r="S73" s="320">
        <v>1.5</v>
      </c>
      <c r="T73" s="320"/>
      <c r="U73" s="320"/>
      <c r="V73" s="320"/>
      <c r="W73" s="320"/>
      <c r="X73" s="320"/>
      <c r="Y73" s="300">
        <v>0.33333333333333331</v>
      </c>
      <c r="Z73" s="300">
        <v>0.75</v>
      </c>
      <c r="AA73" s="297" t="s">
        <v>212</v>
      </c>
    </row>
    <row r="74" spans="1:27" s="277" customFormat="1" ht="22.5" customHeight="1">
      <c r="A74" s="293" t="s">
        <v>191</v>
      </c>
      <c r="B74" s="294">
        <v>0.60763888888888895</v>
      </c>
      <c r="C74" s="294">
        <v>0.97916666666666663</v>
      </c>
      <c r="D74" s="294">
        <v>0.60763888888888895</v>
      </c>
      <c r="E74" s="294">
        <v>0.97916666666666663</v>
      </c>
      <c r="F74" s="295">
        <v>0.60416666666666663</v>
      </c>
      <c r="G74" s="295">
        <v>0.97916666666666663</v>
      </c>
      <c r="H74" s="317"/>
      <c r="I74" s="317"/>
      <c r="J74" s="317"/>
      <c r="K74" s="317"/>
      <c r="L74" s="318">
        <v>1</v>
      </c>
      <c r="M74" s="318"/>
      <c r="N74" s="318"/>
      <c r="O74" s="318"/>
      <c r="P74" s="318"/>
      <c r="Q74" s="318"/>
      <c r="R74" s="318"/>
      <c r="S74" s="318">
        <v>1.5</v>
      </c>
      <c r="T74" s="318"/>
      <c r="U74" s="318"/>
      <c r="V74" s="318"/>
      <c r="W74" s="318"/>
      <c r="X74" s="318"/>
      <c r="Y74" s="296">
        <v>0.33333333333333331</v>
      </c>
      <c r="Z74" s="296">
        <v>0.75</v>
      </c>
      <c r="AA74" s="293"/>
    </row>
    <row r="75" spans="1:27" s="277" customFormat="1" ht="22.5" customHeight="1">
      <c r="A75" s="297" t="s">
        <v>192</v>
      </c>
      <c r="B75" s="298">
        <v>0.60138888888888886</v>
      </c>
      <c r="C75" s="298">
        <v>0.99375000000000002</v>
      </c>
      <c r="D75" s="298">
        <v>0.60138888888888886</v>
      </c>
      <c r="E75" s="298">
        <v>0.99375000000000002</v>
      </c>
      <c r="F75" s="299">
        <v>0.60416666666666663</v>
      </c>
      <c r="G75" s="299">
        <v>0.97916666666666663</v>
      </c>
      <c r="H75" s="319"/>
      <c r="I75" s="319"/>
      <c r="J75" s="319"/>
      <c r="K75" s="319"/>
      <c r="L75" s="320">
        <v>1</v>
      </c>
      <c r="M75" s="320"/>
      <c r="N75" s="320"/>
      <c r="O75" s="320"/>
      <c r="P75" s="320"/>
      <c r="Q75" s="320"/>
      <c r="R75" s="320"/>
      <c r="S75" s="320">
        <v>1.5</v>
      </c>
      <c r="T75" s="320"/>
      <c r="U75" s="320"/>
      <c r="V75" s="320"/>
      <c r="W75" s="320"/>
      <c r="X75" s="320"/>
      <c r="Y75" s="300">
        <v>0.33333333333333331</v>
      </c>
      <c r="Z75" s="300">
        <v>0.75</v>
      </c>
      <c r="AA75" s="297"/>
    </row>
    <row r="76" spans="1:27" s="277" customFormat="1" ht="22.5" customHeight="1">
      <c r="A76" s="293" t="s">
        <v>193</v>
      </c>
      <c r="B76" s="294">
        <v>0.59583333333333333</v>
      </c>
      <c r="C76" s="294">
        <v>0.98055555555555562</v>
      </c>
      <c r="D76" s="294">
        <v>0.59583333333333333</v>
      </c>
      <c r="E76" s="294">
        <v>0.98055555555555562</v>
      </c>
      <c r="F76" s="295">
        <v>0.60416666666666663</v>
      </c>
      <c r="G76" s="295">
        <v>0.97916666666666663</v>
      </c>
      <c r="H76" s="317"/>
      <c r="I76" s="317"/>
      <c r="J76" s="317"/>
      <c r="K76" s="317"/>
      <c r="L76" s="318">
        <v>1</v>
      </c>
      <c r="M76" s="318"/>
      <c r="N76" s="318"/>
      <c r="O76" s="318"/>
      <c r="P76" s="318"/>
      <c r="Q76" s="318"/>
      <c r="R76" s="318"/>
      <c r="S76" s="318">
        <v>1.5</v>
      </c>
      <c r="T76" s="318"/>
      <c r="U76" s="318"/>
      <c r="V76" s="318"/>
      <c r="W76" s="318"/>
      <c r="X76" s="318"/>
      <c r="Y76" s="296">
        <v>0.33333333333333331</v>
      </c>
      <c r="Z76" s="296">
        <v>0.75</v>
      </c>
      <c r="AA76" s="293"/>
    </row>
    <row r="77" spans="1:27" s="277" customFormat="1" ht="22.5" customHeight="1">
      <c r="A77" s="297" t="s">
        <v>194</v>
      </c>
      <c r="B77" s="298">
        <v>0.59444444444444444</v>
      </c>
      <c r="C77" s="298">
        <v>0.97986111111111107</v>
      </c>
      <c r="D77" s="298">
        <v>0.59444444444444444</v>
      </c>
      <c r="E77" s="298">
        <v>0.97986111111111107</v>
      </c>
      <c r="F77" s="299">
        <v>0.60416666666666663</v>
      </c>
      <c r="G77" s="299">
        <v>0.97916666666666663</v>
      </c>
      <c r="H77" s="319"/>
      <c r="I77" s="319"/>
      <c r="J77" s="319"/>
      <c r="K77" s="319"/>
      <c r="L77" s="320">
        <v>1</v>
      </c>
      <c r="M77" s="320"/>
      <c r="N77" s="320"/>
      <c r="O77" s="320"/>
      <c r="P77" s="320"/>
      <c r="Q77" s="320"/>
      <c r="R77" s="320"/>
      <c r="S77" s="320">
        <v>1.5</v>
      </c>
      <c r="T77" s="320"/>
      <c r="U77" s="320"/>
      <c r="V77" s="320"/>
      <c r="W77" s="320"/>
      <c r="X77" s="320"/>
      <c r="Y77" s="300">
        <v>0.33333333333333331</v>
      </c>
      <c r="Z77" s="300">
        <v>0.75</v>
      </c>
      <c r="AA77" s="297"/>
    </row>
    <row r="78" spans="1:27" s="277" customFormat="1" ht="22.5" customHeight="1">
      <c r="A78" s="293" t="s">
        <v>195</v>
      </c>
      <c r="B78" s="294">
        <v>0.40763888888888888</v>
      </c>
      <c r="C78" s="294">
        <v>0.71527777777777779</v>
      </c>
      <c r="D78" s="294">
        <v>0.40763888888888888</v>
      </c>
      <c r="E78" s="294">
        <v>0.71527777777777779</v>
      </c>
      <c r="F78" s="295">
        <v>0.41666666666666669</v>
      </c>
      <c r="G78" s="295">
        <v>0.875</v>
      </c>
      <c r="H78" s="317">
        <v>0.5</v>
      </c>
      <c r="I78" s="324" t="s">
        <v>213</v>
      </c>
      <c r="J78" s="317"/>
      <c r="K78" s="317"/>
      <c r="L78" s="318">
        <v>0.5</v>
      </c>
      <c r="M78" s="318"/>
      <c r="N78" s="318"/>
      <c r="O78" s="318"/>
      <c r="P78" s="318"/>
      <c r="Q78" s="318"/>
      <c r="R78" s="318"/>
      <c r="S78" s="318"/>
      <c r="T78" s="318"/>
      <c r="U78" s="318"/>
      <c r="V78" s="318"/>
      <c r="W78" s="318"/>
      <c r="X78" s="318"/>
      <c r="Y78" s="296">
        <v>0.33333333333333331</v>
      </c>
      <c r="Z78" s="296">
        <v>0.75</v>
      </c>
      <c r="AA78" s="293"/>
    </row>
    <row r="79" spans="1:27" s="277" customFormat="1" ht="22.5" customHeight="1">
      <c r="A79" s="307" t="s">
        <v>3</v>
      </c>
      <c r="B79" s="307"/>
      <c r="C79" s="307"/>
      <c r="D79" s="307"/>
      <c r="E79" s="307"/>
      <c r="F79" s="307"/>
      <c r="G79" s="307"/>
      <c r="H79" s="321">
        <f>SUM(H65:H78)</f>
        <v>1</v>
      </c>
      <c r="I79" s="321">
        <f t="shared" ref="I79:X79" si="4">SUM(I65:I78)</f>
        <v>0</v>
      </c>
      <c r="J79" s="321">
        <f t="shared" si="4"/>
        <v>0</v>
      </c>
      <c r="K79" s="321">
        <f t="shared" si="4"/>
        <v>0</v>
      </c>
      <c r="L79" s="321">
        <f t="shared" si="4"/>
        <v>11</v>
      </c>
      <c r="M79" s="321">
        <f t="shared" si="4"/>
        <v>0</v>
      </c>
      <c r="N79" s="321">
        <f t="shared" si="4"/>
        <v>0</v>
      </c>
      <c r="O79" s="321">
        <f t="shared" si="4"/>
        <v>0</v>
      </c>
      <c r="P79" s="321">
        <f t="shared" si="4"/>
        <v>0</v>
      </c>
      <c r="Q79" s="321">
        <f t="shared" si="4"/>
        <v>0</v>
      </c>
      <c r="R79" s="321">
        <f t="shared" si="4"/>
        <v>0</v>
      </c>
      <c r="S79" s="321">
        <f t="shared" si="4"/>
        <v>10.5</v>
      </c>
      <c r="T79" s="321">
        <f t="shared" si="4"/>
        <v>0</v>
      </c>
      <c r="U79" s="321">
        <f t="shared" si="4"/>
        <v>0</v>
      </c>
      <c r="V79" s="321">
        <f t="shared" si="4"/>
        <v>0</v>
      </c>
      <c r="W79" s="321">
        <f t="shared" si="4"/>
        <v>0</v>
      </c>
      <c r="X79" s="321">
        <f t="shared" si="4"/>
        <v>0</v>
      </c>
      <c r="Y79" s="285"/>
      <c r="Z79" s="285"/>
      <c r="AA79" s="307" t="s">
        <v>214</v>
      </c>
    </row>
    <row r="80" spans="1:27" s="277" customFormat="1" ht="22.5" customHeight="1" thickBot="1">
      <c r="H80" s="322"/>
      <c r="I80" s="322"/>
      <c r="J80" s="322"/>
      <c r="K80" s="322"/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08"/>
      <c r="Z80" s="308"/>
    </row>
    <row r="81" spans="1:27" s="277" customFormat="1" ht="22.5" customHeight="1" thickBot="1">
      <c r="A81" s="290" t="s">
        <v>177</v>
      </c>
      <c r="B81" s="291" t="s">
        <v>215</v>
      </c>
      <c r="C81" s="291"/>
      <c r="D81" s="291"/>
      <c r="E81" s="291"/>
      <c r="F81" s="291"/>
      <c r="G81" s="291"/>
      <c r="H81" s="344" t="s">
        <v>91</v>
      </c>
      <c r="I81" s="345"/>
      <c r="J81" s="345"/>
      <c r="K81" s="346"/>
      <c r="L81" s="347" t="s">
        <v>90</v>
      </c>
      <c r="M81" s="349" t="s">
        <v>165</v>
      </c>
      <c r="N81" s="349" t="s">
        <v>166</v>
      </c>
      <c r="O81" s="351" t="s">
        <v>167</v>
      </c>
      <c r="P81" s="352"/>
      <c r="Q81" s="353"/>
      <c r="R81" s="349" t="s">
        <v>168</v>
      </c>
      <c r="S81" s="351" t="s">
        <v>19</v>
      </c>
      <c r="T81" s="352"/>
      <c r="U81" s="353"/>
      <c r="V81" s="349" t="s">
        <v>126</v>
      </c>
      <c r="W81" s="349" t="s">
        <v>127</v>
      </c>
      <c r="X81" s="354" t="s">
        <v>105</v>
      </c>
      <c r="Y81" s="285" t="s">
        <v>169</v>
      </c>
      <c r="Z81" s="285"/>
      <c r="AA81" s="307" t="s">
        <v>170</v>
      </c>
    </row>
    <row r="82" spans="1:27" s="277" customFormat="1" ht="22.5" customHeight="1" thickBot="1">
      <c r="A82" s="290" t="s">
        <v>179</v>
      </c>
      <c r="B82" s="291" t="s">
        <v>216</v>
      </c>
      <c r="C82" s="291"/>
      <c r="D82" s="291"/>
      <c r="E82" s="291"/>
      <c r="F82" s="291"/>
      <c r="G82" s="291"/>
      <c r="H82" s="286" t="s">
        <v>173</v>
      </c>
      <c r="I82" s="286" t="s">
        <v>93</v>
      </c>
      <c r="J82" s="286" t="s">
        <v>94</v>
      </c>
      <c r="K82" s="287" t="s">
        <v>174</v>
      </c>
      <c r="L82" s="348"/>
      <c r="M82" s="350"/>
      <c r="N82" s="350"/>
      <c r="O82" s="288" t="s">
        <v>175</v>
      </c>
      <c r="P82" s="288" t="s">
        <v>176</v>
      </c>
      <c r="Q82" s="313" t="s">
        <v>127</v>
      </c>
      <c r="R82" s="350"/>
      <c r="S82" s="288" t="s">
        <v>175</v>
      </c>
      <c r="T82" s="288" t="s">
        <v>176</v>
      </c>
      <c r="U82" s="313" t="s">
        <v>127</v>
      </c>
      <c r="V82" s="350"/>
      <c r="W82" s="350"/>
      <c r="X82" s="355"/>
      <c r="Y82" s="285" t="s">
        <v>171</v>
      </c>
      <c r="Z82" s="285" t="s">
        <v>172</v>
      </c>
      <c r="AA82" s="307"/>
    </row>
    <row r="83" spans="1:27" s="277" customFormat="1" ht="22.5" customHeight="1">
      <c r="A83" s="293" t="s">
        <v>181</v>
      </c>
      <c r="B83" s="294">
        <v>0.34097222222222223</v>
      </c>
      <c r="C83" s="294">
        <v>0.44930555555555557</v>
      </c>
      <c r="D83" s="294">
        <v>0.34097222222222223</v>
      </c>
      <c r="E83" s="294">
        <v>0.44930555555555557</v>
      </c>
      <c r="F83" s="295">
        <v>0.25</v>
      </c>
      <c r="G83" s="295">
        <v>0.94930555555555562</v>
      </c>
      <c r="H83" s="317"/>
      <c r="I83" s="317"/>
      <c r="J83" s="317"/>
      <c r="K83" s="317"/>
      <c r="L83" s="318"/>
      <c r="M83" s="318"/>
      <c r="N83" s="318"/>
      <c r="O83" s="318"/>
      <c r="P83" s="318"/>
      <c r="Q83" s="318"/>
      <c r="R83" s="318"/>
      <c r="S83" s="318"/>
      <c r="T83" s="318"/>
      <c r="U83" s="318"/>
      <c r="V83" s="318"/>
      <c r="W83" s="318"/>
      <c r="X83" s="318"/>
      <c r="Y83" s="296">
        <v>0.33333333333333331</v>
      </c>
      <c r="Z83" s="296">
        <v>0.70833333333333337</v>
      </c>
      <c r="AA83" s="293" t="s">
        <v>217</v>
      </c>
    </row>
    <row r="84" spans="1:27" s="277" customFormat="1" ht="22.5" customHeight="1">
      <c r="A84" s="297" t="s">
        <v>181</v>
      </c>
      <c r="B84" s="298">
        <v>0.46875</v>
      </c>
      <c r="C84" s="298">
        <v>0.7319444444444444</v>
      </c>
      <c r="D84" s="298">
        <v>0.46875</v>
      </c>
      <c r="E84" s="298">
        <v>0.7319444444444444</v>
      </c>
      <c r="F84" s="299">
        <v>0.99097222222222225</v>
      </c>
      <c r="G84" s="299">
        <v>0.625</v>
      </c>
      <c r="H84" s="319"/>
      <c r="I84" s="319"/>
      <c r="J84" s="319"/>
      <c r="K84" s="319"/>
      <c r="L84" s="320">
        <v>1</v>
      </c>
      <c r="M84" s="320"/>
      <c r="N84" s="320"/>
      <c r="O84" s="325">
        <v>2.5</v>
      </c>
      <c r="P84" s="320"/>
      <c r="Q84" s="320"/>
      <c r="R84" s="320"/>
      <c r="S84" s="320"/>
      <c r="T84" s="320"/>
      <c r="U84" s="320"/>
      <c r="V84" s="320"/>
      <c r="W84" s="320"/>
      <c r="X84" s="320"/>
      <c r="Y84" s="300">
        <v>0.33333333333333331</v>
      </c>
      <c r="Z84" s="300">
        <v>0.70833333333333337</v>
      </c>
      <c r="AA84" s="297"/>
    </row>
    <row r="85" spans="1:27" s="277" customFormat="1" ht="22.5" customHeight="1">
      <c r="A85" s="293" t="s">
        <v>182</v>
      </c>
      <c r="B85" s="294">
        <v>0.48819444444444443</v>
      </c>
      <c r="C85" s="294">
        <v>0.62638888888888888</v>
      </c>
      <c r="D85" s="294">
        <v>0.48819444444444443</v>
      </c>
      <c r="E85" s="294">
        <v>0.62638888888888888</v>
      </c>
      <c r="F85" s="295">
        <v>0.47916666666666669</v>
      </c>
      <c r="G85" s="295">
        <v>0.62638888888888888</v>
      </c>
      <c r="H85" s="317"/>
      <c r="I85" s="317"/>
      <c r="J85" s="317"/>
      <c r="K85" s="317"/>
      <c r="L85" s="318"/>
      <c r="M85" s="318"/>
      <c r="N85" s="318"/>
      <c r="O85" s="318"/>
      <c r="P85" s="318"/>
      <c r="Q85" s="318"/>
      <c r="R85" s="318"/>
      <c r="S85" s="318"/>
      <c r="T85" s="318"/>
      <c r="U85" s="318"/>
      <c r="V85" s="318"/>
      <c r="W85" s="318"/>
      <c r="X85" s="318"/>
      <c r="Y85" s="296">
        <v>0.33333333333333331</v>
      </c>
      <c r="Z85" s="296">
        <v>0.70833333333333337</v>
      </c>
      <c r="AA85" s="293" t="s">
        <v>218</v>
      </c>
    </row>
    <row r="86" spans="1:27" s="277" customFormat="1" ht="22.5" customHeight="1">
      <c r="A86" s="297" t="s">
        <v>182</v>
      </c>
      <c r="B86" s="298">
        <v>0.74097222222222225</v>
      </c>
      <c r="C86" s="298">
        <v>0.97916666666666663</v>
      </c>
      <c r="D86" s="298">
        <v>0.74097222222222225</v>
      </c>
      <c r="E86" s="298">
        <v>0.97916666666666663</v>
      </c>
      <c r="F86" s="299">
        <v>0.75138888888888899</v>
      </c>
      <c r="G86" s="299">
        <v>0.97916666666666663</v>
      </c>
      <c r="H86" s="319"/>
      <c r="I86" s="319"/>
      <c r="J86" s="319"/>
      <c r="K86" s="319"/>
      <c r="L86" s="320">
        <v>1</v>
      </c>
      <c r="M86" s="320">
        <f>13/60</f>
        <v>0.21666666666666667</v>
      </c>
      <c r="N86" s="320"/>
      <c r="O86" s="320"/>
      <c r="P86" s="320"/>
      <c r="Q86" s="320"/>
      <c r="R86" s="320"/>
      <c r="S86" s="320">
        <v>1.5</v>
      </c>
      <c r="T86" s="320"/>
      <c r="U86" s="320"/>
      <c r="V86" s="320"/>
      <c r="W86" s="320"/>
      <c r="X86" s="320"/>
      <c r="Y86" s="300">
        <v>0.33333333333333331</v>
      </c>
      <c r="Z86" s="300">
        <v>0.70833333333333337</v>
      </c>
      <c r="AA86" s="297"/>
    </row>
    <row r="87" spans="1:27" s="277" customFormat="1" ht="22.5" customHeight="1">
      <c r="A87" s="293" t="s">
        <v>183</v>
      </c>
      <c r="B87" s="294">
        <v>0.39652777777777781</v>
      </c>
      <c r="C87" s="294">
        <v>0.58819444444444446</v>
      </c>
      <c r="D87" s="294">
        <v>0.39652777777777781</v>
      </c>
      <c r="E87" s="294">
        <v>0.58819444444444446</v>
      </c>
      <c r="F87" s="295">
        <v>0.41666666666666669</v>
      </c>
      <c r="G87" s="295">
        <v>0.58819444444444446</v>
      </c>
      <c r="H87" s="317"/>
      <c r="I87" s="317"/>
      <c r="J87" s="317"/>
      <c r="K87" s="317"/>
      <c r="L87" s="318"/>
      <c r="M87" s="318"/>
      <c r="N87" s="318"/>
      <c r="O87" s="318"/>
      <c r="P87" s="318"/>
      <c r="Q87" s="318"/>
      <c r="R87" s="318"/>
      <c r="S87" s="318"/>
      <c r="T87" s="318"/>
      <c r="U87" s="318"/>
      <c r="V87" s="318"/>
      <c r="W87" s="318"/>
      <c r="X87" s="318"/>
      <c r="Y87" s="296">
        <v>0.33333333333333331</v>
      </c>
      <c r="Z87" s="296">
        <v>0.70833333333333337</v>
      </c>
      <c r="AA87" s="293"/>
    </row>
    <row r="88" spans="1:27" s="277" customFormat="1" ht="22.5" customHeight="1">
      <c r="A88" s="297" t="s">
        <v>183</v>
      </c>
      <c r="B88" s="298">
        <v>0.62361111111111112</v>
      </c>
      <c r="C88" s="298">
        <v>0.7993055555555556</v>
      </c>
      <c r="D88" s="298">
        <v>0.62361111111111112</v>
      </c>
      <c r="E88" s="298">
        <v>0.7993055555555556</v>
      </c>
      <c r="F88" s="299">
        <v>0.62986111111111109</v>
      </c>
      <c r="G88" s="299">
        <v>0.79166666666666663</v>
      </c>
      <c r="H88" s="319"/>
      <c r="I88" s="319"/>
      <c r="J88" s="319"/>
      <c r="K88" s="319"/>
      <c r="L88" s="320">
        <v>1</v>
      </c>
      <c r="M88" s="320"/>
      <c r="N88" s="320"/>
      <c r="O88" s="320"/>
      <c r="P88" s="320"/>
      <c r="Q88" s="320"/>
      <c r="R88" s="320"/>
      <c r="S88" s="320"/>
      <c r="T88" s="320"/>
      <c r="U88" s="320"/>
      <c r="V88" s="320"/>
      <c r="W88" s="320"/>
      <c r="X88" s="320"/>
      <c r="Y88" s="300">
        <v>0.33333333333333331</v>
      </c>
      <c r="Z88" s="300">
        <v>0.70833333333333337</v>
      </c>
      <c r="AA88" s="297"/>
    </row>
    <row r="89" spans="1:27" s="277" customFormat="1" ht="22.5" customHeight="1">
      <c r="A89" s="297" t="s">
        <v>184</v>
      </c>
      <c r="B89" s="298">
        <v>0.46458333333333335</v>
      </c>
      <c r="C89" s="298">
        <v>0.6333333333333333</v>
      </c>
      <c r="D89" s="298">
        <v>0.46458333333333335</v>
      </c>
      <c r="E89" s="298">
        <v>0.6333333333333333</v>
      </c>
      <c r="F89" s="299">
        <v>0.47916666666666669</v>
      </c>
      <c r="G89" s="299">
        <v>0.6333333333333333</v>
      </c>
      <c r="H89" s="319"/>
      <c r="I89" s="319"/>
      <c r="J89" s="319"/>
      <c r="K89" s="319"/>
      <c r="L89" s="320"/>
      <c r="M89" s="320"/>
      <c r="N89" s="320"/>
      <c r="O89" s="320"/>
      <c r="P89" s="320"/>
      <c r="Q89" s="320"/>
      <c r="R89" s="320"/>
      <c r="S89" s="320"/>
      <c r="T89" s="320"/>
      <c r="U89" s="320"/>
      <c r="V89" s="320"/>
      <c r="W89" s="320"/>
      <c r="X89" s="320"/>
      <c r="Y89" s="300">
        <v>0.33333333333333331</v>
      </c>
      <c r="Z89" s="300">
        <v>0.70833333333333337</v>
      </c>
      <c r="AA89" s="297"/>
    </row>
    <row r="90" spans="1:27" s="277" customFormat="1" ht="22.5" customHeight="1">
      <c r="A90" s="293" t="s">
        <v>184</v>
      </c>
      <c r="B90" s="294">
        <v>0.74583333333333324</v>
      </c>
      <c r="C90" s="294">
        <v>0.97916666666666663</v>
      </c>
      <c r="D90" s="294">
        <v>0.74583333333333324</v>
      </c>
      <c r="E90" s="294">
        <v>0.97916666666666663</v>
      </c>
      <c r="F90" s="295">
        <v>0.79999999999999993</v>
      </c>
      <c r="G90" s="295">
        <v>0.97916666666666663</v>
      </c>
      <c r="H90" s="317"/>
      <c r="I90" s="317"/>
      <c r="J90" s="317"/>
      <c r="K90" s="317"/>
      <c r="L90" s="318">
        <v>1</v>
      </c>
      <c r="M90" s="318"/>
      <c r="N90" s="318"/>
      <c r="O90" s="318"/>
      <c r="P90" s="318"/>
      <c r="Q90" s="318"/>
      <c r="R90" s="318"/>
      <c r="S90" s="318">
        <v>1.5</v>
      </c>
      <c r="T90" s="318"/>
      <c r="U90" s="318"/>
      <c r="V90" s="318"/>
      <c r="W90" s="318"/>
      <c r="X90" s="318"/>
      <c r="Y90" s="296">
        <v>0.33333333333333331</v>
      </c>
      <c r="Z90" s="296">
        <v>0.70833333333333337</v>
      </c>
      <c r="AA90" s="293"/>
    </row>
    <row r="91" spans="1:27" s="277" customFormat="1" ht="22.5" customHeight="1">
      <c r="A91" s="293" t="s">
        <v>186</v>
      </c>
      <c r="B91" s="294">
        <v>0.46111111111111108</v>
      </c>
      <c r="C91" s="294">
        <v>0.63402777777777775</v>
      </c>
      <c r="D91" s="294">
        <v>0.46111111111111108</v>
      </c>
      <c r="E91" s="294">
        <v>0.63402777777777775</v>
      </c>
      <c r="F91" s="295">
        <v>0.47916666666666669</v>
      </c>
      <c r="G91" s="295">
        <v>0.63402777777777775</v>
      </c>
      <c r="H91" s="317"/>
      <c r="I91" s="317"/>
      <c r="J91" s="317"/>
      <c r="K91" s="317"/>
      <c r="L91" s="318"/>
      <c r="M91" s="318"/>
      <c r="N91" s="318"/>
      <c r="O91" s="318"/>
      <c r="P91" s="318"/>
      <c r="Q91" s="318"/>
      <c r="R91" s="318"/>
      <c r="S91" s="318"/>
      <c r="T91" s="318"/>
      <c r="U91" s="318"/>
      <c r="V91" s="318"/>
      <c r="W91" s="318"/>
      <c r="X91" s="318"/>
      <c r="Y91" s="296">
        <v>0.33333333333333331</v>
      </c>
      <c r="Z91" s="296">
        <v>0.70833333333333337</v>
      </c>
      <c r="AA91" s="293"/>
    </row>
    <row r="92" spans="1:27" s="277" customFormat="1" ht="22.5" customHeight="1">
      <c r="A92" s="297" t="s">
        <v>186</v>
      </c>
      <c r="B92" s="298">
        <v>0.74513888888888891</v>
      </c>
      <c r="C92" s="298">
        <v>0.97986111111111107</v>
      </c>
      <c r="D92" s="298">
        <v>0.74513888888888891</v>
      </c>
      <c r="E92" s="298">
        <v>0.97986111111111107</v>
      </c>
      <c r="F92" s="299">
        <v>0.80069444444444438</v>
      </c>
      <c r="G92" s="299">
        <v>0.97916666666666663</v>
      </c>
      <c r="H92" s="319"/>
      <c r="I92" s="319"/>
      <c r="J92" s="319"/>
      <c r="K92" s="319"/>
      <c r="L92" s="320">
        <v>1</v>
      </c>
      <c r="M92" s="320"/>
      <c r="N92" s="320"/>
      <c r="O92" s="320"/>
      <c r="P92" s="320"/>
      <c r="Q92" s="320"/>
      <c r="R92" s="320"/>
      <c r="S92" s="320">
        <v>1.5</v>
      </c>
      <c r="T92" s="320"/>
      <c r="U92" s="320"/>
      <c r="V92" s="320"/>
      <c r="W92" s="320"/>
      <c r="X92" s="320"/>
      <c r="Y92" s="300">
        <v>0.33333333333333331</v>
      </c>
      <c r="Z92" s="300">
        <v>0.70833333333333337</v>
      </c>
      <c r="AA92" s="297"/>
    </row>
    <row r="93" spans="1:27" s="277" customFormat="1" ht="22.5" customHeight="1">
      <c r="A93" s="293" t="s">
        <v>187</v>
      </c>
      <c r="B93" s="294">
        <v>0.4604166666666667</v>
      </c>
      <c r="C93" s="294">
        <v>0.62847222222222221</v>
      </c>
      <c r="D93" s="294">
        <v>0.4604166666666667</v>
      </c>
      <c r="E93" s="294">
        <v>0.62847222222222221</v>
      </c>
      <c r="F93" s="295">
        <v>0.45833333333333331</v>
      </c>
      <c r="G93" s="295">
        <v>0.62847222222222221</v>
      </c>
      <c r="H93" s="317"/>
      <c r="I93" s="317"/>
      <c r="J93" s="317"/>
      <c r="K93" s="317"/>
      <c r="L93" s="318"/>
      <c r="M93" s="318"/>
      <c r="N93" s="318"/>
      <c r="O93" s="318"/>
      <c r="P93" s="318"/>
      <c r="Q93" s="318"/>
      <c r="R93" s="318"/>
      <c r="S93" s="318"/>
      <c r="T93" s="318"/>
      <c r="U93" s="318"/>
      <c r="V93" s="318"/>
      <c r="W93" s="318"/>
      <c r="X93" s="318"/>
      <c r="Y93" s="296">
        <v>0.33333333333333331</v>
      </c>
      <c r="Z93" s="296">
        <v>0.70833333333333337</v>
      </c>
      <c r="AA93" s="293"/>
    </row>
    <row r="94" spans="1:27" s="277" customFormat="1" ht="22.5" customHeight="1">
      <c r="A94" s="297" t="s">
        <v>187</v>
      </c>
      <c r="B94" s="298">
        <v>0.70347222222222217</v>
      </c>
      <c r="C94" s="298">
        <v>0.875</v>
      </c>
      <c r="D94" s="298">
        <v>0.70347222222222217</v>
      </c>
      <c r="E94" s="298">
        <v>0.875</v>
      </c>
      <c r="F94" s="299">
        <v>0.71180555555555547</v>
      </c>
      <c r="G94" s="299">
        <v>0.875</v>
      </c>
      <c r="H94" s="319"/>
      <c r="I94" s="319"/>
      <c r="J94" s="319"/>
      <c r="K94" s="319"/>
      <c r="L94" s="320">
        <v>1</v>
      </c>
      <c r="M94" s="320"/>
      <c r="N94" s="320"/>
      <c r="O94" s="320"/>
      <c r="P94" s="320"/>
      <c r="Q94" s="320"/>
      <c r="R94" s="320"/>
      <c r="S94" s="320"/>
      <c r="T94" s="320"/>
      <c r="U94" s="320"/>
      <c r="V94" s="320"/>
      <c r="W94" s="320"/>
      <c r="X94" s="320"/>
      <c r="Y94" s="300">
        <v>0.33333333333333331</v>
      </c>
      <c r="Z94" s="300">
        <v>0.70833333333333337</v>
      </c>
      <c r="AA94" s="297"/>
    </row>
    <row r="95" spans="1:27" s="277" customFormat="1" ht="22.5" customHeight="1">
      <c r="A95" s="293" t="s">
        <v>189</v>
      </c>
      <c r="B95" s="301"/>
      <c r="C95" s="301"/>
      <c r="D95" s="302"/>
      <c r="E95" s="302"/>
      <c r="F95" s="356" t="s">
        <v>188</v>
      </c>
      <c r="G95" s="356"/>
      <c r="H95" s="317"/>
      <c r="I95" s="317"/>
      <c r="J95" s="317"/>
      <c r="K95" s="317"/>
      <c r="L95" s="318"/>
      <c r="M95" s="318"/>
      <c r="N95" s="318"/>
      <c r="O95" s="318"/>
      <c r="P95" s="318"/>
      <c r="Q95" s="318"/>
      <c r="R95" s="318"/>
      <c r="S95" s="318"/>
      <c r="T95" s="318"/>
      <c r="U95" s="318"/>
      <c r="V95" s="318"/>
      <c r="W95" s="318"/>
      <c r="X95" s="318"/>
      <c r="Y95" s="303"/>
      <c r="Z95" s="303"/>
      <c r="AA95" s="293"/>
    </row>
    <row r="96" spans="1:27" s="277" customFormat="1" ht="22.5" customHeight="1">
      <c r="A96" s="293" t="s">
        <v>190</v>
      </c>
      <c r="B96" s="294">
        <v>0.24583333333333335</v>
      </c>
      <c r="C96" s="294">
        <v>0.4375</v>
      </c>
      <c r="D96" s="294">
        <v>0.24583333333333335</v>
      </c>
      <c r="E96" s="294">
        <v>0.4375</v>
      </c>
      <c r="F96" s="295">
        <v>0.25</v>
      </c>
      <c r="G96" s="295">
        <v>0.9375</v>
      </c>
      <c r="H96" s="317"/>
      <c r="I96" s="317"/>
      <c r="J96" s="317"/>
      <c r="K96" s="317"/>
      <c r="L96" s="318"/>
      <c r="M96" s="318"/>
      <c r="N96" s="318"/>
      <c r="O96" s="318"/>
      <c r="P96" s="318"/>
      <c r="Q96" s="318"/>
      <c r="R96" s="318"/>
      <c r="S96" s="318"/>
      <c r="T96" s="318"/>
      <c r="U96" s="318"/>
      <c r="V96" s="318"/>
      <c r="W96" s="318"/>
      <c r="X96" s="318"/>
      <c r="Y96" s="296">
        <v>0.33333333333333331</v>
      </c>
      <c r="Z96" s="296">
        <v>0.70833333333333337</v>
      </c>
      <c r="AA96" s="293"/>
    </row>
    <row r="97" spans="1:27" s="277" customFormat="1" ht="22.5" customHeight="1">
      <c r="A97" s="297" t="s">
        <v>190</v>
      </c>
      <c r="B97" s="298">
        <v>0.4548611111111111</v>
      </c>
      <c r="C97" s="298">
        <v>0.63611111111111118</v>
      </c>
      <c r="D97" s="298">
        <v>0.4548611111111111</v>
      </c>
      <c r="E97" s="298">
        <v>0.63611111111111118</v>
      </c>
      <c r="F97" s="299">
        <v>0.47916666666666669</v>
      </c>
      <c r="G97" s="299">
        <v>0.625</v>
      </c>
      <c r="H97" s="319"/>
      <c r="I97" s="319"/>
      <c r="J97" s="319"/>
      <c r="K97" s="319"/>
      <c r="L97" s="320">
        <v>1</v>
      </c>
      <c r="M97" s="320"/>
      <c r="N97" s="320"/>
      <c r="O97" s="320"/>
      <c r="P97" s="320"/>
      <c r="Q97" s="320"/>
      <c r="R97" s="320"/>
      <c r="S97" s="320"/>
      <c r="T97" s="320"/>
      <c r="U97" s="320"/>
      <c r="V97" s="320"/>
      <c r="W97" s="320"/>
      <c r="X97" s="320"/>
      <c r="Y97" s="300">
        <v>0.33333333333333331</v>
      </c>
      <c r="Z97" s="300">
        <v>0.70833333333333337</v>
      </c>
      <c r="AA97" s="297"/>
    </row>
    <row r="98" spans="1:27" s="277" customFormat="1" ht="22.5" customHeight="1">
      <c r="A98" s="297" t="s">
        <v>191</v>
      </c>
      <c r="B98" s="298">
        <v>0.25277777777777777</v>
      </c>
      <c r="C98" s="298">
        <v>0.41805555555555557</v>
      </c>
      <c r="D98" s="298">
        <v>0.25277777777777777</v>
      </c>
      <c r="E98" s="298">
        <v>0.41805555555555557</v>
      </c>
      <c r="F98" s="299">
        <v>0.25</v>
      </c>
      <c r="G98" s="299">
        <v>0.91805555555555562</v>
      </c>
      <c r="H98" s="319"/>
      <c r="I98" s="319"/>
      <c r="J98" s="319"/>
      <c r="K98" s="319"/>
      <c r="L98" s="320"/>
      <c r="M98" s="320"/>
      <c r="N98" s="320"/>
      <c r="O98" s="320"/>
      <c r="P98" s="320"/>
      <c r="Q98" s="320"/>
      <c r="R98" s="320"/>
      <c r="S98" s="320"/>
      <c r="T98" s="320"/>
      <c r="U98" s="320"/>
      <c r="V98" s="320"/>
      <c r="W98" s="320"/>
      <c r="X98" s="320"/>
      <c r="Y98" s="300">
        <v>0.33333333333333331</v>
      </c>
      <c r="Z98" s="300">
        <v>0.70833333333333337</v>
      </c>
      <c r="AA98" s="297"/>
    </row>
    <row r="99" spans="1:27" s="277" customFormat="1" ht="22.5" customHeight="1">
      <c r="A99" s="293" t="s">
        <v>191</v>
      </c>
      <c r="B99" s="294">
        <v>0.44097222222222227</v>
      </c>
      <c r="C99" s="294">
        <v>0.62777777777777777</v>
      </c>
      <c r="D99" s="294">
        <v>0.44097222222222227</v>
      </c>
      <c r="E99" s="294">
        <v>0.62777777777777777</v>
      </c>
      <c r="F99" s="295">
        <v>0.95972222222222225</v>
      </c>
      <c r="G99" s="295">
        <v>0.625</v>
      </c>
      <c r="H99" s="317"/>
      <c r="I99" s="317"/>
      <c r="J99" s="317"/>
      <c r="K99" s="317"/>
      <c r="L99" s="318">
        <v>1</v>
      </c>
      <c r="M99" s="318"/>
      <c r="N99" s="318"/>
      <c r="O99" s="318"/>
      <c r="P99" s="318"/>
      <c r="Q99" s="318"/>
      <c r="R99" s="318"/>
      <c r="S99" s="318"/>
      <c r="T99" s="318"/>
      <c r="U99" s="318"/>
      <c r="V99" s="318"/>
      <c r="W99" s="318"/>
      <c r="X99" s="318"/>
      <c r="Y99" s="296">
        <v>0.33333333333333331</v>
      </c>
      <c r="Z99" s="296">
        <v>0.70833333333333337</v>
      </c>
      <c r="AA99" s="293"/>
    </row>
    <row r="100" spans="1:27" s="277" customFormat="1" ht="22.5" customHeight="1">
      <c r="A100" s="297" t="s">
        <v>192</v>
      </c>
      <c r="B100" s="298">
        <v>0.25</v>
      </c>
      <c r="C100" s="298">
        <v>0.4201388888888889</v>
      </c>
      <c r="D100" s="298">
        <v>0.25</v>
      </c>
      <c r="E100" s="298">
        <v>0.4201388888888889</v>
      </c>
      <c r="F100" s="299">
        <v>0.25</v>
      </c>
      <c r="G100" s="299">
        <v>0.92013888888888884</v>
      </c>
      <c r="H100" s="319"/>
      <c r="I100" s="319"/>
      <c r="J100" s="319"/>
      <c r="K100" s="319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0">
        <v>0.33333333333333331</v>
      </c>
      <c r="Z100" s="300">
        <v>0.70833333333333337</v>
      </c>
      <c r="AA100" s="297"/>
    </row>
    <row r="101" spans="1:27" s="277" customFormat="1" ht="22.5" customHeight="1">
      <c r="A101" s="293" t="s">
        <v>192</v>
      </c>
      <c r="B101" s="294">
        <v>0.43958333333333338</v>
      </c>
      <c r="C101" s="294">
        <v>0.63055555555555554</v>
      </c>
      <c r="D101" s="294">
        <v>0.43958333333333338</v>
      </c>
      <c r="E101" s="294">
        <v>0.63055555555555554</v>
      </c>
      <c r="F101" s="295">
        <v>0.96180555555555547</v>
      </c>
      <c r="G101" s="295">
        <v>0.625</v>
      </c>
      <c r="H101" s="317"/>
      <c r="I101" s="317"/>
      <c r="J101" s="317"/>
      <c r="K101" s="317"/>
      <c r="L101" s="318">
        <v>1</v>
      </c>
      <c r="M101" s="318"/>
      <c r="N101" s="318"/>
      <c r="O101" s="318"/>
      <c r="P101" s="318"/>
      <c r="Q101" s="318"/>
      <c r="R101" s="318"/>
      <c r="S101" s="318"/>
      <c r="T101" s="318"/>
      <c r="U101" s="318"/>
      <c r="V101" s="318"/>
      <c r="W101" s="318"/>
      <c r="X101" s="318"/>
      <c r="Y101" s="296">
        <v>0.33333333333333331</v>
      </c>
      <c r="Z101" s="296">
        <v>0.70833333333333337</v>
      </c>
      <c r="AA101" s="293"/>
    </row>
    <row r="102" spans="1:27" s="277" customFormat="1" ht="22.5" customHeight="1">
      <c r="A102" s="293" t="s">
        <v>193</v>
      </c>
      <c r="B102" s="294">
        <v>0.25347222222222221</v>
      </c>
      <c r="C102" s="294">
        <v>0.41736111111111113</v>
      </c>
      <c r="D102" s="294">
        <v>0.25347222222222221</v>
      </c>
      <c r="E102" s="294">
        <v>0.41736111111111113</v>
      </c>
      <c r="F102" s="295">
        <v>0.25</v>
      </c>
      <c r="G102" s="295">
        <v>0.41666666666666669</v>
      </c>
      <c r="H102" s="317"/>
      <c r="I102" s="317"/>
      <c r="J102" s="317"/>
      <c r="K102" s="317"/>
      <c r="L102" s="318"/>
      <c r="M102" s="318"/>
      <c r="N102" s="318"/>
      <c r="O102" s="318"/>
      <c r="P102" s="318"/>
      <c r="Q102" s="318"/>
      <c r="R102" s="318"/>
      <c r="S102" s="318"/>
      <c r="T102" s="318"/>
      <c r="U102" s="318"/>
      <c r="V102" s="318"/>
      <c r="W102" s="318"/>
      <c r="X102" s="318"/>
      <c r="Y102" s="296">
        <v>0.33333333333333331</v>
      </c>
      <c r="Z102" s="296">
        <v>0.70833333333333337</v>
      </c>
      <c r="AA102" s="293"/>
    </row>
    <row r="103" spans="1:27" s="277" customFormat="1" ht="22.5" customHeight="1">
      <c r="A103" s="297" t="s">
        <v>193</v>
      </c>
      <c r="B103" s="298">
        <v>0.4375</v>
      </c>
      <c r="C103" s="298">
        <v>0.62847222222222221</v>
      </c>
      <c r="D103" s="298">
        <v>0.4375</v>
      </c>
      <c r="E103" s="298">
        <v>0.62847222222222221</v>
      </c>
      <c r="F103" s="299">
        <v>0.45833333333333331</v>
      </c>
      <c r="G103" s="299">
        <v>0.625</v>
      </c>
      <c r="H103" s="319"/>
      <c r="I103" s="319"/>
      <c r="J103" s="319"/>
      <c r="K103" s="319"/>
      <c r="L103" s="320">
        <v>1</v>
      </c>
      <c r="M103" s="320"/>
      <c r="N103" s="320"/>
      <c r="O103" s="320"/>
      <c r="P103" s="320"/>
      <c r="Q103" s="320"/>
      <c r="R103" s="320"/>
      <c r="S103" s="320"/>
      <c r="T103" s="320"/>
      <c r="U103" s="320"/>
      <c r="V103" s="320"/>
      <c r="W103" s="320"/>
      <c r="X103" s="320"/>
      <c r="Y103" s="300">
        <v>0.33333333333333331</v>
      </c>
      <c r="Z103" s="300">
        <v>0.70833333333333337</v>
      </c>
      <c r="AA103" s="297"/>
    </row>
    <row r="104" spans="1:27" s="277" customFormat="1" ht="22.5" customHeight="1">
      <c r="A104" s="297" t="s">
        <v>194</v>
      </c>
      <c r="B104" s="298">
        <v>0.24861111111111112</v>
      </c>
      <c r="C104" s="298">
        <v>0.40625</v>
      </c>
      <c r="D104" s="298">
        <v>0.24861111111111112</v>
      </c>
      <c r="E104" s="298">
        <v>0.40625</v>
      </c>
      <c r="F104" s="299">
        <v>0.25</v>
      </c>
      <c r="G104" s="299">
        <v>0.40625</v>
      </c>
      <c r="H104" s="319"/>
      <c r="I104" s="319"/>
      <c r="J104" s="319"/>
      <c r="K104" s="319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20"/>
      <c r="Y104" s="300">
        <v>0.33333333333333331</v>
      </c>
      <c r="Z104" s="300">
        <v>0.70833333333333337</v>
      </c>
      <c r="AA104" s="297"/>
    </row>
    <row r="105" spans="1:27" s="277" customFormat="1" ht="22.5" customHeight="1">
      <c r="A105" s="293" t="s">
        <v>194</v>
      </c>
      <c r="B105" s="294">
        <v>0.42430555555555555</v>
      </c>
      <c r="C105" s="294">
        <v>0.62777777777777777</v>
      </c>
      <c r="D105" s="294">
        <v>0.42430555555555555</v>
      </c>
      <c r="E105" s="294">
        <v>0.62777777777777777</v>
      </c>
      <c r="F105" s="295">
        <v>0.44791666666666669</v>
      </c>
      <c r="G105" s="295">
        <v>0.625</v>
      </c>
      <c r="H105" s="317"/>
      <c r="I105" s="317"/>
      <c r="J105" s="317"/>
      <c r="K105" s="317"/>
      <c r="L105" s="318">
        <v>1</v>
      </c>
      <c r="M105" s="318"/>
      <c r="N105" s="318"/>
      <c r="O105" s="318"/>
      <c r="P105" s="318"/>
      <c r="Q105" s="318"/>
      <c r="R105" s="318"/>
      <c r="S105" s="318"/>
      <c r="T105" s="318"/>
      <c r="U105" s="318"/>
      <c r="V105" s="318"/>
      <c r="W105" s="318"/>
      <c r="X105" s="318"/>
      <c r="Y105" s="296">
        <v>0.33333333333333331</v>
      </c>
      <c r="Z105" s="296">
        <v>0.70833333333333337</v>
      </c>
      <c r="AA105" s="293"/>
    </row>
    <row r="106" spans="1:27" s="277" customFormat="1" ht="22.5" customHeight="1">
      <c r="A106" s="297" t="s">
        <v>195</v>
      </c>
      <c r="B106" s="304"/>
      <c r="C106" s="304"/>
      <c r="D106" s="305"/>
      <c r="E106" s="305"/>
      <c r="F106" s="357" t="s">
        <v>22</v>
      </c>
      <c r="G106" s="357"/>
      <c r="H106" s="319"/>
      <c r="I106" s="319"/>
      <c r="J106" s="319"/>
      <c r="K106" s="319"/>
      <c r="L106" s="320"/>
      <c r="M106" s="320"/>
      <c r="N106" s="320"/>
      <c r="O106" s="320"/>
      <c r="P106" s="320"/>
      <c r="Q106" s="320"/>
      <c r="R106" s="320">
        <v>1</v>
      </c>
      <c r="S106" s="320"/>
      <c r="T106" s="320"/>
      <c r="U106" s="320"/>
      <c r="V106" s="320"/>
      <c r="W106" s="320"/>
      <c r="X106" s="320"/>
      <c r="Y106" s="306"/>
      <c r="Z106" s="306"/>
      <c r="AA106" s="297"/>
    </row>
    <row r="107" spans="1:27" s="277" customFormat="1" ht="22.5" customHeight="1">
      <c r="A107" s="307" t="s">
        <v>3</v>
      </c>
      <c r="B107" s="307"/>
      <c r="C107" s="307"/>
      <c r="D107" s="307"/>
      <c r="E107" s="307"/>
      <c r="F107" s="307"/>
      <c r="G107" s="307"/>
      <c r="H107" s="321">
        <f>SUM(H82:H106)</f>
        <v>0</v>
      </c>
      <c r="I107" s="321">
        <f t="shared" ref="I107:X107" si="5">SUM(I82:I106)</f>
        <v>0</v>
      </c>
      <c r="J107" s="321">
        <f t="shared" si="5"/>
        <v>0</v>
      </c>
      <c r="K107" s="321">
        <f t="shared" si="5"/>
        <v>0</v>
      </c>
      <c r="L107" s="321">
        <f t="shared" si="5"/>
        <v>11</v>
      </c>
      <c r="M107" s="321">
        <f t="shared" si="5"/>
        <v>0.21666666666666667</v>
      </c>
      <c r="N107" s="321">
        <f t="shared" si="5"/>
        <v>0</v>
      </c>
      <c r="O107" s="321">
        <f t="shared" si="5"/>
        <v>2.5</v>
      </c>
      <c r="P107" s="321">
        <f t="shared" si="5"/>
        <v>0</v>
      </c>
      <c r="Q107" s="321">
        <f t="shared" si="5"/>
        <v>0</v>
      </c>
      <c r="R107" s="321">
        <f t="shared" si="5"/>
        <v>1</v>
      </c>
      <c r="S107" s="321">
        <f t="shared" si="5"/>
        <v>4.5</v>
      </c>
      <c r="T107" s="321">
        <f t="shared" si="5"/>
        <v>0</v>
      </c>
      <c r="U107" s="321">
        <f t="shared" si="5"/>
        <v>0</v>
      </c>
      <c r="V107" s="321">
        <f t="shared" si="5"/>
        <v>0</v>
      </c>
      <c r="W107" s="321">
        <f t="shared" si="5"/>
        <v>0</v>
      </c>
      <c r="X107" s="321">
        <f t="shared" si="5"/>
        <v>0</v>
      </c>
      <c r="Y107" s="285"/>
      <c r="Z107" s="285"/>
      <c r="AA107" s="307"/>
    </row>
    <row r="108" spans="1:27" s="277" customFormat="1" ht="22.5" customHeight="1" thickBot="1">
      <c r="H108" s="322"/>
      <c r="I108" s="322"/>
      <c r="J108" s="322"/>
      <c r="K108" s="322"/>
      <c r="L108" s="323"/>
      <c r="M108" s="323"/>
      <c r="N108" s="323"/>
      <c r="O108" s="323"/>
      <c r="P108" s="323"/>
      <c r="Q108" s="323"/>
      <c r="R108" s="323"/>
      <c r="S108" s="323"/>
      <c r="T108" s="323"/>
      <c r="U108" s="323"/>
      <c r="V108" s="323"/>
      <c r="W108" s="323"/>
      <c r="X108" s="323"/>
      <c r="Y108" s="308"/>
      <c r="Z108" s="308"/>
    </row>
    <row r="109" spans="1:27" s="277" customFormat="1" ht="22.5" customHeight="1" thickBot="1">
      <c r="A109" s="290" t="s">
        <v>177</v>
      </c>
      <c r="B109" s="291" t="s">
        <v>219</v>
      </c>
      <c r="C109" s="291"/>
      <c r="D109" s="291"/>
      <c r="E109" s="291"/>
      <c r="F109" s="291"/>
      <c r="G109" s="291"/>
      <c r="H109" s="344" t="s">
        <v>91</v>
      </c>
      <c r="I109" s="345"/>
      <c r="J109" s="345"/>
      <c r="K109" s="346"/>
      <c r="L109" s="347" t="s">
        <v>90</v>
      </c>
      <c r="M109" s="349" t="s">
        <v>165</v>
      </c>
      <c r="N109" s="349" t="s">
        <v>166</v>
      </c>
      <c r="O109" s="351" t="s">
        <v>167</v>
      </c>
      <c r="P109" s="352"/>
      <c r="Q109" s="353"/>
      <c r="R109" s="349" t="s">
        <v>168</v>
      </c>
      <c r="S109" s="351" t="s">
        <v>19</v>
      </c>
      <c r="T109" s="352"/>
      <c r="U109" s="353"/>
      <c r="V109" s="349" t="s">
        <v>126</v>
      </c>
      <c r="W109" s="349" t="s">
        <v>127</v>
      </c>
      <c r="X109" s="354" t="s">
        <v>105</v>
      </c>
      <c r="Y109" s="285" t="s">
        <v>169</v>
      </c>
      <c r="Z109" s="285"/>
      <c r="AA109" s="307" t="s">
        <v>170</v>
      </c>
    </row>
    <row r="110" spans="1:27" s="277" customFormat="1" ht="22.5" customHeight="1" thickBot="1">
      <c r="A110" s="290" t="s">
        <v>179</v>
      </c>
      <c r="B110" s="291" t="s">
        <v>220</v>
      </c>
      <c r="C110" s="291"/>
      <c r="D110" s="291"/>
      <c r="E110" s="291"/>
      <c r="F110" s="291"/>
      <c r="G110" s="291"/>
      <c r="H110" s="286" t="s">
        <v>173</v>
      </c>
      <c r="I110" s="286" t="s">
        <v>93</v>
      </c>
      <c r="J110" s="286" t="s">
        <v>94</v>
      </c>
      <c r="K110" s="287" t="s">
        <v>174</v>
      </c>
      <c r="L110" s="348"/>
      <c r="M110" s="350"/>
      <c r="N110" s="350"/>
      <c r="O110" s="288" t="s">
        <v>175</v>
      </c>
      <c r="P110" s="288" t="s">
        <v>176</v>
      </c>
      <c r="Q110" s="313" t="s">
        <v>127</v>
      </c>
      <c r="R110" s="350"/>
      <c r="S110" s="288" t="s">
        <v>175</v>
      </c>
      <c r="T110" s="288" t="s">
        <v>176</v>
      </c>
      <c r="U110" s="313" t="s">
        <v>127</v>
      </c>
      <c r="V110" s="350"/>
      <c r="W110" s="350"/>
      <c r="X110" s="355"/>
      <c r="Y110" s="285" t="s">
        <v>171</v>
      </c>
      <c r="Z110" s="285" t="s">
        <v>172</v>
      </c>
      <c r="AA110" s="307"/>
    </row>
    <row r="111" spans="1:27" s="277" customFormat="1" ht="22.5" customHeight="1">
      <c r="A111" s="293" t="s">
        <v>181</v>
      </c>
      <c r="B111" s="294">
        <v>0.46388888888888885</v>
      </c>
      <c r="C111" s="294">
        <v>0.62708333333333333</v>
      </c>
      <c r="D111" s="294">
        <v>0.46388888888888885</v>
      </c>
      <c r="E111" s="294">
        <v>0.62708333333333333</v>
      </c>
      <c r="F111" s="295">
        <v>0.47916666666666669</v>
      </c>
      <c r="G111" s="295">
        <v>0.62708333333333333</v>
      </c>
      <c r="H111" s="317"/>
      <c r="I111" s="317"/>
      <c r="J111" s="317"/>
      <c r="K111" s="317"/>
      <c r="L111" s="318"/>
      <c r="M111" s="318"/>
      <c r="N111" s="318"/>
      <c r="O111" s="318"/>
      <c r="P111" s="318"/>
      <c r="Q111" s="318"/>
      <c r="R111" s="318"/>
      <c r="S111" s="318"/>
      <c r="T111" s="318"/>
      <c r="U111" s="318"/>
      <c r="V111" s="318"/>
      <c r="W111" s="318"/>
      <c r="X111" s="318"/>
      <c r="Y111" s="296">
        <v>0.33333333333333331</v>
      </c>
      <c r="Z111" s="296">
        <v>0.70833333333333337</v>
      </c>
      <c r="AA111" s="293"/>
    </row>
    <row r="112" spans="1:27" s="277" customFormat="1" ht="22.5" customHeight="1">
      <c r="A112" s="297" t="s">
        <v>181</v>
      </c>
      <c r="B112" s="298">
        <v>0.71111111111111114</v>
      </c>
      <c r="C112" s="298">
        <v>0.97986111111111107</v>
      </c>
      <c r="D112" s="298">
        <v>0.71111111111111114</v>
      </c>
      <c r="E112" s="298">
        <v>0.97986111111111107</v>
      </c>
      <c r="F112" s="299">
        <v>0.79375000000000007</v>
      </c>
      <c r="G112" s="299">
        <v>0.97916666666666663</v>
      </c>
      <c r="H112" s="319"/>
      <c r="I112" s="319"/>
      <c r="J112" s="319"/>
      <c r="K112" s="319"/>
      <c r="L112" s="320">
        <v>1</v>
      </c>
      <c r="M112" s="320">
        <f>1/60</f>
        <v>1.6666666666666666E-2</v>
      </c>
      <c r="N112" s="320"/>
      <c r="O112" s="320"/>
      <c r="P112" s="320"/>
      <c r="Q112" s="320"/>
      <c r="R112" s="320"/>
      <c r="S112" s="320">
        <v>1.5</v>
      </c>
      <c r="T112" s="320"/>
      <c r="U112" s="320"/>
      <c r="V112" s="320"/>
      <c r="W112" s="320"/>
      <c r="X112" s="320"/>
      <c r="Y112" s="300">
        <v>0.33333333333333331</v>
      </c>
      <c r="Z112" s="300">
        <v>0.70833333333333337</v>
      </c>
      <c r="AA112" s="297"/>
    </row>
    <row r="113" spans="1:27" s="277" customFormat="1" ht="22.5" customHeight="1">
      <c r="A113" s="293" t="s">
        <v>182</v>
      </c>
      <c r="B113" s="294">
        <v>0.24166666666666667</v>
      </c>
      <c r="C113" s="294">
        <v>0.62638888888888888</v>
      </c>
      <c r="D113" s="294">
        <v>0.24166666666666667</v>
      </c>
      <c r="E113" s="294">
        <v>0.62638888888888888</v>
      </c>
      <c r="F113" s="295">
        <v>0.25</v>
      </c>
      <c r="G113" s="295">
        <v>0.625</v>
      </c>
      <c r="H113" s="317"/>
      <c r="I113" s="317"/>
      <c r="J113" s="317"/>
      <c r="K113" s="317"/>
      <c r="L113" s="318">
        <v>1</v>
      </c>
      <c r="M113" s="318"/>
      <c r="N113" s="318"/>
      <c r="O113" s="318"/>
      <c r="P113" s="318"/>
      <c r="Q113" s="318"/>
      <c r="R113" s="318"/>
      <c r="S113" s="318"/>
      <c r="T113" s="318"/>
      <c r="U113" s="318"/>
      <c r="V113" s="318"/>
      <c r="W113" s="318"/>
      <c r="X113" s="318"/>
      <c r="Y113" s="296">
        <v>0.33333333333333331</v>
      </c>
      <c r="Z113" s="296">
        <v>0.70833333333333337</v>
      </c>
      <c r="AA113" s="293"/>
    </row>
    <row r="114" spans="1:27" s="277" customFormat="1" ht="22.5" customHeight="1">
      <c r="A114" s="297" t="s">
        <v>183</v>
      </c>
      <c r="B114" s="298">
        <v>0.25486111111111109</v>
      </c>
      <c r="C114" s="298">
        <v>0.43194444444444446</v>
      </c>
      <c r="D114" s="298">
        <v>0.25486111111111109</v>
      </c>
      <c r="E114" s="298">
        <v>0.43194444444444446</v>
      </c>
      <c r="F114" s="299">
        <v>0.25</v>
      </c>
      <c r="G114" s="299">
        <v>0.91805555555555562</v>
      </c>
      <c r="H114" s="319"/>
      <c r="I114" s="319"/>
      <c r="J114" s="319"/>
      <c r="K114" s="319"/>
      <c r="L114" s="320"/>
      <c r="M114" s="320"/>
      <c r="N114" s="320"/>
      <c r="O114" s="320"/>
      <c r="P114" s="320"/>
      <c r="Q114" s="320"/>
      <c r="R114" s="320"/>
      <c r="S114" s="320"/>
      <c r="T114" s="320"/>
      <c r="U114" s="320"/>
      <c r="V114" s="320"/>
      <c r="W114" s="320"/>
      <c r="X114" s="320"/>
      <c r="Y114" s="300">
        <v>0.33333333333333331</v>
      </c>
      <c r="Z114" s="300">
        <v>0.70833333333333337</v>
      </c>
      <c r="AA114" s="297" t="s">
        <v>221</v>
      </c>
    </row>
    <row r="115" spans="1:27" s="277" customFormat="1" ht="22.5" customHeight="1">
      <c r="A115" s="293" t="s">
        <v>183</v>
      </c>
      <c r="B115" s="294">
        <v>0.45763888888888887</v>
      </c>
      <c r="C115" s="294">
        <v>0.62638888888888888</v>
      </c>
      <c r="D115" s="294">
        <v>0.45763888888888887</v>
      </c>
      <c r="E115" s="294">
        <v>0.62638888888888888</v>
      </c>
      <c r="F115" s="295">
        <v>0.95972222222222225</v>
      </c>
      <c r="G115" s="295">
        <v>0.625</v>
      </c>
      <c r="H115" s="317"/>
      <c r="I115" s="317"/>
      <c r="J115" s="317"/>
      <c r="K115" s="317"/>
      <c r="L115" s="318">
        <v>1</v>
      </c>
      <c r="M115" s="318"/>
      <c r="N115" s="318"/>
      <c r="O115" s="318"/>
      <c r="P115" s="318"/>
      <c r="Q115" s="318"/>
      <c r="R115" s="318"/>
      <c r="S115" s="318"/>
      <c r="T115" s="318"/>
      <c r="U115" s="318"/>
      <c r="V115" s="318"/>
      <c r="W115" s="318"/>
      <c r="X115" s="318"/>
      <c r="Y115" s="296">
        <v>0.33333333333333331</v>
      </c>
      <c r="Z115" s="296">
        <v>0.70833333333333337</v>
      </c>
      <c r="AA115" s="293"/>
    </row>
    <row r="116" spans="1:27" s="277" customFormat="1" ht="22.5" customHeight="1">
      <c r="A116" s="297" t="s">
        <v>184</v>
      </c>
      <c r="B116" s="298">
        <v>0.24166666666666667</v>
      </c>
      <c r="C116" s="298">
        <v>0.63055555555555554</v>
      </c>
      <c r="D116" s="298">
        <v>0.24166666666666667</v>
      </c>
      <c r="E116" s="298">
        <v>0.63055555555555554</v>
      </c>
      <c r="F116" s="299">
        <v>0.25</v>
      </c>
      <c r="G116" s="299">
        <v>0.625</v>
      </c>
      <c r="H116" s="319"/>
      <c r="I116" s="319"/>
      <c r="J116" s="319"/>
      <c r="K116" s="319"/>
      <c r="L116" s="320">
        <v>1</v>
      </c>
      <c r="M116" s="320"/>
      <c r="N116" s="320"/>
      <c r="O116" s="320"/>
      <c r="P116" s="320"/>
      <c r="Q116" s="320"/>
      <c r="R116" s="320"/>
      <c r="S116" s="320"/>
      <c r="T116" s="320"/>
      <c r="U116" s="320"/>
      <c r="V116" s="320"/>
      <c r="W116" s="320"/>
      <c r="X116" s="320"/>
      <c r="Y116" s="300">
        <v>0.33333333333333331</v>
      </c>
      <c r="Z116" s="300">
        <v>0.70833333333333337</v>
      </c>
      <c r="AA116" s="297"/>
    </row>
    <row r="117" spans="1:27" s="277" customFormat="1" ht="22.5" customHeight="1">
      <c r="A117" s="293" t="s">
        <v>186</v>
      </c>
      <c r="B117" s="294">
        <v>0.23124999999999998</v>
      </c>
      <c r="C117" s="294">
        <v>0.62638888888888888</v>
      </c>
      <c r="D117" s="294">
        <v>0.23124999999999998</v>
      </c>
      <c r="E117" s="294">
        <v>0.62638888888888888</v>
      </c>
      <c r="F117" s="295">
        <v>0.25</v>
      </c>
      <c r="G117" s="295">
        <v>0.625</v>
      </c>
      <c r="H117" s="317"/>
      <c r="I117" s="317"/>
      <c r="J117" s="317"/>
      <c r="K117" s="317"/>
      <c r="L117" s="318">
        <v>1</v>
      </c>
      <c r="M117" s="318"/>
      <c r="N117" s="318"/>
      <c r="O117" s="318"/>
      <c r="P117" s="318"/>
      <c r="Q117" s="318"/>
      <c r="R117" s="318"/>
      <c r="S117" s="318"/>
      <c r="T117" s="318"/>
      <c r="U117" s="318"/>
      <c r="V117" s="318"/>
      <c r="W117" s="318"/>
      <c r="X117" s="318"/>
      <c r="Y117" s="296">
        <v>0.33333333333333331</v>
      </c>
      <c r="Z117" s="296">
        <v>0.70833333333333337</v>
      </c>
      <c r="AA117" s="293"/>
    </row>
    <row r="118" spans="1:27" s="277" customFormat="1" ht="22.5" customHeight="1">
      <c r="A118" s="297" t="s">
        <v>187</v>
      </c>
      <c r="B118" s="298">
        <v>0.49791666666666662</v>
      </c>
      <c r="C118" s="298">
        <v>0.70972222222222225</v>
      </c>
      <c r="D118" s="298">
        <v>0.49791666666666662</v>
      </c>
      <c r="E118" s="298">
        <v>0.70972222222222225</v>
      </c>
      <c r="F118" s="299">
        <v>0.5</v>
      </c>
      <c r="G118" s="299">
        <v>0.71319444444444446</v>
      </c>
      <c r="H118" s="319"/>
      <c r="I118" s="319"/>
      <c r="J118" s="319"/>
      <c r="K118" s="319"/>
      <c r="L118" s="320"/>
      <c r="M118" s="320"/>
      <c r="N118" s="320"/>
      <c r="O118" s="320"/>
      <c r="P118" s="320"/>
      <c r="Q118" s="320"/>
      <c r="R118" s="320"/>
      <c r="S118" s="320"/>
      <c r="T118" s="320"/>
      <c r="U118" s="320"/>
      <c r="V118" s="320"/>
      <c r="W118" s="320"/>
      <c r="X118" s="320"/>
      <c r="Y118" s="300">
        <v>0.33333333333333331</v>
      </c>
      <c r="Z118" s="300">
        <v>0.70833333333333337</v>
      </c>
      <c r="AA118" s="297"/>
    </row>
    <row r="119" spans="1:27" s="277" customFormat="1" ht="22.5" customHeight="1">
      <c r="A119" s="293" t="s">
        <v>187</v>
      </c>
      <c r="B119" s="294">
        <v>0.75</v>
      </c>
      <c r="C119" s="294">
        <v>0.875</v>
      </c>
      <c r="D119" s="294">
        <v>0.75</v>
      </c>
      <c r="E119" s="294">
        <v>0.875</v>
      </c>
      <c r="F119" s="295">
        <v>0.75138888888888899</v>
      </c>
      <c r="G119" s="295">
        <v>0.875</v>
      </c>
      <c r="H119" s="317"/>
      <c r="I119" s="317"/>
      <c r="J119" s="317"/>
      <c r="K119" s="317"/>
      <c r="L119" s="318">
        <v>1</v>
      </c>
      <c r="M119" s="318"/>
      <c r="N119" s="318"/>
      <c r="O119" s="318"/>
      <c r="P119" s="318"/>
      <c r="Q119" s="318"/>
      <c r="R119" s="318"/>
      <c r="S119" s="318"/>
      <c r="T119" s="318"/>
      <c r="U119" s="318"/>
      <c r="V119" s="318"/>
      <c r="W119" s="318"/>
      <c r="X119" s="318"/>
      <c r="Y119" s="296">
        <v>0.33333333333333331</v>
      </c>
      <c r="Z119" s="296">
        <v>0.70833333333333337</v>
      </c>
      <c r="AA119" s="293"/>
    </row>
    <row r="120" spans="1:27" s="277" customFormat="1" ht="22.5" customHeight="1">
      <c r="A120" s="297" t="s">
        <v>189</v>
      </c>
      <c r="B120" s="304"/>
      <c r="C120" s="304"/>
      <c r="D120" s="305"/>
      <c r="E120" s="305"/>
      <c r="F120" s="357" t="s">
        <v>188</v>
      </c>
      <c r="G120" s="357"/>
      <c r="H120" s="319"/>
      <c r="I120" s="319"/>
      <c r="J120" s="319"/>
      <c r="K120" s="319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6"/>
      <c r="Z120" s="306"/>
      <c r="AA120" s="297"/>
    </row>
    <row r="121" spans="1:27" s="277" customFormat="1" ht="22.5" customHeight="1">
      <c r="A121" s="297" t="s">
        <v>190</v>
      </c>
      <c r="B121" s="298">
        <v>0.49722222222222223</v>
      </c>
      <c r="C121" s="298">
        <v>0.65138888888888891</v>
      </c>
      <c r="D121" s="298">
        <v>0.49722222222222223</v>
      </c>
      <c r="E121" s="298">
        <v>0.65138888888888891</v>
      </c>
      <c r="F121" s="299">
        <v>0.47916666666666669</v>
      </c>
      <c r="G121" s="299">
        <v>0.65138888888888891</v>
      </c>
      <c r="H121" s="319"/>
      <c r="I121" s="319"/>
      <c r="J121" s="319"/>
      <c r="K121" s="319"/>
      <c r="L121" s="320"/>
      <c r="M121" s="320"/>
      <c r="N121" s="320"/>
      <c r="O121" s="320"/>
      <c r="P121" s="320"/>
      <c r="Q121" s="320"/>
      <c r="R121" s="320"/>
      <c r="S121" s="320"/>
      <c r="T121" s="320"/>
      <c r="U121" s="320"/>
      <c r="V121" s="320"/>
      <c r="W121" s="320"/>
      <c r="X121" s="320"/>
      <c r="Y121" s="300">
        <v>0.33333333333333331</v>
      </c>
      <c r="Z121" s="300">
        <v>0.70833333333333337</v>
      </c>
      <c r="AA121" s="297" t="s">
        <v>222</v>
      </c>
    </row>
    <row r="122" spans="1:27" s="277" customFormat="1" ht="22.5" customHeight="1">
      <c r="A122" s="293" t="s">
        <v>190</v>
      </c>
      <c r="B122" s="294">
        <v>0.74930555555555556</v>
      </c>
      <c r="C122" s="294">
        <v>0.97916666666666663</v>
      </c>
      <c r="D122" s="294">
        <v>0.74930555555555556</v>
      </c>
      <c r="E122" s="294">
        <v>0.97916666666666663</v>
      </c>
      <c r="F122" s="295">
        <v>0.77638888888888891</v>
      </c>
      <c r="G122" s="295">
        <v>0.97916666666666663</v>
      </c>
      <c r="H122" s="317"/>
      <c r="I122" s="317"/>
      <c r="J122" s="317"/>
      <c r="K122" s="317"/>
      <c r="L122" s="318">
        <v>1</v>
      </c>
      <c r="M122" s="318">
        <f>26/60</f>
        <v>0.43333333333333335</v>
      </c>
      <c r="N122" s="318"/>
      <c r="O122" s="318"/>
      <c r="P122" s="318"/>
      <c r="Q122" s="318"/>
      <c r="R122" s="318"/>
      <c r="S122" s="318">
        <v>1.5</v>
      </c>
      <c r="T122" s="318"/>
      <c r="U122" s="318"/>
      <c r="V122" s="318"/>
      <c r="W122" s="318"/>
      <c r="X122" s="318"/>
      <c r="Y122" s="296">
        <v>0.33333333333333331</v>
      </c>
      <c r="Z122" s="296">
        <v>0.70833333333333337</v>
      </c>
      <c r="AA122" s="293"/>
    </row>
    <row r="123" spans="1:27" s="277" customFormat="1" ht="22.5" customHeight="1">
      <c r="A123" s="293" t="s">
        <v>191</v>
      </c>
      <c r="B123" s="294">
        <v>0.46111111111111108</v>
      </c>
      <c r="C123" s="294">
        <v>0.62847222222222221</v>
      </c>
      <c r="D123" s="294">
        <v>0.46111111111111108</v>
      </c>
      <c r="E123" s="294">
        <v>0.62847222222222221</v>
      </c>
      <c r="F123" s="295">
        <v>0.47916666666666669</v>
      </c>
      <c r="G123" s="295">
        <v>0.62847222222222221</v>
      </c>
      <c r="H123" s="317"/>
      <c r="I123" s="317"/>
      <c r="J123" s="317"/>
      <c r="K123" s="317"/>
      <c r="L123" s="318"/>
      <c r="M123" s="318"/>
      <c r="N123" s="318"/>
      <c r="O123" s="318"/>
      <c r="P123" s="318"/>
      <c r="Q123" s="318"/>
      <c r="R123" s="318"/>
      <c r="S123" s="318"/>
      <c r="T123" s="318"/>
      <c r="U123" s="318"/>
      <c r="V123" s="318"/>
      <c r="W123" s="318"/>
      <c r="X123" s="318"/>
      <c r="Y123" s="296">
        <v>0.33333333333333331</v>
      </c>
      <c r="Z123" s="296">
        <v>0.70833333333333337</v>
      </c>
      <c r="AA123" s="293"/>
    </row>
    <row r="124" spans="1:27" s="277" customFormat="1" ht="22.5" customHeight="1">
      <c r="A124" s="297" t="s">
        <v>191</v>
      </c>
      <c r="B124" s="298">
        <v>0.75138888888888899</v>
      </c>
      <c r="C124" s="298">
        <v>0.97986111111111107</v>
      </c>
      <c r="D124" s="298">
        <v>0.75138888888888899</v>
      </c>
      <c r="E124" s="298">
        <v>0.97986111111111107</v>
      </c>
      <c r="F124" s="299">
        <v>0.79513888888888884</v>
      </c>
      <c r="G124" s="299">
        <v>0.97916666666666663</v>
      </c>
      <c r="H124" s="319"/>
      <c r="I124" s="319"/>
      <c r="J124" s="319"/>
      <c r="K124" s="319"/>
      <c r="L124" s="320">
        <v>1</v>
      </c>
      <c r="M124" s="320"/>
      <c r="N124" s="320"/>
      <c r="O124" s="320"/>
      <c r="P124" s="320"/>
      <c r="Q124" s="320"/>
      <c r="R124" s="320"/>
      <c r="S124" s="320">
        <v>1.5</v>
      </c>
      <c r="T124" s="320"/>
      <c r="U124" s="320"/>
      <c r="V124" s="320"/>
      <c r="W124" s="320"/>
      <c r="X124" s="320"/>
      <c r="Y124" s="300">
        <v>0.33333333333333331</v>
      </c>
      <c r="Z124" s="300">
        <v>0.70833333333333337</v>
      </c>
      <c r="AA124" s="297"/>
    </row>
    <row r="125" spans="1:27" s="277" customFormat="1" ht="22.5" customHeight="1">
      <c r="A125" s="293" t="s">
        <v>192</v>
      </c>
      <c r="B125" s="294">
        <v>0.4597222222222222</v>
      </c>
      <c r="C125" s="294">
        <v>0.64374999999999993</v>
      </c>
      <c r="D125" s="294">
        <v>0.4597222222222222</v>
      </c>
      <c r="E125" s="294">
        <v>0.64374999999999993</v>
      </c>
      <c r="F125" s="295">
        <v>0.47916666666666669</v>
      </c>
      <c r="G125" s="295">
        <v>0.64374999999999993</v>
      </c>
      <c r="H125" s="317"/>
      <c r="I125" s="317"/>
      <c r="J125" s="317"/>
      <c r="K125" s="317"/>
      <c r="L125" s="318"/>
      <c r="M125" s="318"/>
      <c r="N125" s="318"/>
      <c r="O125" s="318"/>
      <c r="P125" s="318"/>
      <c r="Q125" s="318"/>
      <c r="R125" s="318"/>
      <c r="S125" s="318"/>
      <c r="T125" s="318"/>
      <c r="U125" s="318"/>
      <c r="V125" s="318"/>
      <c r="W125" s="318"/>
      <c r="X125" s="318"/>
      <c r="Y125" s="296">
        <v>0.33333333333333331</v>
      </c>
      <c r="Z125" s="296">
        <v>0.70833333333333337</v>
      </c>
      <c r="AA125" s="293"/>
    </row>
    <row r="126" spans="1:27" s="277" customFormat="1" ht="22.5" customHeight="1">
      <c r="A126" s="297" t="s">
        <v>192</v>
      </c>
      <c r="B126" s="298">
        <v>0.74097222222222225</v>
      </c>
      <c r="C126" s="298">
        <v>0.97986111111111107</v>
      </c>
      <c r="D126" s="298">
        <v>0.74097222222222225</v>
      </c>
      <c r="E126" s="298">
        <v>0.97986111111111107</v>
      </c>
      <c r="F126" s="299">
        <v>0.81041666666666667</v>
      </c>
      <c r="G126" s="299">
        <v>0.97916666666666663</v>
      </c>
      <c r="H126" s="319"/>
      <c r="I126" s="319"/>
      <c r="J126" s="319"/>
      <c r="K126" s="319"/>
      <c r="L126" s="320">
        <v>1</v>
      </c>
      <c r="M126" s="320"/>
      <c r="N126" s="320"/>
      <c r="O126" s="320"/>
      <c r="P126" s="320"/>
      <c r="Q126" s="320"/>
      <c r="R126" s="320"/>
      <c r="S126" s="320">
        <v>1.5</v>
      </c>
      <c r="T126" s="320"/>
      <c r="U126" s="320"/>
      <c r="V126" s="320"/>
      <c r="W126" s="320"/>
      <c r="X126" s="320"/>
      <c r="Y126" s="300">
        <v>0.33333333333333331</v>
      </c>
      <c r="Z126" s="300">
        <v>0.70833333333333337</v>
      </c>
      <c r="AA126" s="297"/>
    </row>
    <row r="127" spans="1:27" s="277" customFormat="1" ht="22.5" customHeight="1">
      <c r="A127" s="297" t="s">
        <v>193</v>
      </c>
      <c r="B127" s="298">
        <v>0.46111111111111108</v>
      </c>
      <c r="C127" s="298">
        <v>0.62638888888888888</v>
      </c>
      <c r="D127" s="298">
        <v>0.46111111111111108</v>
      </c>
      <c r="E127" s="298">
        <v>0.62638888888888888</v>
      </c>
      <c r="F127" s="299">
        <v>0.47916666666666669</v>
      </c>
      <c r="G127" s="299">
        <v>0.62638888888888888</v>
      </c>
      <c r="H127" s="319"/>
      <c r="I127" s="319"/>
      <c r="J127" s="319"/>
      <c r="K127" s="319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0">
        <v>0.33333333333333331</v>
      </c>
      <c r="Z127" s="300">
        <v>0.70833333333333337</v>
      </c>
      <c r="AA127" s="297"/>
    </row>
    <row r="128" spans="1:27" s="277" customFormat="1" ht="22.5" customHeight="1">
      <c r="A128" s="293" t="s">
        <v>193</v>
      </c>
      <c r="B128" s="294">
        <v>0.74652777777777779</v>
      </c>
      <c r="C128" s="294">
        <v>0.97986111111111107</v>
      </c>
      <c r="D128" s="294">
        <v>0.74652777777777779</v>
      </c>
      <c r="E128" s="294">
        <v>0.97986111111111107</v>
      </c>
      <c r="F128" s="295">
        <v>0.79305555555555562</v>
      </c>
      <c r="G128" s="295">
        <v>0.97916666666666663</v>
      </c>
      <c r="H128" s="317"/>
      <c r="I128" s="317"/>
      <c r="J128" s="317"/>
      <c r="K128" s="317"/>
      <c r="L128" s="318">
        <v>1</v>
      </c>
      <c r="M128" s="318"/>
      <c r="N128" s="318"/>
      <c r="O128" s="318"/>
      <c r="P128" s="318"/>
      <c r="Q128" s="318"/>
      <c r="R128" s="318"/>
      <c r="S128" s="318">
        <v>1.5</v>
      </c>
      <c r="T128" s="318"/>
      <c r="U128" s="318"/>
      <c r="V128" s="318"/>
      <c r="W128" s="318"/>
      <c r="X128" s="318"/>
      <c r="Y128" s="296">
        <v>0.33333333333333331</v>
      </c>
      <c r="Z128" s="296">
        <v>0.70833333333333337</v>
      </c>
      <c r="AA128" s="293"/>
    </row>
    <row r="129" spans="1:27" s="277" customFormat="1" ht="22.5" customHeight="1">
      <c r="A129" s="293" t="s">
        <v>194</v>
      </c>
      <c r="B129" s="294">
        <v>0.45902777777777781</v>
      </c>
      <c r="C129" s="294">
        <v>0.62847222222222221</v>
      </c>
      <c r="D129" s="294">
        <v>0.45902777777777781</v>
      </c>
      <c r="E129" s="294">
        <v>0.62847222222222221</v>
      </c>
      <c r="F129" s="295">
        <v>0.47916666666666669</v>
      </c>
      <c r="G129" s="295">
        <v>0.62847222222222221</v>
      </c>
      <c r="H129" s="317"/>
      <c r="I129" s="317"/>
      <c r="J129" s="317"/>
      <c r="K129" s="317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18"/>
      <c r="Y129" s="296">
        <v>0.33333333333333331</v>
      </c>
      <c r="Z129" s="296">
        <v>0.70833333333333337</v>
      </c>
      <c r="AA129" s="293"/>
    </row>
    <row r="130" spans="1:27" s="277" customFormat="1" ht="22.5" customHeight="1">
      <c r="A130" s="297" t="s">
        <v>194</v>
      </c>
      <c r="B130" s="298">
        <v>0.72638888888888886</v>
      </c>
      <c r="C130" s="298">
        <v>0.97986111111111107</v>
      </c>
      <c r="D130" s="298">
        <v>0.72638888888888886</v>
      </c>
      <c r="E130" s="298">
        <v>0.97986111111111107</v>
      </c>
      <c r="F130" s="299">
        <v>0.79513888888888884</v>
      </c>
      <c r="G130" s="299">
        <v>0.97916666666666663</v>
      </c>
      <c r="H130" s="319"/>
      <c r="I130" s="319"/>
      <c r="J130" s="319"/>
      <c r="K130" s="319"/>
      <c r="L130" s="320">
        <v>1</v>
      </c>
      <c r="M130" s="320"/>
      <c r="N130" s="320"/>
      <c r="O130" s="320"/>
      <c r="P130" s="320"/>
      <c r="Q130" s="320"/>
      <c r="R130" s="320"/>
      <c r="S130" s="320">
        <v>1.5</v>
      </c>
      <c r="T130" s="320"/>
      <c r="U130" s="320"/>
      <c r="V130" s="320"/>
      <c r="W130" s="320"/>
      <c r="X130" s="320"/>
      <c r="Y130" s="300">
        <v>0.33333333333333331</v>
      </c>
      <c r="Z130" s="300">
        <v>0.70833333333333337</v>
      </c>
      <c r="AA130" s="297"/>
    </row>
    <row r="131" spans="1:27" s="277" customFormat="1" ht="22.5" customHeight="1">
      <c r="A131" s="293" t="s">
        <v>195</v>
      </c>
      <c r="B131" s="301"/>
      <c r="C131" s="301"/>
      <c r="D131" s="302"/>
      <c r="E131" s="302"/>
      <c r="F131" s="356" t="s">
        <v>174</v>
      </c>
      <c r="G131" s="356"/>
      <c r="H131" s="317"/>
      <c r="I131" s="317"/>
      <c r="J131" s="317"/>
      <c r="K131" s="317">
        <v>1</v>
      </c>
      <c r="L131" s="318"/>
      <c r="M131" s="318"/>
      <c r="N131" s="318"/>
      <c r="O131" s="318"/>
      <c r="P131" s="318"/>
      <c r="Q131" s="318"/>
      <c r="R131" s="318"/>
      <c r="S131" s="318"/>
      <c r="T131" s="318"/>
      <c r="U131" s="318"/>
      <c r="V131" s="318"/>
      <c r="W131" s="318"/>
      <c r="X131" s="318"/>
      <c r="Y131" s="303"/>
      <c r="Z131" s="303"/>
      <c r="AA131" s="293"/>
    </row>
    <row r="132" spans="1:27" s="277" customFormat="1" ht="22.5" customHeight="1">
      <c r="A132" s="307" t="s">
        <v>3</v>
      </c>
      <c r="B132" s="307"/>
      <c r="C132" s="307"/>
      <c r="D132" s="307"/>
      <c r="E132" s="307"/>
      <c r="F132" s="307"/>
      <c r="G132" s="307"/>
      <c r="H132" s="321">
        <f>SUM(H110:H131)</f>
        <v>0</v>
      </c>
      <c r="I132" s="321">
        <f t="shared" ref="I132:X132" si="6">SUM(I110:I131)</f>
        <v>0</v>
      </c>
      <c r="J132" s="321">
        <f t="shared" si="6"/>
        <v>0</v>
      </c>
      <c r="K132" s="321">
        <f t="shared" si="6"/>
        <v>1</v>
      </c>
      <c r="L132" s="321">
        <f t="shared" si="6"/>
        <v>11</v>
      </c>
      <c r="M132" s="321">
        <f t="shared" si="6"/>
        <v>0.45</v>
      </c>
      <c r="N132" s="321">
        <f t="shared" si="6"/>
        <v>0</v>
      </c>
      <c r="O132" s="321">
        <f t="shared" si="6"/>
        <v>0</v>
      </c>
      <c r="P132" s="321">
        <f t="shared" si="6"/>
        <v>0</v>
      </c>
      <c r="Q132" s="321">
        <f t="shared" si="6"/>
        <v>0</v>
      </c>
      <c r="R132" s="321">
        <f t="shared" si="6"/>
        <v>0</v>
      </c>
      <c r="S132" s="321">
        <f t="shared" si="6"/>
        <v>9</v>
      </c>
      <c r="T132" s="321">
        <f t="shared" si="6"/>
        <v>0</v>
      </c>
      <c r="U132" s="321">
        <f t="shared" si="6"/>
        <v>0</v>
      </c>
      <c r="V132" s="321">
        <f t="shared" si="6"/>
        <v>0</v>
      </c>
      <c r="W132" s="321">
        <f t="shared" si="6"/>
        <v>0</v>
      </c>
      <c r="X132" s="321">
        <f t="shared" si="6"/>
        <v>0</v>
      </c>
      <c r="Y132" s="285"/>
      <c r="Z132" s="285"/>
      <c r="AA132" s="307"/>
    </row>
    <row r="133" spans="1:27" s="277" customFormat="1" ht="22.5" customHeight="1" thickBot="1">
      <c r="H133" s="322"/>
      <c r="I133" s="322"/>
      <c r="J133" s="322"/>
      <c r="K133" s="322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08"/>
      <c r="Z133" s="308"/>
    </row>
    <row r="134" spans="1:27" s="277" customFormat="1" ht="22.5" customHeight="1" thickBot="1">
      <c r="A134" s="290" t="s">
        <v>177</v>
      </c>
      <c r="B134" s="291" t="s">
        <v>223</v>
      </c>
      <c r="C134" s="291"/>
      <c r="D134" s="291"/>
      <c r="E134" s="291"/>
      <c r="F134" s="291"/>
      <c r="G134" s="291"/>
      <c r="H134" s="344" t="s">
        <v>91</v>
      </c>
      <c r="I134" s="345"/>
      <c r="J134" s="345"/>
      <c r="K134" s="346"/>
      <c r="L134" s="347" t="s">
        <v>90</v>
      </c>
      <c r="M134" s="349" t="s">
        <v>165</v>
      </c>
      <c r="N134" s="349" t="s">
        <v>166</v>
      </c>
      <c r="O134" s="351" t="s">
        <v>167</v>
      </c>
      <c r="P134" s="352"/>
      <c r="Q134" s="353"/>
      <c r="R134" s="349" t="s">
        <v>168</v>
      </c>
      <c r="S134" s="351" t="s">
        <v>19</v>
      </c>
      <c r="T134" s="352"/>
      <c r="U134" s="353"/>
      <c r="V134" s="349" t="s">
        <v>126</v>
      </c>
      <c r="W134" s="349" t="s">
        <v>127</v>
      </c>
      <c r="X134" s="354" t="s">
        <v>105</v>
      </c>
      <c r="Y134" s="285" t="s">
        <v>169</v>
      </c>
      <c r="Z134" s="285"/>
      <c r="AA134" s="307" t="s">
        <v>170</v>
      </c>
    </row>
    <row r="135" spans="1:27" s="277" customFormat="1" ht="22.5" customHeight="1" thickBot="1">
      <c r="A135" s="290" t="s">
        <v>179</v>
      </c>
      <c r="B135" s="291" t="s">
        <v>224</v>
      </c>
      <c r="C135" s="291"/>
      <c r="D135" s="291"/>
      <c r="E135" s="291"/>
      <c r="F135" s="291"/>
      <c r="G135" s="291"/>
      <c r="H135" s="286" t="s">
        <v>173</v>
      </c>
      <c r="I135" s="286" t="s">
        <v>93</v>
      </c>
      <c r="J135" s="286" t="s">
        <v>94</v>
      </c>
      <c r="K135" s="287" t="s">
        <v>174</v>
      </c>
      <c r="L135" s="348"/>
      <c r="M135" s="350"/>
      <c r="N135" s="350"/>
      <c r="O135" s="288" t="s">
        <v>175</v>
      </c>
      <c r="P135" s="288" t="s">
        <v>176</v>
      </c>
      <c r="Q135" s="313" t="s">
        <v>127</v>
      </c>
      <c r="R135" s="350"/>
      <c r="S135" s="288" t="s">
        <v>175</v>
      </c>
      <c r="T135" s="288" t="s">
        <v>176</v>
      </c>
      <c r="U135" s="313" t="s">
        <v>127</v>
      </c>
      <c r="V135" s="350"/>
      <c r="W135" s="350"/>
      <c r="X135" s="355"/>
      <c r="Y135" s="285" t="s">
        <v>171</v>
      </c>
      <c r="Z135" s="285" t="s">
        <v>172</v>
      </c>
      <c r="AA135" s="307"/>
    </row>
    <row r="136" spans="1:27" s="277" customFormat="1" ht="22.5" customHeight="1">
      <c r="A136" s="293" t="s">
        <v>181</v>
      </c>
      <c r="B136" s="294">
        <v>0.49374999999999997</v>
      </c>
      <c r="C136" s="294">
        <v>0.875</v>
      </c>
      <c r="D136" s="294">
        <v>0.49374999999999997</v>
      </c>
      <c r="E136" s="294">
        <v>0.875</v>
      </c>
      <c r="F136" s="295">
        <v>0.5</v>
      </c>
      <c r="G136" s="295">
        <v>0.875</v>
      </c>
      <c r="H136" s="317"/>
      <c r="I136" s="317"/>
      <c r="J136" s="317"/>
      <c r="K136" s="317"/>
      <c r="L136" s="318">
        <v>1</v>
      </c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18"/>
      <c r="Y136" s="296">
        <v>0.33333333333333331</v>
      </c>
      <c r="Z136" s="296">
        <v>0.75</v>
      </c>
      <c r="AA136" s="293" t="s">
        <v>160</v>
      </c>
    </row>
    <row r="137" spans="1:27" s="277" customFormat="1" ht="22.5" customHeight="1">
      <c r="A137" s="297" t="s">
        <v>182</v>
      </c>
      <c r="B137" s="298">
        <v>0.50624999999999998</v>
      </c>
      <c r="C137" s="298">
        <v>0.87569444444444444</v>
      </c>
      <c r="D137" s="298">
        <v>0.50624999999999998</v>
      </c>
      <c r="E137" s="298">
        <v>0.87569444444444444</v>
      </c>
      <c r="F137" s="299">
        <v>0.5</v>
      </c>
      <c r="G137" s="299">
        <v>0.875</v>
      </c>
      <c r="H137" s="319"/>
      <c r="I137" s="319"/>
      <c r="J137" s="319"/>
      <c r="K137" s="319"/>
      <c r="L137" s="320">
        <v>1</v>
      </c>
      <c r="M137" s="320">
        <f>9/60</f>
        <v>0.15</v>
      </c>
      <c r="N137" s="320"/>
      <c r="O137" s="320"/>
      <c r="P137" s="320"/>
      <c r="Q137" s="320"/>
      <c r="R137" s="320"/>
      <c r="S137" s="320"/>
      <c r="T137" s="320"/>
      <c r="U137" s="320"/>
      <c r="V137" s="320"/>
      <c r="W137" s="320"/>
      <c r="X137" s="320"/>
      <c r="Y137" s="300">
        <v>0.33333333333333331</v>
      </c>
      <c r="Z137" s="300">
        <v>0.75</v>
      </c>
      <c r="AA137" s="297" t="s">
        <v>160</v>
      </c>
    </row>
    <row r="138" spans="1:27" s="277" customFormat="1" ht="22.5" customHeight="1">
      <c r="A138" s="293" t="s">
        <v>183</v>
      </c>
      <c r="B138" s="294">
        <v>0.51874999999999993</v>
      </c>
      <c r="C138" s="294">
        <v>0.8965277777777777</v>
      </c>
      <c r="D138" s="294">
        <v>0.51874999999999993</v>
      </c>
      <c r="E138" s="294">
        <v>0.8965277777777777</v>
      </c>
      <c r="F138" s="295">
        <v>0.52083333333333337</v>
      </c>
      <c r="G138" s="295">
        <v>0.89583333333333337</v>
      </c>
      <c r="H138" s="317"/>
      <c r="I138" s="317"/>
      <c r="J138" s="317"/>
      <c r="K138" s="317"/>
      <c r="L138" s="318">
        <v>1</v>
      </c>
      <c r="M138" s="318"/>
      <c r="N138" s="318"/>
      <c r="O138" s="318"/>
      <c r="P138" s="318"/>
      <c r="Q138" s="318"/>
      <c r="R138" s="318"/>
      <c r="S138" s="318"/>
      <c r="T138" s="318"/>
      <c r="U138" s="318"/>
      <c r="V138" s="318"/>
      <c r="W138" s="318"/>
      <c r="X138" s="318"/>
      <c r="Y138" s="296">
        <v>0.33333333333333331</v>
      </c>
      <c r="Z138" s="296">
        <v>0.75</v>
      </c>
      <c r="AA138" s="293" t="s">
        <v>225</v>
      </c>
    </row>
    <row r="139" spans="1:27" s="277" customFormat="1" ht="22.5" customHeight="1">
      <c r="A139" s="297" t="s">
        <v>184</v>
      </c>
      <c r="B139" s="298">
        <v>0.49444444444444446</v>
      </c>
      <c r="C139" s="298">
        <v>0.75</v>
      </c>
      <c r="D139" s="298">
        <v>0.49444444444444446</v>
      </c>
      <c r="E139" s="298">
        <v>0.75</v>
      </c>
      <c r="F139" s="299">
        <v>0.5</v>
      </c>
      <c r="G139" s="299">
        <v>0.875</v>
      </c>
      <c r="H139" s="319"/>
      <c r="I139" s="319"/>
      <c r="J139" s="319"/>
      <c r="K139" s="319"/>
      <c r="L139" s="320">
        <v>1</v>
      </c>
      <c r="M139" s="320"/>
      <c r="N139" s="320">
        <f>(60+60+60)/60</f>
        <v>3</v>
      </c>
      <c r="O139" s="320"/>
      <c r="P139" s="320"/>
      <c r="Q139" s="320"/>
      <c r="R139" s="320"/>
      <c r="S139" s="320"/>
      <c r="T139" s="320"/>
      <c r="U139" s="320"/>
      <c r="V139" s="320"/>
      <c r="W139" s="320"/>
      <c r="X139" s="320"/>
      <c r="Y139" s="300">
        <v>0.33333333333333331</v>
      </c>
      <c r="Z139" s="300">
        <v>0.75</v>
      </c>
      <c r="AA139" s="297" t="s">
        <v>226</v>
      </c>
    </row>
    <row r="140" spans="1:27" s="277" customFormat="1" ht="22.5" customHeight="1">
      <c r="A140" s="293" t="s">
        <v>186</v>
      </c>
      <c r="B140" s="294">
        <v>0.43541666666666662</v>
      </c>
      <c r="C140" s="294">
        <v>0.93819444444444444</v>
      </c>
      <c r="D140" s="294">
        <v>0.43541666666666662</v>
      </c>
      <c r="E140" s="294">
        <v>0.93819444444444444</v>
      </c>
      <c r="F140" s="295">
        <v>0.4375</v>
      </c>
      <c r="G140" s="295">
        <v>0.8125</v>
      </c>
      <c r="H140" s="317"/>
      <c r="I140" s="317"/>
      <c r="J140" s="317"/>
      <c r="K140" s="317"/>
      <c r="L140" s="318">
        <v>1</v>
      </c>
      <c r="M140" s="318"/>
      <c r="N140" s="318"/>
      <c r="O140" s="318"/>
      <c r="P140" s="318"/>
      <c r="Q140" s="318"/>
      <c r="R140" s="318"/>
      <c r="S140" s="318"/>
      <c r="T140" s="318"/>
      <c r="U140" s="318"/>
      <c r="V140" s="318"/>
      <c r="W140" s="318"/>
      <c r="X140" s="318"/>
      <c r="Y140" s="296">
        <v>0.33333333333333331</v>
      </c>
      <c r="Z140" s="296">
        <v>0.75</v>
      </c>
      <c r="AA140" s="293" t="s">
        <v>227</v>
      </c>
    </row>
    <row r="141" spans="1:27" s="277" customFormat="1" ht="22.5" customHeight="1">
      <c r="A141" s="297" t="s">
        <v>187</v>
      </c>
      <c r="B141" s="304"/>
      <c r="C141" s="304"/>
      <c r="D141" s="305"/>
      <c r="E141" s="305"/>
      <c r="F141" s="357" t="s">
        <v>228</v>
      </c>
      <c r="G141" s="357"/>
      <c r="H141" s="319"/>
      <c r="I141" s="319"/>
      <c r="J141" s="319"/>
      <c r="K141" s="319"/>
      <c r="L141" s="320">
        <v>1</v>
      </c>
      <c r="M141" s="320"/>
      <c r="N141" s="320">
        <v>2.5</v>
      </c>
      <c r="O141" s="320"/>
      <c r="P141" s="320"/>
      <c r="Q141" s="320"/>
      <c r="R141" s="320"/>
      <c r="S141" s="320"/>
      <c r="T141" s="320"/>
      <c r="U141" s="320"/>
      <c r="V141" s="320"/>
      <c r="W141" s="320"/>
      <c r="X141" s="320"/>
      <c r="Y141" s="306"/>
      <c r="Z141" s="306"/>
      <c r="AA141" s="297"/>
    </row>
    <row r="142" spans="1:27" s="277" customFormat="1" ht="22.5" customHeight="1">
      <c r="A142" s="293" t="s">
        <v>189</v>
      </c>
      <c r="B142" s="301"/>
      <c r="C142" s="301"/>
      <c r="D142" s="302"/>
      <c r="E142" s="302"/>
      <c r="F142" s="356" t="s">
        <v>229</v>
      </c>
      <c r="G142" s="356"/>
      <c r="H142" s="317"/>
      <c r="I142" s="317"/>
      <c r="J142" s="317"/>
      <c r="K142" s="317"/>
      <c r="L142" s="318"/>
      <c r="M142" s="318"/>
      <c r="N142" s="318"/>
      <c r="O142" s="318"/>
      <c r="P142" s="318"/>
      <c r="Q142" s="318"/>
      <c r="R142" s="318"/>
      <c r="S142" s="318"/>
      <c r="T142" s="318"/>
      <c r="U142" s="318"/>
      <c r="V142" s="318"/>
      <c r="W142" s="318"/>
      <c r="X142" s="318"/>
      <c r="Y142" s="303"/>
      <c r="Z142" s="303"/>
      <c r="AA142" s="293"/>
    </row>
    <row r="143" spans="1:27" s="277" customFormat="1" ht="22.5" customHeight="1">
      <c r="A143" s="297" t="s">
        <v>190</v>
      </c>
      <c r="B143" s="304"/>
      <c r="C143" s="304"/>
      <c r="D143" s="305"/>
      <c r="E143" s="305"/>
      <c r="F143" s="357" t="s">
        <v>173</v>
      </c>
      <c r="G143" s="357"/>
      <c r="H143" s="319">
        <v>1</v>
      </c>
      <c r="I143" s="319"/>
      <c r="J143" s="319"/>
      <c r="K143" s="319"/>
      <c r="L143" s="320"/>
      <c r="M143" s="320"/>
      <c r="N143" s="320"/>
      <c r="O143" s="320"/>
      <c r="P143" s="320"/>
      <c r="Q143" s="320"/>
      <c r="R143" s="320"/>
      <c r="S143" s="320"/>
      <c r="T143" s="320"/>
      <c r="U143" s="320"/>
      <c r="V143" s="320"/>
      <c r="W143" s="320"/>
      <c r="X143" s="320"/>
      <c r="Y143" s="306"/>
      <c r="Z143" s="306"/>
      <c r="AA143" s="297"/>
    </row>
    <row r="144" spans="1:27" s="277" customFormat="1" ht="22.5" customHeight="1">
      <c r="A144" s="293" t="s">
        <v>191</v>
      </c>
      <c r="B144" s="294">
        <v>0.55277777777777781</v>
      </c>
      <c r="C144" s="294">
        <v>0.85416666666666663</v>
      </c>
      <c r="D144" s="294">
        <v>0.55277777777777781</v>
      </c>
      <c r="E144" s="294">
        <v>0.85416666666666663</v>
      </c>
      <c r="F144" s="295">
        <v>0.47916666666666669</v>
      </c>
      <c r="G144" s="295">
        <v>0.85416666666666663</v>
      </c>
      <c r="H144" s="317"/>
      <c r="I144" s="317"/>
      <c r="J144" s="317"/>
      <c r="K144" s="317"/>
      <c r="L144" s="318">
        <v>1</v>
      </c>
      <c r="M144" s="318"/>
      <c r="N144" s="318"/>
      <c r="O144" s="318"/>
      <c r="P144" s="318"/>
      <c r="Q144" s="318"/>
      <c r="R144" s="318"/>
      <c r="S144" s="318"/>
      <c r="T144" s="318"/>
      <c r="U144" s="318"/>
      <c r="V144" s="318"/>
      <c r="W144" s="318"/>
      <c r="X144" s="318"/>
      <c r="Y144" s="296">
        <v>0.33333333333333331</v>
      </c>
      <c r="Z144" s="296">
        <v>0.75</v>
      </c>
      <c r="AA144" s="293" t="s">
        <v>230</v>
      </c>
    </row>
    <row r="145" spans="1:27" s="277" customFormat="1" ht="22.5" customHeight="1">
      <c r="A145" s="297" t="s">
        <v>192</v>
      </c>
      <c r="B145" s="298">
        <v>0.45416666666666666</v>
      </c>
      <c r="C145" s="298">
        <v>0.83611111111111114</v>
      </c>
      <c r="D145" s="298">
        <v>0.45416666666666666</v>
      </c>
      <c r="E145" s="298">
        <v>0.83611111111111114</v>
      </c>
      <c r="F145" s="299">
        <v>0.45833333333333331</v>
      </c>
      <c r="G145" s="299">
        <v>0.83333333333333337</v>
      </c>
      <c r="H145" s="319"/>
      <c r="I145" s="319"/>
      <c r="J145" s="319"/>
      <c r="K145" s="319"/>
      <c r="L145" s="320">
        <v>1</v>
      </c>
      <c r="M145" s="320"/>
      <c r="N145" s="320"/>
      <c r="O145" s="320"/>
      <c r="P145" s="320"/>
      <c r="Q145" s="320"/>
      <c r="R145" s="320"/>
      <c r="S145" s="320"/>
      <c r="T145" s="320"/>
      <c r="U145" s="320"/>
      <c r="V145" s="320"/>
      <c r="W145" s="320"/>
      <c r="X145" s="320"/>
      <c r="Y145" s="300">
        <v>0.33333333333333331</v>
      </c>
      <c r="Z145" s="300">
        <v>0.75</v>
      </c>
      <c r="AA145" s="297" t="s">
        <v>160</v>
      </c>
    </row>
    <row r="146" spans="1:27" s="277" customFormat="1" ht="22.5" customHeight="1">
      <c r="A146" s="293" t="s">
        <v>193</v>
      </c>
      <c r="B146" s="294">
        <v>0.56736111111111109</v>
      </c>
      <c r="C146" s="294">
        <v>0.97986111111111107</v>
      </c>
      <c r="D146" s="294">
        <v>0.56736111111111109</v>
      </c>
      <c r="E146" s="294">
        <v>0.97986111111111107</v>
      </c>
      <c r="F146" s="295">
        <v>0.5</v>
      </c>
      <c r="G146" s="295">
        <v>0.875</v>
      </c>
      <c r="H146" s="317"/>
      <c r="I146" s="317"/>
      <c r="J146" s="317"/>
      <c r="K146" s="317"/>
      <c r="L146" s="318">
        <v>1</v>
      </c>
      <c r="M146" s="318"/>
      <c r="N146" s="318"/>
      <c r="O146" s="318"/>
      <c r="P146" s="318"/>
      <c r="Q146" s="318"/>
      <c r="R146" s="318"/>
      <c r="S146" s="318">
        <v>1.5</v>
      </c>
      <c r="T146" s="318"/>
      <c r="U146" s="318"/>
      <c r="V146" s="318"/>
      <c r="W146" s="318"/>
      <c r="X146" s="318"/>
      <c r="Y146" s="296">
        <v>0.33333333333333331</v>
      </c>
      <c r="Z146" s="296">
        <v>0.75</v>
      </c>
      <c r="AA146" s="293" t="s">
        <v>231</v>
      </c>
    </row>
    <row r="147" spans="1:27" s="277" customFormat="1" ht="22.5" customHeight="1">
      <c r="A147" s="297" t="s">
        <v>194</v>
      </c>
      <c r="B147" s="298">
        <v>0.66388888888888886</v>
      </c>
      <c r="C147" s="298">
        <v>0.88958333333333339</v>
      </c>
      <c r="D147" s="298">
        <v>0.66388888888888886</v>
      </c>
      <c r="E147" s="298">
        <v>0.88958333333333339</v>
      </c>
      <c r="F147" s="299">
        <v>0.5</v>
      </c>
      <c r="G147" s="299">
        <v>0.875</v>
      </c>
      <c r="H147" s="319">
        <v>0.5</v>
      </c>
      <c r="I147" s="319"/>
      <c r="J147" s="319"/>
      <c r="K147" s="319"/>
      <c r="L147" s="320">
        <v>0.5</v>
      </c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0">
        <v>0.33333333333333331</v>
      </c>
      <c r="Z147" s="300">
        <v>0.75</v>
      </c>
      <c r="AA147" s="297" t="s">
        <v>232</v>
      </c>
    </row>
    <row r="148" spans="1:27" s="277" customFormat="1" ht="22.5" customHeight="1">
      <c r="A148" s="293" t="s">
        <v>195</v>
      </c>
      <c r="B148" s="294">
        <v>0.49652777777777773</v>
      </c>
      <c r="C148" s="294">
        <v>0.87569444444444444</v>
      </c>
      <c r="D148" s="294">
        <v>0.49652777777777773</v>
      </c>
      <c r="E148" s="294">
        <v>0.87569444444444444</v>
      </c>
      <c r="F148" s="295">
        <v>0.5</v>
      </c>
      <c r="G148" s="295">
        <v>0.875</v>
      </c>
      <c r="H148" s="317"/>
      <c r="I148" s="317"/>
      <c r="J148" s="317"/>
      <c r="K148" s="317"/>
      <c r="L148" s="318">
        <v>1</v>
      </c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296">
        <v>0.33333333333333331</v>
      </c>
      <c r="Z148" s="296">
        <v>0.75</v>
      </c>
      <c r="AA148" s="293" t="s">
        <v>160</v>
      </c>
    </row>
    <row r="149" spans="1:27" s="277" customFormat="1" ht="22.5" customHeight="1">
      <c r="A149" s="307" t="s">
        <v>3</v>
      </c>
      <c r="B149" s="307"/>
      <c r="C149" s="307"/>
      <c r="D149" s="307"/>
      <c r="E149" s="307"/>
      <c r="F149" s="307"/>
      <c r="G149" s="307"/>
      <c r="H149" s="321">
        <f>SUM(H135:H148)</f>
        <v>1.5</v>
      </c>
      <c r="I149" s="321">
        <f t="shared" ref="I149:X149" si="7">SUM(I135:I148)</f>
        <v>0</v>
      </c>
      <c r="J149" s="321">
        <f t="shared" si="7"/>
        <v>0</v>
      </c>
      <c r="K149" s="321">
        <f t="shared" si="7"/>
        <v>0</v>
      </c>
      <c r="L149" s="321">
        <f t="shared" si="7"/>
        <v>10.5</v>
      </c>
      <c r="M149" s="321">
        <f t="shared" si="7"/>
        <v>0.15</v>
      </c>
      <c r="N149" s="321">
        <f t="shared" si="7"/>
        <v>5.5</v>
      </c>
      <c r="O149" s="321">
        <f t="shared" si="7"/>
        <v>0</v>
      </c>
      <c r="P149" s="321">
        <f t="shared" si="7"/>
        <v>0</v>
      </c>
      <c r="Q149" s="321">
        <f t="shared" si="7"/>
        <v>0</v>
      </c>
      <c r="R149" s="321">
        <f t="shared" si="7"/>
        <v>0</v>
      </c>
      <c r="S149" s="321">
        <f t="shared" si="7"/>
        <v>1.5</v>
      </c>
      <c r="T149" s="321">
        <f t="shared" si="7"/>
        <v>0</v>
      </c>
      <c r="U149" s="321">
        <f t="shared" si="7"/>
        <v>0</v>
      </c>
      <c r="V149" s="321">
        <f t="shared" si="7"/>
        <v>0</v>
      </c>
      <c r="W149" s="321">
        <f t="shared" si="7"/>
        <v>0</v>
      </c>
      <c r="X149" s="321">
        <f t="shared" si="7"/>
        <v>0</v>
      </c>
      <c r="Y149" s="285"/>
      <c r="Z149" s="285"/>
      <c r="AA149" s="307" t="s">
        <v>233</v>
      </c>
    </row>
    <row r="150" spans="1:27" s="277" customFormat="1" ht="22.5" customHeight="1" thickBot="1">
      <c r="H150" s="322"/>
      <c r="I150" s="322"/>
      <c r="J150" s="322"/>
      <c r="K150" s="322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23"/>
      <c r="Y150" s="308"/>
      <c r="Z150" s="308"/>
    </row>
    <row r="151" spans="1:27" s="277" customFormat="1" ht="22.5" customHeight="1" thickBot="1">
      <c r="A151" s="290" t="s">
        <v>177</v>
      </c>
      <c r="B151" s="291" t="s">
        <v>234</v>
      </c>
      <c r="C151" s="291"/>
      <c r="D151" s="291"/>
      <c r="E151" s="291"/>
      <c r="F151" s="291"/>
      <c r="G151" s="291"/>
      <c r="H151" s="344" t="s">
        <v>91</v>
      </c>
      <c r="I151" s="345"/>
      <c r="J151" s="345"/>
      <c r="K151" s="346"/>
      <c r="L151" s="347" t="s">
        <v>90</v>
      </c>
      <c r="M151" s="349" t="s">
        <v>165</v>
      </c>
      <c r="N151" s="349" t="s">
        <v>166</v>
      </c>
      <c r="O151" s="351" t="s">
        <v>167</v>
      </c>
      <c r="P151" s="352"/>
      <c r="Q151" s="353"/>
      <c r="R151" s="349" t="s">
        <v>168</v>
      </c>
      <c r="S151" s="351" t="s">
        <v>19</v>
      </c>
      <c r="T151" s="352"/>
      <c r="U151" s="353"/>
      <c r="V151" s="349" t="s">
        <v>126</v>
      </c>
      <c r="W151" s="349" t="s">
        <v>127</v>
      </c>
      <c r="X151" s="354" t="s">
        <v>105</v>
      </c>
      <c r="Y151" s="285" t="s">
        <v>169</v>
      </c>
      <c r="Z151" s="285"/>
      <c r="AA151" s="307" t="s">
        <v>170</v>
      </c>
    </row>
    <row r="152" spans="1:27" s="277" customFormat="1" ht="22.5" customHeight="1" thickBot="1">
      <c r="A152" s="290" t="s">
        <v>179</v>
      </c>
      <c r="B152" s="291" t="s">
        <v>235</v>
      </c>
      <c r="C152" s="291"/>
      <c r="D152" s="291"/>
      <c r="E152" s="291"/>
      <c r="F152" s="291"/>
      <c r="G152" s="291"/>
      <c r="H152" s="286" t="s">
        <v>173</v>
      </c>
      <c r="I152" s="286" t="s">
        <v>93</v>
      </c>
      <c r="J152" s="286" t="s">
        <v>94</v>
      </c>
      <c r="K152" s="287" t="s">
        <v>174</v>
      </c>
      <c r="L152" s="348"/>
      <c r="M152" s="350"/>
      <c r="N152" s="350"/>
      <c r="O152" s="288" t="s">
        <v>175</v>
      </c>
      <c r="P152" s="288" t="s">
        <v>176</v>
      </c>
      <c r="Q152" s="313" t="s">
        <v>127</v>
      </c>
      <c r="R152" s="350"/>
      <c r="S152" s="288" t="s">
        <v>175</v>
      </c>
      <c r="T152" s="288" t="s">
        <v>176</v>
      </c>
      <c r="U152" s="313" t="s">
        <v>127</v>
      </c>
      <c r="V152" s="350"/>
      <c r="W152" s="350"/>
      <c r="X152" s="355"/>
      <c r="Y152" s="285" t="s">
        <v>171</v>
      </c>
      <c r="Z152" s="285" t="s">
        <v>172</v>
      </c>
      <c r="AA152" s="307"/>
    </row>
    <row r="153" spans="1:27" s="277" customFormat="1" ht="22.5" customHeight="1">
      <c r="A153" s="293" t="s">
        <v>181</v>
      </c>
      <c r="B153" s="294">
        <v>0.4513888888888889</v>
      </c>
      <c r="C153" s="294">
        <v>0.62777777777777777</v>
      </c>
      <c r="D153" s="294">
        <v>0.4513888888888889</v>
      </c>
      <c r="E153" s="294">
        <v>0.62777777777777777</v>
      </c>
      <c r="F153" s="295">
        <v>0.45833333333333331</v>
      </c>
      <c r="G153" s="295">
        <v>0.62777777777777777</v>
      </c>
      <c r="H153" s="317"/>
      <c r="I153" s="317"/>
      <c r="J153" s="317"/>
      <c r="K153" s="317"/>
      <c r="L153" s="318"/>
      <c r="M153" s="318"/>
      <c r="N153" s="318"/>
      <c r="O153" s="318"/>
      <c r="P153" s="318"/>
      <c r="Q153" s="318"/>
      <c r="R153" s="318"/>
      <c r="S153" s="318"/>
      <c r="T153" s="318"/>
      <c r="U153" s="318"/>
      <c r="V153" s="318"/>
      <c r="W153" s="318"/>
      <c r="X153" s="318"/>
      <c r="Y153" s="296">
        <v>0.33333333333333331</v>
      </c>
      <c r="Z153" s="296">
        <v>0.70833333333333337</v>
      </c>
      <c r="AA153" s="293"/>
    </row>
    <row r="154" spans="1:27" s="277" customFormat="1" ht="22.5" customHeight="1">
      <c r="A154" s="297" t="s">
        <v>181</v>
      </c>
      <c r="B154" s="298">
        <v>0.66736111111111107</v>
      </c>
      <c r="C154" s="298">
        <v>0.84236111111111101</v>
      </c>
      <c r="D154" s="298">
        <v>0.66736111111111107</v>
      </c>
      <c r="E154" s="298">
        <v>0.84236111111111101</v>
      </c>
      <c r="F154" s="299">
        <v>0.6694444444444444</v>
      </c>
      <c r="G154" s="299">
        <v>0.83333333333333337</v>
      </c>
      <c r="H154" s="319"/>
      <c r="I154" s="319"/>
      <c r="J154" s="319"/>
      <c r="K154" s="319"/>
      <c r="L154" s="320">
        <v>1</v>
      </c>
      <c r="M154" s="320"/>
      <c r="N154" s="320"/>
      <c r="O154" s="320"/>
      <c r="P154" s="320"/>
      <c r="Q154" s="320"/>
      <c r="R154" s="320"/>
      <c r="S154" s="320"/>
      <c r="T154" s="320"/>
      <c r="U154" s="320"/>
      <c r="V154" s="320"/>
      <c r="W154" s="320"/>
      <c r="X154" s="320"/>
      <c r="Y154" s="300">
        <v>0.33333333333333331</v>
      </c>
      <c r="Z154" s="300">
        <v>0.70833333333333337</v>
      </c>
      <c r="AA154" s="297"/>
    </row>
    <row r="155" spans="1:27" s="277" customFormat="1" ht="22.5" customHeight="1">
      <c r="A155" s="293" t="s">
        <v>182</v>
      </c>
      <c r="B155" s="294">
        <v>0.32430555555555557</v>
      </c>
      <c r="C155" s="294">
        <v>0.66180555555555554</v>
      </c>
      <c r="D155" s="294">
        <v>0.32430555555555557</v>
      </c>
      <c r="E155" s="294">
        <v>0.66180555555555554</v>
      </c>
      <c r="F155" s="295">
        <v>0.25</v>
      </c>
      <c r="G155" s="295">
        <v>0.625</v>
      </c>
      <c r="H155" s="317"/>
      <c r="I155" s="317"/>
      <c r="J155" s="317"/>
      <c r="K155" s="317"/>
      <c r="L155" s="318">
        <v>1</v>
      </c>
      <c r="M155" s="318">
        <f>(60+47)/60</f>
        <v>1.7833333333333334</v>
      </c>
      <c r="N155" s="318"/>
      <c r="O155" s="318"/>
      <c r="P155" s="318"/>
      <c r="Q155" s="318"/>
      <c r="R155" s="318"/>
      <c r="S155" s="318"/>
      <c r="T155" s="318"/>
      <c r="U155" s="318"/>
      <c r="V155" s="318"/>
      <c r="W155" s="318"/>
      <c r="X155" s="318"/>
      <c r="Y155" s="296">
        <v>0.33333333333333331</v>
      </c>
      <c r="Z155" s="296">
        <v>0.70833333333333337</v>
      </c>
      <c r="AA155" s="293" t="s">
        <v>236</v>
      </c>
    </row>
    <row r="156" spans="1:27" s="277" customFormat="1" ht="22.5" customHeight="1">
      <c r="A156" s="297" t="s">
        <v>183</v>
      </c>
      <c r="B156" s="298">
        <v>0.24930555555555556</v>
      </c>
      <c r="C156" s="298">
        <v>0.5854166666666667</v>
      </c>
      <c r="D156" s="298">
        <v>0.24930555555555556</v>
      </c>
      <c r="E156" s="298">
        <v>0.5854166666666667</v>
      </c>
      <c r="F156" s="299">
        <v>0.25</v>
      </c>
      <c r="G156" s="299">
        <v>0.5854166666666667</v>
      </c>
      <c r="H156" s="319"/>
      <c r="I156" s="319"/>
      <c r="J156" s="319"/>
      <c r="K156" s="319"/>
      <c r="L156" s="320"/>
      <c r="M156" s="320"/>
      <c r="N156" s="320"/>
      <c r="O156" s="320"/>
      <c r="P156" s="320"/>
      <c r="Q156" s="320"/>
      <c r="R156" s="320"/>
      <c r="S156" s="320"/>
      <c r="T156" s="320"/>
      <c r="U156" s="320"/>
      <c r="V156" s="320"/>
      <c r="W156" s="320"/>
      <c r="X156" s="320"/>
      <c r="Y156" s="300">
        <v>0.33333333333333331</v>
      </c>
      <c r="Z156" s="300">
        <v>0.70833333333333337</v>
      </c>
      <c r="AA156" s="297"/>
    </row>
    <row r="157" spans="1:27" s="277" customFormat="1" ht="22.5" customHeight="1">
      <c r="A157" s="293" t="s">
        <v>183</v>
      </c>
      <c r="B157" s="294">
        <v>0.61805555555555558</v>
      </c>
      <c r="C157" s="294">
        <v>0.65208333333333335</v>
      </c>
      <c r="D157" s="294">
        <v>0.61805555555555558</v>
      </c>
      <c r="E157" s="294">
        <v>0.65208333333333335</v>
      </c>
      <c r="F157" s="295">
        <v>0.625</v>
      </c>
      <c r="G157" s="295">
        <v>0.625</v>
      </c>
      <c r="H157" s="317"/>
      <c r="I157" s="317"/>
      <c r="J157" s="317"/>
      <c r="K157" s="317"/>
      <c r="L157" s="318">
        <v>1</v>
      </c>
      <c r="M157" s="318"/>
      <c r="N157" s="318"/>
      <c r="O157" s="318"/>
      <c r="P157" s="318"/>
      <c r="Q157" s="318"/>
      <c r="R157" s="318"/>
      <c r="S157" s="318"/>
      <c r="T157" s="318"/>
      <c r="U157" s="318"/>
      <c r="V157" s="318"/>
      <c r="W157" s="318"/>
      <c r="X157" s="318"/>
      <c r="Y157" s="296">
        <v>0.33333333333333331</v>
      </c>
      <c r="Z157" s="296">
        <v>0.70833333333333337</v>
      </c>
      <c r="AA157" s="293"/>
    </row>
    <row r="158" spans="1:27" s="277" customFormat="1" ht="22.5" customHeight="1">
      <c r="A158" s="293" t="s">
        <v>184</v>
      </c>
      <c r="B158" s="294">
        <v>0.46111111111111108</v>
      </c>
      <c r="C158" s="294">
        <v>0.6430555555555556</v>
      </c>
      <c r="D158" s="294">
        <v>0.46111111111111108</v>
      </c>
      <c r="E158" s="294">
        <v>0.6430555555555556</v>
      </c>
      <c r="F158" s="295">
        <v>0.47916666666666669</v>
      </c>
      <c r="G158" s="295">
        <v>0.6430555555555556</v>
      </c>
      <c r="H158" s="317"/>
      <c r="I158" s="317"/>
      <c r="J158" s="317"/>
      <c r="K158" s="317"/>
      <c r="L158" s="318"/>
      <c r="M158" s="318"/>
      <c r="N158" s="318"/>
      <c r="O158" s="318"/>
      <c r="P158" s="318"/>
      <c r="Q158" s="318"/>
      <c r="R158" s="318"/>
      <c r="S158" s="318"/>
      <c r="T158" s="318"/>
      <c r="U158" s="318"/>
      <c r="V158" s="318"/>
      <c r="W158" s="318"/>
      <c r="X158" s="318"/>
      <c r="Y158" s="296">
        <v>0.33333333333333331</v>
      </c>
      <c r="Z158" s="296">
        <v>0.70833333333333337</v>
      </c>
      <c r="AA158" s="293"/>
    </row>
    <row r="159" spans="1:27" s="277" customFormat="1" ht="22.5" customHeight="1">
      <c r="A159" s="297" t="s">
        <v>184</v>
      </c>
      <c r="B159" s="298">
        <v>0.7909722222222223</v>
      </c>
      <c r="C159" s="298">
        <v>0.97916666666666663</v>
      </c>
      <c r="D159" s="298">
        <v>0.7909722222222223</v>
      </c>
      <c r="E159" s="298">
        <v>0.97916666666666663</v>
      </c>
      <c r="F159" s="299">
        <v>0.8027777777777777</v>
      </c>
      <c r="G159" s="299">
        <v>0.97916666666666663</v>
      </c>
      <c r="H159" s="319"/>
      <c r="I159" s="319"/>
      <c r="J159" s="319"/>
      <c r="K159" s="319"/>
      <c r="L159" s="320">
        <v>1</v>
      </c>
      <c r="M159" s="320"/>
      <c r="N159" s="320"/>
      <c r="O159" s="320"/>
      <c r="P159" s="320"/>
      <c r="Q159" s="320"/>
      <c r="R159" s="320"/>
      <c r="S159" s="320">
        <v>1.5</v>
      </c>
      <c r="T159" s="320"/>
      <c r="U159" s="320"/>
      <c r="V159" s="320"/>
      <c r="W159" s="320"/>
      <c r="X159" s="320"/>
      <c r="Y159" s="300">
        <v>0.33333333333333331</v>
      </c>
      <c r="Z159" s="300">
        <v>0.70833333333333337</v>
      </c>
      <c r="AA159" s="297"/>
    </row>
    <row r="160" spans="1:27" s="277" customFormat="1" ht="22.5" customHeight="1">
      <c r="A160" s="297" t="s">
        <v>186</v>
      </c>
      <c r="B160" s="298">
        <v>0.47013888888888888</v>
      </c>
      <c r="C160" s="298">
        <v>0.60277777777777775</v>
      </c>
      <c r="D160" s="298">
        <v>0.47013888888888888</v>
      </c>
      <c r="E160" s="298">
        <v>0.60277777777777775</v>
      </c>
      <c r="F160" s="299">
        <v>0.47916666666666669</v>
      </c>
      <c r="G160" s="299">
        <v>0.60277777777777775</v>
      </c>
      <c r="H160" s="319"/>
      <c r="I160" s="319"/>
      <c r="J160" s="319"/>
      <c r="K160" s="319"/>
      <c r="L160" s="320"/>
      <c r="M160" s="320"/>
      <c r="N160" s="320"/>
      <c r="O160" s="320"/>
      <c r="P160" s="320"/>
      <c r="Q160" s="320"/>
      <c r="R160" s="320"/>
      <c r="S160" s="320"/>
      <c r="T160" s="320"/>
      <c r="U160" s="320"/>
      <c r="V160" s="320"/>
      <c r="W160" s="320"/>
      <c r="X160" s="320"/>
      <c r="Y160" s="300">
        <v>0.33333333333333331</v>
      </c>
      <c r="Z160" s="300">
        <v>0.70833333333333337</v>
      </c>
      <c r="AA160" s="297"/>
    </row>
    <row r="161" spans="1:27" s="277" customFormat="1" ht="22.5" customHeight="1">
      <c r="A161" s="293" t="s">
        <v>186</v>
      </c>
      <c r="B161" s="294">
        <v>0.76736111111111116</v>
      </c>
      <c r="C161" s="294">
        <v>0.97986111111111107</v>
      </c>
      <c r="D161" s="294">
        <v>0.76736111111111116</v>
      </c>
      <c r="E161" s="294">
        <v>0.97986111111111107</v>
      </c>
      <c r="F161" s="295">
        <v>0.76944444444444438</v>
      </c>
      <c r="G161" s="295">
        <v>0.97916666666666663</v>
      </c>
      <c r="H161" s="317"/>
      <c r="I161" s="317"/>
      <c r="J161" s="317"/>
      <c r="K161" s="317"/>
      <c r="L161" s="318">
        <v>1</v>
      </c>
      <c r="M161" s="318"/>
      <c r="N161" s="318"/>
      <c r="O161" s="318"/>
      <c r="P161" s="318"/>
      <c r="Q161" s="318"/>
      <c r="R161" s="318"/>
      <c r="S161" s="318">
        <v>1.5</v>
      </c>
      <c r="T161" s="318"/>
      <c r="U161" s="318"/>
      <c r="V161" s="318"/>
      <c r="W161" s="318"/>
      <c r="X161" s="318"/>
      <c r="Y161" s="296">
        <v>0.33333333333333331</v>
      </c>
      <c r="Z161" s="296">
        <v>0.70833333333333337</v>
      </c>
      <c r="AA161" s="293"/>
    </row>
    <row r="162" spans="1:27" s="277" customFormat="1" ht="22.5" customHeight="1">
      <c r="A162" s="297" t="s">
        <v>187</v>
      </c>
      <c r="B162" s="298">
        <v>0.52986111111111112</v>
      </c>
      <c r="C162" s="298">
        <v>0.64097222222222217</v>
      </c>
      <c r="D162" s="298">
        <v>0.52986111111111112</v>
      </c>
      <c r="E162" s="298">
        <v>0.64097222222222217</v>
      </c>
      <c r="F162" s="299">
        <v>0.41666666666666669</v>
      </c>
      <c r="G162" s="299">
        <v>0.64097222222222217</v>
      </c>
      <c r="H162" s="319"/>
      <c r="I162" s="319"/>
      <c r="J162" s="319"/>
      <c r="K162" s="319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20"/>
      <c r="Y162" s="300">
        <v>0.33333333333333331</v>
      </c>
      <c r="Z162" s="300">
        <v>0.70833333333333337</v>
      </c>
      <c r="AA162" s="297" t="s">
        <v>237</v>
      </c>
    </row>
    <row r="163" spans="1:27" s="277" customFormat="1" ht="22.5" customHeight="1">
      <c r="A163" s="293" t="s">
        <v>187</v>
      </c>
      <c r="B163" s="294">
        <v>0.75069444444444444</v>
      </c>
      <c r="C163" s="294">
        <v>0.875</v>
      </c>
      <c r="D163" s="294">
        <v>0.75069444444444444</v>
      </c>
      <c r="E163" s="294">
        <v>0.875</v>
      </c>
      <c r="F163" s="295">
        <v>0.76597222222222217</v>
      </c>
      <c r="G163" s="295">
        <v>0.875</v>
      </c>
      <c r="H163" s="317"/>
      <c r="I163" s="317"/>
      <c r="J163" s="317"/>
      <c r="K163" s="317"/>
      <c r="L163" s="318">
        <v>1</v>
      </c>
      <c r="M163" s="318">
        <f>(60+60+43)/60</f>
        <v>2.7166666666666668</v>
      </c>
      <c r="N163" s="318"/>
      <c r="O163" s="318"/>
      <c r="P163" s="318"/>
      <c r="Q163" s="318"/>
      <c r="R163" s="318"/>
      <c r="S163" s="318"/>
      <c r="T163" s="318"/>
      <c r="U163" s="318"/>
      <c r="V163" s="318"/>
      <c r="W163" s="318"/>
      <c r="X163" s="318"/>
      <c r="Y163" s="296">
        <v>0.33333333333333331</v>
      </c>
      <c r="Z163" s="296">
        <v>0.70833333333333337</v>
      </c>
      <c r="AA163" s="293"/>
    </row>
    <row r="164" spans="1:27" s="277" customFormat="1" ht="22.5" customHeight="1">
      <c r="A164" s="297" t="s">
        <v>189</v>
      </c>
      <c r="B164" s="304"/>
      <c r="C164" s="304"/>
      <c r="D164" s="305"/>
      <c r="E164" s="305"/>
      <c r="F164" s="357" t="s">
        <v>188</v>
      </c>
      <c r="G164" s="357"/>
      <c r="H164" s="319"/>
      <c r="I164" s="319"/>
      <c r="J164" s="319"/>
      <c r="K164" s="319"/>
      <c r="L164" s="320"/>
      <c r="M164" s="320"/>
      <c r="N164" s="320"/>
      <c r="O164" s="320"/>
      <c r="P164" s="320"/>
      <c r="Q164" s="320"/>
      <c r="R164" s="320"/>
      <c r="S164" s="320"/>
      <c r="T164" s="320"/>
      <c r="U164" s="320"/>
      <c r="V164" s="320"/>
      <c r="W164" s="320"/>
      <c r="X164" s="320"/>
      <c r="Y164" s="306"/>
      <c r="Z164" s="306"/>
      <c r="AA164" s="297"/>
    </row>
    <row r="165" spans="1:27" s="277" customFormat="1" ht="22.5" customHeight="1">
      <c r="A165" s="297" t="s">
        <v>190</v>
      </c>
      <c r="B165" s="298">
        <v>0.61458333333333337</v>
      </c>
      <c r="C165" s="298">
        <v>0.70208333333333339</v>
      </c>
      <c r="D165" s="298">
        <v>0.61458333333333337</v>
      </c>
      <c r="E165" s="298">
        <v>0.70208333333333339</v>
      </c>
      <c r="F165" s="299">
        <v>0.60416666666666663</v>
      </c>
      <c r="G165" s="299">
        <v>0.70208333333333339</v>
      </c>
      <c r="H165" s="319"/>
      <c r="I165" s="319"/>
      <c r="J165" s="319"/>
      <c r="K165" s="319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0">
        <v>0.33333333333333331</v>
      </c>
      <c r="Z165" s="300">
        <v>0.70833333333333337</v>
      </c>
      <c r="AA165" s="297" t="s">
        <v>238</v>
      </c>
    </row>
    <row r="166" spans="1:27" s="277" customFormat="1" ht="22.5" customHeight="1">
      <c r="A166" s="293" t="s">
        <v>190</v>
      </c>
      <c r="B166" s="294">
        <v>0.73333333333333339</v>
      </c>
      <c r="C166" s="294">
        <v>0.97916666666666663</v>
      </c>
      <c r="D166" s="294">
        <v>0.73333333333333339</v>
      </c>
      <c r="E166" s="294">
        <v>0.97916666666666663</v>
      </c>
      <c r="F166" s="295">
        <v>0.74375000000000002</v>
      </c>
      <c r="G166" s="295">
        <v>0.97916666666666663</v>
      </c>
      <c r="H166" s="317"/>
      <c r="I166" s="317"/>
      <c r="J166" s="317"/>
      <c r="K166" s="317"/>
      <c r="L166" s="318">
        <v>1</v>
      </c>
      <c r="M166" s="318">
        <f>15/60</f>
        <v>0.25</v>
      </c>
      <c r="N166" s="318"/>
      <c r="O166" s="318"/>
      <c r="P166" s="318"/>
      <c r="Q166" s="318"/>
      <c r="R166" s="318"/>
      <c r="S166" s="318">
        <v>1.5</v>
      </c>
      <c r="T166" s="318"/>
      <c r="U166" s="318"/>
      <c r="V166" s="318"/>
      <c r="W166" s="318"/>
      <c r="X166" s="318"/>
      <c r="Y166" s="296">
        <v>0.33333333333333331</v>
      </c>
      <c r="Z166" s="296">
        <v>0.70833333333333337</v>
      </c>
      <c r="AA166" s="293"/>
    </row>
    <row r="167" spans="1:27" s="277" customFormat="1" ht="22.5" customHeight="1">
      <c r="A167" s="293" t="s">
        <v>191</v>
      </c>
      <c r="B167" s="294">
        <v>0.25555555555555559</v>
      </c>
      <c r="C167" s="294">
        <v>0.42083333333333334</v>
      </c>
      <c r="D167" s="294">
        <v>0.25555555555555559</v>
      </c>
      <c r="E167" s="294">
        <v>0.42083333333333334</v>
      </c>
      <c r="F167" s="295">
        <v>0.25</v>
      </c>
      <c r="G167" s="295">
        <v>0.92083333333333339</v>
      </c>
      <c r="H167" s="317"/>
      <c r="I167" s="317"/>
      <c r="J167" s="317"/>
      <c r="K167" s="317"/>
      <c r="L167" s="318"/>
      <c r="M167" s="318"/>
      <c r="N167" s="318"/>
      <c r="O167" s="318"/>
      <c r="P167" s="318"/>
      <c r="Q167" s="318"/>
      <c r="R167" s="318"/>
      <c r="S167" s="318"/>
      <c r="T167" s="318"/>
      <c r="U167" s="318"/>
      <c r="V167" s="318"/>
      <c r="W167" s="318"/>
      <c r="X167" s="318"/>
      <c r="Y167" s="296">
        <v>0.33333333333333331</v>
      </c>
      <c r="Z167" s="296">
        <v>0.70833333333333337</v>
      </c>
      <c r="AA167" s="293" t="s">
        <v>239</v>
      </c>
    </row>
    <row r="168" spans="1:27" s="277" customFormat="1" ht="22.5" customHeight="1">
      <c r="A168" s="297" t="s">
        <v>191</v>
      </c>
      <c r="B168" s="298">
        <v>0.46249999999999997</v>
      </c>
      <c r="C168" s="298">
        <v>0.62708333333333333</v>
      </c>
      <c r="D168" s="298">
        <v>0.46249999999999997</v>
      </c>
      <c r="E168" s="298">
        <v>0.62708333333333333</v>
      </c>
      <c r="F168" s="299">
        <v>0.96250000000000002</v>
      </c>
      <c r="G168" s="299">
        <v>0.625</v>
      </c>
      <c r="H168" s="319"/>
      <c r="I168" s="319"/>
      <c r="J168" s="319"/>
      <c r="K168" s="319"/>
      <c r="L168" s="320">
        <v>1</v>
      </c>
      <c r="M168" s="320">
        <f>8/60</f>
        <v>0.13333333333333333</v>
      </c>
      <c r="N168" s="320"/>
      <c r="O168" s="320"/>
      <c r="P168" s="320"/>
      <c r="Q168" s="320"/>
      <c r="R168" s="320"/>
      <c r="S168" s="320"/>
      <c r="T168" s="320"/>
      <c r="U168" s="320"/>
      <c r="V168" s="320"/>
      <c r="W168" s="320"/>
      <c r="X168" s="320"/>
      <c r="Y168" s="300">
        <v>0.33333333333333331</v>
      </c>
      <c r="Z168" s="300">
        <v>0.70833333333333337</v>
      </c>
      <c r="AA168" s="297"/>
    </row>
    <row r="169" spans="1:27" s="277" customFormat="1" ht="22.5" customHeight="1">
      <c r="A169" s="293" t="s">
        <v>192</v>
      </c>
      <c r="B169" s="294">
        <v>0.25</v>
      </c>
      <c r="C169" s="294">
        <v>0.4291666666666667</v>
      </c>
      <c r="D169" s="294">
        <v>0.25</v>
      </c>
      <c r="E169" s="294">
        <v>0.4291666666666667</v>
      </c>
      <c r="F169" s="295">
        <v>0.25</v>
      </c>
      <c r="G169" s="295">
        <v>0.9291666666666667</v>
      </c>
      <c r="H169" s="317"/>
      <c r="I169" s="317"/>
      <c r="J169" s="317"/>
      <c r="K169" s="317"/>
      <c r="L169" s="318"/>
      <c r="M169" s="318"/>
      <c r="N169" s="318"/>
      <c r="O169" s="318"/>
      <c r="P169" s="318"/>
      <c r="Q169" s="318"/>
      <c r="R169" s="318"/>
      <c r="S169" s="318"/>
      <c r="T169" s="318"/>
      <c r="U169" s="318"/>
      <c r="V169" s="318"/>
      <c r="W169" s="318"/>
      <c r="X169" s="318"/>
      <c r="Y169" s="296">
        <v>0.33333333333333331</v>
      </c>
      <c r="Z169" s="296">
        <v>0.70833333333333337</v>
      </c>
      <c r="AA169" s="293"/>
    </row>
    <row r="170" spans="1:27" s="277" customFormat="1" ht="22.5" customHeight="1">
      <c r="A170" s="297" t="s">
        <v>192</v>
      </c>
      <c r="B170" s="298">
        <v>0.46319444444444446</v>
      </c>
      <c r="C170" s="298">
        <v>0.62777777777777777</v>
      </c>
      <c r="D170" s="298">
        <v>0.46319444444444446</v>
      </c>
      <c r="E170" s="298">
        <v>0.62777777777777777</v>
      </c>
      <c r="F170" s="299">
        <v>0.97083333333333333</v>
      </c>
      <c r="G170" s="299">
        <v>0.62777777777777777</v>
      </c>
      <c r="H170" s="319"/>
      <c r="I170" s="319"/>
      <c r="J170" s="319"/>
      <c r="K170" s="319"/>
      <c r="L170" s="320">
        <v>1</v>
      </c>
      <c r="M170" s="320"/>
      <c r="N170" s="320"/>
      <c r="O170" s="320"/>
      <c r="P170" s="320"/>
      <c r="Q170" s="320"/>
      <c r="R170" s="320"/>
      <c r="S170" s="320"/>
      <c r="T170" s="320"/>
      <c r="U170" s="320"/>
      <c r="V170" s="320"/>
      <c r="W170" s="320"/>
      <c r="X170" s="320"/>
      <c r="Y170" s="300">
        <v>0.33333333333333331</v>
      </c>
      <c r="Z170" s="300">
        <v>0.70833333333333337</v>
      </c>
      <c r="AA170" s="297"/>
    </row>
    <row r="171" spans="1:27" s="277" customFormat="1" ht="22.5" customHeight="1">
      <c r="A171" s="297" t="s">
        <v>193</v>
      </c>
      <c r="B171" s="298">
        <v>0.25347222222222221</v>
      </c>
      <c r="C171" s="298">
        <v>0.41736111111111113</v>
      </c>
      <c r="D171" s="298">
        <v>0.25347222222222221</v>
      </c>
      <c r="E171" s="298">
        <v>0.41736111111111113</v>
      </c>
      <c r="F171" s="299">
        <v>0.25</v>
      </c>
      <c r="G171" s="299">
        <v>0.41736111111111113</v>
      </c>
      <c r="H171" s="319"/>
      <c r="I171" s="319"/>
      <c r="J171" s="319"/>
      <c r="K171" s="319"/>
      <c r="L171" s="320"/>
      <c r="M171" s="320"/>
      <c r="N171" s="320"/>
      <c r="O171" s="320"/>
      <c r="P171" s="320"/>
      <c r="Q171" s="320"/>
      <c r="R171" s="320"/>
      <c r="S171" s="320"/>
      <c r="T171" s="320"/>
      <c r="U171" s="320"/>
      <c r="V171" s="320"/>
      <c r="W171" s="320"/>
      <c r="X171" s="320"/>
      <c r="Y171" s="300">
        <v>0.33333333333333331</v>
      </c>
      <c r="Z171" s="300">
        <v>0.70833333333333337</v>
      </c>
      <c r="AA171" s="297"/>
    </row>
    <row r="172" spans="1:27" s="277" customFormat="1" ht="22.5" customHeight="1">
      <c r="A172" s="293" t="s">
        <v>193</v>
      </c>
      <c r="B172" s="294">
        <v>0.45624999999999999</v>
      </c>
      <c r="C172" s="294">
        <v>0.62847222222222221</v>
      </c>
      <c r="D172" s="294">
        <v>0.45624999999999999</v>
      </c>
      <c r="E172" s="294">
        <v>0.62847222222222221</v>
      </c>
      <c r="F172" s="295">
        <v>0.45902777777777781</v>
      </c>
      <c r="G172" s="295">
        <v>0.625</v>
      </c>
      <c r="H172" s="317"/>
      <c r="I172" s="317"/>
      <c r="J172" s="317"/>
      <c r="K172" s="317"/>
      <c r="L172" s="318">
        <v>1</v>
      </c>
      <c r="M172" s="318"/>
      <c r="N172" s="318"/>
      <c r="O172" s="318"/>
      <c r="P172" s="318"/>
      <c r="Q172" s="318"/>
      <c r="R172" s="318"/>
      <c r="S172" s="318"/>
      <c r="T172" s="318"/>
      <c r="U172" s="318"/>
      <c r="V172" s="318"/>
      <c r="W172" s="318"/>
      <c r="X172" s="318"/>
      <c r="Y172" s="296">
        <v>0.33333333333333331</v>
      </c>
      <c r="Z172" s="296">
        <v>0.70833333333333337</v>
      </c>
      <c r="AA172" s="293"/>
    </row>
    <row r="173" spans="1:27" s="277" customFormat="1" ht="22.5" customHeight="1">
      <c r="A173" s="293" t="s">
        <v>194</v>
      </c>
      <c r="B173" s="294">
        <v>0.25</v>
      </c>
      <c r="C173" s="294">
        <v>0.42569444444444443</v>
      </c>
      <c r="D173" s="294">
        <v>0.25</v>
      </c>
      <c r="E173" s="294">
        <v>0.42569444444444443</v>
      </c>
      <c r="F173" s="295">
        <v>0.25</v>
      </c>
      <c r="G173" s="295">
        <v>0.42569444444444443</v>
      </c>
      <c r="H173" s="317"/>
      <c r="I173" s="317"/>
      <c r="J173" s="317"/>
      <c r="K173" s="317"/>
      <c r="L173" s="318"/>
      <c r="M173" s="318"/>
      <c r="N173" s="318"/>
      <c r="O173" s="318"/>
      <c r="P173" s="318"/>
      <c r="Q173" s="318"/>
      <c r="R173" s="318"/>
      <c r="S173" s="318"/>
      <c r="T173" s="318"/>
      <c r="U173" s="318"/>
      <c r="V173" s="318"/>
      <c r="W173" s="318"/>
      <c r="X173" s="318"/>
      <c r="Y173" s="296">
        <v>0.33333333333333331</v>
      </c>
      <c r="Z173" s="296">
        <v>0.70833333333333337</v>
      </c>
      <c r="AA173" s="293"/>
    </row>
    <row r="174" spans="1:27" s="277" customFormat="1" ht="22.5" customHeight="1">
      <c r="A174" s="297" t="s">
        <v>194</v>
      </c>
      <c r="B174" s="298">
        <v>0.46458333333333335</v>
      </c>
      <c r="C174" s="298">
        <v>0.65972222222222221</v>
      </c>
      <c r="D174" s="298">
        <v>0.46458333333333335</v>
      </c>
      <c r="E174" s="298">
        <v>0.65972222222222221</v>
      </c>
      <c r="F174" s="299">
        <v>0.46736111111111112</v>
      </c>
      <c r="G174" s="299">
        <v>0.625</v>
      </c>
      <c r="H174" s="319"/>
      <c r="I174" s="319"/>
      <c r="J174" s="319"/>
      <c r="K174" s="319"/>
      <c r="L174" s="320">
        <v>1</v>
      </c>
      <c r="M174" s="320"/>
      <c r="N174" s="320"/>
      <c r="O174" s="320"/>
      <c r="P174" s="320"/>
      <c r="Q174" s="320"/>
      <c r="R174" s="320"/>
      <c r="S174" s="320"/>
      <c r="T174" s="320"/>
      <c r="U174" s="320"/>
      <c r="V174" s="320"/>
      <c r="W174" s="320"/>
      <c r="X174" s="320"/>
      <c r="Y174" s="300">
        <v>0.33333333333333331</v>
      </c>
      <c r="Z174" s="300">
        <v>0.70833333333333337</v>
      </c>
      <c r="AA174" s="297"/>
    </row>
    <row r="175" spans="1:27" s="277" customFormat="1" ht="22.5" customHeight="1">
      <c r="A175" s="293" t="s">
        <v>195</v>
      </c>
      <c r="B175" s="301"/>
      <c r="C175" s="301"/>
      <c r="D175" s="302"/>
      <c r="E175" s="302"/>
      <c r="F175" s="356" t="s">
        <v>188</v>
      </c>
      <c r="G175" s="356"/>
      <c r="H175" s="317"/>
      <c r="I175" s="317"/>
      <c r="J175" s="317"/>
      <c r="K175" s="317"/>
      <c r="L175" s="318"/>
      <c r="M175" s="318"/>
      <c r="N175" s="318"/>
      <c r="O175" s="318"/>
      <c r="P175" s="318"/>
      <c r="Q175" s="318"/>
      <c r="R175" s="318"/>
      <c r="S175" s="318"/>
      <c r="T175" s="318"/>
      <c r="U175" s="318"/>
      <c r="V175" s="318"/>
      <c r="W175" s="318"/>
      <c r="X175" s="318"/>
      <c r="Y175" s="303"/>
      <c r="Z175" s="303"/>
      <c r="AA175" s="293"/>
    </row>
    <row r="176" spans="1:27" s="277" customFormat="1" ht="22.5" customHeight="1">
      <c r="A176" s="307" t="s">
        <v>3</v>
      </c>
      <c r="B176" s="307"/>
      <c r="C176" s="307"/>
      <c r="D176" s="307"/>
      <c r="E176" s="307"/>
      <c r="F176" s="307"/>
      <c r="G176" s="307"/>
      <c r="H176" s="321">
        <f>SUM(H152:H175)</f>
        <v>0</v>
      </c>
      <c r="I176" s="321">
        <f t="shared" ref="I176:X176" si="8">SUM(I152:I175)</f>
        <v>0</v>
      </c>
      <c r="J176" s="321">
        <f t="shared" si="8"/>
        <v>0</v>
      </c>
      <c r="K176" s="321">
        <f t="shared" si="8"/>
        <v>0</v>
      </c>
      <c r="L176" s="321">
        <f t="shared" si="8"/>
        <v>11</v>
      </c>
      <c r="M176" s="321">
        <f t="shared" si="8"/>
        <v>4.8833333333333337</v>
      </c>
      <c r="N176" s="321">
        <f t="shared" si="8"/>
        <v>0</v>
      </c>
      <c r="O176" s="321">
        <f t="shared" si="8"/>
        <v>0</v>
      </c>
      <c r="P176" s="321">
        <f t="shared" si="8"/>
        <v>0</v>
      </c>
      <c r="Q176" s="321">
        <f t="shared" si="8"/>
        <v>0</v>
      </c>
      <c r="R176" s="321">
        <f t="shared" si="8"/>
        <v>0</v>
      </c>
      <c r="S176" s="321">
        <f t="shared" si="8"/>
        <v>4.5</v>
      </c>
      <c r="T176" s="321">
        <f t="shared" si="8"/>
        <v>0</v>
      </c>
      <c r="U176" s="321">
        <f t="shared" si="8"/>
        <v>0</v>
      </c>
      <c r="V176" s="321">
        <f t="shared" si="8"/>
        <v>0</v>
      </c>
      <c r="W176" s="321">
        <f t="shared" si="8"/>
        <v>0</v>
      </c>
      <c r="X176" s="321">
        <f t="shared" si="8"/>
        <v>0</v>
      </c>
      <c r="Y176" s="285"/>
      <c r="Z176" s="285"/>
      <c r="AA176" s="307"/>
    </row>
    <row r="177" spans="1:27" s="277" customFormat="1" ht="22.5" customHeight="1" thickBot="1">
      <c r="H177" s="322"/>
      <c r="I177" s="322"/>
      <c r="J177" s="322"/>
      <c r="K177" s="322"/>
      <c r="L177" s="323"/>
      <c r="M177" s="323"/>
      <c r="N177" s="323"/>
      <c r="O177" s="323"/>
      <c r="P177" s="323"/>
      <c r="Q177" s="323"/>
      <c r="R177" s="323"/>
      <c r="S177" s="323"/>
      <c r="T177" s="323"/>
      <c r="U177" s="323"/>
      <c r="V177" s="323"/>
      <c r="W177" s="323"/>
      <c r="X177" s="323"/>
      <c r="Y177" s="308"/>
      <c r="Z177" s="308"/>
    </row>
    <row r="178" spans="1:27" s="277" customFormat="1" ht="22.5" customHeight="1" thickBot="1">
      <c r="A178" s="290" t="s">
        <v>177</v>
      </c>
      <c r="B178" s="291" t="s">
        <v>240</v>
      </c>
      <c r="C178" s="291"/>
      <c r="D178" s="291"/>
      <c r="E178" s="291"/>
      <c r="F178" s="291"/>
      <c r="G178" s="291"/>
      <c r="H178" s="344" t="s">
        <v>91</v>
      </c>
      <c r="I178" s="345"/>
      <c r="J178" s="345"/>
      <c r="K178" s="346"/>
      <c r="L178" s="347" t="s">
        <v>90</v>
      </c>
      <c r="M178" s="349" t="s">
        <v>165</v>
      </c>
      <c r="N178" s="349" t="s">
        <v>166</v>
      </c>
      <c r="O178" s="351" t="s">
        <v>167</v>
      </c>
      <c r="P178" s="352"/>
      <c r="Q178" s="353"/>
      <c r="R178" s="349" t="s">
        <v>168</v>
      </c>
      <c r="S178" s="351" t="s">
        <v>19</v>
      </c>
      <c r="T178" s="352"/>
      <c r="U178" s="353"/>
      <c r="V178" s="349" t="s">
        <v>126</v>
      </c>
      <c r="W178" s="349" t="s">
        <v>127</v>
      </c>
      <c r="X178" s="354" t="s">
        <v>105</v>
      </c>
      <c r="Y178" s="285" t="s">
        <v>169</v>
      </c>
      <c r="Z178" s="285"/>
      <c r="AA178" s="307" t="s">
        <v>170</v>
      </c>
    </row>
    <row r="179" spans="1:27" s="277" customFormat="1" ht="22.5" customHeight="1" thickBot="1">
      <c r="A179" s="290" t="s">
        <v>179</v>
      </c>
      <c r="B179" s="291" t="s">
        <v>241</v>
      </c>
      <c r="C179" s="291"/>
      <c r="D179" s="291"/>
      <c r="E179" s="291"/>
      <c r="F179" s="291"/>
      <c r="G179" s="291"/>
      <c r="H179" s="286" t="s">
        <v>173</v>
      </c>
      <c r="I179" s="286" t="s">
        <v>93</v>
      </c>
      <c r="J179" s="286" t="s">
        <v>94</v>
      </c>
      <c r="K179" s="287" t="s">
        <v>174</v>
      </c>
      <c r="L179" s="348"/>
      <c r="M179" s="350"/>
      <c r="N179" s="350"/>
      <c r="O179" s="288" t="s">
        <v>175</v>
      </c>
      <c r="P179" s="288" t="s">
        <v>176</v>
      </c>
      <c r="Q179" s="313" t="s">
        <v>127</v>
      </c>
      <c r="R179" s="350"/>
      <c r="S179" s="288" t="s">
        <v>175</v>
      </c>
      <c r="T179" s="288" t="s">
        <v>176</v>
      </c>
      <c r="U179" s="313" t="s">
        <v>127</v>
      </c>
      <c r="V179" s="350"/>
      <c r="W179" s="350"/>
      <c r="X179" s="355"/>
      <c r="Y179" s="285" t="s">
        <v>171</v>
      </c>
      <c r="Z179" s="285" t="s">
        <v>172</v>
      </c>
      <c r="AA179" s="307"/>
    </row>
    <row r="180" spans="1:27" s="277" customFormat="1" ht="22.5" customHeight="1">
      <c r="A180" s="293" t="s">
        <v>181</v>
      </c>
      <c r="B180" s="294">
        <v>0.45416666666666666</v>
      </c>
      <c r="C180" s="294">
        <v>0.64722222222222225</v>
      </c>
      <c r="D180" s="294">
        <v>0.45416666666666666</v>
      </c>
      <c r="E180" s="294">
        <v>0.64722222222222225</v>
      </c>
      <c r="F180" s="295">
        <v>0.47916666666666669</v>
      </c>
      <c r="G180" s="295">
        <v>0.64722222222222225</v>
      </c>
      <c r="H180" s="317"/>
      <c r="I180" s="317"/>
      <c r="J180" s="317"/>
      <c r="K180" s="317"/>
      <c r="L180" s="318"/>
      <c r="M180" s="318"/>
      <c r="N180" s="318"/>
      <c r="O180" s="318"/>
      <c r="P180" s="318"/>
      <c r="Q180" s="318"/>
      <c r="R180" s="318"/>
      <c r="S180" s="318"/>
      <c r="T180" s="318"/>
      <c r="U180" s="318"/>
      <c r="V180" s="318"/>
      <c r="W180" s="318"/>
      <c r="X180" s="318"/>
      <c r="Y180" s="296">
        <v>0.33333333333333331</v>
      </c>
      <c r="Z180" s="296">
        <v>0.70833333333333337</v>
      </c>
      <c r="AA180" s="293"/>
    </row>
    <row r="181" spans="1:27" s="277" customFormat="1" ht="22.5" customHeight="1">
      <c r="A181" s="297" t="s">
        <v>181</v>
      </c>
      <c r="B181" s="298">
        <v>0.74097222222222225</v>
      </c>
      <c r="C181" s="298">
        <v>0.98055555555555562</v>
      </c>
      <c r="D181" s="298">
        <v>0.74097222222222225</v>
      </c>
      <c r="E181" s="298">
        <v>0.98055555555555562</v>
      </c>
      <c r="F181" s="299">
        <v>0.81388888888888899</v>
      </c>
      <c r="G181" s="299">
        <v>0.97916666666666663</v>
      </c>
      <c r="H181" s="319"/>
      <c r="I181" s="319"/>
      <c r="J181" s="319"/>
      <c r="K181" s="319"/>
      <c r="L181" s="320">
        <v>1</v>
      </c>
      <c r="M181" s="320"/>
      <c r="N181" s="320"/>
      <c r="O181" s="320"/>
      <c r="P181" s="320"/>
      <c r="Q181" s="320"/>
      <c r="R181" s="320"/>
      <c r="S181" s="320">
        <v>1.5</v>
      </c>
      <c r="T181" s="320"/>
      <c r="U181" s="320"/>
      <c r="V181" s="320"/>
      <c r="W181" s="320"/>
      <c r="X181" s="320"/>
      <c r="Y181" s="300">
        <v>0.33333333333333331</v>
      </c>
      <c r="Z181" s="300">
        <v>0.70833333333333337</v>
      </c>
      <c r="AA181" s="297"/>
    </row>
    <row r="182" spans="1:27" s="277" customFormat="1" ht="22.5" customHeight="1">
      <c r="A182" s="293" t="s">
        <v>182</v>
      </c>
      <c r="B182" s="294">
        <v>0.44930555555555557</v>
      </c>
      <c r="C182" s="294">
        <v>0.63124999999999998</v>
      </c>
      <c r="D182" s="294">
        <v>0.44930555555555557</v>
      </c>
      <c r="E182" s="294">
        <v>0.63124999999999998</v>
      </c>
      <c r="F182" s="295">
        <v>0.47916666666666669</v>
      </c>
      <c r="G182" s="295">
        <v>0.63124999999999998</v>
      </c>
      <c r="H182" s="317"/>
      <c r="I182" s="317"/>
      <c r="J182" s="317"/>
      <c r="K182" s="317"/>
      <c r="L182" s="318"/>
      <c r="M182" s="318"/>
      <c r="N182" s="318"/>
      <c r="O182" s="318"/>
      <c r="P182" s="318"/>
      <c r="Q182" s="318"/>
      <c r="R182" s="318"/>
      <c r="S182" s="318"/>
      <c r="T182" s="318"/>
      <c r="U182" s="318"/>
      <c r="V182" s="318"/>
      <c r="W182" s="318"/>
      <c r="X182" s="318"/>
      <c r="Y182" s="296">
        <v>0.33333333333333331</v>
      </c>
      <c r="Z182" s="296">
        <v>0.70833333333333337</v>
      </c>
      <c r="AA182" s="293"/>
    </row>
    <row r="183" spans="1:27" s="277" customFormat="1" ht="22.5" customHeight="1">
      <c r="A183" s="297" t="s">
        <v>182</v>
      </c>
      <c r="B183" s="298">
        <v>0.73888888888888893</v>
      </c>
      <c r="C183" s="298">
        <v>0.97916666666666663</v>
      </c>
      <c r="D183" s="298">
        <v>0.73888888888888893</v>
      </c>
      <c r="E183" s="298">
        <v>0.97916666666666663</v>
      </c>
      <c r="F183" s="299">
        <v>0.79791666666666661</v>
      </c>
      <c r="G183" s="299">
        <v>0.97916666666666663</v>
      </c>
      <c r="H183" s="319"/>
      <c r="I183" s="319"/>
      <c r="J183" s="319"/>
      <c r="K183" s="319"/>
      <c r="L183" s="320">
        <v>1</v>
      </c>
      <c r="M183" s="320"/>
      <c r="N183" s="320"/>
      <c r="O183" s="320"/>
      <c r="P183" s="320"/>
      <c r="Q183" s="320"/>
      <c r="R183" s="320"/>
      <c r="S183" s="320">
        <v>1.5</v>
      </c>
      <c r="T183" s="320"/>
      <c r="U183" s="320"/>
      <c r="V183" s="320"/>
      <c r="W183" s="320"/>
      <c r="X183" s="320"/>
      <c r="Y183" s="300">
        <v>0.33333333333333331</v>
      </c>
      <c r="Z183" s="300">
        <v>0.70833333333333337</v>
      </c>
      <c r="AA183" s="297"/>
    </row>
    <row r="184" spans="1:27" s="277" customFormat="1" ht="22.5" customHeight="1">
      <c r="A184" s="297" t="s">
        <v>183</v>
      </c>
      <c r="B184" s="298">
        <v>0.44513888888888892</v>
      </c>
      <c r="C184" s="298">
        <v>0.62777777777777777</v>
      </c>
      <c r="D184" s="298">
        <v>0.44513888888888892</v>
      </c>
      <c r="E184" s="298">
        <v>0.62777777777777777</v>
      </c>
      <c r="F184" s="299">
        <v>0.47916666666666669</v>
      </c>
      <c r="G184" s="299">
        <v>0.62777777777777777</v>
      </c>
      <c r="H184" s="319"/>
      <c r="I184" s="319"/>
      <c r="J184" s="319"/>
      <c r="K184" s="319"/>
      <c r="L184" s="320"/>
      <c r="M184" s="320"/>
      <c r="N184" s="320"/>
      <c r="O184" s="320"/>
      <c r="P184" s="320"/>
      <c r="Q184" s="320"/>
      <c r="R184" s="320"/>
      <c r="S184" s="320"/>
      <c r="T184" s="320"/>
      <c r="U184" s="320"/>
      <c r="V184" s="320"/>
      <c r="W184" s="320"/>
      <c r="X184" s="320"/>
      <c r="Y184" s="300">
        <v>0.33333333333333331</v>
      </c>
      <c r="Z184" s="300">
        <v>0.70833333333333337</v>
      </c>
      <c r="AA184" s="297"/>
    </row>
    <row r="185" spans="1:27" s="277" customFormat="1" ht="22.5" customHeight="1">
      <c r="A185" s="293" t="s">
        <v>183</v>
      </c>
      <c r="B185" s="294">
        <v>0.73125000000000007</v>
      </c>
      <c r="C185" s="294">
        <v>0.97916666666666663</v>
      </c>
      <c r="D185" s="294">
        <v>0.73125000000000007</v>
      </c>
      <c r="E185" s="294">
        <v>0.97916666666666663</v>
      </c>
      <c r="F185" s="295">
        <v>0.7944444444444444</v>
      </c>
      <c r="G185" s="295">
        <v>0.97916666666666663</v>
      </c>
      <c r="H185" s="317"/>
      <c r="I185" s="317"/>
      <c r="J185" s="317"/>
      <c r="K185" s="317"/>
      <c r="L185" s="318">
        <v>1</v>
      </c>
      <c r="M185" s="318"/>
      <c r="N185" s="318"/>
      <c r="O185" s="318"/>
      <c r="P185" s="318"/>
      <c r="Q185" s="318"/>
      <c r="R185" s="318"/>
      <c r="S185" s="318">
        <v>1.5</v>
      </c>
      <c r="T185" s="318"/>
      <c r="U185" s="318"/>
      <c r="V185" s="318"/>
      <c r="W185" s="318"/>
      <c r="X185" s="318"/>
      <c r="Y185" s="296">
        <v>0.33333333333333331</v>
      </c>
      <c r="Z185" s="296">
        <v>0.70833333333333337</v>
      </c>
      <c r="AA185" s="293"/>
    </row>
    <row r="186" spans="1:27" s="277" customFormat="1" ht="22.5" customHeight="1">
      <c r="A186" s="293" t="s">
        <v>184</v>
      </c>
      <c r="B186" s="294">
        <v>0.45694444444444443</v>
      </c>
      <c r="C186" s="294">
        <v>0.97986111111111107</v>
      </c>
      <c r="D186" s="294">
        <v>0.45694444444444443</v>
      </c>
      <c r="E186" s="294">
        <v>0.97986111111111107</v>
      </c>
      <c r="F186" s="295">
        <v>0.47916666666666669</v>
      </c>
      <c r="G186" s="295">
        <v>0.97916666666666663</v>
      </c>
      <c r="H186" s="317"/>
      <c r="I186" s="317"/>
      <c r="J186" s="317"/>
      <c r="K186" s="317"/>
      <c r="L186" s="318">
        <v>1</v>
      </c>
      <c r="M186" s="318"/>
      <c r="N186" s="318"/>
      <c r="O186" s="318"/>
      <c r="P186" s="318"/>
      <c r="Q186" s="318"/>
      <c r="R186" s="318"/>
      <c r="S186" s="318">
        <v>1.5</v>
      </c>
      <c r="T186" s="318"/>
      <c r="U186" s="318"/>
      <c r="V186" s="318"/>
      <c r="W186" s="318"/>
      <c r="X186" s="318"/>
      <c r="Y186" s="296">
        <v>0.33333333333333331</v>
      </c>
      <c r="Z186" s="296">
        <v>0.70833333333333337</v>
      </c>
      <c r="AA186" s="293"/>
    </row>
    <row r="187" spans="1:27" s="277" customFormat="1" ht="22.5" customHeight="1">
      <c r="A187" s="297" t="s">
        <v>186</v>
      </c>
      <c r="B187" s="298">
        <v>0.45208333333333334</v>
      </c>
      <c r="C187" s="298">
        <v>0.6381944444444444</v>
      </c>
      <c r="D187" s="298">
        <v>0.45208333333333334</v>
      </c>
      <c r="E187" s="298">
        <v>0.6381944444444444</v>
      </c>
      <c r="F187" s="299">
        <v>0.47916666666666669</v>
      </c>
      <c r="G187" s="299">
        <v>0.6381944444444444</v>
      </c>
      <c r="H187" s="319"/>
      <c r="I187" s="319"/>
      <c r="J187" s="319"/>
      <c r="K187" s="319"/>
      <c r="L187" s="320"/>
      <c r="M187" s="320"/>
      <c r="N187" s="320"/>
      <c r="O187" s="320"/>
      <c r="P187" s="320"/>
      <c r="Q187" s="320"/>
      <c r="R187" s="320"/>
      <c r="S187" s="320"/>
      <c r="T187" s="320"/>
      <c r="U187" s="320"/>
      <c r="V187" s="320"/>
      <c r="W187" s="320"/>
      <c r="X187" s="320"/>
      <c r="Y187" s="300">
        <v>0.33333333333333331</v>
      </c>
      <c r="Z187" s="300">
        <v>0.70833333333333337</v>
      </c>
      <c r="AA187" s="297"/>
    </row>
    <row r="188" spans="1:27" s="277" customFormat="1" ht="22.5" customHeight="1">
      <c r="A188" s="293" t="s">
        <v>186</v>
      </c>
      <c r="B188" s="294">
        <v>0.74861111111111101</v>
      </c>
      <c r="C188" s="294">
        <v>0.97986111111111107</v>
      </c>
      <c r="D188" s="294">
        <v>0.74861111111111101</v>
      </c>
      <c r="E188" s="294">
        <v>0.97986111111111107</v>
      </c>
      <c r="F188" s="295">
        <v>0.80486111111111114</v>
      </c>
      <c r="G188" s="295">
        <v>0.97916666666666663</v>
      </c>
      <c r="H188" s="317"/>
      <c r="I188" s="317"/>
      <c r="J188" s="317"/>
      <c r="K188" s="317"/>
      <c r="L188" s="318">
        <v>1</v>
      </c>
      <c r="M188" s="318"/>
      <c r="N188" s="318"/>
      <c r="O188" s="318"/>
      <c r="P188" s="318"/>
      <c r="Q188" s="318"/>
      <c r="R188" s="318"/>
      <c r="S188" s="318">
        <v>1.5</v>
      </c>
      <c r="T188" s="318"/>
      <c r="U188" s="318"/>
      <c r="V188" s="318"/>
      <c r="W188" s="318"/>
      <c r="X188" s="318"/>
      <c r="Y188" s="296">
        <v>0.33333333333333331</v>
      </c>
      <c r="Z188" s="296">
        <v>0.70833333333333337</v>
      </c>
      <c r="AA188" s="293"/>
    </row>
    <row r="189" spans="1:27" s="277" customFormat="1" ht="22.5" customHeight="1">
      <c r="A189" s="297" t="s">
        <v>187</v>
      </c>
      <c r="B189" s="298">
        <v>0.4770833333333333</v>
      </c>
      <c r="C189" s="298">
        <v>0.70972222222222225</v>
      </c>
      <c r="D189" s="298">
        <v>0.4770833333333333</v>
      </c>
      <c r="E189" s="298">
        <v>0.70972222222222225</v>
      </c>
      <c r="F189" s="299">
        <v>0.5</v>
      </c>
      <c r="G189" s="299">
        <v>0.70972222222222225</v>
      </c>
      <c r="H189" s="319"/>
      <c r="I189" s="319"/>
      <c r="J189" s="319"/>
      <c r="K189" s="319"/>
      <c r="L189" s="320"/>
      <c r="M189" s="320"/>
      <c r="N189" s="320"/>
      <c r="O189" s="320"/>
      <c r="P189" s="320"/>
      <c r="Q189" s="320"/>
      <c r="R189" s="320"/>
      <c r="S189" s="320"/>
      <c r="T189" s="320"/>
      <c r="U189" s="320"/>
      <c r="V189" s="320"/>
      <c r="W189" s="320"/>
      <c r="X189" s="320"/>
      <c r="Y189" s="300">
        <v>0.33333333333333331</v>
      </c>
      <c r="Z189" s="300">
        <v>0.70833333333333337</v>
      </c>
      <c r="AA189" s="297"/>
    </row>
    <row r="190" spans="1:27" s="277" customFormat="1" ht="22.5" customHeight="1">
      <c r="A190" s="293" t="s">
        <v>187</v>
      </c>
      <c r="B190" s="294">
        <v>0.75</v>
      </c>
      <c r="C190" s="294">
        <v>0.87569444444444444</v>
      </c>
      <c r="D190" s="294">
        <v>0.75</v>
      </c>
      <c r="E190" s="294">
        <v>0.87569444444444444</v>
      </c>
      <c r="F190" s="295">
        <v>0.75138888888888899</v>
      </c>
      <c r="G190" s="295">
        <v>0.875</v>
      </c>
      <c r="H190" s="317"/>
      <c r="I190" s="317"/>
      <c r="J190" s="317"/>
      <c r="K190" s="317"/>
      <c r="L190" s="318">
        <v>1</v>
      </c>
      <c r="M190" s="318"/>
      <c r="N190" s="318"/>
      <c r="O190" s="318"/>
      <c r="P190" s="318"/>
      <c r="Q190" s="318"/>
      <c r="R190" s="318"/>
      <c r="S190" s="318"/>
      <c r="T190" s="318"/>
      <c r="U190" s="318"/>
      <c r="V190" s="318"/>
      <c r="W190" s="318"/>
      <c r="X190" s="318"/>
      <c r="Y190" s="296">
        <v>0.33333333333333331</v>
      </c>
      <c r="Z190" s="296">
        <v>0.70833333333333337</v>
      </c>
      <c r="AA190" s="293"/>
    </row>
    <row r="191" spans="1:27" s="277" customFormat="1" ht="22.5" customHeight="1">
      <c r="A191" s="297" t="s">
        <v>189</v>
      </c>
      <c r="B191" s="304"/>
      <c r="C191" s="304"/>
      <c r="D191" s="305"/>
      <c r="E191" s="305"/>
      <c r="F191" s="357" t="s">
        <v>188</v>
      </c>
      <c r="G191" s="357"/>
      <c r="H191" s="319"/>
      <c r="I191" s="319"/>
      <c r="J191" s="319"/>
      <c r="K191" s="319"/>
      <c r="L191" s="320"/>
      <c r="M191" s="320"/>
      <c r="N191" s="320"/>
      <c r="O191" s="320"/>
      <c r="P191" s="320"/>
      <c r="Q191" s="320"/>
      <c r="R191" s="320"/>
      <c r="S191" s="320"/>
      <c r="T191" s="320"/>
      <c r="U191" s="320"/>
      <c r="V191" s="320"/>
      <c r="W191" s="320"/>
      <c r="X191" s="320"/>
      <c r="Y191" s="306"/>
      <c r="Z191" s="306"/>
      <c r="AA191" s="297"/>
    </row>
    <row r="192" spans="1:27" s="277" customFormat="1" ht="22.5" customHeight="1">
      <c r="A192" s="297" t="s">
        <v>190</v>
      </c>
      <c r="B192" s="298">
        <v>0.39166666666666666</v>
      </c>
      <c r="C192" s="298">
        <v>0.60277777777777775</v>
      </c>
      <c r="D192" s="298">
        <v>0.39166666666666666</v>
      </c>
      <c r="E192" s="298">
        <v>0.60277777777777775</v>
      </c>
      <c r="F192" s="299">
        <v>0.41666666666666669</v>
      </c>
      <c r="G192" s="299">
        <v>0.60277777777777775</v>
      </c>
      <c r="H192" s="319"/>
      <c r="I192" s="319"/>
      <c r="J192" s="319"/>
      <c r="K192" s="319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0">
        <v>0.33333333333333331</v>
      </c>
      <c r="Z192" s="300">
        <v>0.70833333333333337</v>
      </c>
      <c r="AA192" s="297"/>
    </row>
    <row r="193" spans="1:27" s="277" customFormat="1" ht="22.5" customHeight="1">
      <c r="A193" s="293" t="s">
        <v>190</v>
      </c>
      <c r="B193" s="294">
        <v>0.62777777777777777</v>
      </c>
      <c r="C193" s="294">
        <v>0.8041666666666667</v>
      </c>
      <c r="D193" s="294">
        <v>0.62777777777777777</v>
      </c>
      <c r="E193" s="294">
        <v>0.8041666666666667</v>
      </c>
      <c r="F193" s="295">
        <v>0.64444444444444449</v>
      </c>
      <c r="G193" s="295">
        <v>0.79166666666666663</v>
      </c>
      <c r="H193" s="317"/>
      <c r="I193" s="317"/>
      <c r="J193" s="317"/>
      <c r="K193" s="317"/>
      <c r="L193" s="318">
        <v>1</v>
      </c>
      <c r="M193" s="318"/>
      <c r="N193" s="318"/>
      <c r="O193" s="318"/>
      <c r="P193" s="318"/>
      <c r="Q193" s="318"/>
      <c r="R193" s="318"/>
      <c r="S193" s="318"/>
      <c r="T193" s="318"/>
      <c r="U193" s="318"/>
      <c r="V193" s="318"/>
      <c r="W193" s="318"/>
      <c r="X193" s="318"/>
      <c r="Y193" s="296">
        <v>0.33333333333333331</v>
      </c>
      <c r="Z193" s="296">
        <v>0.70833333333333337</v>
      </c>
      <c r="AA193" s="293"/>
    </row>
    <row r="194" spans="1:27" s="277" customFormat="1" ht="22.5" customHeight="1">
      <c r="A194" s="297" t="s">
        <v>191</v>
      </c>
      <c r="B194" s="298">
        <v>0.36180555555555555</v>
      </c>
      <c r="C194" s="298">
        <v>0.59305555555555556</v>
      </c>
      <c r="D194" s="298">
        <v>0.36180555555555555</v>
      </c>
      <c r="E194" s="298">
        <v>0.59305555555555556</v>
      </c>
      <c r="F194" s="299">
        <v>0.375</v>
      </c>
      <c r="G194" s="299">
        <v>0.59305555555555556</v>
      </c>
      <c r="H194" s="319"/>
      <c r="I194" s="319"/>
      <c r="J194" s="319"/>
      <c r="K194" s="319"/>
      <c r="L194" s="320"/>
      <c r="M194" s="320"/>
      <c r="N194" s="320"/>
      <c r="O194" s="320"/>
      <c r="P194" s="320"/>
      <c r="Q194" s="320"/>
      <c r="R194" s="320"/>
      <c r="S194" s="320"/>
      <c r="T194" s="320"/>
      <c r="U194" s="320"/>
      <c r="V194" s="320"/>
      <c r="W194" s="320"/>
      <c r="X194" s="320"/>
      <c r="Y194" s="300">
        <v>0.33333333333333331</v>
      </c>
      <c r="Z194" s="300">
        <v>0.70833333333333337</v>
      </c>
      <c r="AA194" s="297"/>
    </row>
    <row r="195" spans="1:27" s="277" customFormat="1" ht="22.5" customHeight="1">
      <c r="A195" s="293" t="s">
        <v>191</v>
      </c>
      <c r="B195" s="294">
        <v>0.62638888888888888</v>
      </c>
      <c r="C195" s="294">
        <v>0.79583333333333339</v>
      </c>
      <c r="D195" s="294">
        <v>0.62638888888888888</v>
      </c>
      <c r="E195" s="294">
        <v>0.79583333333333339</v>
      </c>
      <c r="F195" s="295">
        <v>0.63472222222222219</v>
      </c>
      <c r="G195" s="295">
        <v>0.75</v>
      </c>
      <c r="H195" s="317"/>
      <c r="I195" s="317"/>
      <c r="J195" s="317"/>
      <c r="K195" s="317"/>
      <c r="L195" s="318">
        <v>1</v>
      </c>
      <c r="M195" s="318"/>
      <c r="N195" s="318"/>
      <c r="O195" s="318"/>
      <c r="P195" s="318"/>
      <c r="Q195" s="318"/>
      <c r="R195" s="318"/>
      <c r="S195" s="318"/>
      <c r="T195" s="318"/>
      <c r="U195" s="318"/>
      <c r="V195" s="318"/>
      <c r="W195" s="318"/>
      <c r="X195" s="318"/>
      <c r="Y195" s="296">
        <v>0.33333333333333331</v>
      </c>
      <c r="Z195" s="296">
        <v>0.70833333333333337</v>
      </c>
      <c r="AA195" s="293"/>
    </row>
    <row r="196" spans="1:27" s="277" customFormat="1" ht="22.5" customHeight="1">
      <c r="A196" s="293" t="s">
        <v>192</v>
      </c>
      <c r="B196" s="294">
        <v>0.3923611111111111</v>
      </c>
      <c r="C196" s="294">
        <v>0.59305555555555556</v>
      </c>
      <c r="D196" s="294">
        <v>0.3923611111111111</v>
      </c>
      <c r="E196" s="294">
        <v>0.59305555555555556</v>
      </c>
      <c r="F196" s="295">
        <v>0.41666666666666669</v>
      </c>
      <c r="G196" s="295">
        <v>0.79166666666666663</v>
      </c>
      <c r="H196" s="317"/>
      <c r="I196" s="317"/>
      <c r="J196" s="317"/>
      <c r="K196" s="317"/>
      <c r="L196" s="318">
        <v>1</v>
      </c>
      <c r="M196" s="318"/>
      <c r="N196" s="318"/>
      <c r="O196" s="318"/>
      <c r="P196" s="318"/>
      <c r="Q196" s="318"/>
      <c r="R196" s="318"/>
      <c r="S196" s="318"/>
      <c r="T196" s="318"/>
      <c r="U196" s="318"/>
      <c r="V196" s="318"/>
      <c r="W196" s="318"/>
      <c r="X196" s="318"/>
      <c r="Y196" s="296">
        <v>0.33333333333333331</v>
      </c>
      <c r="Z196" s="296">
        <v>0.70833333333333337</v>
      </c>
      <c r="AA196" s="293" t="s">
        <v>242</v>
      </c>
    </row>
    <row r="197" spans="1:27" s="277" customFormat="1" ht="22.5" customHeight="1">
      <c r="A197" s="297" t="s">
        <v>193</v>
      </c>
      <c r="B197" s="298">
        <v>0.38541666666666669</v>
      </c>
      <c r="C197" s="298">
        <v>0.58611111111111114</v>
      </c>
      <c r="D197" s="298">
        <v>0.38541666666666669</v>
      </c>
      <c r="E197" s="298">
        <v>0.58611111111111114</v>
      </c>
      <c r="F197" s="299">
        <v>0.41666666666666669</v>
      </c>
      <c r="G197" s="299">
        <v>0.58611111111111114</v>
      </c>
      <c r="H197" s="319"/>
      <c r="I197" s="319"/>
      <c r="J197" s="319"/>
      <c r="K197" s="319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0">
        <v>0.33333333333333331</v>
      </c>
      <c r="Z197" s="300">
        <v>0.70833333333333337</v>
      </c>
      <c r="AA197" s="297"/>
    </row>
    <row r="198" spans="1:27" s="277" customFormat="1" ht="22.5" customHeight="1">
      <c r="A198" s="293" t="s">
        <v>193</v>
      </c>
      <c r="B198" s="294">
        <v>0.62708333333333333</v>
      </c>
      <c r="C198" s="294">
        <v>0.79375000000000007</v>
      </c>
      <c r="D198" s="294">
        <v>0.62708333333333333</v>
      </c>
      <c r="E198" s="294">
        <v>0.79375000000000007</v>
      </c>
      <c r="F198" s="295">
        <v>0.62777777777777777</v>
      </c>
      <c r="G198" s="295">
        <v>0.79166666666666663</v>
      </c>
      <c r="H198" s="317"/>
      <c r="I198" s="317"/>
      <c r="J198" s="317"/>
      <c r="K198" s="317"/>
      <c r="L198" s="318">
        <v>1</v>
      </c>
      <c r="M198" s="318"/>
      <c r="N198" s="318"/>
      <c r="O198" s="318"/>
      <c r="P198" s="318"/>
      <c r="Q198" s="318"/>
      <c r="R198" s="318"/>
      <c r="S198" s="318"/>
      <c r="T198" s="318"/>
      <c r="U198" s="318"/>
      <c r="V198" s="318"/>
      <c r="W198" s="318"/>
      <c r="X198" s="318"/>
      <c r="Y198" s="296">
        <v>0.33333333333333331</v>
      </c>
      <c r="Z198" s="296">
        <v>0.70833333333333337</v>
      </c>
      <c r="AA198" s="293"/>
    </row>
    <row r="199" spans="1:27" s="277" customFormat="1" ht="22.5" customHeight="1">
      <c r="A199" s="297" t="s">
        <v>194</v>
      </c>
      <c r="B199" s="298">
        <v>0.37222222222222223</v>
      </c>
      <c r="C199" s="298">
        <v>0.59027777777777779</v>
      </c>
      <c r="D199" s="298">
        <v>0.37222222222222223</v>
      </c>
      <c r="E199" s="298">
        <v>0.59027777777777779</v>
      </c>
      <c r="F199" s="299">
        <v>0.41666666666666669</v>
      </c>
      <c r="G199" s="299">
        <v>0.59027777777777779</v>
      </c>
      <c r="H199" s="319"/>
      <c r="I199" s="319"/>
      <c r="J199" s="319"/>
      <c r="K199" s="319"/>
      <c r="L199" s="320"/>
      <c r="M199" s="320"/>
      <c r="N199" s="320"/>
      <c r="O199" s="320"/>
      <c r="P199" s="320"/>
      <c r="Q199" s="320"/>
      <c r="R199" s="320"/>
      <c r="S199" s="320"/>
      <c r="T199" s="320"/>
      <c r="U199" s="320"/>
      <c r="V199" s="320"/>
      <c r="W199" s="320"/>
      <c r="X199" s="320"/>
      <c r="Y199" s="300">
        <v>0.33333333333333331</v>
      </c>
      <c r="Z199" s="300">
        <v>0.70833333333333337</v>
      </c>
      <c r="AA199" s="297"/>
    </row>
    <row r="200" spans="1:27" s="277" customFormat="1" ht="22.5" customHeight="1">
      <c r="A200" s="293" t="s">
        <v>194</v>
      </c>
      <c r="B200" s="294">
        <v>0.62430555555555556</v>
      </c>
      <c r="C200" s="294">
        <v>0.79305555555555562</v>
      </c>
      <c r="D200" s="294">
        <v>0.62430555555555556</v>
      </c>
      <c r="E200" s="294">
        <v>0.79305555555555562</v>
      </c>
      <c r="F200" s="295">
        <v>0.63194444444444442</v>
      </c>
      <c r="G200" s="295">
        <v>0.79166666666666663</v>
      </c>
      <c r="H200" s="317"/>
      <c r="I200" s="317"/>
      <c r="J200" s="317"/>
      <c r="K200" s="317"/>
      <c r="L200" s="318">
        <v>1</v>
      </c>
      <c r="M200" s="318"/>
      <c r="N200" s="318"/>
      <c r="O200" s="318"/>
      <c r="P200" s="318"/>
      <c r="Q200" s="318"/>
      <c r="R200" s="318"/>
      <c r="S200" s="318"/>
      <c r="T200" s="318"/>
      <c r="U200" s="318"/>
      <c r="V200" s="318"/>
      <c r="W200" s="318"/>
      <c r="X200" s="318"/>
      <c r="Y200" s="296">
        <v>0.33333333333333331</v>
      </c>
      <c r="Z200" s="296">
        <v>0.70833333333333337</v>
      </c>
      <c r="AA200" s="293"/>
    </row>
    <row r="201" spans="1:27" s="277" customFormat="1" ht="22.5" customHeight="1">
      <c r="A201" s="297" t="s">
        <v>195</v>
      </c>
      <c r="B201" s="298">
        <v>0.4680555555555555</v>
      </c>
      <c r="C201" s="298">
        <v>0.66805555555555562</v>
      </c>
      <c r="D201" s="298">
        <v>0.4680555555555555</v>
      </c>
      <c r="E201" s="298">
        <v>0.66805555555555562</v>
      </c>
      <c r="F201" s="299">
        <v>0.5</v>
      </c>
      <c r="G201" s="299">
        <v>0.875</v>
      </c>
      <c r="H201" s="319"/>
      <c r="I201" s="319"/>
      <c r="J201" s="319"/>
      <c r="K201" s="319"/>
      <c r="L201" s="320"/>
      <c r="M201" s="320"/>
      <c r="N201" s="320"/>
      <c r="O201" s="320"/>
      <c r="P201" s="320"/>
      <c r="Q201" s="320"/>
      <c r="R201" s="320"/>
      <c r="S201" s="320"/>
      <c r="T201" s="320"/>
      <c r="U201" s="320"/>
      <c r="V201" s="320"/>
      <c r="W201" s="320"/>
      <c r="X201" s="320"/>
      <c r="Y201" s="300">
        <v>0.33333333333333331</v>
      </c>
      <c r="Z201" s="300">
        <v>0.70833333333333337</v>
      </c>
      <c r="AA201" s="297"/>
    </row>
    <row r="202" spans="1:27" s="277" customFormat="1" ht="22.5" customHeight="1">
      <c r="A202" s="293" t="s">
        <v>195</v>
      </c>
      <c r="B202" s="294">
        <v>0.70138888888888884</v>
      </c>
      <c r="C202" s="294">
        <v>0.875</v>
      </c>
      <c r="D202" s="294">
        <v>0.70138888888888884</v>
      </c>
      <c r="E202" s="294">
        <v>0.875</v>
      </c>
      <c r="F202" s="356"/>
      <c r="G202" s="356"/>
      <c r="H202" s="317"/>
      <c r="I202" s="317"/>
      <c r="J202" s="317"/>
      <c r="K202" s="317"/>
      <c r="L202" s="318">
        <v>1</v>
      </c>
      <c r="M202" s="318"/>
      <c r="N202" s="318"/>
      <c r="O202" s="318"/>
      <c r="P202" s="318"/>
      <c r="Q202" s="318"/>
      <c r="R202" s="318"/>
      <c r="S202" s="318"/>
      <c r="T202" s="318"/>
      <c r="U202" s="318"/>
      <c r="V202" s="318"/>
      <c r="W202" s="318"/>
      <c r="X202" s="318"/>
      <c r="Y202" s="296">
        <v>0.33333333333333331</v>
      </c>
      <c r="Z202" s="296">
        <v>0.70833333333333337</v>
      </c>
      <c r="AA202" s="293"/>
    </row>
    <row r="203" spans="1:27" s="277" customFormat="1" ht="22.5" customHeight="1">
      <c r="A203" s="307" t="s">
        <v>3</v>
      </c>
      <c r="B203" s="307"/>
      <c r="C203" s="307"/>
      <c r="D203" s="307"/>
      <c r="E203" s="307"/>
      <c r="F203" s="307"/>
      <c r="G203" s="307"/>
      <c r="H203" s="321">
        <f>SUM(H179:H202)</f>
        <v>0</v>
      </c>
      <c r="I203" s="321">
        <f t="shared" ref="I203:X203" si="9">SUM(I179:I202)</f>
        <v>0</v>
      </c>
      <c r="J203" s="321">
        <f t="shared" si="9"/>
        <v>0</v>
      </c>
      <c r="K203" s="321">
        <f t="shared" si="9"/>
        <v>0</v>
      </c>
      <c r="L203" s="321">
        <f t="shared" si="9"/>
        <v>12</v>
      </c>
      <c r="M203" s="321">
        <f t="shared" si="9"/>
        <v>0</v>
      </c>
      <c r="N203" s="321">
        <f t="shared" si="9"/>
        <v>0</v>
      </c>
      <c r="O203" s="321">
        <f t="shared" si="9"/>
        <v>0</v>
      </c>
      <c r="P203" s="321">
        <f t="shared" si="9"/>
        <v>0</v>
      </c>
      <c r="Q203" s="321">
        <f t="shared" si="9"/>
        <v>0</v>
      </c>
      <c r="R203" s="321">
        <f t="shared" si="9"/>
        <v>0</v>
      </c>
      <c r="S203" s="321">
        <f t="shared" si="9"/>
        <v>7.5</v>
      </c>
      <c r="T203" s="321">
        <f t="shared" si="9"/>
        <v>0</v>
      </c>
      <c r="U203" s="321">
        <f t="shared" si="9"/>
        <v>0</v>
      </c>
      <c r="V203" s="321">
        <f t="shared" si="9"/>
        <v>0</v>
      </c>
      <c r="W203" s="321">
        <f t="shared" si="9"/>
        <v>0</v>
      </c>
      <c r="X203" s="321">
        <f t="shared" si="9"/>
        <v>0</v>
      </c>
      <c r="Y203" s="285"/>
      <c r="Z203" s="285"/>
      <c r="AA203" s="307"/>
    </row>
    <row r="204" spans="1:27" s="277" customFormat="1" ht="22.5" customHeight="1" thickBot="1">
      <c r="H204" s="322"/>
      <c r="I204" s="322"/>
      <c r="J204" s="322"/>
      <c r="K204" s="322"/>
      <c r="L204" s="323"/>
      <c r="M204" s="323"/>
      <c r="N204" s="323"/>
      <c r="O204" s="323"/>
      <c r="P204" s="323"/>
      <c r="Q204" s="323"/>
      <c r="R204" s="323"/>
      <c r="S204" s="323"/>
      <c r="T204" s="323"/>
      <c r="U204" s="323"/>
      <c r="V204" s="323"/>
      <c r="W204" s="323"/>
      <c r="X204" s="323"/>
      <c r="Y204" s="308"/>
      <c r="Z204" s="308"/>
    </row>
    <row r="205" spans="1:27" s="277" customFormat="1" ht="22.5" customHeight="1" thickBot="1">
      <c r="A205" s="290" t="s">
        <v>177</v>
      </c>
      <c r="B205" s="291" t="s">
        <v>243</v>
      </c>
      <c r="C205" s="291"/>
      <c r="D205" s="291"/>
      <c r="E205" s="291"/>
      <c r="F205" s="291"/>
      <c r="G205" s="291"/>
      <c r="H205" s="344" t="s">
        <v>91</v>
      </c>
      <c r="I205" s="345"/>
      <c r="J205" s="345"/>
      <c r="K205" s="346"/>
      <c r="L205" s="347" t="s">
        <v>90</v>
      </c>
      <c r="M205" s="349" t="s">
        <v>165</v>
      </c>
      <c r="N205" s="349" t="s">
        <v>166</v>
      </c>
      <c r="O205" s="351" t="s">
        <v>167</v>
      </c>
      <c r="P205" s="352"/>
      <c r="Q205" s="353"/>
      <c r="R205" s="349" t="s">
        <v>168</v>
      </c>
      <c r="S205" s="351" t="s">
        <v>19</v>
      </c>
      <c r="T205" s="352"/>
      <c r="U205" s="353"/>
      <c r="V205" s="349" t="s">
        <v>126</v>
      </c>
      <c r="W205" s="349" t="s">
        <v>127</v>
      </c>
      <c r="X205" s="354" t="s">
        <v>105</v>
      </c>
      <c r="Y205" s="285" t="s">
        <v>169</v>
      </c>
      <c r="Z205" s="285"/>
      <c r="AA205" s="307" t="s">
        <v>170</v>
      </c>
    </row>
    <row r="206" spans="1:27" s="277" customFormat="1" ht="22.5" customHeight="1" thickBot="1">
      <c r="A206" s="290" t="s">
        <v>179</v>
      </c>
      <c r="B206" s="291" t="s">
        <v>244</v>
      </c>
      <c r="C206" s="291"/>
      <c r="D206" s="291"/>
      <c r="E206" s="291"/>
      <c r="F206" s="291"/>
      <c r="G206" s="291"/>
      <c r="H206" s="286" t="s">
        <v>173</v>
      </c>
      <c r="I206" s="286" t="s">
        <v>93</v>
      </c>
      <c r="J206" s="286" t="s">
        <v>94</v>
      </c>
      <c r="K206" s="287" t="s">
        <v>174</v>
      </c>
      <c r="L206" s="348"/>
      <c r="M206" s="350"/>
      <c r="N206" s="350"/>
      <c r="O206" s="288" t="s">
        <v>175</v>
      </c>
      <c r="P206" s="288" t="s">
        <v>176</v>
      </c>
      <c r="Q206" s="313" t="s">
        <v>127</v>
      </c>
      <c r="R206" s="350"/>
      <c r="S206" s="288" t="s">
        <v>175</v>
      </c>
      <c r="T206" s="288" t="s">
        <v>176</v>
      </c>
      <c r="U206" s="313" t="s">
        <v>127</v>
      </c>
      <c r="V206" s="350"/>
      <c r="W206" s="350"/>
      <c r="X206" s="355"/>
      <c r="Y206" s="285" t="s">
        <v>171</v>
      </c>
      <c r="Z206" s="285" t="s">
        <v>172</v>
      </c>
      <c r="AA206" s="307"/>
    </row>
    <row r="207" spans="1:27" s="277" customFormat="1" ht="22.5" customHeight="1">
      <c r="A207" s="293" t="s">
        <v>181</v>
      </c>
      <c r="B207" s="294">
        <v>0.4861111111111111</v>
      </c>
      <c r="C207" s="294">
        <v>0.59375</v>
      </c>
      <c r="D207" s="294">
        <v>0.4861111111111111</v>
      </c>
      <c r="E207" s="294">
        <v>0.59375</v>
      </c>
      <c r="F207" s="295">
        <v>0.47916666666666669</v>
      </c>
      <c r="G207" s="295">
        <v>0.59375</v>
      </c>
      <c r="H207" s="317"/>
      <c r="I207" s="317"/>
      <c r="J207" s="317"/>
      <c r="K207" s="317"/>
      <c r="L207" s="318"/>
      <c r="M207" s="318"/>
      <c r="N207" s="318"/>
      <c r="O207" s="318"/>
      <c r="P207" s="318"/>
      <c r="Q207" s="318"/>
      <c r="R207" s="318"/>
      <c r="S207" s="318"/>
      <c r="T207" s="318"/>
      <c r="U207" s="318"/>
      <c r="V207" s="318"/>
      <c r="W207" s="318"/>
      <c r="X207" s="318"/>
      <c r="Y207" s="296">
        <v>0.33333333333333331</v>
      </c>
      <c r="Z207" s="296">
        <v>0.70833333333333337</v>
      </c>
      <c r="AA207" s="293" t="s">
        <v>245</v>
      </c>
    </row>
    <row r="208" spans="1:27" s="277" customFormat="1" ht="22.5" customHeight="1">
      <c r="A208" s="297" t="s">
        <v>181</v>
      </c>
      <c r="B208" s="298">
        <v>0.7597222222222223</v>
      </c>
      <c r="C208" s="298">
        <v>0.97986111111111107</v>
      </c>
      <c r="D208" s="298">
        <v>0.7597222222222223</v>
      </c>
      <c r="E208" s="298">
        <v>0.97986111111111107</v>
      </c>
      <c r="F208" s="299">
        <v>0.76041666666666663</v>
      </c>
      <c r="G208" s="299">
        <v>0.97916666666666663</v>
      </c>
      <c r="H208" s="319"/>
      <c r="I208" s="319"/>
      <c r="J208" s="319"/>
      <c r="K208" s="319"/>
      <c r="L208" s="320">
        <v>1</v>
      </c>
      <c r="M208" s="320">
        <f>10/60</f>
        <v>0.16666666666666666</v>
      </c>
      <c r="N208" s="320"/>
      <c r="O208" s="320"/>
      <c r="P208" s="320"/>
      <c r="Q208" s="320"/>
      <c r="R208" s="320"/>
      <c r="S208" s="320">
        <v>1.5</v>
      </c>
      <c r="T208" s="320"/>
      <c r="U208" s="320"/>
      <c r="V208" s="320"/>
      <c r="W208" s="320"/>
      <c r="X208" s="320"/>
      <c r="Y208" s="300">
        <v>0.33333333333333331</v>
      </c>
      <c r="Z208" s="300">
        <v>0.70833333333333337</v>
      </c>
      <c r="AA208" s="297"/>
    </row>
    <row r="209" spans="1:27" s="277" customFormat="1" ht="22.5" customHeight="1">
      <c r="A209" s="293" t="s">
        <v>182</v>
      </c>
      <c r="B209" s="294">
        <v>0.47986111111111113</v>
      </c>
      <c r="C209" s="294">
        <v>0.59375</v>
      </c>
      <c r="D209" s="294">
        <v>0.47986111111111113</v>
      </c>
      <c r="E209" s="294">
        <v>0.59375</v>
      </c>
      <c r="F209" s="295">
        <v>0.47916666666666669</v>
      </c>
      <c r="G209" s="295">
        <v>0.59375</v>
      </c>
      <c r="H209" s="317"/>
      <c r="I209" s="317"/>
      <c r="J209" s="317"/>
      <c r="K209" s="317"/>
      <c r="L209" s="318"/>
      <c r="M209" s="318"/>
      <c r="N209" s="318"/>
      <c r="O209" s="318"/>
      <c r="P209" s="318"/>
      <c r="Q209" s="318"/>
      <c r="R209" s="318"/>
      <c r="S209" s="318"/>
      <c r="T209" s="318"/>
      <c r="U209" s="318"/>
      <c r="V209" s="318"/>
      <c r="W209" s="318"/>
      <c r="X209" s="318"/>
      <c r="Y209" s="296">
        <v>0.33333333333333331</v>
      </c>
      <c r="Z209" s="296">
        <v>0.70833333333333337</v>
      </c>
      <c r="AA209" s="293"/>
    </row>
    <row r="210" spans="1:27" s="277" customFormat="1" ht="22.5" customHeight="1">
      <c r="A210" s="297" t="s">
        <v>182</v>
      </c>
      <c r="B210" s="298">
        <v>0.75902777777777775</v>
      </c>
      <c r="C210" s="298">
        <v>0.97916666666666663</v>
      </c>
      <c r="D210" s="298">
        <v>0.75902777777777775</v>
      </c>
      <c r="E210" s="298">
        <v>0.97916666666666663</v>
      </c>
      <c r="F210" s="299">
        <v>0.76041666666666663</v>
      </c>
      <c r="G210" s="299">
        <v>0.97916666666666663</v>
      </c>
      <c r="H210" s="319"/>
      <c r="I210" s="319"/>
      <c r="J210" s="319"/>
      <c r="K210" s="319"/>
      <c r="L210" s="320">
        <v>1</v>
      </c>
      <c r="M210" s="320"/>
      <c r="N210" s="320"/>
      <c r="O210" s="320"/>
      <c r="P210" s="320"/>
      <c r="Q210" s="320"/>
      <c r="R210" s="320"/>
      <c r="S210" s="320">
        <v>1.5</v>
      </c>
      <c r="T210" s="320"/>
      <c r="U210" s="320"/>
      <c r="V210" s="320"/>
      <c r="W210" s="320"/>
      <c r="X210" s="320"/>
      <c r="Y210" s="300">
        <v>0.33333333333333331</v>
      </c>
      <c r="Z210" s="300">
        <v>0.70833333333333337</v>
      </c>
      <c r="AA210" s="297"/>
    </row>
    <row r="211" spans="1:27" s="277" customFormat="1" ht="22.5" customHeight="1">
      <c r="A211" s="293" t="s">
        <v>183</v>
      </c>
      <c r="B211" s="294">
        <v>0.48125000000000001</v>
      </c>
      <c r="C211" s="294">
        <v>0.59166666666666667</v>
      </c>
      <c r="D211" s="294">
        <v>0.48125000000000001</v>
      </c>
      <c r="E211" s="294">
        <v>0.59166666666666667</v>
      </c>
      <c r="F211" s="295">
        <v>0.47916666666666669</v>
      </c>
      <c r="G211" s="295">
        <v>0.59166666666666667</v>
      </c>
      <c r="H211" s="317"/>
      <c r="I211" s="317"/>
      <c r="J211" s="317"/>
      <c r="K211" s="317"/>
      <c r="L211" s="318"/>
      <c r="M211" s="318"/>
      <c r="N211" s="318"/>
      <c r="O211" s="318"/>
      <c r="P211" s="318"/>
      <c r="Q211" s="318"/>
      <c r="R211" s="318"/>
      <c r="S211" s="318"/>
      <c r="T211" s="318"/>
      <c r="U211" s="318"/>
      <c r="V211" s="318"/>
      <c r="W211" s="318"/>
      <c r="X211" s="318"/>
      <c r="Y211" s="296">
        <v>0.33333333333333331</v>
      </c>
      <c r="Z211" s="296">
        <v>0.70833333333333337</v>
      </c>
      <c r="AA211" s="293"/>
    </row>
    <row r="212" spans="1:27" s="277" customFormat="1" ht="22.5" customHeight="1">
      <c r="A212" s="297" t="s">
        <v>183</v>
      </c>
      <c r="B212" s="298">
        <v>0.75902777777777775</v>
      </c>
      <c r="C212" s="298">
        <v>0.97916666666666663</v>
      </c>
      <c r="D212" s="298">
        <v>0.75902777777777775</v>
      </c>
      <c r="E212" s="298">
        <v>0.97916666666666663</v>
      </c>
      <c r="F212" s="299">
        <v>0.7583333333333333</v>
      </c>
      <c r="G212" s="299">
        <v>0.97916666666666663</v>
      </c>
      <c r="H212" s="319"/>
      <c r="I212" s="319"/>
      <c r="J212" s="319"/>
      <c r="K212" s="319"/>
      <c r="L212" s="320">
        <v>1</v>
      </c>
      <c r="M212" s="320">
        <f>1/60</f>
        <v>1.6666666666666666E-2</v>
      </c>
      <c r="N212" s="320"/>
      <c r="O212" s="320"/>
      <c r="P212" s="320"/>
      <c r="Q212" s="320"/>
      <c r="R212" s="320"/>
      <c r="S212" s="320">
        <v>1.5</v>
      </c>
      <c r="T212" s="320"/>
      <c r="U212" s="320"/>
      <c r="V212" s="320"/>
      <c r="W212" s="320"/>
      <c r="X212" s="320"/>
      <c r="Y212" s="300">
        <v>0.33333333333333331</v>
      </c>
      <c r="Z212" s="300">
        <v>0.70833333333333337</v>
      </c>
      <c r="AA212" s="297"/>
    </row>
    <row r="213" spans="1:27" s="277" customFormat="1" ht="22.5" customHeight="1">
      <c r="A213" s="297" t="s">
        <v>184</v>
      </c>
      <c r="B213" s="298">
        <v>0.41736111111111113</v>
      </c>
      <c r="C213" s="298">
        <v>0.60763888888888895</v>
      </c>
      <c r="D213" s="298">
        <v>0.41736111111111113</v>
      </c>
      <c r="E213" s="298">
        <v>0.60763888888888895</v>
      </c>
      <c r="F213" s="299">
        <v>0.41666666666666669</v>
      </c>
      <c r="G213" s="299">
        <v>0.60763888888888895</v>
      </c>
      <c r="H213" s="319"/>
      <c r="I213" s="319"/>
      <c r="J213" s="319"/>
      <c r="K213" s="319"/>
      <c r="L213" s="320"/>
      <c r="M213" s="320"/>
      <c r="N213" s="320"/>
      <c r="O213" s="320"/>
      <c r="P213" s="320"/>
      <c r="Q213" s="320"/>
      <c r="R213" s="320"/>
      <c r="S213" s="320"/>
      <c r="T213" s="320"/>
      <c r="U213" s="320"/>
      <c r="V213" s="320"/>
      <c r="W213" s="320"/>
      <c r="X213" s="320"/>
      <c r="Y213" s="300">
        <v>0.33333333333333331</v>
      </c>
      <c r="Z213" s="300">
        <v>0.70833333333333337</v>
      </c>
      <c r="AA213" s="297"/>
    </row>
    <row r="214" spans="1:27" s="277" customFormat="1" ht="22.5" customHeight="1">
      <c r="A214" s="293" t="s">
        <v>184</v>
      </c>
      <c r="B214" s="294">
        <v>0.6430555555555556</v>
      </c>
      <c r="C214" s="294">
        <v>0.79305555555555562</v>
      </c>
      <c r="D214" s="294">
        <v>0.6430555555555556</v>
      </c>
      <c r="E214" s="294">
        <v>0.79305555555555562</v>
      </c>
      <c r="F214" s="295">
        <v>0.64930555555555558</v>
      </c>
      <c r="G214" s="295">
        <v>0.79166666666666663</v>
      </c>
      <c r="H214" s="317"/>
      <c r="I214" s="317"/>
      <c r="J214" s="317"/>
      <c r="K214" s="317"/>
      <c r="L214" s="318">
        <v>1</v>
      </c>
      <c r="M214" s="318"/>
      <c r="N214" s="318"/>
      <c r="O214" s="318"/>
      <c r="P214" s="318"/>
      <c r="Q214" s="318"/>
      <c r="R214" s="318"/>
      <c r="S214" s="318"/>
      <c r="T214" s="318"/>
      <c r="U214" s="318"/>
      <c r="V214" s="318"/>
      <c r="W214" s="318"/>
      <c r="X214" s="318"/>
      <c r="Y214" s="296">
        <v>0.33333333333333331</v>
      </c>
      <c r="Z214" s="296">
        <v>0.70833333333333337</v>
      </c>
      <c r="AA214" s="293"/>
    </row>
    <row r="215" spans="1:27" s="277" customFormat="1" ht="22.5" customHeight="1">
      <c r="A215" s="293" t="s">
        <v>186</v>
      </c>
      <c r="B215" s="294">
        <v>0.4284722222222222</v>
      </c>
      <c r="C215" s="294">
        <v>0.59722222222222221</v>
      </c>
      <c r="D215" s="294">
        <v>0.4284722222222222</v>
      </c>
      <c r="E215" s="294">
        <v>0.59722222222222221</v>
      </c>
      <c r="F215" s="295">
        <v>0.41666666666666669</v>
      </c>
      <c r="G215" s="295">
        <v>0.59722222222222221</v>
      </c>
      <c r="H215" s="317"/>
      <c r="I215" s="317"/>
      <c r="J215" s="317"/>
      <c r="K215" s="317"/>
      <c r="L215" s="318"/>
      <c r="M215" s="318"/>
      <c r="N215" s="318"/>
      <c r="O215" s="318"/>
      <c r="P215" s="318"/>
      <c r="Q215" s="318"/>
      <c r="R215" s="318"/>
      <c r="S215" s="318"/>
      <c r="T215" s="318"/>
      <c r="U215" s="318"/>
      <c r="V215" s="318"/>
      <c r="W215" s="318"/>
      <c r="X215" s="318"/>
      <c r="Y215" s="296">
        <v>0.33333333333333331</v>
      </c>
      <c r="Z215" s="296">
        <v>0.70833333333333337</v>
      </c>
      <c r="AA215" s="293" t="s">
        <v>246</v>
      </c>
    </row>
    <row r="216" spans="1:27" s="277" customFormat="1" ht="22.5" customHeight="1">
      <c r="A216" s="297" t="s">
        <v>186</v>
      </c>
      <c r="B216" s="298">
        <v>0.63958333333333328</v>
      </c>
      <c r="C216" s="298">
        <v>0.79583333333333339</v>
      </c>
      <c r="D216" s="298">
        <v>0.63958333333333328</v>
      </c>
      <c r="E216" s="298">
        <v>0.79583333333333339</v>
      </c>
      <c r="F216" s="299">
        <v>0.63888888888888895</v>
      </c>
      <c r="G216" s="299">
        <v>0.79166666666666663</v>
      </c>
      <c r="H216" s="319"/>
      <c r="I216" s="319"/>
      <c r="J216" s="319"/>
      <c r="K216" s="319"/>
      <c r="L216" s="320">
        <v>1</v>
      </c>
      <c r="M216" s="320">
        <f>17/60</f>
        <v>0.28333333333333333</v>
      </c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0">
        <v>0.33333333333333331</v>
      </c>
      <c r="Z216" s="300">
        <v>0.70833333333333337</v>
      </c>
      <c r="AA216" s="297"/>
    </row>
    <row r="217" spans="1:27" s="277" customFormat="1" ht="22.5" customHeight="1">
      <c r="A217" s="293" t="s">
        <v>187</v>
      </c>
      <c r="B217" s="301"/>
      <c r="C217" s="301"/>
      <c r="D217" s="302"/>
      <c r="E217" s="302"/>
      <c r="F217" s="356" t="s">
        <v>174</v>
      </c>
      <c r="G217" s="356"/>
      <c r="H217" s="317"/>
      <c r="I217" s="317"/>
      <c r="J217" s="317"/>
      <c r="K217" s="317">
        <v>1</v>
      </c>
      <c r="L217" s="318"/>
      <c r="M217" s="318"/>
      <c r="N217" s="318"/>
      <c r="O217" s="318"/>
      <c r="P217" s="318"/>
      <c r="Q217" s="318"/>
      <c r="R217" s="318"/>
      <c r="S217" s="318"/>
      <c r="T217" s="318"/>
      <c r="U217" s="318"/>
      <c r="V217" s="318"/>
      <c r="W217" s="318"/>
      <c r="X217" s="318"/>
      <c r="Y217" s="303"/>
      <c r="Z217" s="303"/>
      <c r="AA217" s="293"/>
    </row>
    <row r="218" spans="1:27" s="277" customFormat="1" ht="22.5" customHeight="1">
      <c r="A218" s="297" t="s">
        <v>189</v>
      </c>
      <c r="B218" s="304"/>
      <c r="C218" s="304"/>
      <c r="D218" s="305"/>
      <c r="E218" s="305"/>
      <c r="F218" s="357" t="s">
        <v>188</v>
      </c>
      <c r="G218" s="357"/>
      <c r="H218" s="319"/>
      <c r="I218" s="319"/>
      <c r="J218" s="319"/>
      <c r="K218" s="319"/>
      <c r="L218" s="320"/>
      <c r="M218" s="320"/>
      <c r="N218" s="320"/>
      <c r="O218" s="320"/>
      <c r="P218" s="320"/>
      <c r="Q218" s="320"/>
      <c r="R218" s="320"/>
      <c r="S218" s="320"/>
      <c r="T218" s="320"/>
      <c r="U218" s="320"/>
      <c r="V218" s="320"/>
      <c r="W218" s="320"/>
      <c r="X218" s="320"/>
      <c r="Y218" s="306"/>
      <c r="Z218" s="306"/>
      <c r="AA218" s="297"/>
    </row>
    <row r="219" spans="1:27" s="277" customFormat="1" ht="22.5" customHeight="1">
      <c r="A219" s="297" t="s">
        <v>190</v>
      </c>
      <c r="B219" s="298">
        <v>0.48194444444444445</v>
      </c>
      <c r="C219" s="298">
        <v>0.59930555555555554</v>
      </c>
      <c r="D219" s="298">
        <v>0.48194444444444445</v>
      </c>
      <c r="E219" s="298">
        <v>0.59930555555555554</v>
      </c>
      <c r="F219" s="299">
        <v>0.47916666666666669</v>
      </c>
      <c r="G219" s="299">
        <v>0.59930555555555554</v>
      </c>
      <c r="H219" s="319"/>
      <c r="I219" s="319"/>
      <c r="J219" s="319"/>
      <c r="K219" s="319"/>
      <c r="L219" s="320"/>
      <c r="M219" s="320"/>
      <c r="N219" s="320"/>
      <c r="O219" s="320"/>
      <c r="P219" s="320"/>
      <c r="Q219" s="320"/>
      <c r="R219" s="320"/>
      <c r="S219" s="320"/>
      <c r="T219" s="320"/>
      <c r="U219" s="320"/>
      <c r="V219" s="320"/>
      <c r="W219" s="320"/>
      <c r="X219" s="320"/>
      <c r="Y219" s="300">
        <v>0.33333333333333331</v>
      </c>
      <c r="Z219" s="300">
        <v>0.70833333333333337</v>
      </c>
      <c r="AA219" s="297" t="s">
        <v>247</v>
      </c>
    </row>
    <row r="220" spans="1:27" s="277" customFormat="1" ht="22.5" customHeight="1">
      <c r="A220" s="293" t="s">
        <v>190</v>
      </c>
      <c r="B220" s="294">
        <v>0.64722222222222225</v>
      </c>
      <c r="C220" s="294">
        <v>0.85416666666666663</v>
      </c>
      <c r="D220" s="294">
        <v>0.64722222222222225</v>
      </c>
      <c r="E220" s="294">
        <v>0.85416666666666663</v>
      </c>
      <c r="F220" s="295">
        <v>0.64097222222222217</v>
      </c>
      <c r="G220" s="295">
        <v>0.85416666666666663</v>
      </c>
      <c r="H220" s="317"/>
      <c r="I220" s="317"/>
      <c r="J220" s="317"/>
      <c r="K220" s="317"/>
      <c r="L220" s="318">
        <v>1</v>
      </c>
      <c r="M220" s="318">
        <f>9/60</f>
        <v>0.15</v>
      </c>
      <c r="N220" s="318"/>
      <c r="O220" s="318"/>
      <c r="P220" s="318"/>
      <c r="Q220" s="318"/>
      <c r="R220" s="318"/>
      <c r="S220" s="318"/>
      <c r="T220" s="318"/>
      <c r="U220" s="318"/>
      <c r="V220" s="318"/>
      <c r="W220" s="318"/>
      <c r="X220" s="318"/>
      <c r="Y220" s="296">
        <v>0.33333333333333331</v>
      </c>
      <c r="Z220" s="296">
        <v>0.70833333333333337</v>
      </c>
      <c r="AA220" s="293"/>
    </row>
    <row r="221" spans="1:27" s="277" customFormat="1" ht="22.5" customHeight="1">
      <c r="A221" s="293" t="s">
        <v>191</v>
      </c>
      <c r="B221" s="294">
        <v>0.48125000000000001</v>
      </c>
      <c r="C221" s="294">
        <v>0.59027777777777779</v>
      </c>
      <c r="D221" s="294">
        <v>0.48125000000000001</v>
      </c>
      <c r="E221" s="294">
        <v>0.59027777777777779</v>
      </c>
      <c r="F221" s="295">
        <v>0.47916666666666669</v>
      </c>
      <c r="G221" s="295">
        <v>0.59027777777777779</v>
      </c>
      <c r="H221" s="317"/>
      <c r="I221" s="317"/>
      <c r="J221" s="317"/>
      <c r="K221" s="317"/>
      <c r="L221" s="318"/>
      <c r="M221" s="318"/>
      <c r="N221" s="318"/>
      <c r="O221" s="318"/>
      <c r="P221" s="318"/>
      <c r="Q221" s="318"/>
      <c r="R221" s="318"/>
      <c r="S221" s="318"/>
      <c r="T221" s="318"/>
      <c r="U221" s="318"/>
      <c r="V221" s="318"/>
      <c r="W221" s="318"/>
      <c r="X221" s="318"/>
      <c r="Y221" s="296">
        <v>0.33333333333333331</v>
      </c>
      <c r="Z221" s="296">
        <v>0.70833333333333337</v>
      </c>
      <c r="AA221" s="293"/>
    </row>
    <row r="222" spans="1:27" s="277" customFormat="1" ht="22.5" customHeight="1">
      <c r="A222" s="297" t="s">
        <v>191</v>
      </c>
      <c r="B222" s="298">
        <v>0.97986111111111107</v>
      </c>
      <c r="C222" s="298">
        <v>0.97986111111111107</v>
      </c>
      <c r="D222" s="298">
        <v>0.97986111111111107</v>
      </c>
      <c r="E222" s="298">
        <v>0.97986111111111107</v>
      </c>
      <c r="F222" s="299">
        <v>0.79861111111111116</v>
      </c>
      <c r="G222" s="299">
        <v>0.97916666666666663</v>
      </c>
      <c r="H222" s="319"/>
      <c r="I222" s="319"/>
      <c r="J222" s="319"/>
      <c r="K222" s="319"/>
      <c r="L222" s="320">
        <v>1</v>
      </c>
      <c r="M222" s="320"/>
      <c r="N222" s="320"/>
      <c r="O222" s="320"/>
      <c r="P222" s="320"/>
      <c r="Q222" s="320"/>
      <c r="R222" s="320"/>
      <c r="S222" s="320">
        <v>1.5</v>
      </c>
      <c r="T222" s="320"/>
      <c r="U222" s="320"/>
      <c r="V222" s="320"/>
      <c r="W222" s="320"/>
      <c r="X222" s="320"/>
      <c r="Y222" s="300">
        <v>0.33333333333333331</v>
      </c>
      <c r="Z222" s="300">
        <v>0.70833333333333337</v>
      </c>
      <c r="AA222" s="297"/>
    </row>
    <row r="223" spans="1:27" s="277" customFormat="1" ht="22.5" customHeight="1">
      <c r="A223" s="297" t="s">
        <v>192</v>
      </c>
      <c r="B223" s="298">
        <v>0.48055555555555557</v>
      </c>
      <c r="C223" s="298">
        <v>0.6020833333333333</v>
      </c>
      <c r="D223" s="298">
        <v>0.48055555555555557</v>
      </c>
      <c r="E223" s="298">
        <v>0.6020833333333333</v>
      </c>
      <c r="F223" s="299">
        <v>0.47916666666666669</v>
      </c>
      <c r="G223" s="299">
        <v>0.6020833333333333</v>
      </c>
      <c r="H223" s="319"/>
      <c r="I223" s="319"/>
      <c r="J223" s="319"/>
      <c r="K223" s="319"/>
      <c r="L223" s="320"/>
      <c r="M223" s="320"/>
      <c r="N223" s="320"/>
      <c r="O223" s="320"/>
      <c r="P223" s="320"/>
      <c r="Q223" s="320"/>
      <c r="R223" s="320"/>
      <c r="S223" s="320"/>
      <c r="T223" s="320"/>
      <c r="U223" s="320"/>
      <c r="V223" s="320"/>
      <c r="W223" s="320"/>
      <c r="X223" s="320"/>
      <c r="Y223" s="300">
        <v>0.33333333333333331</v>
      </c>
      <c r="Z223" s="300">
        <v>0.70833333333333337</v>
      </c>
      <c r="AA223" s="297"/>
    </row>
    <row r="224" spans="1:27" s="277" customFormat="1" ht="22.5" customHeight="1">
      <c r="A224" s="293" t="s">
        <v>192</v>
      </c>
      <c r="B224" s="294">
        <v>0.75763888888888886</v>
      </c>
      <c r="C224" s="294">
        <v>0.98472222222222217</v>
      </c>
      <c r="D224" s="294">
        <v>0.75763888888888886</v>
      </c>
      <c r="E224" s="294">
        <v>0.98472222222222217</v>
      </c>
      <c r="F224" s="295">
        <v>0.76874999999999993</v>
      </c>
      <c r="G224" s="295">
        <v>0.97916666666666663</v>
      </c>
      <c r="H224" s="317"/>
      <c r="I224" s="317"/>
      <c r="J224" s="317"/>
      <c r="K224" s="317"/>
      <c r="L224" s="318">
        <v>1</v>
      </c>
      <c r="M224" s="318"/>
      <c r="N224" s="318"/>
      <c r="O224" s="318"/>
      <c r="P224" s="318"/>
      <c r="Q224" s="318"/>
      <c r="R224" s="318"/>
      <c r="S224" s="318">
        <v>1.5</v>
      </c>
      <c r="T224" s="318"/>
      <c r="U224" s="318"/>
      <c r="V224" s="318"/>
      <c r="W224" s="318"/>
      <c r="X224" s="318"/>
      <c r="Y224" s="296">
        <v>0.33333333333333331</v>
      </c>
      <c r="Z224" s="296">
        <v>0.70833333333333337</v>
      </c>
      <c r="AA224" s="293"/>
    </row>
    <row r="225" spans="1:27" s="277" customFormat="1" ht="22.5" customHeight="1">
      <c r="A225" s="293" t="s">
        <v>193</v>
      </c>
      <c r="B225" s="294">
        <v>0.48541666666666666</v>
      </c>
      <c r="C225" s="294">
        <v>0.59027777777777779</v>
      </c>
      <c r="D225" s="294">
        <v>0.48541666666666666</v>
      </c>
      <c r="E225" s="294">
        <v>0.59027777777777779</v>
      </c>
      <c r="F225" s="295">
        <v>0.47916666666666669</v>
      </c>
      <c r="G225" s="295">
        <v>0.59027777777777779</v>
      </c>
      <c r="H225" s="317"/>
      <c r="I225" s="317"/>
      <c r="J225" s="317"/>
      <c r="K225" s="317"/>
      <c r="L225" s="318"/>
      <c r="M225" s="318"/>
      <c r="N225" s="318"/>
      <c r="O225" s="318"/>
      <c r="P225" s="318"/>
      <c r="Q225" s="318"/>
      <c r="R225" s="318"/>
      <c r="S225" s="318"/>
      <c r="T225" s="318"/>
      <c r="U225" s="318"/>
      <c r="V225" s="318"/>
      <c r="W225" s="318"/>
      <c r="X225" s="318"/>
      <c r="Y225" s="296">
        <v>0.33333333333333331</v>
      </c>
      <c r="Z225" s="296">
        <v>0.70833333333333337</v>
      </c>
      <c r="AA225" s="293"/>
    </row>
    <row r="226" spans="1:27" s="277" customFormat="1" ht="22.5" customHeight="1">
      <c r="A226" s="297" t="s">
        <v>193</v>
      </c>
      <c r="B226" s="298">
        <v>0.75694444444444453</v>
      </c>
      <c r="C226" s="298">
        <v>0.97916666666666663</v>
      </c>
      <c r="D226" s="298">
        <v>0.75694444444444453</v>
      </c>
      <c r="E226" s="298">
        <v>0.97916666666666663</v>
      </c>
      <c r="F226" s="299">
        <v>0.75694444444444453</v>
      </c>
      <c r="G226" s="299">
        <v>0.97916666666666663</v>
      </c>
      <c r="H226" s="319"/>
      <c r="I226" s="319"/>
      <c r="J226" s="319"/>
      <c r="K226" s="319"/>
      <c r="L226" s="320">
        <v>1</v>
      </c>
      <c r="M226" s="320">
        <f>9/60</f>
        <v>0.15</v>
      </c>
      <c r="N226" s="320"/>
      <c r="O226" s="320"/>
      <c r="P226" s="320"/>
      <c r="Q226" s="320"/>
      <c r="R226" s="320"/>
      <c r="S226" s="320">
        <v>1.5</v>
      </c>
      <c r="T226" s="320"/>
      <c r="U226" s="320"/>
      <c r="V226" s="320"/>
      <c r="W226" s="320"/>
      <c r="X226" s="320"/>
      <c r="Y226" s="300">
        <v>0.33333333333333331</v>
      </c>
      <c r="Z226" s="300">
        <v>0.70833333333333337</v>
      </c>
      <c r="AA226" s="297"/>
    </row>
    <row r="227" spans="1:27" s="277" customFormat="1" ht="22.5" customHeight="1">
      <c r="A227" s="297" t="s">
        <v>194</v>
      </c>
      <c r="B227" s="298">
        <v>0.48194444444444445</v>
      </c>
      <c r="C227" s="298">
        <v>0.59097222222222223</v>
      </c>
      <c r="D227" s="298">
        <v>0.48194444444444445</v>
      </c>
      <c r="E227" s="298">
        <v>0.59097222222222223</v>
      </c>
      <c r="F227" s="299">
        <v>0.47916666666666669</v>
      </c>
      <c r="G227" s="299">
        <v>0.59097222222222223</v>
      </c>
      <c r="H227" s="319"/>
      <c r="I227" s="319"/>
      <c r="J227" s="319"/>
      <c r="K227" s="319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20"/>
      <c r="Y227" s="300">
        <v>0.33333333333333331</v>
      </c>
      <c r="Z227" s="300">
        <v>0.70833333333333337</v>
      </c>
      <c r="AA227" s="297"/>
    </row>
    <row r="228" spans="1:27" s="277" customFormat="1" ht="22.5" customHeight="1">
      <c r="A228" s="293" t="s">
        <v>194</v>
      </c>
      <c r="B228" s="294">
        <v>0.75486111111111109</v>
      </c>
      <c r="C228" s="294">
        <v>0.97916666666666663</v>
      </c>
      <c r="D228" s="294">
        <v>0.75486111111111109</v>
      </c>
      <c r="E228" s="294">
        <v>0.97916666666666663</v>
      </c>
      <c r="F228" s="295">
        <v>0.75763888888888886</v>
      </c>
      <c r="G228" s="295">
        <v>0.97916666666666663</v>
      </c>
      <c r="H228" s="317"/>
      <c r="I228" s="317"/>
      <c r="J228" s="317"/>
      <c r="K228" s="317"/>
      <c r="L228" s="318">
        <v>1</v>
      </c>
      <c r="M228" s="318"/>
      <c r="N228" s="318"/>
      <c r="O228" s="318"/>
      <c r="P228" s="318"/>
      <c r="Q228" s="318"/>
      <c r="R228" s="318"/>
      <c r="S228" s="318">
        <v>1.5</v>
      </c>
      <c r="T228" s="318"/>
      <c r="U228" s="318"/>
      <c r="V228" s="318"/>
      <c r="W228" s="318"/>
      <c r="X228" s="318"/>
      <c r="Y228" s="296">
        <v>0.33333333333333331</v>
      </c>
      <c r="Z228" s="296">
        <v>0.70833333333333337</v>
      </c>
      <c r="AA228" s="293"/>
    </row>
    <row r="229" spans="1:27" s="277" customFormat="1" ht="22.5" customHeight="1">
      <c r="A229" s="293" t="s">
        <v>195</v>
      </c>
      <c r="B229" s="294">
        <v>0.41250000000000003</v>
      </c>
      <c r="C229" s="294">
        <v>0.59027777777777779</v>
      </c>
      <c r="D229" s="294">
        <v>0.41250000000000003</v>
      </c>
      <c r="E229" s="294">
        <v>0.59027777777777779</v>
      </c>
      <c r="F229" s="295">
        <v>0.41666666666666669</v>
      </c>
      <c r="G229" s="295">
        <v>0.875</v>
      </c>
      <c r="H229" s="317"/>
      <c r="I229" s="317"/>
      <c r="J229" s="317"/>
      <c r="K229" s="317"/>
      <c r="L229" s="318"/>
      <c r="M229" s="318"/>
      <c r="N229" s="318"/>
      <c r="O229" s="318"/>
      <c r="P229" s="318"/>
      <c r="Q229" s="318"/>
      <c r="R229" s="318"/>
      <c r="S229" s="318"/>
      <c r="T229" s="318"/>
      <c r="U229" s="318"/>
      <c r="V229" s="318"/>
      <c r="W229" s="318"/>
      <c r="X229" s="318"/>
      <c r="Y229" s="296">
        <v>0.33333333333333331</v>
      </c>
      <c r="Z229" s="296">
        <v>0.70833333333333337</v>
      </c>
      <c r="AA229" s="293"/>
    </row>
    <row r="230" spans="1:27" s="277" customFormat="1" ht="22.5" customHeight="1">
      <c r="A230" s="297" t="s">
        <v>195</v>
      </c>
      <c r="B230" s="298">
        <v>0.71111111111111114</v>
      </c>
      <c r="C230" s="298">
        <v>0.87569444444444444</v>
      </c>
      <c r="D230" s="298">
        <v>0.71111111111111114</v>
      </c>
      <c r="E230" s="298">
        <v>0.87569444444444444</v>
      </c>
      <c r="F230" s="357"/>
      <c r="G230" s="357"/>
      <c r="H230" s="319"/>
      <c r="I230" s="319"/>
      <c r="J230" s="319"/>
      <c r="K230" s="319"/>
      <c r="L230" s="320">
        <v>1</v>
      </c>
      <c r="M230" s="320"/>
      <c r="N230" s="320"/>
      <c r="O230" s="320"/>
      <c r="P230" s="320"/>
      <c r="Q230" s="320"/>
      <c r="R230" s="320"/>
      <c r="S230" s="320"/>
      <c r="T230" s="320"/>
      <c r="U230" s="320"/>
      <c r="V230" s="320"/>
      <c r="W230" s="320"/>
      <c r="X230" s="320"/>
      <c r="Y230" s="300">
        <v>0.33333333333333331</v>
      </c>
      <c r="Z230" s="300">
        <v>0.70833333333333337</v>
      </c>
      <c r="AA230" s="297"/>
    </row>
    <row r="231" spans="1:27" s="277" customFormat="1" ht="22.5" customHeight="1">
      <c r="A231" s="307" t="s">
        <v>3</v>
      </c>
      <c r="B231" s="307"/>
      <c r="C231" s="307"/>
      <c r="D231" s="307"/>
      <c r="E231" s="307"/>
      <c r="F231" s="307"/>
      <c r="G231" s="307"/>
      <c r="H231" s="321">
        <f>SUM(H207:H230)</f>
        <v>0</v>
      </c>
      <c r="I231" s="321">
        <f t="shared" ref="I231:X231" si="10">SUM(I207:I230)</f>
        <v>0</v>
      </c>
      <c r="J231" s="321">
        <f t="shared" si="10"/>
        <v>0</v>
      </c>
      <c r="K231" s="321">
        <f t="shared" si="10"/>
        <v>1</v>
      </c>
      <c r="L231" s="321">
        <f t="shared" si="10"/>
        <v>11</v>
      </c>
      <c r="M231" s="321">
        <f t="shared" si="10"/>
        <v>0.76666666666666672</v>
      </c>
      <c r="N231" s="321">
        <f t="shared" si="10"/>
        <v>0</v>
      </c>
      <c r="O231" s="321">
        <f t="shared" si="10"/>
        <v>0</v>
      </c>
      <c r="P231" s="321">
        <f t="shared" si="10"/>
        <v>0</v>
      </c>
      <c r="Q231" s="321">
        <f t="shared" si="10"/>
        <v>0</v>
      </c>
      <c r="R231" s="321">
        <f t="shared" si="10"/>
        <v>0</v>
      </c>
      <c r="S231" s="321">
        <f t="shared" si="10"/>
        <v>10.5</v>
      </c>
      <c r="T231" s="321">
        <f t="shared" si="10"/>
        <v>0</v>
      </c>
      <c r="U231" s="321">
        <f t="shared" si="10"/>
        <v>0</v>
      </c>
      <c r="V231" s="321">
        <f t="shared" si="10"/>
        <v>0</v>
      </c>
      <c r="W231" s="321">
        <f t="shared" si="10"/>
        <v>0</v>
      </c>
      <c r="X231" s="321">
        <f t="shared" si="10"/>
        <v>0</v>
      </c>
      <c r="Y231" s="285"/>
      <c r="Z231" s="285"/>
      <c r="AA231" s="307"/>
    </row>
    <row r="232" spans="1:27" s="277" customFormat="1" ht="22.5" customHeight="1" thickBot="1">
      <c r="H232" s="322"/>
      <c r="I232" s="322"/>
      <c r="J232" s="322"/>
      <c r="K232" s="322"/>
      <c r="L232" s="323"/>
      <c r="M232" s="323"/>
      <c r="N232" s="323"/>
      <c r="O232" s="323"/>
      <c r="P232" s="323"/>
      <c r="Q232" s="323"/>
      <c r="R232" s="323"/>
      <c r="S232" s="323"/>
      <c r="T232" s="323"/>
      <c r="U232" s="323"/>
      <c r="V232" s="323"/>
      <c r="W232" s="323"/>
      <c r="X232" s="323"/>
      <c r="Y232" s="308"/>
      <c r="Z232" s="308"/>
    </row>
    <row r="233" spans="1:27" s="277" customFormat="1" ht="22.5" customHeight="1" thickBot="1">
      <c r="A233" s="290" t="s">
        <v>177</v>
      </c>
      <c r="B233" s="291" t="s">
        <v>248</v>
      </c>
      <c r="C233" s="291"/>
      <c r="D233" s="291"/>
      <c r="E233" s="291"/>
      <c r="F233" s="291"/>
      <c r="G233" s="291"/>
      <c r="H233" s="344" t="s">
        <v>91</v>
      </c>
      <c r="I233" s="345"/>
      <c r="J233" s="345"/>
      <c r="K233" s="346"/>
      <c r="L233" s="347" t="s">
        <v>90</v>
      </c>
      <c r="M233" s="349" t="s">
        <v>165</v>
      </c>
      <c r="N233" s="349" t="s">
        <v>166</v>
      </c>
      <c r="O233" s="351" t="s">
        <v>167</v>
      </c>
      <c r="P233" s="352"/>
      <c r="Q233" s="353"/>
      <c r="R233" s="349" t="s">
        <v>168</v>
      </c>
      <c r="S233" s="351" t="s">
        <v>19</v>
      </c>
      <c r="T233" s="352"/>
      <c r="U233" s="353"/>
      <c r="V233" s="349" t="s">
        <v>126</v>
      </c>
      <c r="W233" s="349" t="s">
        <v>127</v>
      </c>
      <c r="X233" s="354" t="s">
        <v>105</v>
      </c>
      <c r="Y233" s="285" t="s">
        <v>169</v>
      </c>
      <c r="Z233" s="285"/>
      <c r="AA233" s="307" t="s">
        <v>170</v>
      </c>
    </row>
    <row r="234" spans="1:27" s="277" customFormat="1" ht="22.5" customHeight="1" thickBot="1">
      <c r="A234" s="290" t="s">
        <v>179</v>
      </c>
      <c r="B234" s="291" t="s">
        <v>249</v>
      </c>
      <c r="C234" s="291"/>
      <c r="D234" s="291"/>
      <c r="E234" s="291"/>
      <c r="F234" s="291"/>
      <c r="G234" s="291"/>
      <c r="H234" s="286" t="s">
        <v>173</v>
      </c>
      <c r="I234" s="286" t="s">
        <v>93</v>
      </c>
      <c r="J234" s="286" t="s">
        <v>94</v>
      </c>
      <c r="K234" s="287" t="s">
        <v>174</v>
      </c>
      <c r="L234" s="348"/>
      <c r="M234" s="350"/>
      <c r="N234" s="350"/>
      <c r="O234" s="288" t="s">
        <v>175</v>
      </c>
      <c r="P234" s="288" t="s">
        <v>176</v>
      </c>
      <c r="Q234" s="313" t="s">
        <v>127</v>
      </c>
      <c r="R234" s="350"/>
      <c r="S234" s="288" t="s">
        <v>175</v>
      </c>
      <c r="T234" s="288" t="s">
        <v>176</v>
      </c>
      <c r="U234" s="313" t="s">
        <v>127</v>
      </c>
      <c r="V234" s="350"/>
      <c r="W234" s="350"/>
      <c r="X234" s="355"/>
      <c r="Y234" s="285" t="s">
        <v>171</v>
      </c>
      <c r="Z234" s="285" t="s">
        <v>172</v>
      </c>
      <c r="AA234" s="307"/>
    </row>
    <row r="235" spans="1:27" s="277" customFormat="1" ht="22.5" customHeight="1">
      <c r="A235" s="293" t="s">
        <v>181</v>
      </c>
      <c r="B235" s="301"/>
      <c r="C235" s="301"/>
      <c r="D235" s="302"/>
      <c r="E235" s="302"/>
      <c r="F235" s="356" t="s">
        <v>173</v>
      </c>
      <c r="G235" s="356"/>
      <c r="H235" s="317">
        <v>1</v>
      </c>
      <c r="I235" s="317"/>
      <c r="J235" s="317"/>
      <c r="K235" s="317"/>
      <c r="L235" s="318"/>
      <c r="M235" s="318"/>
      <c r="N235" s="318"/>
      <c r="O235" s="318"/>
      <c r="P235" s="318"/>
      <c r="Q235" s="318"/>
      <c r="R235" s="318"/>
      <c r="S235" s="318"/>
      <c r="T235" s="318"/>
      <c r="U235" s="318"/>
      <c r="V235" s="318"/>
      <c r="W235" s="318"/>
      <c r="X235" s="318"/>
      <c r="Y235" s="303"/>
      <c r="Z235" s="303"/>
      <c r="AA235" s="293"/>
    </row>
    <row r="236" spans="1:27" s="277" customFormat="1" ht="22.5" customHeight="1">
      <c r="A236" s="297" t="s">
        <v>182</v>
      </c>
      <c r="B236" s="298">
        <v>0.37638888888888888</v>
      </c>
      <c r="C236" s="298">
        <v>0.5854166666666667</v>
      </c>
      <c r="D236" s="298">
        <v>0.37638888888888888</v>
      </c>
      <c r="E236" s="298">
        <v>0.5854166666666667</v>
      </c>
      <c r="F236" s="299">
        <v>0.375</v>
      </c>
      <c r="G236" s="299">
        <v>0.5854166666666667</v>
      </c>
      <c r="H236" s="319"/>
      <c r="I236" s="319"/>
      <c r="J236" s="319"/>
      <c r="K236" s="319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20"/>
      <c r="Y236" s="300">
        <v>0.33333333333333331</v>
      </c>
      <c r="Z236" s="300">
        <v>0.75</v>
      </c>
      <c r="AA236" s="297"/>
    </row>
    <row r="237" spans="1:27" s="277" customFormat="1" ht="22.5" customHeight="1">
      <c r="A237" s="293" t="s">
        <v>182</v>
      </c>
      <c r="B237" s="294">
        <v>0.62638888888888888</v>
      </c>
      <c r="C237" s="294">
        <v>0.75902777777777775</v>
      </c>
      <c r="D237" s="294">
        <v>0.62638888888888888</v>
      </c>
      <c r="E237" s="294">
        <v>0.75902777777777775</v>
      </c>
      <c r="F237" s="295">
        <v>0.62708333333333333</v>
      </c>
      <c r="G237" s="294">
        <v>0.75</v>
      </c>
      <c r="H237" s="317"/>
      <c r="I237" s="317"/>
      <c r="J237" s="317"/>
      <c r="K237" s="317"/>
      <c r="L237" s="318">
        <v>1</v>
      </c>
      <c r="M237" s="318"/>
      <c r="N237" s="318"/>
      <c r="O237" s="318"/>
      <c r="P237" s="318"/>
      <c r="Q237" s="318"/>
      <c r="R237" s="318"/>
      <c r="S237" s="318"/>
      <c r="T237" s="318"/>
      <c r="U237" s="318"/>
      <c r="V237" s="318"/>
      <c r="W237" s="318"/>
      <c r="X237" s="318"/>
      <c r="Y237" s="296">
        <v>0.33333333333333331</v>
      </c>
      <c r="Z237" s="296">
        <v>0.75</v>
      </c>
      <c r="AA237" s="293"/>
    </row>
    <row r="238" spans="1:27" s="277" customFormat="1" ht="22.5" customHeight="1">
      <c r="A238" s="297" t="s">
        <v>183</v>
      </c>
      <c r="B238" s="298">
        <v>0.46736111111111112</v>
      </c>
      <c r="C238" s="298">
        <v>0.62777777777777777</v>
      </c>
      <c r="D238" s="298">
        <v>0.46736111111111112</v>
      </c>
      <c r="E238" s="298">
        <v>0.62777777777777777</v>
      </c>
      <c r="F238" s="299">
        <v>0.47916666666666669</v>
      </c>
      <c r="G238" s="299">
        <v>0.62777777777777777</v>
      </c>
      <c r="H238" s="319"/>
      <c r="I238" s="319"/>
      <c r="J238" s="319"/>
      <c r="K238" s="319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0">
        <v>0.33333333333333331</v>
      </c>
      <c r="Z238" s="300">
        <v>0.75</v>
      </c>
      <c r="AA238" s="297"/>
    </row>
    <row r="239" spans="1:27" s="277" customFormat="1" ht="22.5" customHeight="1">
      <c r="A239" s="293" t="s">
        <v>183</v>
      </c>
      <c r="B239" s="294">
        <v>0.75277777777777777</v>
      </c>
      <c r="C239" s="294">
        <v>0.97916666666666663</v>
      </c>
      <c r="D239" s="294">
        <v>0.75277777777777777</v>
      </c>
      <c r="E239" s="294">
        <v>0.97916666666666663</v>
      </c>
      <c r="F239" s="295">
        <v>0.75277777777777777</v>
      </c>
      <c r="G239" s="295">
        <v>0.97916666666666663</v>
      </c>
      <c r="H239" s="317"/>
      <c r="I239" s="317"/>
      <c r="J239" s="317"/>
      <c r="K239" s="317"/>
      <c r="L239" s="318">
        <v>1</v>
      </c>
      <c r="M239" s="318"/>
      <c r="N239" s="318"/>
      <c r="O239" s="318"/>
      <c r="P239" s="318"/>
      <c r="Q239" s="318"/>
      <c r="R239" s="318"/>
      <c r="S239" s="318">
        <v>1.5</v>
      </c>
      <c r="T239" s="318"/>
      <c r="U239" s="318"/>
      <c r="V239" s="318"/>
      <c r="W239" s="318"/>
      <c r="X239" s="318"/>
      <c r="Y239" s="296">
        <v>0.33333333333333331</v>
      </c>
      <c r="Z239" s="296">
        <v>0.75</v>
      </c>
      <c r="AA239" s="293"/>
    </row>
    <row r="240" spans="1:27" s="277" customFormat="1" ht="22.5" customHeight="1">
      <c r="A240" s="297" t="s">
        <v>184</v>
      </c>
      <c r="B240" s="298">
        <v>0.40138888888888885</v>
      </c>
      <c r="C240" s="298">
        <v>0.58611111111111114</v>
      </c>
      <c r="D240" s="298">
        <v>0.40138888888888885</v>
      </c>
      <c r="E240" s="298">
        <v>0.58611111111111114</v>
      </c>
      <c r="F240" s="299">
        <v>0.41666666666666669</v>
      </c>
      <c r="G240" s="299">
        <v>0.58611111111111114</v>
      </c>
      <c r="H240" s="319"/>
      <c r="I240" s="319"/>
      <c r="J240" s="319"/>
      <c r="K240" s="319"/>
      <c r="L240" s="320"/>
      <c r="M240" s="320"/>
      <c r="N240" s="320"/>
      <c r="O240" s="320"/>
      <c r="P240" s="320"/>
      <c r="Q240" s="320"/>
      <c r="R240" s="320"/>
      <c r="S240" s="320"/>
      <c r="T240" s="320"/>
      <c r="U240" s="320"/>
      <c r="V240" s="320"/>
      <c r="W240" s="320"/>
      <c r="X240" s="320"/>
      <c r="Y240" s="300">
        <v>0.33333333333333331</v>
      </c>
      <c r="Z240" s="300">
        <v>0.75</v>
      </c>
      <c r="AA240" s="297"/>
    </row>
    <row r="241" spans="1:27" s="277" customFormat="1" ht="22.5" customHeight="1">
      <c r="A241" s="293" t="s">
        <v>184</v>
      </c>
      <c r="B241" s="294">
        <v>0.6118055555555556</v>
      </c>
      <c r="C241" s="294">
        <v>0.79166666666666663</v>
      </c>
      <c r="D241" s="294">
        <v>0.6118055555555556</v>
      </c>
      <c r="E241" s="294">
        <v>0.79166666666666663</v>
      </c>
      <c r="F241" s="295">
        <v>0.62777777777777777</v>
      </c>
      <c r="G241" s="295">
        <v>0.79166666666666663</v>
      </c>
      <c r="H241" s="317"/>
      <c r="I241" s="317"/>
      <c r="J241" s="317"/>
      <c r="K241" s="317"/>
      <c r="L241" s="318">
        <v>1</v>
      </c>
      <c r="M241" s="318"/>
      <c r="N241" s="318"/>
      <c r="O241" s="318"/>
      <c r="P241" s="318"/>
      <c r="Q241" s="318"/>
      <c r="R241" s="318"/>
      <c r="S241" s="318"/>
      <c r="T241" s="318"/>
      <c r="U241" s="318"/>
      <c r="V241" s="318"/>
      <c r="W241" s="318"/>
      <c r="X241" s="318"/>
      <c r="Y241" s="296">
        <v>0.33333333333333331</v>
      </c>
      <c r="Z241" s="296">
        <v>0.75</v>
      </c>
      <c r="AA241" s="293"/>
    </row>
    <row r="242" spans="1:27" s="277" customFormat="1" ht="22.5" customHeight="1">
      <c r="A242" s="293" t="s">
        <v>186</v>
      </c>
      <c r="B242" s="294">
        <v>0.41736111111111113</v>
      </c>
      <c r="C242" s="294">
        <v>0.58819444444444446</v>
      </c>
      <c r="D242" s="294">
        <v>0.41736111111111113</v>
      </c>
      <c r="E242" s="294">
        <v>0.58819444444444446</v>
      </c>
      <c r="F242" s="295">
        <v>0.41666666666666669</v>
      </c>
      <c r="G242" s="295">
        <v>0.58819444444444446</v>
      </c>
      <c r="H242" s="317"/>
      <c r="I242" s="317"/>
      <c r="J242" s="317"/>
      <c r="K242" s="317"/>
      <c r="L242" s="318"/>
      <c r="M242" s="318"/>
      <c r="N242" s="318"/>
      <c r="O242" s="318"/>
      <c r="P242" s="318"/>
      <c r="Q242" s="318"/>
      <c r="R242" s="318"/>
      <c r="S242" s="318"/>
      <c r="T242" s="318"/>
      <c r="U242" s="318"/>
      <c r="V242" s="318"/>
      <c r="W242" s="318"/>
      <c r="X242" s="318"/>
      <c r="Y242" s="296">
        <v>0.33333333333333331</v>
      </c>
      <c r="Z242" s="296">
        <v>0.75</v>
      </c>
      <c r="AA242" s="293"/>
    </row>
    <row r="243" spans="1:27" s="277" customFormat="1" ht="22.5" customHeight="1">
      <c r="A243" s="297" t="s">
        <v>186</v>
      </c>
      <c r="B243" s="298">
        <v>0.62708333333333333</v>
      </c>
      <c r="C243" s="298">
        <v>0.79652777777777783</v>
      </c>
      <c r="D243" s="298">
        <v>0.62708333333333333</v>
      </c>
      <c r="E243" s="298">
        <v>0.79652777777777783</v>
      </c>
      <c r="F243" s="299">
        <v>0.62986111111111109</v>
      </c>
      <c r="G243" s="299">
        <v>0.79166666666666663</v>
      </c>
      <c r="H243" s="319"/>
      <c r="I243" s="319"/>
      <c r="J243" s="319"/>
      <c r="K243" s="319"/>
      <c r="L243" s="320">
        <v>1</v>
      </c>
      <c r="M243" s="320"/>
      <c r="N243" s="320"/>
      <c r="O243" s="320"/>
      <c r="P243" s="320"/>
      <c r="Q243" s="320"/>
      <c r="R243" s="320"/>
      <c r="S243" s="320"/>
      <c r="T243" s="320"/>
      <c r="U243" s="320"/>
      <c r="V243" s="320"/>
      <c r="W243" s="320"/>
      <c r="X243" s="320"/>
      <c r="Y243" s="300">
        <v>0.33333333333333331</v>
      </c>
      <c r="Z243" s="300">
        <v>0.75</v>
      </c>
      <c r="AA243" s="297"/>
    </row>
    <row r="244" spans="1:27" s="277" customFormat="1" ht="22.5" customHeight="1">
      <c r="A244" s="297" t="s">
        <v>187</v>
      </c>
      <c r="B244" s="298">
        <v>0.41319444444444442</v>
      </c>
      <c r="C244" s="298">
        <v>0.70347222222222217</v>
      </c>
      <c r="D244" s="298">
        <v>0.41319444444444442</v>
      </c>
      <c r="E244" s="298">
        <v>0.70347222222222217</v>
      </c>
      <c r="F244" s="299">
        <v>0.41666666666666669</v>
      </c>
      <c r="G244" s="299">
        <v>0.70347222222222217</v>
      </c>
      <c r="H244" s="319"/>
      <c r="I244" s="319"/>
      <c r="J244" s="319"/>
      <c r="K244" s="319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0">
        <v>0.33333333333333331</v>
      </c>
      <c r="Z244" s="300">
        <v>0.75</v>
      </c>
      <c r="AA244" s="297"/>
    </row>
    <row r="245" spans="1:27" s="277" customFormat="1" ht="22.5" customHeight="1">
      <c r="A245" s="293" t="s">
        <v>187</v>
      </c>
      <c r="B245" s="294">
        <v>0.75138888888888899</v>
      </c>
      <c r="C245" s="294">
        <v>0.79375000000000007</v>
      </c>
      <c r="D245" s="295">
        <v>0.74513888888888891</v>
      </c>
      <c r="E245" s="294">
        <v>0.79375000000000007</v>
      </c>
      <c r="F245" s="295">
        <v>0.74513888888888891</v>
      </c>
      <c r="G245" s="295">
        <v>0.79166666666666663</v>
      </c>
      <c r="H245" s="317"/>
      <c r="I245" s="317"/>
      <c r="J245" s="317"/>
      <c r="K245" s="317"/>
      <c r="L245" s="318">
        <v>1</v>
      </c>
      <c r="M245" s="318"/>
      <c r="N245" s="318"/>
      <c r="O245" s="318"/>
      <c r="P245" s="318"/>
      <c r="Q245" s="318"/>
      <c r="R245" s="318"/>
      <c r="S245" s="318"/>
      <c r="T245" s="318"/>
      <c r="U245" s="318"/>
      <c r="V245" s="318"/>
      <c r="W245" s="318"/>
      <c r="X245" s="318"/>
      <c r="Y245" s="296">
        <v>0.33333333333333331</v>
      </c>
      <c r="Z245" s="296">
        <v>0.75</v>
      </c>
      <c r="AA245" s="293" t="s">
        <v>250</v>
      </c>
    </row>
    <row r="246" spans="1:27" s="277" customFormat="1" ht="22.5" customHeight="1">
      <c r="A246" s="297" t="s">
        <v>189</v>
      </c>
      <c r="B246" s="304"/>
      <c r="C246" s="304"/>
      <c r="D246" s="305"/>
      <c r="E246" s="305"/>
      <c r="F246" s="357" t="s">
        <v>188</v>
      </c>
      <c r="G246" s="357"/>
      <c r="H246" s="319"/>
      <c r="I246" s="319"/>
      <c r="J246" s="319"/>
      <c r="K246" s="319"/>
      <c r="L246" s="320"/>
      <c r="M246" s="320"/>
      <c r="N246" s="320"/>
      <c r="O246" s="320"/>
      <c r="P246" s="320"/>
      <c r="Q246" s="320"/>
      <c r="R246" s="320"/>
      <c r="S246" s="320"/>
      <c r="T246" s="320"/>
      <c r="U246" s="320"/>
      <c r="V246" s="320"/>
      <c r="W246" s="320"/>
      <c r="X246" s="320"/>
      <c r="Y246" s="306"/>
      <c r="Z246" s="306"/>
      <c r="AA246" s="297"/>
    </row>
    <row r="247" spans="1:27" s="277" customFormat="1" ht="22.5" customHeight="1">
      <c r="A247" s="297" t="s">
        <v>190</v>
      </c>
      <c r="B247" s="298">
        <v>0.4458333333333333</v>
      </c>
      <c r="C247" s="298">
        <v>0.62569444444444444</v>
      </c>
      <c r="D247" s="298">
        <v>0.4458333333333333</v>
      </c>
      <c r="E247" s="298">
        <v>0.62569444444444444</v>
      </c>
      <c r="F247" s="299">
        <v>0.45833333333333331</v>
      </c>
      <c r="G247" s="299">
        <v>0.62569444444444444</v>
      </c>
      <c r="H247" s="319"/>
      <c r="I247" s="319"/>
      <c r="J247" s="319"/>
      <c r="K247" s="319"/>
      <c r="L247" s="320"/>
      <c r="M247" s="320"/>
      <c r="N247" s="320"/>
      <c r="O247" s="320"/>
      <c r="P247" s="320"/>
      <c r="Q247" s="320"/>
      <c r="R247" s="320"/>
      <c r="S247" s="320"/>
      <c r="T247" s="320"/>
      <c r="U247" s="320"/>
      <c r="V247" s="320"/>
      <c r="W247" s="320"/>
      <c r="X247" s="320"/>
      <c r="Y247" s="300">
        <v>0.33333333333333331</v>
      </c>
      <c r="Z247" s="300">
        <v>0.75</v>
      </c>
      <c r="AA247" s="297"/>
    </row>
    <row r="248" spans="1:27" s="277" customFormat="1" ht="22.5" customHeight="1">
      <c r="A248" s="293" t="s">
        <v>190</v>
      </c>
      <c r="B248" s="294">
        <v>0.74791666666666667</v>
      </c>
      <c r="C248" s="294">
        <v>0.91736111111111107</v>
      </c>
      <c r="D248" s="294">
        <v>0.74791666666666667</v>
      </c>
      <c r="E248" s="294">
        <v>0.91736111111111107</v>
      </c>
      <c r="F248" s="295">
        <v>0.75069444444444444</v>
      </c>
      <c r="G248" s="295">
        <v>0.91666666666666663</v>
      </c>
      <c r="H248" s="317"/>
      <c r="I248" s="317"/>
      <c r="J248" s="317"/>
      <c r="K248" s="317"/>
      <c r="L248" s="318">
        <v>1</v>
      </c>
      <c r="M248" s="318"/>
      <c r="N248" s="318"/>
      <c r="O248" s="318"/>
      <c r="P248" s="318"/>
      <c r="Q248" s="318"/>
      <c r="R248" s="318"/>
      <c r="S248" s="318"/>
      <c r="T248" s="318"/>
      <c r="U248" s="318"/>
      <c r="V248" s="318"/>
      <c r="W248" s="318"/>
      <c r="X248" s="318"/>
      <c r="Y248" s="296">
        <v>0.33333333333333331</v>
      </c>
      <c r="Z248" s="296">
        <v>0.75</v>
      </c>
      <c r="AA248" s="293"/>
    </row>
    <row r="249" spans="1:27" s="277" customFormat="1" ht="22.5" customHeight="1">
      <c r="A249" s="293" t="s">
        <v>191</v>
      </c>
      <c r="B249" s="294">
        <v>0.44722222222222219</v>
      </c>
      <c r="C249" s="294">
        <v>0.69652777777777775</v>
      </c>
      <c r="D249" s="294">
        <v>0.44722222222222219</v>
      </c>
      <c r="E249" s="294">
        <v>0.69652777777777775</v>
      </c>
      <c r="F249" s="295">
        <v>0.45833333333333331</v>
      </c>
      <c r="G249" s="295">
        <v>0.69652777777777775</v>
      </c>
      <c r="H249" s="317"/>
      <c r="I249" s="317"/>
      <c r="J249" s="317"/>
      <c r="K249" s="317"/>
      <c r="L249" s="318"/>
      <c r="M249" s="318"/>
      <c r="N249" s="318"/>
      <c r="O249" s="318"/>
      <c r="P249" s="318"/>
      <c r="Q249" s="318"/>
      <c r="R249" s="318"/>
      <c r="S249" s="318"/>
      <c r="T249" s="318"/>
      <c r="U249" s="318"/>
      <c r="V249" s="318"/>
      <c r="W249" s="318"/>
      <c r="X249" s="318"/>
      <c r="Y249" s="296">
        <v>0.33333333333333331</v>
      </c>
      <c r="Z249" s="296">
        <v>0.75</v>
      </c>
      <c r="AA249" s="293"/>
    </row>
    <row r="250" spans="1:27" s="277" customFormat="1" ht="22.5" customHeight="1">
      <c r="A250" s="297" t="s">
        <v>191</v>
      </c>
      <c r="B250" s="298">
        <v>0.78611111111111109</v>
      </c>
      <c r="C250" s="298">
        <v>0.91736111111111107</v>
      </c>
      <c r="D250" s="298">
        <v>0.78611111111111109</v>
      </c>
      <c r="E250" s="298">
        <v>0.91736111111111107</v>
      </c>
      <c r="F250" s="299">
        <v>0.82152777777777775</v>
      </c>
      <c r="G250" s="299">
        <v>0.91666666666666663</v>
      </c>
      <c r="H250" s="319"/>
      <c r="I250" s="319"/>
      <c r="J250" s="319"/>
      <c r="K250" s="319"/>
      <c r="L250" s="320">
        <v>1</v>
      </c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0">
        <v>0.33333333333333331</v>
      </c>
      <c r="Z250" s="300">
        <v>0.75</v>
      </c>
      <c r="AA250" s="297"/>
    </row>
    <row r="251" spans="1:27" s="277" customFormat="1" ht="22.5" customHeight="1">
      <c r="A251" s="297" t="s">
        <v>192</v>
      </c>
      <c r="B251" s="298">
        <v>0.45624999999999999</v>
      </c>
      <c r="C251" s="298">
        <v>0.62986111111111109</v>
      </c>
      <c r="D251" s="298">
        <v>0.45624999999999999</v>
      </c>
      <c r="E251" s="298">
        <v>0.62986111111111109</v>
      </c>
      <c r="F251" s="299">
        <v>0.45833333333333331</v>
      </c>
      <c r="G251" s="299">
        <v>0.62986111111111109</v>
      </c>
      <c r="H251" s="319"/>
      <c r="I251" s="319"/>
      <c r="J251" s="319"/>
      <c r="K251" s="319"/>
      <c r="L251" s="320"/>
      <c r="M251" s="320"/>
      <c r="N251" s="320"/>
      <c r="O251" s="320"/>
      <c r="P251" s="320"/>
      <c r="Q251" s="320"/>
      <c r="R251" s="320"/>
      <c r="S251" s="320"/>
      <c r="T251" s="320"/>
      <c r="U251" s="320"/>
      <c r="V251" s="320"/>
      <c r="W251" s="320"/>
      <c r="X251" s="320"/>
      <c r="Y251" s="300">
        <v>0.33333333333333331</v>
      </c>
      <c r="Z251" s="300">
        <v>0.75</v>
      </c>
      <c r="AA251" s="297"/>
    </row>
    <row r="252" spans="1:27" s="277" customFormat="1" ht="22.5" customHeight="1">
      <c r="A252" s="293" t="s">
        <v>192</v>
      </c>
      <c r="B252" s="294">
        <v>0.75069444444444444</v>
      </c>
      <c r="C252" s="294">
        <v>0.91666666666666663</v>
      </c>
      <c r="D252" s="294">
        <v>0.75069444444444444</v>
      </c>
      <c r="E252" s="294">
        <v>0.91666666666666663</v>
      </c>
      <c r="F252" s="295">
        <v>0.75486111111111109</v>
      </c>
      <c r="G252" s="295">
        <v>0.91666666666666663</v>
      </c>
      <c r="H252" s="317"/>
      <c r="I252" s="317"/>
      <c r="J252" s="317"/>
      <c r="K252" s="317"/>
      <c r="L252" s="318">
        <v>1</v>
      </c>
      <c r="M252" s="318"/>
      <c r="N252" s="318"/>
      <c r="O252" s="318"/>
      <c r="P252" s="318"/>
      <c r="Q252" s="318"/>
      <c r="R252" s="318"/>
      <c r="S252" s="318"/>
      <c r="T252" s="318"/>
      <c r="U252" s="318"/>
      <c r="V252" s="318"/>
      <c r="W252" s="318"/>
      <c r="X252" s="318"/>
      <c r="Y252" s="296">
        <v>0.33333333333333331</v>
      </c>
      <c r="Z252" s="296">
        <v>0.75</v>
      </c>
      <c r="AA252" s="293"/>
    </row>
    <row r="253" spans="1:27" s="277" customFormat="1" ht="22.5" customHeight="1">
      <c r="A253" s="293" t="s">
        <v>193</v>
      </c>
      <c r="B253" s="294">
        <v>0.44930555555555557</v>
      </c>
      <c r="C253" s="294">
        <v>0.62569444444444444</v>
      </c>
      <c r="D253" s="294">
        <v>0.44930555555555557</v>
      </c>
      <c r="E253" s="294">
        <v>0.62569444444444444</v>
      </c>
      <c r="F253" s="295">
        <v>0.45833333333333331</v>
      </c>
      <c r="G253" s="295">
        <v>0.62569444444444444</v>
      </c>
      <c r="H253" s="317"/>
      <c r="I253" s="317"/>
      <c r="J253" s="317"/>
      <c r="K253" s="317"/>
      <c r="L253" s="318"/>
      <c r="M253" s="318"/>
      <c r="N253" s="318"/>
      <c r="O253" s="318"/>
      <c r="P253" s="318"/>
      <c r="Q253" s="318"/>
      <c r="R253" s="318"/>
      <c r="S253" s="318"/>
      <c r="T253" s="318"/>
      <c r="U253" s="318"/>
      <c r="V253" s="318"/>
      <c r="W253" s="318"/>
      <c r="X253" s="318"/>
      <c r="Y253" s="296">
        <v>0.33333333333333331</v>
      </c>
      <c r="Z253" s="296">
        <v>0.75</v>
      </c>
      <c r="AA253" s="293"/>
    </row>
    <row r="254" spans="1:27" s="277" customFormat="1" ht="22.5" customHeight="1">
      <c r="A254" s="297" t="s">
        <v>193</v>
      </c>
      <c r="B254" s="298">
        <v>0.75486111111111109</v>
      </c>
      <c r="C254" s="298">
        <v>0.91736111111111107</v>
      </c>
      <c r="D254" s="298">
        <v>0.75486111111111109</v>
      </c>
      <c r="E254" s="298">
        <v>0.91736111111111107</v>
      </c>
      <c r="F254" s="299">
        <v>0.75069444444444444</v>
      </c>
      <c r="G254" s="299">
        <v>0.91666666666666663</v>
      </c>
      <c r="H254" s="319"/>
      <c r="I254" s="319"/>
      <c r="J254" s="319"/>
      <c r="K254" s="319"/>
      <c r="L254" s="320">
        <v>1</v>
      </c>
      <c r="M254" s="320">
        <f>6/60</f>
        <v>0.1</v>
      </c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20"/>
      <c r="Y254" s="300">
        <v>0.33333333333333331</v>
      </c>
      <c r="Z254" s="300">
        <v>0.75</v>
      </c>
      <c r="AA254" s="297"/>
    </row>
    <row r="255" spans="1:27" s="277" customFormat="1" ht="22.5" customHeight="1">
      <c r="A255" s="297" t="s">
        <v>194</v>
      </c>
      <c r="B255" s="298">
        <v>0.45277777777777778</v>
      </c>
      <c r="C255" s="298">
        <v>0.62638888888888888</v>
      </c>
      <c r="D255" s="298">
        <v>0.45277777777777778</v>
      </c>
      <c r="E255" s="298">
        <v>0.62638888888888888</v>
      </c>
      <c r="F255" s="299">
        <v>0.45833333333333331</v>
      </c>
      <c r="G255" s="299">
        <v>0.62638888888888888</v>
      </c>
      <c r="H255" s="319"/>
      <c r="I255" s="319"/>
      <c r="J255" s="319"/>
      <c r="K255" s="319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20"/>
      <c r="Y255" s="300">
        <v>0.33333333333333331</v>
      </c>
      <c r="Z255" s="300">
        <v>0.75</v>
      </c>
      <c r="AA255" s="297"/>
    </row>
    <row r="256" spans="1:27" s="277" customFormat="1" ht="22.5" customHeight="1">
      <c r="A256" s="293" t="s">
        <v>194</v>
      </c>
      <c r="B256" s="294">
        <v>0.74861111111111101</v>
      </c>
      <c r="C256" s="294">
        <v>0.91736111111111107</v>
      </c>
      <c r="D256" s="294">
        <v>0.74861111111111101</v>
      </c>
      <c r="E256" s="294">
        <v>0.91736111111111107</v>
      </c>
      <c r="F256" s="295">
        <v>0.75138888888888899</v>
      </c>
      <c r="G256" s="295">
        <v>0.91666666666666663</v>
      </c>
      <c r="H256" s="317"/>
      <c r="I256" s="317"/>
      <c r="J256" s="317"/>
      <c r="K256" s="317"/>
      <c r="L256" s="318">
        <v>1</v>
      </c>
      <c r="M256" s="318"/>
      <c r="N256" s="318"/>
      <c r="O256" s="318"/>
      <c r="P256" s="318"/>
      <c r="Q256" s="318"/>
      <c r="R256" s="318"/>
      <c r="S256" s="318"/>
      <c r="T256" s="318"/>
      <c r="U256" s="318"/>
      <c r="V256" s="318"/>
      <c r="W256" s="318"/>
      <c r="X256" s="318"/>
      <c r="Y256" s="296">
        <v>0.33333333333333331</v>
      </c>
      <c r="Z256" s="296">
        <v>0.75</v>
      </c>
      <c r="AA256" s="293"/>
    </row>
    <row r="257" spans="1:27" s="277" customFormat="1" ht="22.5" customHeight="1">
      <c r="A257" s="293" t="s">
        <v>195</v>
      </c>
      <c r="B257" s="294">
        <v>0.44305555555555554</v>
      </c>
      <c r="C257" s="294">
        <v>0.66736111111111107</v>
      </c>
      <c r="D257" s="294">
        <v>0.44305555555555554</v>
      </c>
      <c r="E257" s="294">
        <v>0.66736111111111107</v>
      </c>
      <c r="F257" s="295">
        <v>0.45833333333333331</v>
      </c>
      <c r="G257" s="295">
        <v>0.875</v>
      </c>
      <c r="H257" s="317"/>
      <c r="I257" s="317"/>
      <c r="J257" s="317"/>
      <c r="K257" s="317"/>
      <c r="L257" s="318"/>
      <c r="M257" s="318"/>
      <c r="N257" s="318"/>
      <c r="O257" s="318"/>
      <c r="P257" s="318"/>
      <c r="Q257" s="318"/>
      <c r="R257" s="318"/>
      <c r="S257" s="318"/>
      <c r="T257" s="318"/>
      <c r="U257" s="318"/>
      <c r="V257" s="318"/>
      <c r="W257" s="318"/>
      <c r="X257" s="318"/>
      <c r="Y257" s="296">
        <v>0.33333333333333331</v>
      </c>
      <c r="Z257" s="296">
        <v>0.75</v>
      </c>
      <c r="AA257" s="293"/>
    </row>
    <row r="258" spans="1:27" s="277" customFormat="1" ht="22.5" customHeight="1">
      <c r="A258" s="297" t="s">
        <v>195</v>
      </c>
      <c r="B258" s="298">
        <v>0.73749999999999993</v>
      </c>
      <c r="C258" s="298">
        <v>0.875</v>
      </c>
      <c r="D258" s="298">
        <v>0.73749999999999993</v>
      </c>
      <c r="E258" s="298">
        <v>0.875</v>
      </c>
      <c r="F258" s="360"/>
      <c r="G258" s="360"/>
      <c r="H258" s="319"/>
      <c r="I258" s="319"/>
      <c r="J258" s="319"/>
      <c r="K258" s="319"/>
      <c r="L258" s="320">
        <v>1</v>
      </c>
      <c r="M258" s="320"/>
      <c r="N258" s="320"/>
      <c r="O258" s="320"/>
      <c r="P258" s="320"/>
      <c r="Q258" s="320"/>
      <c r="R258" s="320"/>
      <c r="S258" s="320"/>
      <c r="T258" s="320"/>
      <c r="U258" s="320"/>
      <c r="V258" s="320"/>
      <c r="W258" s="320"/>
      <c r="X258" s="320"/>
      <c r="Y258" s="300">
        <v>0.33333333333333331</v>
      </c>
      <c r="Z258" s="300">
        <v>0.75</v>
      </c>
      <c r="AA258" s="297"/>
    </row>
    <row r="259" spans="1:27" s="277" customFormat="1" ht="22.5" customHeight="1">
      <c r="A259" s="307" t="s">
        <v>3</v>
      </c>
      <c r="B259" s="307"/>
      <c r="C259" s="307"/>
      <c r="D259" s="307"/>
      <c r="E259" s="307"/>
      <c r="F259" s="307"/>
      <c r="G259" s="307"/>
      <c r="H259" s="321">
        <f>SUM(H235:H258)</f>
        <v>1</v>
      </c>
      <c r="I259" s="321">
        <f t="shared" ref="I259:X259" si="11">SUM(I235:I258)</f>
        <v>0</v>
      </c>
      <c r="J259" s="321">
        <f t="shared" si="11"/>
        <v>0</v>
      </c>
      <c r="K259" s="321">
        <f t="shared" si="11"/>
        <v>0</v>
      </c>
      <c r="L259" s="321">
        <f t="shared" si="11"/>
        <v>11</v>
      </c>
      <c r="M259" s="321">
        <f t="shared" si="11"/>
        <v>0.1</v>
      </c>
      <c r="N259" s="321">
        <f t="shared" si="11"/>
        <v>0</v>
      </c>
      <c r="O259" s="321">
        <f t="shared" si="11"/>
        <v>0</v>
      </c>
      <c r="P259" s="321">
        <f t="shared" si="11"/>
        <v>0</v>
      </c>
      <c r="Q259" s="321">
        <f t="shared" si="11"/>
        <v>0</v>
      </c>
      <c r="R259" s="321">
        <f t="shared" si="11"/>
        <v>0</v>
      </c>
      <c r="S259" s="321">
        <f t="shared" si="11"/>
        <v>1.5</v>
      </c>
      <c r="T259" s="321">
        <f t="shared" si="11"/>
        <v>0</v>
      </c>
      <c r="U259" s="321">
        <f t="shared" si="11"/>
        <v>0</v>
      </c>
      <c r="V259" s="321">
        <f t="shared" si="11"/>
        <v>0</v>
      </c>
      <c r="W259" s="321">
        <f t="shared" si="11"/>
        <v>0</v>
      </c>
      <c r="X259" s="321">
        <f t="shared" si="11"/>
        <v>0</v>
      </c>
      <c r="Y259" s="285"/>
      <c r="Z259" s="285"/>
      <c r="AA259" s="307"/>
    </row>
    <row r="260" spans="1:27" s="277" customFormat="1" ht="22.5" customHeight="1" thickBot="1">
      <c r="H260" s="322"/>
      <c r="I260" s="322"/>
      <c r="J260" s="322"/>
      <c r="K260" s="322"/>
      <c r="L260" s="323"/>
      <c r="M260" s="323"/>
      <c r="N260" s="323"/>
      <c r="O260" s="323"/>
      <c r="P260" s="323"/>
      <c r="Q260" s="323"/>
      <c r="R260" s="323"/>
      <c r="S260" s="323"/>
      <c r="T260" s="323"/>
      <c r="U260" s="323"/>
      <c r="V260" s="323"/>
      <c r="W260" s="323"/>
      <c r="X260" s="323"/>
      <c r="Y260" s="308"/>
      <c r="Z260" s="308"/>
    </row>
    <row r="261" spans="1:27" s="277" customFormat="1" ht="22.5" customHeight="1" thickBot="1">
      <c r="A261" s="290" t="s">
        <v>177</v>
      </c>
      <c r="B261" s="291" t="s">
        <v>251</v>
      </c>
      <c r="C261" s="291"/>
      <c r="D261" s="291"/>
      <c r="E261" s="291"/>
      <c r="F261" s="291"/>
      <c r="G261" s="291"/>
      <c r="H261" s="344" t="s">
        <v>91</v>
      </c>
      <c r="I261" s="345"/>
      <c r="J261" s="345"/>
      <c r="K261" s="346"/>
      <c r="L261" s="347" t="s">
        <v>90</v>
      </c>
      <c r="M261" s="349" t="s">
        <v>165</v>
      </c>
      <c r="N261" s="349" t="s">
        <v>166</v>
      </c>
      <c r="O261" s="351" t="s">
        <v>167</v>
      </c>
      <c r="P261" s="352"/>
      <c r="Q261" s="353"/>
      <c r="R261" s="349" t="s">
        <v>168</v>
      </c>
      <c r="S261" s="351" t="s">
        <v>19</v>
      </c>
      <c r="T261" s="352"/>
      <c r="U261" s="353"/>
      <c r="V261" s="349" t="s">
        <v>126</v>
      </c>
      <c r="W261" s="349" t="s">
        <v>127</v>
      </c>
      <c r="X261" s="354" t="s">
        <v>105</v>
      </c>
      <c r="Y261" s="285" t="s">
        <v>169</v>
      </c>
      <c r="Z261" s="285"/>
      <c r="AA261" s="307" t="s">
        <v>170</v>
      </c>
    </row>
    <row r="262" spans="1:27" s="277" customFormat="1" ht="22.5" customHeight="1" thickBot="1">
      <c r="A262" s="290" t="s">
        <v>179</v>
      </c>
      <c r="B262" s="291" t="s">
        <v>252</v>
      </c>
      <c r="C262" s="291"/>
      <c r="D262" s="291"/>
      <c r="E262" s="291"/>
      <c r="F262" s="291"/>
      <c r="G262" s="291"/>
      <c r="H262" s="286" t="s">
        <v>173</v>
      </c>
      <c r="I262" s="286" t="s">
        <v>93</v>
      </c>
      <c r="J262" s="286" t="s">
        <v>94</v>
      </c>
      <c r="K262" s="287" t="s">
        <v>174</v>
      </c>
      <c r="L262" s="348"/>
      <c r="M262" s="350"/>
      <c r="N262" s="350"/>
      <c r="O262" s="288" t="s">
        <v>175</v>
      </c>
      <c r="P262" s="288" t="s">
        <v>176</v>
      </c>
      <c r="Q262" s="313" t="s">
        <v>127</v>
      </c>
      <c r="R262" s="350"/>
      <c r="S262" s="288" t="s">
        <v>175</v>
      </c>
      <c r="T262" s="288" t="s">
        <v>176</v>
      </c>
      <c r="U262" s="313" t="s">
        <v>127</v>
      </c>
      <c r="V262" s="350"/>
      <c r="W262" s="350"/>
      <c r="X262" s="355"/>
      <c r="Y262" s="285" t="s">
        <v>171</v>
      </c>
      <c r="Z262" s="285" t="s">
        <v>172</v>
      </c>
      <c r="AA262" s="307"/>
    </row>
    <row r="263" spans="1:27" s="277" customFormat="1" ht="22.5" customHeight="1">
      <c r="A263" s="293" t="s">
        <v>181</v>
      </c>
      <c r="B263" s="294">
        <v>0.34027777777777773</v>
      </c>
      <c r="C263" s="294">
        <v>0.66805555555555562</v>
      </c>
      <c r="D263" s="294">
        <v>0.34027777777777773</v>
      </c>
      <c r="E263" s="294">
        <v>0.66805555555555562</v>
      </c>
      <c r="F263" s="295">
        <v>0.25</v>
      </c>
      <c r="G263" s="295">
        <v>0.625</v>
      </c>
      <c r="H263" s="317"/>
      <c r="I263" s="317"/>
      <c r="J263" s="317"/>
      <c r="K263" s="317"/>
      <c r="L263" s="318">
        <v>1</v>
      </c>
      <c r="M263" s="318"/>
      <c r="N263" s="318"/>
      <c r="O263" s="318"/>
      <c r="P263" s="318"/>
      <c r="Q263" s="318"/>
      <c r="R263" s="318"/>
      <c r="S263" s="318"/>
      <c r="T263" s="318"/>
      <c r="U263" s="318"/>
      <c r="V263" s="318"/>
      <c r="W263" s="318"/>
      <c r="X263" s="318"/>
      <c r="Y263" s="296">
        <v>0.33333333333333331</v>
      </c>
      <c r="Z263" s="296">
        <v>0.70833333333333337</v>
      </c>
      <c r="AA263" s="293" t="s">
        <v>253</v>
      </c>
    </row>
    <row r="264" spans="1:27" s="277" customFormat="1" ht="22.5" customHeight="1">
      <c r="A264" s="297" t="s">
        <v>182</v>
      </c>
      <c r="B264" s="298">
        <v>0.70347222222222217</v>
      </c>
      <c r="C264" s="298">
        <v>0.97986111111111107</v>
      </c>
      <c r="D264" s="298">
        <v>0.70347222222222217</v>
      </c>
      <c r="E264" s="298">
        <v>0.97986111111111107</v>
      </c>
      <c r="F264" s="299">
        <v>0.60416666666666663</v>
      </c>
      <c r="G264" s="299">
        <v>0.97916666666666663</v>
      </c>
      <c r="H264" s="319"/>
      <c r="I264" s="319"/>
      <c r="J264" s="319"/>
      <c r="K264" s="319"/>
      <c r="L264" s="320">
        <v>1</v>
      </c>
      <c r="M264" s="320">
        <f>(60+60+23)/60</f>
        <v>2.3833333333333333</v>
      </c>
      <c r="N264" s="320"/>
      <c r="O264" s="320"/>
      <c r="P264" s="320"/>
      <c r="Q264" s="320"/>
      <c r="R264" s="320"/>
      <c r="S264" s="320">
        <v>1.5</v>
      </c>
      <c r="T264" s="320"/>
      <c r="U264" s="320"/>
      <c r="V264" s="320"/>
      <c r="W264" s="320"/>
      <c r="X264" s="320"/>
      <c r="Y264" s="300">
        <v>0.33333333333333331</v>
      </c>
      <c r="Z264" s="300">
        <v>0.70833333333333337</v>
      </c>
      <c r="AA264" s="297" t="s">
        <v>254</v>
      </c>
    </row>
    <row r="265" spans="1:27" s="277" customFormat="1" ht="22.5" customHeight="1">
      <c r="A265" s="293" t="s">
        <v>183</v>
      </c>
      <c r="B265" s="294">
        <v>0.24861111111111112</v>
      </c>
      <c r="C265" s="294">
        <v>0.62708333333333333</v>
      </c>
      <c r="D265" s="294">
        <v>0.24861111111111112</v>
      </c>
      <c r="E265" s="294">
        <v>0.62708333333333333</v>
      </c>
      <c r="F265" s="295">
        <v>0.25</v>
      </c>
      <c r="G265" s="295">
        <v>0.62708333333333333</v>
      </c>
      <c r="H265" s="317"/>
      <c r="I265" s="317"/>
      <c r="J265" s="317"/>
      <c r="K265" s="317"/>
      <c r="L265" s="318">
        <v>1</v>
      </c>
      <c r="M265" s="318"/>
      <c r="N265" s="318"/>
      <c r="O265" s="318"/>
      <c r="P265" s="318"/>
      <c r="Q265" s="318"/>
      <c r="R265" s="318"/>
      <c r="S265" s="318"/>
      <c r="T265" s="318"/>
      <c r="U265" s="318"/>
      <c r="V265" s="318"/>
      <c r="W265" s="318"/>
      <c r="X265" s="318"/>
      <c r="Y265" s="296">
        <v>0.33333333333333331</v>
      </c>
      <c r="Z265" s="296">
        <v>0.70833333333333337</v>
      </c>
      <c r="AA265" s="293"/>
    </row>
    <row r="266" spans="1:27" s="277" customFormat="1" ht="22.5" customHeight="1">
      <c r="A266" s="297" t="s">
        <v>184</v>
      </c>
      <c r="B266" s="298">
        <v>0.55902777777777779</v>
      </c>
      <c r="C266" s="298">
        <v>0.97986111111111107</v>
      </c>
      <c r="D266" s="298">
        <v>0.55902777777777779</v>
      </c>
      <c r="E266" s="298">
        <v>0.97986111111111107</v>
      </c>
      <c r="F266" s="299">
        <v>0.60416666666666663</v>
      </c>
      <c r="G266" s="299">
        <v>0.97916666666666663</v>
      </c>
      <c r="H266" s="319"/>
      <c r="I266" s="319" t="s">
        <v>255</v>
      </c>
      <c r="J266" s="319"/>
      <c r="K266" s="319"/>
      <c r="L266" s="320">
        <v>1</v>
      </c>
      <c r="M266" s="320"/>
      <c r="N266" s="320"/>
      <c r="O266" s="320"/>
      <c r="P266" s="320"/>
      <c r="Q266" s="320"/>
      <c r="R266" s="320"/>
      <c r="S266" s="320">
        <v>1.5</v>
      </c>
      <c r="T266" s="320"/>
      <c r="U266" s="320"/>
      <c r="V266" s="320"/>
      <c r="W266" s="320"/>
      <c r="X266" s="320"/>
      <c r="Y266" s="300">
        <v>0.33333333333333331</v>
      </c>
      <c r="Z266" s="300">
        <v>0.70833333333333337</v>
      </c>
      <c r="AA266" s="297" t="s">
        <v>256</v>
      </c>
    </row>
    <row r="267" spans="1:27" s="277" customFormat="1" ht="22.5" customHeight="1">
      <c r="A267" s="293" t="s">
        <v>186</v>
      </c>
      <c r="B267" s="294">
        <v>0.59444444444444444</v>
      </c>
      <c r="C267" s="294">
        <v>0.98055555555555562</v>
      </c>
      <c r="D267" s="294">
        <v>0.59444444444444444</v>
      </c>
      <c r="E267" s="294">
        <v>0.98055555555555562</v>
      </c>
      <c r="F267" s="295">
        <v>0.60416666666666663</v>
      </c>
      <c r="G267" s="295">
        <v>0.97916666666666663</v>
      </c>
      <c r="H267" s="317"/>
      <c r="I267" s="317"/>
      <c r="J267" s="317"/>
      <c r="K267" s="317"/>
      <c r="L267" s="318">
        <v>1</v>
      </c>
      <c r="M267" s="318"/>
      <c r="N267" s="318"/>
      <c r="O267" s="318"/>
      <c r="P267" s="318"/>
      <c r="Q267" s="318"/>
      <c r="R267" s="318"/>
      <c r="S267" s="318">
        <v>1.5</v>
      </c>
      <c r="T267" s="318"/>
      <c r="U267" s="318"/>
      <c r="V267" s="318"/>
      <c r="W267" s="318"/>
      <c r="X267" s="318"/>
      <c r="Y267" s="296">
        <v>0.33333333333333331</v>
      </c>
      <c r="Z267" s="296">
        <v>0.70833333333333337</v>
      </c>
      <c r="AA267" s="293"/>
    </row>
    <row r="268" spans="1:27" s="277" customFormat="1" ht="22.5" customHeight="1">
      <c r="A268" s="297" t="s">
        <v>187</v>
      </c>
      <c r="B268" s="298">
        <v>0.41250000000000003</v>
      </c>
      <c r="C268" s="298">
        <v>0.87569444444444444</v>
      </c>
      <c r="D268" s="298">
        <v>0.41250000000000003</v>
      </c>
      <c r="E268" s="298">
        <v>0.87569444444444444</v>
      </c>
      <c r="F268" s="299">
        <v>0.41666666666666669</v>
      </c>
      <c r="G268" s="299">
        <v>0.875</v>
      </c>
      <c r="H268" s="319"/>
      <c r="I268" s="319"/>
      <c r="J268" s="319"/>
      <c r="K268" s="319"/>
      <c r="L268" s="320">
        <v>1</v>
      </c>
      <c r="M268" s="320"/>
      <c r="N268" s="320"/>
      <c r="O268" s="320"/>
      <c r="P268" s="320"/>
      <c r="Q268" s="320"/>
      <c r="R268" s="320"/>
      <c r="S268" s="320"/>
      <c r="T268" s="320"/>
      <c r="U268" s="320"/>
      <c r="V268" s="320"/>
      <c r="W268" s="320"/>
      <c r="X268" s="320"/>
      <c r="Y268" s="300">
        <v>0.33333333333333331</v>
      </c>
      <c r="Z268" s="300">
        <v>0.70833333333333337</v>
      </c>
      <c r="AA268" s="297" t="s">
        <v>257</v>
      </c>
    </row>
    <row r="269" spans="1:27" s="277" customFormat="1" ht="22.5" customHeight="1">
      <c r="A269" s="293" t="s">
        <v>189</v>
      </c>
      <c r="B269" s="301"/>
      <c r="C269" s="301"/>
      <c r="D269" s="302"/>
      <c r="E269" s="302"/>
      <c r="F269" s="356" t="s">
        <v>188</v>
      </c>
      <c r="G269" s="356"/>
      <c r="H269" s="317"/>
      <c r="I269" s="317"/>
      <c r="J269" s="317"/>
      <c r="K269" s="317"/>
      <c r="L269" s="318"/>
      <c r="M269" s="318"/>
      <c r="N269" s="318"/>
      <c r="O269" s="318"/>
      <c r="P269" s="318"/>
      <c r="Q269" s="318"/>
      <c r="R269" s="318"/>
      <c r="S269" s="318"/>
      <c r="T269" s="318"/>
      <c r="U269" s="318"/>
      <c r="V269" s="318"/>
      <c r="W269" s="318"/>
      <c r="X269" s="318"/>
      <c r="Y269" s="303"/>
      <c r="Z269" s="303"/>
      <c r="AA269" s="293"/>
    </row>
    <row r="270" spans="1:27" s="277" customFormat="1" ht="22.5" customHeight="1">
      <c r="A270" s="297" t="s">
        <v>190</v>
      </c>
      <c r="B270" s="298">
        <v>0.24444444444444446</v>
      </c>
      <c r="C270" s="298">
        <v>0.67083333333333339</v>
      </c>
      <c r="D270" s="298">
        <v>0.24444444444444446</v>
      </c>
      <c r="E270" s="298">
        <v>0.67083333333333339</v>
      </c>
      <c r="F270" s="299">
        <v>0.25</v>
      </c>
      <c r="G270" s="299">
        <v>0.625</v>
      </c>
      <c r="H270" s="319"/>
      <c r="I270" s="319"/>
      <c r="J270" s="319"/>
      <c r="K270" s="319"/>
      <c r="L270" s="320">
        <v>1</v>
      </c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20"/>
      <c r="Y270" s="300">
        <v>0.33333333333333331</v>
      </c>
      <c r="Z270" s="300">
        <v>0.70833333333333337</v>
      </c>
      <c r="AA270" s="297" t="s">
        <v>256</v>
      </c>
    </row>
    <row r="271" spans="1:27" s="277" customFormat="1" ht="22.5" customHeight="1">
      <c r="A271" s="293" t="s">
        <v>191</v>
      </c>
      <c r="B271" s="294">
        <v>0.25208333333333333</v>
      </c>
      <c r="C271" s="294">
        <v>0.66805555555555562</v>
      </c>
      <c r="D271" s="294">
        <v>0.25208333333333333</v>
      </c>
      <c r="E271" s="294">
        <v>0.66805555555555562</v>
      </c>
      <c r="F271" s="295">
        <v>0.25</v>
      </c>
      <c r="G271" s="295">
        <v>0.625</v>
      </c>
      <c r="H271" s="317"/>
      <c r="I271" s="317"/>
      <c r="J271" s="317"/>
      <c r="K271" s="317"/>
      <c r="L271" s="318">
        <v>1</v>
      </c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18"/>
      <c r="Y271" s="296">
        <v>0.33333333333333331</v>
      </c>
      <c r="Z271" s="296">
        <v>0.70833333333333337</v>
      </c>
      <c r="AA271" s="293" t="s">
        <v>256</v>
      </c>
    </row>
    <row r="272" spans="1:27" s="277" customFormat="1" ht="22.5" customHeight="1">
      <c r="A272" s="297" t="s">
        <v>192</v>
      </c>
      <c r="B272" s="298">
        <v>0.24930555555555556</v>
      </c>
      <c r="C272" s="298">
        <v>0.66805555555555562</v>
      </c>
      <c r="D272" s="298">
        <v>0.24930555555555556</v>
      </c>
      <c r="E272" s="298">
        <v>0.66805555555555562</v>
      </c>
      <c r="F272" s="299">
        <v>0.25</v>
      </c>
      <c r="G272" s="299">
        <v>0.625</v>
      </c>
      <c r="H272" s="319"/>
      <c r="I272" s="319"/>
      <c r="J272" s="319"/>
      <c r="K272" s="319"/>
      <c r="L272" s="320">
        <v>1</v>
      </c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0">
        <v>0.33333333333333331</v>
      </c>
      <c r="Z272" s="300">
        <v>0.70833333333333337</v>
      </c>
      <c r="AA272" s="297" t="s">
        <v>256</v>
      </c>
    </row>
    <row r="273" spans="1:27" s="277" customFormat="1" ht="22.5" customHeight="1">
      <c r="A273" s="293" t="s">
        <v>193</v>
      </c>
      <c r="B273" s="294">
        <v>0.25347222222222221</v>
      </c>
      <c r="C273" s="294">
        <v>0.66736111111111107</v>
      </c>
      <c r="D273" s="294">
        <v>0.25347222222222221</v>
      </c>
      <c r="E273" s="294">
        <v>0.66736111111111107</v>
      </c>
      <c r="F273" s="295">
        <v>0.25</v>
      </c>
      <c r="G273" s="295">
        <v>0.625</v>
      </c>
      <c r="H273" s="317"/>
      <c r="I273" s="317"/>
      <c r="J273" s="317"/>
      <c r="K273" s="317"/>
      <c r="L273" s="318">
        <v>1</v>
      </c>
      <c r="M273" s="318"/>
      <c r="N273" s="318"/>
      <c r="O273" s="318"/>
      <c r="P273" s="318"/>
      <c r="Q273" s="318"/>
      <c r="R273" s="318"/>
      <c r="S273" s="318"/>
      <c r="T273" s="318"/>
      <c r="U273" s="318"/>
      <c r="V273" s="318"/>
      <c r="W273" s="318"/>
      <c r="X273" s="318"/>
      <c r="Y273" s="296">
        <v>0.33333333333333331</v>
      </c>
      <c r="Z273" s="296">
        <v>0.70833333333333337</v>
      </c>
      <c r="AA273" s="293"/>
    </row>
    <row r="274" spans="1:27" s="277" customFormat="1" ht="22.5" customHeight="1">
      <c r="A274" s="297" t="s">
        <v>194</v>
      </c>
      <c r="B274" s="298">
        <v>0.24791666666666667</v>
      </c>
      <c r="C274" s="298">
        <v>0.6381944444444444</v>
      </c>
      <c r="D274" s="298">
        <v>0.24791666666666667</v>
      </c>
      <c r="E274" s="298">
        <v>0.6381944444444444</v>
      </c>
      <c r="F274" s="299">
        <v>0.25</v>
      </c>
      <c r="G274" s="299">
        <v>0.625</v>
      </c>
      <c r="H274" s="319"/>
      <c r="I274" s="319"/>
      <c r="J274" s="319"/>
      <c r="K274" s="319"/>
      <c r="L274" s="320">
        <v>1</v>
      </c>
      <c r="M274" s="320"/>
      <c r="N274" s="320"/>
      <c r="O274" s="320"/>
      <c r="P274" s="320"/>
      <c r="Q274" s="320"/>
      <c r="R274" s="320"/>
      <c r="S274" s="320"/>
      <c r="T274" s="320"/>
      <c r="U274" s="320"/>
      <c r="V274" s="320"/>
      <c r="W274" s="320"/>
      <c r="X274" s="320"/>
      <c r="Y274" s="300">
        <v>0.33333333333333331</v>
      </c>
      <c r="Z274" s="300">
        <v>0.70833333333333337</v>
      </c>
      <c r="AA274" s="297"/>
    </row>
    <row r="275" spans="1:27" s="277" customFormat="1" ht="22.5" customHeight="1">
      <c r="A275" s="293" t="s">
        <v>195</v>
      </c>
      <c r="B275" s="301"/>
      <c r="C275" s="301"/>
      <c r="D275" s="302"/>
      <c r="E275" s="302"/>
      <c r="F275" s="356" t="s">
        <v>210</v>
      </c>
      <c r="G275" s="356"/>
      <c r="H275" s="317"/>
      <c r="I275" s="317"/>
      <c r="J275" s="317"/>
      <c r="K275" s="317"/>
      <c r="L275" s="318">
        <v>1</v>
      </c>
      <c r="M275" s="318"/>
      <c r="N275" s="318"/>
      <c r="O275" s="318"/>
      <c r="P275" s="318"/>
      <c r="Q275" s="318"/>
      <c r="R275" s="318"/>
      <c r="S275" s="318"/>
      <c r="T275" s="318"/>
      <c r="U275" s="318"/>
      <c r="V275" s="318"/>
      <c r="W275" s="318"/>
      <c r="X275" s="318"/>
      <c r="Y275" s="303"/>
      <c r="Z275" s="303"/>
      <c r="AA275" s="293"/>
    </row>
    <row r="276" spans="1:27" s="277" customFormat="1" ht="22.5" customHeight="1">
      <c r="A276" s="307" t="s">
        <v>3</v>
      </c>
      <c r="B276" s="307"/>
      <c r="C276" s="307"/>
      <c r="D276" s="307"/>
      <c r="E276" s="307"/>
      <c r="F276" s="307"/>
      <c r="G276" s="307"/>
      <c r="H276" s="321">
        <f>SUM(H262:H275)</f>
        <v>0</v>
      </c>
      <c r="I276" s="321">
        <f t="shared" ref="I276:X276" si="12">SUM(I262:I275)</f>
        <v>0</v>
      </c>
      <c r="J276" s="321">
        <f t="shared" si="12"/>
        <v>0</v>
      </c>
      <c r="K276" s="321">
        <f t="shared" si="12"/>
        <v>0</v>
      </c>
      <c r="L276" s="321">
        <f t="shared" si="12"/>
        <v>12</v>
      </c>
      <c r="M276" s="321">
        <f t="shared" si="12"/>
        <v>2.3833333333333333</v>
      </c>
      <c r="N276" s="321">
        <f t="shared" si="12"/>
        <v>0</v>
      </c>
      <c r="O276" s="321">
        <f t="shared" si="12"/>
        <v>0</v>
      </c>
      <c r="P276" s="321">
        <f t="shared" si="12"/>
        <v>0</v>
      </c>
      <c r="Q276" s="321">
        <f t="shared" si="12"/>
        <v>0</v>
      </c>
      <c r="R276" s="321">
        <f t="shared" si="12"/>
        <v>0</v>
      </c>
      <c r="S276" s="321">
        <f t="shared" si="12"/>
        <v>4.5</v>
      </c>
      <c r="T276" s="321">
        <f t="shared" si="12"/>
        <v>0</v>
      </c>
      <c r="U276" s="321">
        <f t="shared" si="12"/>
        <v>0</v>
      </c>
      <c r="V276" s="321">
        <f t="shared" si="12"/>
        <v>0</v>
      </c>
      <c r="W276" s="321">
        <f t="shared" si="12"/>
        <v>0</v>
      </c>
      <c r="X276" s="321">
        <f t="shared" si="12"/>
        <v>0</v>
      </c>
      <c r="Y276" s="285"/>
      <c r="Z276" s="285"/>
      <c r="AA276" s="307" t="s">
        <v>258</v>
      </c>
    </row>
    <row r="277" spans="1:27" s="277" customFormat="1" ht="22.5" customHeight="1" thickBot="1">
      <c r="H277" s="322"/>
      <c r="I277" s="322"/>
      <c r="J277" s="322"/>
      <c r="K277" s="322"/>
      <c r="L277" s="323"/>
      <c r="M277" s="323"/>
      <c r="N277" s="323"/>
      <c r="O277" s="323"/>
      <c r="P277" s="323"/>
      <c r="Q277" s="323"/>
      <c r="R277" s="323"/>
      <c r="S277" s="323"/>
      <c r="T277" s="323"/>
      <c r="U277" s="323"/>
      <c r="V277" s="323"/>
      <c r="W277" s="323"/>
      <c r="X277" s="323"/>
      <c r="Y277" s="308"/>
      <c r="Z277" s="308"/>
    </row>
    <row r="278" spans="1:27" s="277" customFormat="1" ht="22.5" customHeight="1" thickBot="1">
      <c r="A278" s="290" t="s">
        <v>177</v>
      </c>
      <c r="B278" s="291" t="s">
        <v>259</v>
      </c>
      <c r="C278" s="291"/>
      <c r="D278" s="291"/>
      <c r="E278" s="291"/>
      <c r="F278" s="291"/>
      <c r="G278" s="291"/>
      <c r="H278" s="344" t="s">
        <v>91</v>
      </c>
      <c r="I278" s="345"/>
      <c r="J278" s="345"/>
      <c r="K278" s="346"/>
      <c r="L278" s="347" t="s">
        <v>90</v>
      </c>
      <c r="M278" s="349" t="s">
        <v>165</v>
      </c>
      <c r="N278" s="349" t="s">
        <v>166</v>
      </c>
      <c r="O278" s="351" t="s">
        <v>167</v>
      </c>
      <c r="P278" s="352"/>
      <c r="Q278" s="353"/>
      <c r="R278" s="349" t="s">
        <v>168</v>
      </c>
      <c r="S278" s="351" t="s">
        <v>19</v>
      </c>
      <c r="T278" s="352"/>
      <c r="U278" s="353"/>
      <c r="V278" s="349" t="s">
        <v>126</v>
      </c>
      <c r="W278" s="349" t="s">
        <v>127</v>
      </c>
      <c r="X278" s="354" t="s">
        <v>105</v>
      </c>
      <c r="Y278" s="285" t="s">
        <v>169</v>
      </c>
      <c r="Z278" s="285"/>
      <c r="AA278" s="307" t="s">
        <v>170</v>
      </c>
    </row>
    <row r="279" spans="1:27" s="277" customFormat="1" ht="22.5" customHeight="1" thickBot="1">
      <c r="A279" s="290" t="s">
        <v>179</v>
      </c>
      <c r="B279" s="291" t="s">
        <v>260</v>
      </c>
      <c r="C279" s="291"/>
      <c r="D279" s="291"/>
      <c r="E279" s="291"/>
      <c r="F279" s="291"/>
      <c r="G279" s="291"/>
      <c r="H279" s="286" t="s">
        <v>173</v>
      </c>
      <c r="I279" s="286" t="s">
        <v>93</v>
      </c>
      <c r="J279" s="286" t="s">
        <v>94</v>
      </c>
      <c r="K279" s="287" t="s">
        <v>174</v>
      </c>
      <c r="L279" s="348"/>
      <c r="M279" s="350"/>
      <c r="N279" s="350"/>
      <c r="O279" s="288" t="s">
        <v>175</v>
      </c>
      <c r="P279" s="288" t="s">
        <v>176</v>
      </c>
      <c r="Q279" s="313" t="s">
        <v>127</v>
      </c>
      <c r="R279" s="350"/>
      <c r="S279" s="288" t="s">
        <v>175</v>
      </c>
      <c r="T279" s="288" t="s">
        <v>176</v>
      </c>
      <c r="U279" s="313" t="s">
        <v>127</v>
      </c>
      <c r="V279" s="350"/>
      <c r="W279" s="350"/>
      <c r="X279" s="355"/>
      <c r="Y279" s="285" t="s">
        <v>171</v>
      </c>
      <c r="Z279" s="285" t="s">
        <v>172</v>
      </c>
      <c r="AA279" s="307"/>
    </row>
    <row r="280" spans="1:27" s="277" customFormat="1" ht="22.5" customHeight="1">
      <c r="A280" s="293" t="s">
        <v>181</v>
      </c>
      <c r="B280" s="294">
        <v>0.4458333333333333</v>
      </c>
      <c r="C280" s="294">
        <v>0.62777777777777777</v>
      </c>
      <c r="D280" s="294">
        <v>0.4458333333333333</v>
      </c>
      <c r="E280" s="294">
        <v>0.62777777777777777</v>
      </c>
      <c r="F280" s="295">
        <v>0.45833333333333331</v>
      </c>
      <c r="G280" s="295">
        <v>0.62777777777777777</v>
      </c>
      <c r="H280" s="317"/>
      <c r="I280" s="317"/>
      <c r="J280" s="317"/>
      <c r="K280" s="317"/>
      <c r="L280" s="318"/>
      <c r="M280" s="318"/>
      <c r="N280" s="318"/>
      <c r="O280" s="318"/>
      <c r="P280" s="318"/>
      <c r="Q280" s="318"/>
      <c r="R280" s="318"/>
      <c r="S280" s="318"/>
      <c r="T280" s="318"/>
      <c r="U280" s="318"/>
      <c r="V280" s="318"/>
      <c r="W280" s="318"/>
      <c r="X280" s="318"/>
      <c r="Y280" s="296">
        <v>0</v>
      </c>
      <c r="Z280" s="296">
        <v>0</v>
      </c>
      <c r="AA280" s="293"/>
    </row>
    <row r="281" spans="1:27" s="277" customFormat="1" ht="22.5" customHeight="1">
      <c r="A281" s="297" t="s">
        <v>181</v>
      </c>
      <c r="B281" s="298">
        <v>0.7416666666666667</v>
      </c>
      <c r="C281" s="298">
        <v>0.9194444444444444</v>
      </c>
      <c r="D281" s="298">
        <v>0.7416666666666667</v>
      </c>
      <c r="E281" s="298">
        <v>0.9194444444444444</v>
      </c>
      <c r="F281" s="299">
        <v>0.75277777777777777</v>
      </c>
      <c r="G281" s="299">
        <v>0.91666666666666663</v>
      </c>
      <c r="H281" s="319"/>
      <c r="I281" s="319"/>
      <c r="J281" s="319"/>
      <c r="K281" s="319"/>
      <c r="L281" s="320">
        <v>1</v>
      </c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0">
        <v>0</v>
      </c>
      <c r="Z281" s="300">
        <v>0</v>
      </c>
      <c r="AA281" s="297"/>
    </row>
    <row r="282" spans="1:27" s="277" customFormat="1" ht="22.5" customHeight="1">
      <c r="A282" s="293" t="s">
        <v>182</v>
      </c>
      <c r="B282" s="294">
        <v>0.44305555555555554</v>
      </c>
      <c r="C282" s="294">
        <v>0.62638888888888888</v>
      </c>
      <c r="D282" s="294">
        <v>0.44305555555555554</v>
      </c>
      <c r="E282" s="294">
        <v>0.62638888888888888</v>
      </c>
      <c r="F282" s="295">
        <v>0.45833333333333331</v>
      </c>
      <c r="G282" s="295">
        <v>0.62708333333333333</v>
      </c>
      <c r="H282" s="317"/>
      <c r="I282" s="317"/>
      <c r="J282" s="317"/>
      <c r="K282" s="317"/>
      <c r="L282" s="318"/>
      <c r="M282" s="318"/>
      <c r="N282" s="318"/>
      <c r="O282" s="318"/>
      <c r="P282" s="318"/>
      <c r="Q282" s="318"/>
      <c r="R282" s="318"/>
      <c r="S282" s="318"/>
      <c r="T282" s="318"/>
      <c r="U282" s="318"/>
      <c r="V282" s="318"/>
      <c r="W282" s="318"/>
      <c r="X282" s="318"/>
      <c r="Y282" s="296">
        <v>0</v>
      </c>
      <c r="Z282" s="296">
        <v>0</v>
      </c>
      <c r="AA282" s="293"/>
    </row>
    <row r="283" spans="1:27" s="277" customFormat="1" ht="22.5" customHeight="1">
      <c r="A283" s="297" t="s">
        <v>182</v>
      </c>
      <c r="B283" s="298">
        <v>0.73402777777777783</v>
      </c>
      <c r="C283" s="298">
        <v>0.91666666666666663</v>
      </c>
      <c r="D283" s="298">
        <v>0.73402777777777783</v>
      </c>
      <c r="E283" s="298">
        <v>0.91666666666666663</v>
      </c>
      <c r="F283" s="299">
        <v>0.75138888888888899</v>
      </c>
      <c r="G283" s="299">
        <v>0.91666666666666663</v>
      </c>
      <c r="H283" s="319"/>
      <c r="I283" s="319"/>
      <c r="J283" s="319"/>
      <c r="K283" s="319"/>
      <c r="L283" s="320">
        <v>1</v>
      </c>
      <c r="M283" s="320"/>
      <c r="N283" s="320"/>
      <c r="O283" s="320"/>
      <c r="P283" s="320"/>
      <c r="Q283" s="320"/>
      <c r="R283" s="320"/>
      <c r="S283" s="320"/>
      <c r="T283" s="320"/>
      <c r="U283" s="320"/>
      <c r="V283" s="320"/>
      <c r="W283" s="320"/>
      <c r="X283" s="320"/>
      <c r="Y283" s="300">
        <v>0</v>
      </c>
      <c r="Z283" s="300">
        <v>0</v>
      </c>
      <c r="AA283" s="297"/>
    </row>
    <row r="284" spans="1:27" s="277" customFormat="1" ht="22.5" customHeight="1">
      <c r="A284" s="293" t="s">
        <v>183</v>
      </c>
      <c r="B284" s="294">
        <v>0.4291666666666667</v>
      </c>
      <c r="C284" s="294">
        <v>0.62638888888888888</v>
      </c>
      <c r="D284" s="294">
        <v>0.4291666666666667</v>
      </c>
      <c r="E284" s="294">
        <v>0.62638888888888888</v>
      </c>
      <c r="F284" s="295">
        <v>0.45833333333333331</v>
      </c>
      <c r="G284" s="295">
        <v>0.62638888888888888</v>
      </c>
      <c r="H284" s="317"/>
      <c r="I284" s="317"/>
      <c r="J284" s="317"/>
      <c r="K284" s="317"/>
      <c r="L284" s="318"/>
      <c r="M284" s="318"/>
      <c r="N284" s="318"/>
      <c r="O284" s="318"/>
      <c r="P284" s="318"/>
      <c r="Q284" s="318"/>
      <c r="R284" s="318"/>
      <c r="S284" s="318"/>
      <c r="T284" s="318"/>
      <c r="U284" s="318"/>
      <c r="V284" s="318"/>
      <c r="W284" s="318"/>
      <c r="X284" s="318"/>
      <c r="Y284" s="296">
        <v>0</v>
      </c>
      <c r="Z284" s="296">
        <v>0</v>
      </c>
      <c r="AA284" s="293"/>
    </row>
    <row r="285" spans="1:27" s="277" customFormat="1" ht="22.5" customHeight="1">
      <c r="A285" s="297" t="s">
        <v>183</v>
      </c>
      <c r="B285" s="298">
        <v>0.72777777777777775</v>
      </c>
      <c r="C285" s="298">
        <v>0.91875000000000007</v>
      </c>
      <c r="D285" s="298">
        <v>0.72777777777777775</v>
      </c>
      <c r="E285" s="298">
        <v>0.91875000000000007</v>
      </c>
      <c r="F285" s="299">
        <v>0.75138888888888899</v>
      </c>
      <c r="G285" s="299">
        <v>0.91666666666666663</v>
      </c>
      <c r="H285" s="319"/>
      <c r="I285" s="319"/>
      <c r="J285" s="319"/>
      <c r="K285" s="319"/>
      <c r="L285" s="320">
        <v>1</v>
      </c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0">
        <v>0</v>
      </c>
      <c r="Z285" s="300">
        <v>0</v>
      </c>
      <c r="AA285" s="297"/>
    </row>
    <row r="286" spans="1:27" s="277" customFormat="1" ht="22.5" customHeight="1">
      <c r="A286" s="297" t="s">
        <v>184</v>
      </c>
      <c r="B286" s="298">
        <v>0.44861111111111113</v>
      </c>
      <c r="C286" s="298">
        <v>0.63055555555555554</v>
      </c>
      <c r="D286" s="298">
        <v>0.44861111111111113</v>
      </c>
      <c r="E286" s="298">
        <v>0.63055555555555554</v>
      </c>
      <c r="F286" s="299">
        <v>0.45833333333333331</v>
      </c>
      <c r="G286" s="299">
        <v>0.63055555555555554</v>
      </c>
      <c r="H286" s="319"/>
      <c r="I286" s="319"/>
      <c r="J286" s="319"/>
      <c r="K286" s="319"/>
      <c r="L286" s="320"/>
      <c r="M286" s="320"/>
      <c r="N286" s="320"/>
      <c r="O286" s="320"/>
      <c r="P286" s="320"/>
      <c r="Q286" s="320"/>
      <c r="R286" s="320"/>
      <c r="S286" s="320"/>
      <c r="T286" s="320"/>
      <c r="U286" s="320"/>
      <c r="V286" s="320"/>
      <c r="W286" s="320"/>
      <c r="X286" s="320"/>
      <c r="Y286" s="300">
        <v>0</v>
      </c>
      <c r="Z286" s="300">
        <v>0</v>
      </c>
      <c r="AA286" s="297"/>
    </row>
    <row r="287" spans="1:27" s="277" customFormat="1" ht="22.5" customHeight="1">
      <c r="A287" s="293" t="s">
        <v>184</v>
      </c>
      <c r="B287" s="294">
        <v>0.74861111111111101</v>
      </c>
      <c r="C287" s="294">
        <v>0.91666666666666663</v>
      </c>
      <c r="D287" s="294">
        <v>0.74861111111111101</v>
      </c>
      <c r="E287" s="294">
        <v>0.91666666666666663</v>
      </c>
      <c r="F287" s="295">
        <v>0.75555555555555554</v>
      </c>
      <c r="G287" s="295">
        <v>0.91666666666666663</v>
      </c>
      <c r="H287" s="317"/>
      <c r="I287" s="317"/>
      <c r="J287" s="317"/>
      <c r="K287" s="317"/>
      <c r="L287" s="318">
        <v>1</v>
      </c>
      <c r="M287" s="318"/>
      <c r="N287" s="318"/>
      <c r="O287" s="318"/>
      <c r="P287" s="318"/>
      <c r="Q287" s="318"/>
      <c r="R287" s="318"/>
      <c r="S287" s="318"/>
      <c r="T287" s="318"/>
      <c r="U287" s="318"/>
      <c r="V287" s="318"/>
      <c r="W287" s="318"/>
      <c r="X287" s="318"/>
      <c r="Y287" s="296">
        <v>0</v>
      </c>
      <c r="Z287" s="296">
        <v>0</v>
      </c>
      <c r="AA287" s="293"/>
    </row>
    <row r="288" spans="1:27" s="277" customFormat="1" ht="22.5" customHeight="1">
      <c r="A288" s="293" t="s">
        <v>186</v>
      </c>
      <c r="B288" s="294">
        <v>0.45208333333333334</v>
      </c>
      <c r="C288" s="294">
        <v>0.63541666666666663</v>
      </c>
      <c r="D288" s="294">
        <v>0.45208333333333334</v>
      </c>
      <c r="E288" s="294">
        <v>0.63541666666666663</v>
      </c>
      <c r="F288" s="295">
        <v>0.45833333333333331</v>
      </c>
      <c r="G288" s="295">
        <v>0.63541666666666663</v>
      </c>
      <c r="H288" s="317"/>
      <c r="I288" s="317"/>
      <c r="J288" s="317"/>
      <c r="K288" s="317"/>
      <c r="L288" s="318"/>
      <c r="M288" s="318"/>
      <c r="N288" s="318"/>
      <c r="O288" s="318"/>
      <c r="P288" s="318"/>
      <c r="Q288" s="318"/>
      <c r="R288" s="318"/>
      <c r="S288" s="318"/>
      <c r="T288" s="318"/>
      <c r="U288" s="318"/>
      <c r="V288" s="318"/>
      <c r="W288" s="318"/>
      <c r="X288" s="318"/>
      <c r="Y288" s="296">
        <v>0</v>
      </c>
      <c r="Z288" s="296">
        <v>0</v>
      </c>
      <c r="AA288" s="293"/>
    </row>
    <row r="289" spans="1:27" s="277" customFormat="1" ht="22.5" customHeight="1">
      <c r="A289" s="297" t="s">
        <v>186</v>
      </c>
      <c r="B289" s="298">
        <v>0.74583333333333324</v>
      </c>
      <c r="C289" s="298">
        <v>0.9194444444444444</v>
      </c>
      <c r="D289" s="298">
        <v>0.74583333333333324</v>
      </c>
      <c r="E289" s="298">
        <v>0.9194444444444444</v>
      </c>
      <c r="F289" s="299">
        <v>0.75</v>
      </c>
      <c r="G289" s="299">
        <v>0.91666666666666663</v>
      </c>
      <c r="H289" s="319"/>
      <c r="I289" s="319"/>
      <c r="J289" s="319"/>
      <c r="K289" s="319"/>
      <c r="L289" s="320">
        <v>1</v>
      </c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320"/>
      <c r="Y289" s="300">
        <v>0</v>
      </c>
      <c r="Z289" s="300">
        <v>0</v>
      </c>
      <c r="AA289" s="297"/>
    </row>
    <row r="290" spans="1:27" s="277" customFormat="1" ht="22.5" customHeight="1">
      <c r="A290" s="293" t="s">
        <v>187</v>
      </c>
      <c r="B290" s="301"/>
      <c r="C290" s="301"/>
      <c r="D290" s="302"/>
      <c r="E290" s="302"/>
      <c r="F290" s="356" t="s">
        <v>188</v>
      </c>
      <c r="G290" s="356"/>
      <c r="H290" s="317"/>
      <c r="I290" s="317"/>
      <c r="J290" s="317"/>
      <c r="K290" s="317"/>
      <c r="L290" s="318"/>
      <c r="M290" s="318"/>
      <c r="N290" s="318"/>
      <c r="O290" s="318"/>
      <c r="P290" s="318"/>
      <c r="Q290" s="318"/>
      <c r="R290" s="318"/>
      <c r="S290" s="318"/>
      <c r="T290" s="318"/>
      <c r="U290" s="318"/>
      <c r="V290" s="318"/>
      <c r="W290" s="318"/>
      <c r="X290" s="318"/>
      <c r="Y290" s="303"/>
      <c r="Z290" s="303"/>
      <c r="AA290" s="293"/>
    </row>
    <row r="291" spans="1:27" s="277" customFormat="1" ht="22.5" customHeight="1">
      <c r="A291" s="297" t="s">
        <v>189</v>
      </c>
      <c r="B291" s="304"/>
      <c r="C291" s="304"/>
      <c r="D291" s="305"/>
      <c r="E291" s="305"/>
      <c r="F291" s="357" t="s">
        <v>188</v>
      </c>
      <c r="G291" s="357"/>
      <c r="H291" s="319"/>
      <c r="I291" s="319"/>
      <c r="J291" s="319"/>
      <c r="K291" s="319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6"/>
      <c r="Z291" s="306"/>
      <c r="AA291" s="297"/>
    </row>
    <row r="292" spans="1:27" s="277" customFormat="1" ht="22.5" customHeight="1">
      <c r="A292" s="297" t="s">
        <v>190</v>
      </c>
      <c r="B292" s="298">
        <v>0.45624999999999999</v>
      </c>
      <c r="C292" s="298">
        <v>0.64027777777777783</v>
      </c>
      <c r="D292" s="298">
        <v>0.45624999999999999</v>
      </c>
      <c r="E292" s="298">
        <v>0.64027777777777783</v>
      </c>
      <c r="F292" s="299">
        <v>0.47916666666666669</v>
      </c>
      <c r="G292" s="299">
        <v>0.64027777777777783</v>
      </c>
      <c r="H292" s="319"/>
      <c r="I292" s="319"/>
      <c r="J292" s="319"/>
      <c r="K292" s="319"/>
      <c r="L292" s="320"/>
      <c r="M292" s="320"/>
      <c r="N292" s="320"/>
      <c r="O292" s="320"/>
      <c r="P292" s="320"/>
      <c r="Q292" s="320"/>
      <c r="R292" s="320"/>
      <c r="S292" s="320"/>
      <c r="T292" s="320"/>
      <c r="U292" s="320"/>
      <c r="V292" s="320"/>
      <c r="W292" s="320"/>
      <c r="X292" s="320"/>
      <c r="Y292" s="300">
        <v>0</v>
      </c>
      <c r="Z292" s="300">
        <v>0</v>
      </c>
      <c r="AA292" s="297"/>
    </row>
    <row r="293" spans="1:27" s="277" customFormat="1" ht="22.5" customHeight="1">
      <c r="A293" s="293" t="s">
        <v>190</v>
      </c>
      <c r="B293" s="294">
        <v>0.70138888888888884</v>
      </c>
      <c r="C293" s="294">
        <v>0.97986111111111107</v>
      </c>
      <c r="D293" s="294">
        <v>0.70138888888888884</v>
      </c>
      <c r="E293" s="294">
        <v>0.97986111111111107</v>
      </c>
      <c r="F293" s="295">
        <v>0.80694444444444446</v>
      </c>
      <c r="G293" s="295">
        <v>0.97916666666666663</v>
      </c>
      <c r="H293" s="317"/>
      <c r="I293" s="317"/>
      <c r="J293" s="317"/>
      <c r="K293" s="317"/>
      <c r="L293" s="318">
        <v>1</v>
      </c>
      <c r="M293" s="318"/>
      <c r="N293" s="318"/>
      <c r="O293" s="318"/>
      <c r="P293" s="318"/>
      <c r="Q293" s="318"/>
      <c r="R293" s="318"/>
      <c r="S293" s="318">
        <v>1.5</v>
      </c>
      <c r="T293" s="318"/>
      <c r="U293" s="318"/>
      <c r="V293" s="318"/>
      <c r="W293" s="318"/>
      <c r="X293" s="318"/>
      <c r="Y293" s="296">
        <v>0</v>
      </c>
      <c r="Z293" s="296">
        <v>0</v>
      </c>
      <c r="AA293" s="293"/>
    </row>
    <row r="294" spans="1:27" s="277" customFormat="1" ht="22.5" customHeight="1">
      <c r="A294" s="293" t="s">
        <v>191</v>
      </c>
      <c r="B294" s="294">
        <v>0.4597222222222222</v>
      </c>
      <c r="C294" s="294">
        <v>0.62638888888888888</v>
      </c>
      <c r="D294" s="294">
        <v>0.4597222222222222</v>
      </c>
      <c r="E294" s="294">
        <v>0.62638888888888888</v>
      </c>
      <c r="F294" s="295">
        <v>0.47916666666666669</v>
      </c>
      <c r="G294" s="295">
        <v>0.62638888888888888</v>
      </c>
      <c r="H294" s="317"/>
      <c r="I294" s="317"/>
      <c r="J294" s="317"/>
      <c r="K294" s="317"/>
      <c r="L294" s="318"/>
      <c r="M294" s="318"/>
      <c r="N294" s="318"/>
      <c r="O294" s="318"/>
      <c r="P294" s="318"/>
      <c r="Q294" s="318"/>
      <c r="R294" s="318"/>
      <c r="S294" s="318"/>
      <c r="T294" s="318"/>
      <c r="U294" s="318"/>
      <c r="V294" s="318"/>
      <c r="W294" s="318"/>
      <c r="X294" s="318"/>
      <c r="Y294" s="296">
        <v>0</v>
      </c>
      <c r="Z294" s="296">
        <v>0</v>
      </c>
      <c r="AA294" s="293"/>
    </row>
    <row r="295" spans="1:27" s="277" customFormat="1" ht="22.5" customHeight="1">
      <c r="A295" s="297" t="s">
        <v>191</v>
      </c>
      <c r="B295" s="298">
        <v>0.73611111111111116</v>
      </c>
      <c r="C295" s="298">
        <v>0.97916666666666663</v>
      </c>
      <c r="D295" s="298">
        <v>0.73611111111111116</v>
      </c>
      <c r="E295" s="298">
        <v>0.97916666666666663</v>
      </c>
      <c r="F295" s="299">
        <v>0.79305555555555562</v>
      </c>
      <c r="G295" s="299">
        <v>0.97916666666666663</v>
      </c>
      <c r="H295" s="319"/>
      <c r="I295" s="319"/>
      <c r="J295" s="319"/>
      <c r="K295" s="319"/>
      <c r="L295" s="320">
        <v>1</v>
      </c>
      <c r="M295" s="320"/>
      <c r="N295" s="320"/>
      <c r="O295" s="320"/>
      <c r="P295" s="320"/>
      <c r="Q295" s="320"/>
      <c r="R295" s="320"/>
      <c r="S295" s="320">
        <v>1.5</v>
      </c>
      <c r="T295" s="320"/>
      <c r="U295" s="320"/>
      <c r="V295" s="320"/>
      <c r="W295" s="320"/>
      <c r="X295" s="320"/>
      <c r="Y295" s="300">
        <v>0</v>
      </c>
      <c r="Z295" s="300">
        <v>0</v>
      </c>
      <c r="AA295" s="297"/>
    </row>
    <row r="296" spans="1:27" s="277" customFormat="1" ht="22.5" customHeight="1">
      <c r="A296" s="297" t="s">
        <v>192</v>
      </c>
      <c r="B296" s="298">
        <v>0.4680555555555555</v>
      </c>
      <c r="C296" s="298">
        <v>0.62916666666666665</v>
      </c>
      <c r="D296" s="298">
        <v>0.4680555555555555</v>
      </c>
      <c r="E296" s="298">
        <v>0.62916666666666665</v>
      </c>
      <c r="F296" s="299">
        <v>0.47916666666666669</v>
      </c>
      <c r="G296" s="299">
        <v>0.62916666666666665</v>
      </c>
      <c r="H296" s="319"/>
      <c r="I296" s="319"/>
      <c r="J296" s="319"/>
      <c r="K296" s="319"/>
      <c r="L296" s="320"/>
      <c r="M296" s="320"/>
      <c r="N296" s="320"/>
      <c r="O296" s="320"/>
      <c r="P296" s="320"/>
      <c r="Q296" s="320"/>
      <c r="R296" s="320"/>
      <c r="S296" s="320"/>
      <c r="T296" s="320"/>
      <c r="U296" s="320"/>
      <c r="V296" s="320"/>
      <c r="W296" s="320"/>
      <c r="X296" s="320"/>
      <c r="Y296" s="300">
        <v>0</v>
      </c>
      <c r="Z296" s="300">
        <v>0</v>
      </c>
      <c r="AA296" s="297"/>
    </row>
    <row r="297" spans="1:27" s="277" customFormat="1" ht="22.5" customHeight="1">
      <c r="A297" s="293" t="s">
        <v>192</v>
      </c>
      <c r="B297" s="294">
        <v>0.73888888888888893</v>
      </c>
      <c r="C297" s="294">
        <v>0.98472222222222217</v>
      </c>
      <c r="D297" s="294">
        <v>0.73888888888888893</v>
      </c>
      <c r="E297" s="294">
        <v>0.98472222222222217</v>
      </c>
      <c r="F297" s="295">
        <v>0.79583333333333339</v>
      </c>
      <c r="G297" s="295">
        <v>0.97916666666666663</v>
      </c>
      <c r="H297" s="317"/>
      <c r="I297" s="317"/>
      <c r="J297" s="317"/>
      <c r="K297" s="317"/>
      <c r="L297" s="318">
        <v>1</v>
      </c>
      <c r="M297" s="318"/>
      <c r="N297" s="318"/>
      <c r="O297" s="318"/>
      <c r="P297" s="318"/>
      <c r="Q297" s="318"/>
      <c r="R297" s="318"/>
      <c r="S297" s="318">
        <v>1.5</v>
      </c>
      <c r="T297" s="318"/>
      <c r="U297" s="318"/>
      <c r="V297" s="318"/>
      <c r="W297" s="318"/>
      <c r="X297" s="318"/>
      <c r="Y297" s="296">
        <v>0</v>
      </c>
      <c r="Z297" s="296">
        <v>0</v>
      </c>
      <c r="AA297" s="293"/>
    </row>
    <row r="298" spans="1:27" s="277" customFormat="1" ht="22.5" customHeight="1">
      <c r="A298" s="293" t="s">
        <v>193</v>
      </c>
      <c r="B298" s="294">
        <v>0.4604166666666667</v>
      </c>
      <c r="C298" s="294">
        <v>0.62708333333333333</v>
      </c>
      <c r="D298" s="294">
        <v>0.4604166666666667</v>
      </c>
      <c r="E298" s="294">
        <v>0.62708333333333333</v>
      </c>
      <c r="F298" s="295">
        <v>0.47916666666666669</v>
      </c>
      <c r="G298" s="295">
        <v>0.62708333333333333</v>
      </c>
      <c r="H298" s="317"/>
      <c r="I298" s="317"/>
      <c r="J298" s="317"/>
      <c r="K298" s="317"/>
      <c r="L298" s="318"/>
      <c r="M298" s="318"/>
      <c r="N298" s="318"/>
      <c r="O298" s="318"/>
      <c r="P298" s="318"/>
      <c r="Q298" s="318"/>
      <c r="R298" s="318"/>
      <c r="S298" s="318"/>
      <c r="T298" s="318"/>
      <c r="U298" s="318"/>
      <c r="V298" s="318"/>
      <c r="W298" s="318"/>
      <c r="X298" s="318"/>
      <c r="Y298" s="296">
        <v>0</v>
      </c>
      <c r="Z298" s="296">
        <v>0</v>
      </c>
      <c r="AA298" s="293"/>
    </row>
    <row r="299" spans="1:27" s="277" customFormat="1" ht="22.5" customHeight="1">
      <c r="A299" s="297" t="s">
        <v>193</v>
      </c>
      <c r="B299" s="298">
        <v>0.74513888888888891</v>
      </c>
      <c r="C299" s="298">
        <v>0.97986111111111107</v>
      </c>
      <c r="D299" s="298">
        <v>0.74513888888888891</v>
      </c>
      <c r="E299" s="298">
        <v>0.97986111111111107</v>
      </c>
      <c r="F299" s="299">
        <v>0.79375000000000007</v>
      </c>
      <c r="G299" s="299">
        <v>0.97916666666666663</v>
      </c>
      <c r="H299" s="319"/>
      <c r="I299" s="319"/>
      <c r="J299" s="319"/>
      <c r="K299" s="319"/>
      <c r="L299" s="320">
        <v>1</v>
      </c>
      <c r="M299" s="320"/>
      <c r="N299" s="320"/>
      <c r="O299" s="320"/>
      <c r="P299" s="320"/>
      <c r="Q299" s="320"/>
      <c r="R299" s="320"/>
      <c r="S299" s="320">
        <v>1.5</v>
      </c>
      <c r="T299" s="320"/>
      <c r="U299" s="320"/>
      <c r="V299" s="320"/>
      <c r="W299" s="320"/>
      <c r="X299" s="320"/>
      <c r="Y299" s="300">
        <v>0</v>
      </c>
      <c r="Z299" s="300">
        <v>0</v>
      </c>
      <c r="AA299" s="297"/>
    </row>
    <row r="300" spans="1:27" s="277" customFormat="1" ht="22.5" customHeight="1">
      <c r="A300" s="297" t="s">
        <v>194</v>
      </c>
      <c r="B300" s="298">
        <v>0.47083333333333338</v>
      </c>
      <c r="C300" s="298">
        <v>0.62638888888888888</v>
      </c>
      <c r="D300" s="298">
        <v>0.47083333333333338</v>
      </c>
      <c r="E300" s="298">
        <v>0.62638888888888888</v>
      </c>
      <c r="F300" s="299">
        <v>0.47916666666666669</v>
      </c>
      <c r="G300" s="299">
        <v>0.62638888888888888</v>
      </c>
      <c r="H300" s="319"/>
      <c r="I300" s="319"/>
      <c r="J300" s="319"/>
      <c r="K300" s="319"/>
      <c r="L300" s="320"/>
      <c r="M300" s="320"/>
      <c r="N300" s="320"/>
      <c r="O300" s="320"/>
      <c r="P300" s="320"/>
      <c r="Q300" s="320"/>
      <c r="R300" s="320"/>
      <c r="S300" s="320"/>
      <c r="T300" s="320"/>
      <c r="U300" s="320"/>
      <c r="V300" s="320"/>
      <c r="W300" s="320"/>
      <c r="X300" s="320"/>
      <c r="Y300" s="300">
        <v>0</v>
      </c>
      <c r="Z300" s="300">
        <v>0</v>
      </c>
      <c r="AA300" s="297"/>
    </row>
    <row r="301" spans="1:27" s="277" customFormat="1" ht="22.5" customHeight="1">
      <c r="A301" s="293" t="s">
        <v>194</v>
      </c>
      <c r="B301" s="294">
        <v>0.72361111111111109</v>
      </c>
      <c r="C301" s="294">
        <v>0.97916666666666663</v>
      </c>
      <c r="D301" s="294">
        <v>0.72361111111111109</v>
      </c>
      <c r="E301" s="294">
        <v>0.97916666666666663</v>
      </c>
      <c r="F301" s="295">
        <v>0.79305555555555562</v>
      </c>
      <c r="G301" s="295">
        <v>0.97916666666666663</v>
      </c>
      <c r="H301" s="317"/>
      <c r="I301" s="317"/>
      <c r="J301" s="317"/>
      <c r="K301" s="317"/>
      <c r="L301" s="318">
        <v>1</v>
      </c>
      <c r="M301" s="318"/>
      <c r="N301" s="318"/>
      <c r="O301" s="318"/>
      <c r="P301" s="318"/>
      <c r="Q301" s="318"/>
      <c r="R301" s="318"/>
      <c r="S301" s="318">
        <v>1.5</v>
      </c>
      <c r="T301" s="318"/>
      <c r="U301" s="318"/>
      <c r="V301" s="318"/>
      <c r="W301" s="318"/>
      <c r="X301" s="318"/>
      <c r="Y301" s="296">
        <v>0</v>
      </c>
      <c r="Z301" s="296">
        <v>0</v>
      </c>
      <c r="AA301" s="293"/>
    </row>
    <row r="302" spans="1:27" s="277" customFormat="1" ht="22.5" customHeight="1">
      <c r="A302" s="293" t="s">
        <v>195</v>
      </c>
      <c r="B302" s="294">
        <v>0.40972222222222227</v>
      </c>
      <c r="C302" s="294">
        <v>0.59097222222222223</v>
      </c>
      <c r="D302" s="294">
        <v>0.40972222222222227</v>
      </c>
      <c r="E302" s="294">
        <v>0.59097222222222223</v>
      </c>
      <c r="F302" s="295">
        <v>0.41666666666666669</v>
      </c>
      <c r="G302" s="295">
        <v>0.79166666666666663</v>
      </c>
      <c r="H302" s="317"/>
      <c r="I302" s="317"/>
      <c r="J302" s="317"/>
      <c r="K302" s="317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296">
        <v>0</v>
      </c>
      <c r="Z302" s="296">
        <v>0</v>
      </c>
      <c r="AA302" s="293"/>
    </row>
    <row r="303" spans="1:27" s="277" customFormat="1" ht="22.5" customHeight="1">
      <c r="A303" s="297" t="s">
        <v>195</v>
      </c>
      <c r="B303" s="298">
        <v>0.63263888888888886</v>
      </c>
      <c r="C303" s="298">
        <v>0.7944444444444444</v>
      </c>
      <c r="D303" s="298">
        <v>0.63263888888888886</v>
      </c>
      <c r="E303" s="298">
        <v>0.7944444444444444</v>
      </c>
      <c r="F303" s="357"/>
      <c r="G303" s="357"/>
      <c r="H303" s="319"/>
      <c r="I303" s="319"/>
      <c r="J303" s="319"/>
      <c r="K303" s="319"/>
      <c r="L303" s="320">
        <v>1</v>
      </c>
      <c r="M303" s="320"/>
      <c r="N303" s="320"/>
      <c r="O303" s="320"/>
      <c r="P303" s="320"/>
      <c r="Q303" s="320"/>
      <c r="R303" s="320"/>
      <c r="S303" s="320"/>
      <c r="T303" s="320"/>
      <c r="U303" s="320"/>
      <c r="V303" s="320"/>
      <c r="W303" s="320"/>
      <c r="X303" s="320"/>
      <c r="Y303" s="300">
        <v>0</v>
      </c>
      <c r="Z303" s="300">
        <v>0</v>
      </c>
      <c r="AA303" s="297"/>
    </row>
    <row r="304" spans="1:27" s="277" customFormat="1" ht="22.5" customHeight="1">
      <c r="A304" s="307" t="s">
        <v>3</v>
      </c>
      <c r="B304" s="307"/>
      <c r="C304" s="307"/>
      <c r="D304" s="307"/>
      <c r="E304" s="307"/>
      <c r="F304" s="307"/>
      <c r="G304" s="307"/>
      <c r="H304" s="321">
        <f>SUM(H279:H303)</f>
        <v>0</v>
      </c>
      <c r="I304" s="321">
        <f t="shared" ref="I304:X304" si="13">SUM(I279:I303)</f>
        <v>0</v>
      </c>
      <c r="J304" s="321">
        <f t="shared" si="13"/>
        <v>0</v>
      </c>
      <c r="K304" s="321">
        <f t="shared" si="13"/>
        <v>0</v>
      </c>
      <c r="L304" s="321">
        <f t="shared" si="13"/>
        <v>11</v>
      </c>
      <c r="M304" s="321">
        <f t="shared" si="13"/>
        <v>0</v>
      </c>
      <c r="N304" s="321">
        <f t="shared" si="13"/>
        <v>0</v>
      </c>
      <c r="O304" s="321">
        <f t="shared" si="13"/>
        <v>0</v>
      </c>
      <c r="P304" s="321">
        <f t="shared" si="13"/>
        <v>0</v>
      </c>
      <c r="Q304" s="321">
        <f t="shared" si="13"/>
        <v>0</v>
      </c>
      <c r="R304" s="321">
        <f t="shared" si="13"/>
        <v>0</v>
      </c>
      <c r="S304" s="321">
        <f t="shared" si="13"/>
        <v>7.5</v>
      </c>
      <c r="T304" s="321">
        <f t="shared" si="13"/>
        <v>0</v>
      </c>
      <c r="U304" s="321">
        <f t="shared" si="13"/>
        <v>0</v>
      </c>
      <c r="V304" s="321">
        <f t="shared" si="13"/>
        <v>0</v>
      </c>
      <c r="W304" s="321">
        <f t="shared" si="13"/>
        <v>0</v>
      </c>
      <c r="X304" s="321">
        <f t="shared" si="13"/>
        <v>0</v>
      </c>
      <c r="Y304" s="285"/>
      <c r="Z304" s="285"/>
      <c r="AA304" s="307"/>
    </row>
    <row r="305" spans="6:26" s="277" customFormat="1" ht="22.5" customHeight="1">
      <c r="H305" s="322"/>
      <c r="I305" s="322"/>
      <c r="J305" s="322"/>
      <c r="K305" s="322"/>
      <c r="L305" s="323"/>
      <c r="M305" s="323"/>
      <c r="N305" s="323"/>
      <c r="O305" s="323"/>
      <c r="P305" s="323"/>
      <c r="Q305" s="323"/>
      <c r="R305" s="323"/>
      <c r="S305" s="323"/>
      <c r="T305" s="323"/>
      <c r="U305" s="323"/>
      <c r="V305" s="323"/>
      <c r="W305" s="323"/>
      <c r="X305" s="323"/>
      <c r="Y305" s="308"/>
      <c r="Z305" s="308"/>
    </row>
    <row r="306" spans="6:26" s="277" customFormat="1" ht="22.5" customHeight="1">
      <c r="F306" s="309"/>
      <c r="G306" s="309"/>
      <c r="H306" s="322"/>
      <c r="I306" s="322"/>
      <c r="J306" s="322"/>
      <c r="K306" s="322"/>
      <c r="L306" s="323"/>
      <c r="M306" s="323"/>
      <c r="N306" s="323"/>
      <c r="O306" s="323"/>
      <c r="P306" s="323"/>
      <c r="Q306" s="323"/>
      <c r="R306" s="323"/>
      <c r="S306" s="323"/>
      <c r="T306" s="323"/>
      <c r="U306" s="323"/>
      <c r="V306" s="323"/>
      <c r="W306" s="323"/>
      <c r="X306" s="323"/>
      <c r="Y306" s="310" t="s">
        <v>261</v>
      </c>
      <c r="Z306" s="310"/>
    </row>
  </sheetData>
  <mergeCells count="160">
    <mergeCell ref="F290:G290"/>
    <mergeCell ref="F291:G291"/>
    <mergeCell ref="F303:G303"/>
    <mergeCell ref="S261:U261"/>
    <mergeCell ref="V261:V262"/>
    <mergeCell ref="W261:W262"/>
    <mergeCell ref="X261:X262"/>
    <mergeCell ref="F269:G269"/>
    <mergeCell ref="F275:G275"/>
    <mergeCell ref="H278:K278"/>
    <mergeCell ref="L278:L279"/>
    <mergeCell ref="M278:M279"/>
    <mergeCell ref="N278:N279"/>
    <mergeCell ref="O278:Q278"/>
    <mergeCell ref="R278:R279"/>
    <mergeCell ref="S278:U278"/>
    <mergeCell ref="V278:V279"/>
    <mergeCell ref="W278:W279"/>
    <mergeCell ref="X278:X279"/>
    <mergeCell ref="F235:G235"/>
    <mergeCell ref="F246:G246"/>
    <mergeCell ref="F258:G258"/>
    <mergeCell ref="H261:K261"/>
    <mergeCell ref="L261:L262"/>
    <mergeCell ref="M261:M262"/>
    <mergeCell ref="N261:N262"/>
    <mergeCell ref="O261:Q261"/>
    <mergeCell ref="R261:R262"/>
    <mergeCell ref="V205:V206"/>
    <mergeCell ref="W205:W206"/>
    <mergeCell ref="X205:X206"/>
    <mergeCell ref="F217:G217"/>
    <mergeCell ref="F218:G218"/>
    <mergeCell ref="F230:G230"/>
    <mergeCell ref="H233:K233"/>
    <mergeCell ref="L233:L234"/>
    <mergeCell ref="M233:M234"/>
    <mergeCell ref="N233:N234"/>
    <mergeCell ref="O233:Q233"/>
    <mergeCell ref="R233:R234"/>
    <mergeCell ref="S233:U233"/>
    <mergeCell ref="V233:V234"/>
    <mergeCell ref="W233:W234"/>
    <mergeCell ref="X233:X234"/>
    <mergeCell ref="F191:G191"/>
    <mergeCell ref="F202:G202"/>
    <mergeCell ref="H205:K205"/>
    <mergeCell ref="L205:L206"/>
    <mergeCell ref="M205:M206"/>
    <mergeCell ref="N205:N206"/>
    <mergeCell ref="O205:Q205"/>
    <mergeCell ref="R205:R206"/>
    <mergeCell ref="S205:U205"/>
    <mergeCell ref="S151:U151"/>
    <mergeCell ref="V151:V152"/>
    <mergeCell ref="W151:W152"/>
    <mergeCell ref="X151:X152"/>
    <mergeCell ref="F164:G164"/>
    <mergeCell ref="F175:G175"/>
    <mergeCell ref="H178:K178"/>
    <mergeCell ref="L178:L179"/>
    <mergeCell ref="M178:M179"/>
    <mergeCell ref="N178:N179"/>
    <mergeCell ref="O178:Q178"/>
    <mergeCell ref="R178:R179"/>
    <mergeCell ref="S178:U178"/>
    <mergeCell ref="V178:V179"/>
    <mergeCell ref="W178:W179"/>
    <mergeCell ref="X178:X179"/>
    <mergeCell ref="F141:G141"/>
    <mergeCell ref="F142:G142"/>
    <mergeCell ref="F143:G143"/>
    <mergeCell ref="H151:K151"/>
    <mergeCell ref="L151:L152"/>
    <mergeCell ref="M151:M152"/>
    <mergeCell ref="N151:N152"/>
    <mergeCell ref="O151:Q151"/>
    <mergeCell ref="R151:R152"/>
    <mergeCell ref="V109:V110"/>
    <mergeCell ref="W109:W110"/>
    <mergeCell ref="X109:X110"/>
    <mergeCell ref="F120:G120"/>
    <mergeCell ref="F131:G131"/>
    <mergeCell ref="H134:K134"/>
    <mergeCell ref="L134:L135"/>
    <mergeCell ref="M134:M135"/>
    <mergeCell ref="N134:N135"/>
    <mergeCell ref="O134:Q134"/>
    <mergeCell ref="R134:R135"/>
    <mergeCell ref="S134:U134"/>
    <mergeCell ref="V134:V135"/>
    <mergeCell ref="W134:W135"/>
    <mergeCell ref="X134:X135"/>
    <mergeCell ref="F95:G95"/>
    <mergeCell ref="F106:G106"/>
    <mergeCell ref="H109:K109"/>
    <mergeCell ref="L109:L110"/>
    <mergeCell ref="M109:M110"/>
    <mergeCell ref="N109:N110"/>
    <mergeCell ref="O109:Q109"/>
    <mergeCell ref="R109:R110"/>
    <mergeCell ref="S109:U109"/>
    <mergeCell ref="R64:R65"/>
    <mergeCell ref="S64:U64"/>
    <mergeCell ref="V64:V65"/>
    <mergeCell ref="W64:W65"/>
    <mergeCell ref="X64:X65"/>
    <mergeCell ref="F71:G71"/>
    <mergeCell ref="F72:G72"/>
    <mergeCell ref="H81:K81"/>
    <mergeCell ref="L81:L82"/>
    <mergeCell ref="M81:M82"/>
    <mergeCell ref="N81:N82"/>
    <mergeCell ref="O81:Q81"/>
    <mergeCell ref="R81:R82"/>
    <mergeCell ref="S81:U81"/>
    <mergeCell ref="V81:V82"/>
    <mergeCell ref="W81:W82"/>
    <mergeCell ref="X81:X82"/>
    <mergeCell ref="F58:G58"/>
    <mergeCell ref="F59:G59"/>
    <mergeCell ref="F61:G61"/>
    <mergeCell ref="F62:G62"/>
    <mergeCell ref="H64:K64"/>
    <mergeCell ref="L64:L65"/>
    <mergeCell ref="M64:M65"/>
    <mergeCell ref="N64:N65"/>
    <mergeCell ref="O64:Q64"/>
    <mergeCell ref="S35:U35"/>
    <mergeCell ref="V35:V36"/>
    <mergeCell ref="W35:W36"/>
    <mergeCell ref="X35:X36"/>
    <mergeCell ref="F37:G37"/>
    <mergeCell ref="F48:G48"/>
    <mergeCell ref="F55:G55"/>
    <mergeCell ref="F56:G56"/>
    <mergeCell ref="F57:G57"/>
    <mergeCell ref="F19:G19"/>
    <mergeCell ref="F20:G20"/>
    <mergeCell ref="F32:G32"/>
    <mergeCell ref="H35:K35"/>
    <mergeCell ref="L35:L36"/>
    <mergeCell ref="M35:M36"/>
    <mergeCell ref="N35:N36"/>
    <mergeCell ref="O35:Q35"/>
    <mergeCell ref="R35:R3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S5:U5"/>
    <mergeCell ref="V5:V6"/>
    <mergeCell ref="W5:W6"/>
    <mergeCell ref="X5:X6"/>
  </mergeCells>
  <pageMargins left="0.13" right="0.7" top="0.25" bottom="0.38" header="0.3" footer="0.26"/>
  <pageSetup paperSize="5" scale="93" orientation="landscape" horizontalDpi="4294967293" verticalDpi="0" r:id="rId1"/>
  <rowBreaks count="2" manualBreakCount="2">
    <brk id="80" max="27" man="1"/>
    <brk id="133" max="27" man="1"/>
  </rowBreaks>
  <colBreaks count="1" manualBreakCount="1">
    <brk id="28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Z67"/>
  <sheetViews>
    <sheetView topLeftCell="A46" workbookViewId="0">
      <selection activeCell="F11" sqref="F11"/>
    </sheetView>
  </sheetViews>
  <sheetFormatPr defaultRowHeight="12.75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>
      <c r="A3" s="238" t="s">
        <v>11</v>
      </c>
      <c r="B3" s="238"/>
      <c r="C3" s="241"/>
      <c r="D3" s="125" t="s">
        <v>156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>
      <c r="A5" s="365"/>
      <c r="B5" s="367" t="s">
        <v>0</v>
      </c>
      <c r="C5" s="369" t="s">
        <v>1</v>
      </c>
      <c r="D5" s="370" t="s">
        <v>13</v>
      </c>
      <c r="E5" s="369" t="s">
        <v>14</v>
      </c>
      <c r="F5" s="370" t="s">
        <v>15</v>
      </c>
      <c r="G5" s="369" t="s">
        <v>16</v>
      </c>
      <c r="H5" s="370" t="s">
        <v>44</v>
      </c>
      <c r="I5" s="403" t="s">
        <v>118</v>
      </c>
      <c r="J5" s="408" t="s">
        <v>91</v>
      </c>
      <c r="K5" s="409"/>
      <c r="L5" s="410"/>
      <c r="M5" s="392" t="s">
        <v>108</v>
      </c>
      <c r="N5" s="393"/>
      <c r="O5" s="393"/>
      <c r="P5" s="369" t="s">
        <v>2</v>
      </c>
      <c r="Q5" s="370" t="s">
        <v>17</v>
      </c>
      <c r="R5" s="369" t="s">
        <v>2</v>
      </c>
      <c r="S5" s="370" t="s">
        <v>18</v>
      </c>
      <c r="T5" s="369" t="s">
        <v>2</v>
      </c>
      <c r="U5" s="370" t="s">
        <v>19</v>
      </c>
      <c r="V5" s="369" t="s">
        <v>2</v>
      </c>
      <c r="W5" s="370" t="s">
        <v>20</v>
      </c>
      <c r="X5" s="397" t="s">
        <v>3</v>
      </c>
    </row>
    <row r="6" spans="1:26" s="138" customFormat="1" ht="27" customHeight="1" thickBot="1">
      <c r="A6" s="366"/>
      <c r="B6" s="368"/>
      <c r="C6" s="368"/>
      <c r="D6" s="371"/>
      <c r="E6" s="372"/>
      <c r="F6" s="371"/>
      <c r="G6" s="372"/>
      <c r="H6" s="396"/>
      <c r="I6" s="404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68"/>
      <c r="Q6" s="371"/>
      <c r="R6" s="368"/>
      <c r="S6" s="371"/>
      <c r="T6" s="368"/>
      <c r="U6" s="371"/>
      <c r="V6" s="368"/>
      <c r="W6" s="396"/>
      <c r="X6" s="398"/>
    </row>
    <row r="7" spans="1:26" s="138" customFormat="1" ht="12" customHeight="1">
      <c r="A7" s="129">
        <v>1</v>
      </c>
      <c r="B7" s="22" t="s">
        <v>120</v>
      </c>
      <c r="C7" s="123" t="s">
        <v>121</v>
      </c>
      <c r="D7" s="73">
        <f>5538+130+195+195+(15*13)+(21*13)</f>
        <v>6526</v>
      </c>
      <c r="E7" s="130">
        <f>+D7/13</f>
        <v>502</v>
      </c>
      <c r="F7" s="134">
        <f>+'2.26-3.10'!L79</f>
        <v>11</v>
      </c>
      <c r="G7" s="132">
        <f>+D7</f>
        <v>6526</v>
      </c>
      <c r="H7" s="20">
        <f>(F7+J7+K7+L7+Q7)*10</f>
        <v>120</v>
      </c>
      <c r="I7" s="20"/>
      <c r="J7" s="133">
        <f>+'2.26-3.10'!H79</f>
        <v>1</v>
      </c>
      <c r="K7" s="133">
        <f>+'2.26-3.10'!I79</f>
        <v>0</v>
      </c>
      <c r="L7" s="133">
        <f>+'2.26-3.10'!J79</f>
        <v>0</v>
      </c>
      <c r="M7" s="133">
        <f>+'2.26-3.10'!O79</f>
        <v>0</v>
      </c>
      <c r="N7" s="133"/>
      <c r="O7" s="133"/>
      <c r="P7" s="233">
        <f>(((E7/8)*1.25)*M7)+((((E7/8)*N7)*200%)*130%)+((((E7/8)*130%)*130%)*O7)</f>
        <v>0</v>
      </c>
      <c r="Q7" s="134"/>
      <c r="R7" s="135">
        <f>+Q7*E7</f>
        <v>0</v>
      </c>
      <c r="S7" s="134"/>
      <c r="T7" s="135">
        <f>(+S7*E7)*0.3</f>
        <v>0</v>
      </c>
      <c r="U7" s="133">
        <f>+'2.26-3.10'!S79</f>
        <v>10.5</v>
      </c>
      <c r="V7" s="21">
        <f>(E7/8/10)*U7</f>
        <v>65.887500000000003</v>
      </c>
      <c r="W7" s="136"/>
      <c r="X7" s="137">
        <f>+G7+H7+P7+R7+T7+V7+W7+I7</f>
        <v>6711.8874999999998</v>
      </c>
      <c r="Y7" s="142"/>
      <c r="Z7" s="142"/>
    </row>
    <row r="8" spans="1:26" s="138" customFormat="1" ht="12" customHeight="1">
      <c r="A8" s="139">
        <v>2</v>
      </c>
      <c r="B8" s="22" t="s">
        <v>151</v>
      </c>
      <c r="C8" s="72" t="s">
        <v>152</v>
      </c>
      <c r="D8" s="73">
        <f>6253+(21*13)</f>
        <v>6526</v>
      </c>
      <c r="E8" s="130">
        <f>+D8/13</f>
        <v>502</v>
      </c>
      <c r="F8" s="73">
        <f>+'2.26-3.10'!L259</f>
        <v>11</v>
      </c>
      <c r="G8" s="141">
        <f>+D8</f>
        <v>6526</v>
      </c>
      <c r="H8" s="21">
        <f>(F8+J8+K8+L8+Q8)*10</f>
        <v>120</v>
      </c>
      <c r="I8" s="21"/>
      <c r="J8" s="73">
        <f>+'2.26-3.10'!H259</f>
        <v>1</v>
      </c>
      <c r="K8" s="73">
        <f>+'2.26-3.10'!I259</f>
        <v>0</v>
      </c>
      <c r="L8" s="73">
        <f>+'2.26-3.10'!J259</f>
        <v>0</v>
      </c>
      <c r="M8" s="73">
        <f>+'2.26-3.10'!O259</f>
        <v>0</v>
      </c>
      <c r="N8" s="73"/>
      <c r="O8" s="73"/>
      <c r="P8" s="233">
        <f t="shared" ref="P8:P16" si="0">(((E8/8)*1.25)*M8)+((((E8/8)*N8)*200%)*130%)+((((E8/8)*130%)*130%)*O8)</f>
        <v>0</v>
      </c>
      <c r="Q8" s="73"/>
      <c r="R8" s="21">
        <f t="shared" ref="R8:R16" si="1">+Q8*E8</f>
        <v>0</v>
      </c>
      <c r="S8" s="73"/>
      <c r="T8" s="21">
        <f t="shared" ref="T8:T16" si="2">(+S8*E8)*0.3</f>
        <v>0</v>
      </c>
      <c r="U8" s="73">
        <f>+'2.26-3.10'!S259</f>
        <v>1.5</v>
      </c>
      <c r="V8" s="21">
        <f t="shared" ref="V8:V16" si="3">(E8/8/10)*U8</f>
        <v>9.4125000000000014</v>
      </c>
      <c r="W8" s="15"/>
      <c r="X8" s="137">
        <f t="shared" ref="X8:X16" si="4">+G8+H8+P8+R8+T8+V8+W8+I8</f>
        <v>6655.4125000000004</v>
      </c>
      <c r="Y8" s="142"/>
      <c r="Z8" s="142"/>
    </row>
    <row r="9" spans="1:26" s="138" customFormat="1" ht="12" customHeight="1">
      <c r="A9" s="139">
        <v>3</v>
      </c>
      <c r="B9" s="22" t="s">
        <v>122</v>
      </c>
      <c r="C9" s="72" t="s">
        <v>123</v>
      </c>
      <c r="D9" s="73">
        <f>(20000/2)+(21*13)</f>
        <v>10273</v>
      </c>
      <c r="E9" s="130">
        <f>+D9/13</f>
        <v>790.23076923076928</v>
      </c>
      <c r="F9" s="73">
        <f>+'2.26-3.10'!L149</f>
        <v>10.5</v>
      </c>
      <c r="G9" s="141">
        <f>D9</f>
        <v>10273</v>
      </c>
      <c r="H9" s="21">
        <f t="shared" ref="H9:H16" si="5">(F9+J9+K9+L9+Q9)*10</f>
        <v>120</v>
      </c>
      <c r="I9" s="21">
        <f>50</f>
        <v>50</v>
      </c>
      <c r="J9" s="73">
        <f>+'2.26-3.10'!H149</f>
        <v>1.5</v>
      </c>
      <c r="K9" s="73">
        <f>+'2.26-3.10'!I149</f>
        <v>0</v>
      </c>
      <c r="L9" s="73">
        <f>+'2.26-3.10'!J149</f>
        <v>0</v>
      </c>
      <c r="M9" s="73">
        <f>+'2.26-3.10'!O149</f>
        <v>0</v>
      </c>
      <c r="N9" s="73"/>
      <c r="O9" s="73"/>
      <c r="P9" s="233">
        <f t="shared" si="0"/>
        <v>0</v>
      </c>
      <c r="Q9" s="73"/>
      <c r="R9" s="21">
        <f t="shared" si="1"/>
        <v>0</v>
      </c>
      <c r="S9" s="73"/>
      <c r="T9" s="21">
        <f t="shared" si="2"/>
        <v>0</v>
      </c>
      <c r="U9" s="73">
        <f>+'2.26-3.10'!S149</f>
        <v>1.5</v>
      </c>
      <c r="V9" s="21">
        <f t="shared" si="3"/>
        <v>14.816826923076924</v>
      </c>
      <c r="W9" s="15"/>
      <c r="X9" s="137">
        <f t="shared" si="4"/>
        <v>10457.816826923077</v>
      </c>
      <c r="Y9" s="142"/>
      <c r="Z9" s="142"/>
    </row>
    <row r="10" spans="1:26" s="138" customFormat="1" ht="12" customHeight="1">
      <c r="A10" s="139">
        <v>4</v>
      </c>
      <c r="B10" s="22" t="s">
        <v>124</v>
      </c>
      <c r="C10" s="72" t="s">
        <v>125</v>
      </c>
      <c r="D10" s="73">
        <f>5538+130+195+195+(15*13)+(21*13)</f>
        <v>6526</v>
      </c>
      <c r="E10" s="130">
        <f>+D10/13</f>
        <v>502</v>
      </c>
      <c r="F10" s="73">
        <f>+'2.26-3.10'!L276</f>
        <v>12</v>
      </c>
      <c r="G10" s="141">
        <f t="shared" ref="G10:G16" si="6">+D10</f>
        <v>6526</v>
      </c>
      <c r="H10" s="21">
        <f t="shared" si="5"/>
        <v>120</v>
      </c>
      <c r="I10" s="21"/>
      <c r="J10" s="73">
        <f>+'2.26-3.10'!H276</f>
        <v>0</v>
      </c>
      <c r="K10" s="73">
        <f>+'2.26-3.10'!I276</f>
        <v>0</v>
      </c>
      <c r="L10" s="73">
        <f>+'2.26-3.10'!J276</f>
        <v>0</v>
      </c>
      <c r="M10" s="73">
        <f>+'2.26-3.10'!O276</f>
        <v>0</v>
      </c>
      <c r="N10" s="73"/>
      <c r="O10" s="73"/>
      <c r="P10" s="233">
        <f t="shared" si="0"/>
        <v>0</v>
      </c>
      <c r="Q10" s="73"/>
      <c r="R10" s="21">
        <f t="shared" si="1"/>
        <v>0</v>
      </c>
      <c r="S10" s="73"/>
      <c r="T10" s="21">
        <f t="shared" si="2"/>
        <v>0</v>
      </c>
      <c r="U10" s="73">
        <f>+'2.26-3.10'!S276</f>
        <v>4.5</v>
      </c>
      <c r="V10" s="21">
        <f t="shared" si="3"/>
        <v>28.237500000000001</v>
      </c>
      <c r="W10" s="15"/>
      <c r="X10" s="137">
        <f t="shared" si="4"/>
        <v>6674.2375000000002</v>
      </c>
      <c r="Y10" s="142"/>
      <c r="Z10" s="142"/>
    </row>
    <row r="11" spans="1:26" s="138" customFormat="1" ht="12" customHeight="1">
      <c r="A11" s="139">
        <v>5</v>
      </c>
      <c r="B11" s="22" t="s">
        <v>154</v>
      </c>
      <c r="C11" s="72" t="s">
        <v>155</v>
      </c>
      <c r="D11" s="73">
        <f>6253+(21*13)</f>
        <v>6526</v>
      </c>
      <c r="E11" s="130">
        <f t="shared" ref="E11:E16" si="7">+D11/13</f>
        <v>502</v>
      </c>
      <c r="F11" s="73">
        <f>+'2.26-3.10'!L107</f>
        <v>11</v>
      </c>
      <c r="G11" s="141">
        <f t="shared" si="6"/>
        <v>6526</v>
      </c>
      <c r="H11" s="21">
        <f t="shared" si="5"/>
        <v>110</v>
      </c>
      <c r="I11" s="21"/>
      <c r="J11" s="73">
        <f>+'2.26-3.10'!H107</f>
        <v>0</v>
      </c>
      <c r="K11" s="73">
        <f>+'2.26-3.10'!I107</f>
        <v>0</v>
      </c>
      <c r="L11" s="73">
        <f>+'2.26-3.10'!J107</f>
        <v>0</v>
      </c>
      <c r="M11" s="73">
        <f>+'2.26-3.10'!O107</f>
        <v>2.5</v>
      </c>
      <c r="N11" s="73"/>
      <c r="O11" s="73"/>
      <c r="P11" s="233">
        <f t="shared" si="0"/>
        <v>196.09375</v>
      </c>
      <c r="Q11" s="73"/>
      <c r="R11" s="21">
        <f t="shared" si="1"/>
        <v>0</v>
      </c>
      <c r="S11" s="73"/>
      <c r="T11" s="21">
        <f t="shared" si="2"/>
        <v>0</v>
      </c>
      <c r="U11" s="73">
        <f>+'2.26-3.10'!S107</f>
        <v>4.5</v>
      </c>
      <c r="V11" s="21">
        <f t="shared" si="3"/>
        <v>28.237500000000001</v>
      </c>
      <c r="W11" s="15"/>
      <c r="X11" s="137">
        <f t="shared" si="4"/>
        <v>6860.3312500000002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7"/>
        <v>0</v>
      </c>
      <c r="F12" s="73"/>
      <c r="G12" s="141">
        <f t="shared" si="6"/>
        <v>0</v>
      </c>
      <c r="H12" s="21">
        <f t="shared" si="5"/>
        <v>0</v>
      </c>
      <c r="I12" s="21"/>
      <c r="J12" s="73"/>
      <c r="K12" s="73"/>
      <c r="L12" s="73"/>
      <c r="M12" s="73"/>
      <c r="N12" s="73"/>
      <c r="O12" s="73"/>
      <c r="P12" s="233">
        <f t="shared" si="0"/>
        <v>0</v>
      </c>
      <c r="Q12" s="73"/>
      <c r="R12" s="21">
        <f t="shared" si="1"/>
        <v>0</v>
      </c>
      <c r="S12" s="73"/>
      <c r="T12" s="21">
        <f t="shared" si="2"/>
        <v>0</v>
      </c>
      <c r="U12" s="73"/>
      <c r="V12" s="21">
        <f t="shared" si="3"/>
        <v>0</v>
      </c>
      <c r="W12" s="15"/>
      <c r="X12" s="137">
        <f t="shared" si="4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7"/>
        <v>0</v>
      </c>
      <c r="F13" s="140"/>
      <c r="G13" s="141">
        <f t="shared" si="6"/>
        <v>0</v>
      </c>
      <c r="H13" s="21">
        <f t="shared" si="5"/>
        <v>0</v>
      </c>
      <c r="I13" s="21"/>
      <c r="J13" s="73"/>
      <c r="K13" s="73"/>
      <c r="L13" s="73"/>
      <c r="M13" s="73"/>
      <c r="N13" s="73"/>
      <c r="O13" s="73"/>
      <c r="P13" s="233">
        <f t="shared" si="0"/>
        <v>0</v>
      </c>
      <c r="Q13" s="73"/>
      <c r="R13" s="21">
        <f t="shared" si="1"/>
        <v>0</v>
      </c>
      <c r="S13" s="73"/>
      <c r="T13" s="21">
        <f t="shared" si="2"/>
        <v>0</v>
      </c>
      <c r="U13" s="73"/>
      <c r="V13" s="21">
        <f t="shared" si="3"/>
        <v>0</v>
      </c>
      <c r="W13" s="15"/>
      <c r="X13" s="137">
        <f t="shared" si="4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1">
        <f t="shared" si="5"/>
        <v>0</v>
      </c>
      <c r="I14" s="1"/>
      <c r="J14" s="73"/>
      <c r="K14" s="73"/>
      <c r="L14" s="73"/>
      <c r="M14" s="73"/>
      <c r="N14" s="73"/>
      <c r="O14" s="73"/>
      <c r="P14" s="233">
        <f t="shared" si="0"/>
        <v>0</v>
      </c>
      <c r="Q14" s="73"/>
      <c r="R14" s="21">
        <f t="shared" si="1"/>
        <v>0</v>
      </c>
      <c r="S14" s="73"/>
      <c r="T14" s="21">
        <f t="shared" si="2"/>
        <v>0</v>
      </c>
      <c r="U14" s="73"/>
      <c r="V14" s="21">
        <f t="shared" si="3"/>
        <v>0</v>
      </c>
      <c r="W14" s="15"/>
      <c r="X14" s="137">
        <f t="shared" si="4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si="5"/>
        <v>0</v>
      </c>
      <c r="I15" s="1"/>
      <c r="J15" s="73"/>
      <c r="K15" s="73"/>
      <c r="L15" s="73"/>
      <c r="M15" s="73"/>
      <c r="N15" s="73"/>
      <c r="O15" s="73"/>
      <c r="P15" s="233">
        <f t="shared" si="0"/>
        <v>0</v>
      </c>
      <c r="Q15" s="73"/>
      <c r="R15" s="21">
        <f t="shared" si="1"/>
        <v>0</v>
      </c>
      <c r="S15" s="73"/>
      <c r="T15" s="21">
        <f t="shared" si="2"/>
        <v>0</v>
      </c>
      <c r="U15" s="73"/>
      <c r="V15" s="21">
        <f t="shared" si="3"/>
        <v>0</v>
      </c>
      <c r="W15" s="15"/>
      <c r="X15" s="137">
        <f t="shared" si="4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5"/>
        <v>0</v>
      </c>
      <c r="I16" s="1"/>
      <c r="J16" s="15"/>
      <c r="K16" s="15"/>
      <c r="L16" s="15"/>
      <c r="M16" s="73"/>
      <c r="N16" s="73"/>
      <c r="O16" s="73"/>
      <c r="P16" s="233">
        <f t="shared" si="0"/>
        <v>0</v>
      </c>
      <c r="Q16" s="73"/>
      <c r="R16" s="21">
        <f t="shared" si="1"/>
        <v>0</v>
      </c>
      <c r="S16" s="73"/>
      <c r="T16" s="21">
        <f t="shared" si="2"/>
        <v>0</v>
      </c>
      <c r="U16" s="73"/>
      <c r="V16" s="21">
        <f t="shared" si="3"/>
        <v>0</v>
      </c>
      <c r="W16" s="15"/>
      <c r="X16" s="137">
        <f t="shared" si="4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590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196.09375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146.59182692307692</v>
      </c>
      <c r="W18" s="4"/>
      <c r="X18" s="3">
        <f>SUM(X7:X16)</f>
        <v>37359.685576923075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73"/>
      <c r="B20" s="375" t="s">
        <v>0</v>
      </c>
      <c r="C20" s="377" t="s">
        <v>1</v>
      </c>
      <c r="D20" s="363" t="s">
        <v>3</v>
      </c>
      <c r="E20" s="399" t="s">
        <v>22</v>
      </c>
      <c r="F20" s="405" t="s">
        <v>2</v>
      </c>
      <c r="G20" s="377" t="s">
        <v>21</v>
      </c>
      <c r="H20" s="363" t="s">
        <v>2</v>
      </c>
      <c r="I20" s="401" t="s">
        <v>128</v>
      </c>
      <c r="J20" s="388" t="s">
        <v>4</v>
      </c>
      <c r="K20" s="390" t="s">
        <v>23</v>
      </c>
      <c r="L20" s="363" t="s">
        <v>5</v>
      </c>
      <c r="M20" s="363" t="s">
        <v>6</v>
      </c>
      <c r="N20" s="363" t="s">
        <v>24</v>
      </c>
      <c r="O20" s="363" t="s">
        <v>7</v>
      </c>
      <c r="P20" s="383" t="s">
        <v>3</v>
      </c>
      <c r="Q20" s="244"/>
      <c r="R20" s="152" t="s">
        <v>103</v>
      </c>
      <c r="S20" s="244"/>
    </row>
    <row r="21" spans="1:24" s="138" customFormat="1" ht="15" customHeight="1" thickBot="1">
      <c r="A21" s="374"/>
      <c r="B21" s="376"/>
      <c r="C21" s="378"/>
      <c r="D21" s="395"/>
      <c r="E21" s="400"/>
      <c r="F21" s="406"/>
      <c r="G21" s="407"/>
      <c r="H21" s="379"/>
      <c r="I21" s="402"/>
      <c r="J21" s="389"/>
      <c r="K21" s="391"/>
      <c r="L21" s="379"/>
      <c r="M21" s="379"/>
      <c r="N21" s="395"/>
      <c r="O21" s="379"/>
      <c r="P21" s="384"/>
      <c r="R21" s="250" t="str">
        <f>D3</f>
        <v>FEBRUARY 26 - MARCH 10, 2018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 Purchaser</v>
      </c>
      <c r="D22" s="154">
        <f t="shared" ref="D22:D31" si="8">+X7</f>
        <v>6711.8874999999998</v>
      </c>
      <c r="E22" s="133">
        <f>+'2.26-3.10'!R79</f>
        <v>0</v>
      </c>
      <c r="F22" s="20">
        <f>+E22*E7</f>
        <v>0</v>
      </c>
      <c r="G22" s="133">
        <f>+'2.26-3.10'!M79+'2.26-3.10'!N79</f>
        <v>0</v>
      </c>
      <c r="H22" s="20">
        <f>(+E7/8)*G22</f>
        <v>0</v>
      </c>
      <c r="I22" s="133"/>
      <c r="J22" s="155"/>
      <c r="K22" s="17">
        <v>500</v>
      </c>
      <c r="L22" s="15"/>
      <c r="M22" s="156">
        <f>'[1]summary of contribution'!$O$18</f>
        <v>100</v>
      </c>
      <c r="N22" s="17">
        <v>579.26</v>
      </c>
      <c r="O22" s="156"/>
      <c r="P22" s="158">
        <f>+D22-F22-H22-J22-K22-L22-M22-N22-O22-I22</f>
        <v>5532.6274999999996</v>
      </c>
      <c r="R22" s="71">
        <f t="shared" ref="R22:R31" si="9">G7+H7+P7+R7+T7+V7+W7-F22-H22</f>
        <v>6711.8874999999998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6655.4125000000004</v>
      </c>
      <c r="E23" s="73">
        <f>+'2.26-3.10'!R259</f>
        <v>0</v>
      </c>
      <c r="F23" s="21">
        <f t="shared" ref="F23:F31" si="10">+E23*E8</f>
        <v>0</v>
      </c>
      <c r="G23" s="73">
        <f>+'2.26-3.10'!M259+'2.26-3.10'!N259</f>
        <v>0.1</v>
      </c>
      <c r="H23" s="21">
        <f t="shared" ref="H23:H31" si="11">(+E8/8)*G23</f>
        <v>6.2750000000000004</v>
      </c>
      <c r="I23" s="73"/>
      <c r="J23" s="15"/>
      <c r="K23" s="15"/>
      <c r="L23" s="15"/>
      <c r="M23" s="18">
        <f>'[1]summary of contribution'!$O$19</f>
        <v>100</v>
      </c>
      <c r="N23" s="15"/>
      <c r="O23" s="18"/>
      <c r="P23" s="158">
        <f t="shared" ref="P23:P31" si="12">+D23-F23-H23-J23-K23-L23-M23-N23-O23-I23</f>
        <v>6549.1375000000007</v>
      </c>
      <c r="R23" s="71">
        <f t="shared" si="9"/>
        <v>6649.1375000000007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10457.816826923077</v>
      </c>
      <c r="E24" s="73">
        <f>+'2.26-3.10'!R149</f>
        <v>0</v>
      </c>
      <c r="F24" s="21">
        <f t="shared" si="10"/>
        <v>0</v>
      </c>
      <c r="G24" s="73">
        <f>+'2.26-3.10'!M149+'2.26-3.10'!N149</f>
        <v>5.65</v>
      </c>
      <c r="H24" s="21">
        <f t="shared" si="11"/>
        <v>558.10048076923078</v>
      </c>
      <c r="I24" s="73"/>
      <c r="J24" s="15"/>
      <c r="K24" s="15">
        <v>0</v>
      </c>
      <c r="L24" s="15"/>
      <c r="M24" s="18">
        <f>'[1]summary of contribution'!$O$20</f>
        <v>100</v>
      </c>
      <c r="N24" s="15">
        <v>1878.89</v>
      </c>
      <c r="O24" s="18"/>
      <c r="P24" s="158">
        <f t="shared" si="12"/>
        <v>7920.8263461538454</v>
      </c>
      <c r="R24" s="71">
        <f t="shared" si="9"/>
        <v>9849.7163461538457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Admin. Assistant</v>
      </c>
      <c r="D25" s="141">
        <f t="shared" si="8"/>
        <v>6674.2375000000002</v>
      </c>
      <c r="E25" s="73">
        <f>+'2.26-3.10'!R276</f>
        <v>0</v>
      </c>
      <c r="F25" s="21">
        <f t="shared" si="10"/>
        <v>0</v>
      </c>
      <c r="G25" s="73">
        <f>+'2.26-3.10'!M276+'2.26-3.10'!N276</f>
        <v>2.3833333333333333</v>
      </c>
      <c r="H25" s="21">
        <f t="shared" si="11"/>
        <v>149.55416666666667</v>
      </c>
      <c r="I25" s="73"/>
      <c r="J25" s="15"/>
      <c r="K25" s="15">
        <v>600</v>
      </c>
      <c r="L25" s="15"/>
      <c r="M25" s="18">
        <f>'[1]summary of contribution'!$O$21</f>
        <v>100</v>
      </c>
      <c r="N25" s="15">
        <v>500</v>
      </c>
      <c r="O25" s="18"/>
      <c r="P25" s="158">
        <f t="shared" si="12"/>
        <v>5324.6833333333334</v>
      </c>
      <c r="R25" s="71">
        <f t="shared" si="9"/>
        <v>6524.6833333333334</v>
      </c>
    </row>
    <row r="26" spans="1:24" s="138" customFormat="1" ht="12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6860.3312500000002</v>
      </c>
      <c r="E26" s="73">
        <f>+'2.26-3.10'!R107</f>
        <v>1</v>
      </c>
      <c r="F26" s="21">
        <f t="shared" si="10"/>
        <v>502</v>
      </c>
      <c r="G26" s="73">
        <f>+'2.26-3.10'!M107+'2.26-3.10'!N107</f>
        <v>0.21666666666666667</v>
      </c>
      <c r="H26" s="21">
        <f t="shared" si="11"/>
        <v>13.595833333333333</v>
      </c>
      <c r="I26" s="73"/>
      <c r="J26" s="15"/>
      <c r="K26" s="15"/>
      <c r="L26" s="15"/>
      <c r="M26" s="18">
        <f>'[1]summary of contribution'!$O$21</f>
        <v>100</v>
      </c>
      <c r="N26" s="15">
        <f>986.7</f>
        <v>986.7</v>
      </c>
      <c r="O26" s="18"/>
      <c r="P26" s="158">
        <f t="shared" si="12"/>
        <v>5258.0354166666666</v>
      </c>
      <c r="R26" s="71">
        <f t="shared" si="9"/>
        <v>6344.7354166666664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73"/>
      <c r="F27" s="21">
        <f t="shared" si="10"/>
        <v>0</v>
      </c>
      <c r="G27" s="73"/>
      <c r="H27" s="21">
        <f t="shared" si="11"/>
        <v>0</v>
      </c>
      <c r="I27" s="73"/>
      <c r="J27" s="15"/>
      <c r="K27" s="15"/>
      <c r="L27" s="15"/>
      <c r="M27" s="18">
        <f>'[1]summary of contribution'!$O$23</f>
        <v>0</v>
      </c>
      <c r="N27" s="15"/>
      <c r="O27" s="18"/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73"/>
      <c r="F28" s="21">
        <f t="shared" si="10"/>
        <v>0</v>
      </c>
      <c r="G28" s="73"/>
      <c r="H28" s="21">
        <f t="shared" si="11"/>
        <v>0</v>
      </c>
      <c r="I28" s="73"/>
      <c r="J28" s="15"/>
      <c r="K28" s="15"/>
      <c r="L28" s="15"/>
      <c r="M28" s="18">
        <f>'[1]summary of contribution'!$O$24</f>
        <v>0</v>
      </c>
      <c r="N28" s="15"/>
      <c r="O28" s="18"/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73"/>
      <c r="F29" s="21">
        <f t="shared" si="10"/>
        <v>0</v>
      </c>
      <c r="G29" s="73"/>
      <c r="H29" s="21">
        <f t="shared" si="11"/>
        <v>0</v>
      </c>
      <c r="I29" s="73"/>
      <c r="J29" s="15"/>
      <c r="K29" s="15"/>
      <c r="L29" s="15"/>
      <c r="M29" s="18">
        <f>'[1]summary of contribution'!$O$25</f>
        <v>0</v>
      </c>
      <c r="N29" s="15"/>
      <c r="O29" s="18"/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73"/>
      <c r="F30" s="21">
        <f t="shared" si="10"/>
        <v>0</v>
      </c>
      <c r="G30" s="73"/>
      <c r="H30" s="21">
        <f t="shared" si="11"/>
        <v>0</v>
      </c>
      <c r="I30" s="73"/>
      <c r="J30" s="15"/>
      <c r="K30" s="15"/>
      <c r="L30" s="15"/>
      <c r="M30" s="18">
        <f>'[1]summary of contribution'!$O$26</f>
        <v>0</v>
      </c>
      <c r="N30" s="15"/>
      <c r="O30" s="18"/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/>
      <c r="K31" s="15"/>
      <c r="L31" s="15"/>
      <c r="M31" s="18">
        <f>'[1]summary of contribution'!$O$27</f>
        <v>0</v>
      </c>
      <c r="N31" s="15"/>
      <c r="O31" s="18"/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37359.685576923075</v>
      </c>
      <c r="E33" s="4">
        <f>+SUM(E22:E32)</f>
        <v>1</v>
      </c>
      <c r="F33" s="3">
        <f>SUM(F22:F32)</f>
        <v>502</v>
      </c>
      <c r="G33" s="4"/>
      <c r="H33" s="3">
        <f>SUM(H22:H32)</f>
        <v>727.52548076923074</v>
      </c>
      <c r="I33" s="3">
        <f>+SUM(I22:I32)</f>
        <v>0</v>
      </c>
      <c r="J33" s="3">
        <f t="shared" ref="J33:O33" si="15">+SUM(J22:J32)</f>
        <v>0</v>
      </c>
      <c r="K33" s="3">
        <f t="shared" si="15"/>
        <v>1100</v>
      </c>
      <c r="L33" s="3">
        <f t="shared" si="15"/>
        <v>0</v>
      </c>
      <c r="M33" s="3">
        <f t="shared" si="15"/>
        <v>500</v>
      </c>
      <c r="N33" s="3">
        <f t="shared" si="15"/>
        <v>3944.8500000000004</v>
      </c>
      <c r="O33" s="3">
        <f t="shared" si="15"/>
        <v>0</v>
      </c>
      <c r="P33" s="5">
        <f>+SUM(P22:P32)</f>
        <v>30585.310096153844</v>
      </c>
      <c r="R33" s="51"/>
      <c r="S33" s="249" t="s">
        <v>102</v>
      </c>
      <c r="T33" s="163"/>
    </row>
    <row r="34" spans="1:20"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6566.6274999999996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17"/>
        <v>7049.1375000000007</v>
      </c>
    </row>
    <row r="37" spans="1:20">
      <c r="A37" s="165" t="str">
        <f>+B25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9170.8263461538445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6358.6833333333334</v>
      </c>
    </row>
    <row r="39" spans="1:20">
      <c r="M39" s="16" t="str">
        <f t="shared" si="16"/>
        <v>Briones, Christain Joy</v>
      </c>
      <c r="O39" s="16">
        <v>0</v>
      </c>
      <c r="P39" s="16"/>
      <c r="Q39" s="16">
        <v>0</v>
      </c>
      <c r="S39" s="166">
        <f t="shared" si="17"/>
        <v>5258.0354166666666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34403.310096153844</v>
      </c>
    </row>
    <row r="53" spans="1:14" ht="13.5" thickBot="1"/>
    <row r="54" spans="1:14" ht="13.5" thickBot="1">
      <c r="A54" s="373"/>
      <c r="B54" s="375" t="s">
        <v>0</v>
      </c>
      <c r="C54" s="377" t="s">
        <v>1</v>
      </c>
      <c r="D54" s="363" t="s">
        <v>45</v>
      </c>
      <c r="E54" s="361" t="s">
        <v>153</v>
      </c>
      <c r="F54" s="381" t="s">
        <v>112</v>
      </c>
      <c r="G54" s="382"/>
      <c r="H54" s="386" t="s">
        <v>262</v>
      </c>
      <c r="I54" s="383" t="s">
        <v>3</v>
      </c>
      <c r="J54" s="385" t="s">
        <v>114</v>
      </c>
      <c r="K54" s="380" t="s">
        <v>115</v>
      </c>
      <c r="L54" s="380" t="s">
        <v>116</v>
      </c>
      <c r="N54" s="394" t="s">
        <v>102</v>
      </c>
    </row>
    <row r="55" spans="1:14" ht="13.5" thickBot="1">
      <c r="A55" s="374"/>
      <c r="B55" s="376"/>
      <c r="C55" s="378"/>
      <c r="D55" s="364"/>
      <c r="E55" s="362"/>
      <c r="F55" s="245" t="s">
        <v>113</v>
      </c>
      <c r="G55" s="246" t="s">
        <v>150</v>
      </c>
      <c r="H55" s="387"/>
      <c r="I55" s="384"/>
      <c r="J55" s="385"/>
      <c r="K55" s="380"/>
      <c r="L55" s="380"/>
      <c r="N55" s="394"/>
    </row>
    <row r="56" spans="1:14">
      <c r="A56" s="153">
        <v>1</v>
      </c>
      <c r="B56" s="49" t="str">
        <f t="shared" ref="B56:C65" si="18">+B22</f>
        <v>Biarcal, Ronald Glenn</v>
      </c>
      <c r="C56" s="49" t="str">
        <f t="shared" si="18"/>
        <v>M.T. Purchaser</v>
      </c>
      <c r="D56" s="133">
        <v>70.2</v>
      </c>
      <c r="E56" s="157"/>
      <c r="F56" s="236"/>
      <c r="G56" s="236">
        <f>2775/2</f>
        <v>1387.5</v>
      </c>
      <c r="H56" s="157">
        <f>1200/4</f>
        <v>300</v>
      </c>
      <c r="I56" s="158">
        <f>+D22-F22-H22-D56-J22-K22-L22-M22-N22-O22-E56-H56-F56-G56-I22</f>
        <v>3774.9274999999998</v>
      </c>
      <c r="J56" s="274">
        <f>+O35</f>
        <v>150</v>
      </c>
      <c r="K56" s="274">
        <f t="shared" ref="K56:L60" si="19">+P35</f>
        <v>884</v>
      </c>
      <c r="L56" s="274">
        <f t="shared" si="19"/>
        <v>0</v>
      </c>
      <c r="N56" s="165">
        <f t="shared" ref="N56:N61" si="20">+I56+J56+K56</f>
        <v>4808.9274999999998</v>
      </c>
    </row>
    <row r="57" spans="1:14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73">
        <v>94.5</v>
      </c>
      <c r="E57" s="122"/>
      <c r="F57" s="122"/>
      <c r="G57" s="122"/>
      <c r="H57" s="122">
        <f>1200/4</f>
        <v>300</v>
      </c>
      <c r="I57" s="158">
        <f t="shared" ref="I57:I65" si="21">+D23-F23-H23-D57-J23-K23-L23-M23-N23-O23-E57-H57-F57-G57-I23</f>
        <v>6154.6375000000007</v>
      </c>
      <c r="J57" s="274">
        <f>+O36</f>
        <v>0</v>
      </c>
      <c r="K57" s="274">
        <f t="shared" si="19"/>
        <v>500</v>
      </c>
      <c r="L57" s="274">
        <f t="shared" si="19"/>
        <v>0</v>
      </c>
      <c r="N57" s="165">
        <f t="shared" si="20"/>
        <v>6654.6375000000007</v>
      </c>
    </row>
    <row r="58" spans="1:14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73">
        <v>65.7</v>
      </c>
      <c r="E58" s="122"/>
      <c r="F58" s="18"/>
      <c r="G58" s="18">
        <f>3202.78/2</f>
        <v>1601.39</v>
      </c>
      <c r="H58" s="122">
        <f>1200/4</f>
        <v>300</v>
      </c>
      <c r="I58" s="158">
        <f t="shared" si="21"/>
        <v>5953.7363461538444</v>
      </c>
      <c r="J58" s="274">
        <f>+O37</f>
        <v>250</v>
      </c>
      <c r="K58" s="274">
        <f t="shared" si="19"/>
        <v>1000</v>
      </c>
      <c r="L58" s="274">
        <f t="shared" si="19"/>
        <v>0</v>
      </c>
      <c r="N58" s="165">
        <f t="shared" si="20"/>
        <v>7203.7363461538444</v>
      </c>
    </row>
    <row r="59" spans="1:14">
      <c r="A59" s="139">
        <v>4</v>
      </c>
      <c r="B59" s="22" t="str">
        <f t="shared" si="18"/>
        <v xml:space="preserve">Sosa, Anna Marie </v>
      </c>
      <c r="C59" s="248" t="str">
        <f t="shared" si="18"/>
        <v>Admin. Assistant</v>
      </c>
      <c r="D59" s="73">
        <v>59.4</v>
      </c>
      <c r="E59" s="122"/>
      <c r="F59" s="122"/>
      <c r="G59" s="122"/>
      <c r="H59" s="122"/>
      <c r="I59" s="158">
        <f t="shared" si="21"/>
        <v>5265.2833333333338</v>
      </c>
      <c r="J59" s="274">
        <f>+O38</f>
        <v>150</v>
      </c>
      <c r="K59" s="274">
        <f t="shared" si="19"/>
        <v>884</v>
      </c>
      <c r="L59" s="274">
        <f t="shared" si="19"/>
        <v>0</v>
      </c>
      <c r="N59" s="165">
        <f t="shared" si="20"/>
        <v>6299.2833333333338</v>
      </c>
    </row>
    <row r="60" spans="1:14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73">
        <v>0</v>
      </c>
      <c r="E60" s="122"/>
      <c r="F60" s="122"/>
      <c r="G60" s="122"/>
      <c r="H60" s="122">
        <f>1200/4</f>
        <v>300</v>
      </c>
      <c r="I60" s="158">
        <f t="shared" si="21"/>
        <v>4958.0354166666666</v>
      </c>
      <c r="J60" s="274">
        <f>+O39</f>
        <v>0</v>
      </c>
      <c r="K60" s="274">
        <f t="shared" si="19"/>
        <v>0</v>
      </c>
      <c r="L60" s="274">
        <f t="shared" si="19"/>
        <v>0</v>
      </c>
      <c r="N60" s="165">
        <f t="shared" si="20"/>
        <v>4958.0354166666666</v>
      </c>
    </row>
    <row r="61" spans="1:14">
      <c r="A61" s="139">
        <v>6</v>
      </c>
      <c r="B61" s="22">
        <f t="shared" si="18"/>
        <v>0</v>
      </c>
      <c r="C61" s="248">
        <f t="shared" si="18"/>
        <v>0</v>
      </c>
      <c r="D61" s="73"/>
      <c r="E61" s="122"/>
      <c r="F61" s="122"/>
      <c r="G61" s="122"/>
      <c r="H61" s="122"/>
      <c r="I61" s="158">
        <f t="shared" si="21"/>
        <v>0</v>
      </c>
      <c r="N61" s="165">
        <f t="shared" si="20"/>
        <v>0</v>
      </c>
    </row>
    <row r="62" spans="1:14">
      <c r="A62" s="139">
        <v>7</v>
      </c>
      <c r="B62" s="22">
        <f t="shared" si="18"/>
        <v>0</v>
      </c>
      <c r="C62" s="248">
        <f t="shared" si="18"/>
        <v>0</v>
      </c>
      <c r="D62" s="73"/>
      <c r="E62" s="122"/>
      <c r="F62" s="122"/>
      <c r="G62" s="122"/>
      <c r="H62" s="122"/>
      <c r="I62" s="158">
        <f t="shared" si="21"/>
        <v>0</v>
      </c>
    </row>
    <row r="63" spans="1:14">
      <c r="A63" s="139">
        <v>8</v>
      </c>
      <c r="B63" s="22">
        <f t="shared" si="18"/>
        <v>0</v>
      </c>
      <c r="C63" s="248">
        <f t="shared" si="18"/>
        <v>0</v>
      </c>
      <c r="D63" s="73"/>
      <c r="E63" s="122"/>
      <c r="F63" s="122"/>
      <c r="G63" s="122"/>
      <c r="H63" s="15">
        <v>0</v>
      </c>
      <c r="I63" s="158">
        <f t="shared" si="21"/>
        <v>0</v>
      </c>
    </row>
    <row r="64" spans="1:14">
      <c r="A64" s="139">
        <v>9</v>
      </c>
      <c r="B64" s="22">
        <f t="shared" si="18"/>
        <v>0</v>
      </c>
      <c r="C64" s="248">
        <f t="shared" si="18"/>
        <v>0</v>
      </c>
      <c r="D64" s="73"/>
      <c r="E64" s="122"/>
      <c r="F64" s="122"/>
      <c r="G64" s="122"/>
      <c r="H64" s="15">
        <v>0</v>
      </c>
      <c r="I64" s="158">
        <f t="shared" si="21"/>
        <v>0</v>
      </c>
    </row>
    <row r="65" spans="1:14">
      <c r="A65" s="139">
        <v>10</v>
      </c>
      <c r="B65" s="22">
        <f t="shared" si="18"/>
        <v>0</v>
      </c>
      <c r="C65" s="248">
        <f t="shared" si="18"/>
        <v>0</v>
      </c>
      <c r="D65" s="22"/>
      <c r="E65" s="122"/>
      <c r="F65" s="122"/>
      <c r="G65" s="122"/>
      <c r="H65" s="15">
        <v>0</v>
      </c>
      <c r="I65" s="158">
        <f t="shared" si="21"/>
        <v>0</v>
      </c>
    </row>
    <row r="66" spans="1:14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>
      <c r="A67" s="161"/>
      <c r="B67" s="147"/>
      <c r="C67" s="148"/>
      <c r="D67" s="3">
        <f>SUM(D56:D66)</f>
        <v>289.79999999999995</v>
      </c>
      <c r="E67" s="3">
        <f>+SUM(E56:E66)</f>
        <v>0</v>
      </c>
      <c r="F67" s="3">
        <f>+SUM(F56:F66)</f>
        <v>0</v>
      </c>
      <c r="G67" s="3">
        <f>+SUM(G56:G66)</f>
        <v>2988.8900000000003</v>
      </c>
      <c r="H67" s="3">
        <f>+SUM(H56:H66)</f>
        <v>1200</v>
      </c>
      <c r="I67" s="5">
        <f>+SUM(I56:I66)</f>
        <v>26106.620096153845</v>
      </c>
      <c r="N67" s="275">
        <f>SUM(N56:N66)</f>
        <v>29924.620096153842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4" workbookViewId="0">
      <selection activeCell="J35" sqref="J35:P65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11" t="str">
        <f>'26-10 payroll'!A1</f>
        <v>THE OLD SPAGHETTI HOUSE</v>
      </c>
      <c r="C2" s="412"/>
      <c r="D2" s="412"/>
      <c r="E2" s="412"/>
      <c r="F2" s="412"/>
      <c r="G2" s="412"/>
      <c r="H2" s="413"/>
      <c r="I2" s="178"/>
      <c r="J2" s="411" t="str">
        <f>'26-10 payroll'!A1</f>
        <v>THE OLD SPAGHETTI HOUSE</v>
      </c>
      <c r="K2" s="412"/>
      <c r="L2" s="412"/>
      <c r="M2" s="412"/>
      <c r="N2" s="412"/>
      <c r="O2" s="412"/>
      <c r="P2" s="413"/>
    </row>
    <row r="3" spans="1:22" s="179" customFormat="1">
      <c r="A3" s="170"/>
      <c r="B3" s="414" t="str">
        <f>'26-10 payroll'!D2</f>
        <v>VALERO</v>
      </c>
      <c r="C3" s="415"/>
      <c r="D3" s="415"/>
      <c r="E3" s="415"/>
      <c r="F3" s="415"/>
      <c r="G3" s="415"/>
      <c r="H3" s="416"/>
      <c r="I3" s="178"/>
      <c r="J3" s="414" t="str">
        <f>'26-10 payroll'!D2</f>
        <v>VALERO</v>
      </c>
      <c r="K3" s="415"/>
      <c r="L3" s="415"/>
      <c r="M3" s="415"/>
      <c r="N3" s="415"/>
      <c r="O3" s="415"/>
      <c r="P3" s="416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17" t="s">
        <v>25</v>
      </c>
      <c r="C5" s="418"/>
      <c r="D5" s="418"/>
      <c r="E5" s="418"/>
      <c r="F5" s="418"/>
      <c r="G5" s="418"/>
      <c r="H5" s="419"/>
      <c r="I5" s="178"/>
      <c r="J5" s="417" t="s">
        <v>25</v>
      </c>
      <c r="K5" s="418"/>
      <c r="L5" s="418"/>
      <c r="M5" s="418"/>
      <c r="N5" s="418"/>
      <c r="O5" s="418"/>
      <c r="P5" s="419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20" t="str">
        <f>'26-10 payroll'!B7</f>
        <v>Biarcal, Ronald Glenn</v>
      </c>
      <c r="E7" s="420"/>
      <c r="F7" s="420"/>
      <c r="G7" s="55"/>
      <c r="H7" s="194"/>
      <c r="I7" s="195"/>
      <c r="J7" s="192" t="s">
        <v>26</v>
      </c>
      <c r="K7" s="193" t="s">
        <v>27</v>
      </c>
      <c r="L7" s="420" t="str">
        <f>'26-10 payroll'!B8</f>
        <v>Sanchez, Angelo</v>
      </c>
      <c r="M7" s="420"/>
      <c r="N7" s="420"/>
      <c r="O7" s="9"/>
      <c r="P7" s="194"/>
    </row>
    <row r="8" spans="1:22">
      <c r="B8" s="192" t="s">
        <v>28</v>
      </c>
      <c r="C8" s="193" t="s">
        <v>27</v>
      </c>
      <c r="D8" s="421">
        <f>'26-10 payroll'!E7</f>
        <v>502</v>
      </c>
      <c r="E8" s="421"/>
      <c r="F8" s="421"/>
      <c r="G8" s="55"/>
      <c r="H8" s="196"/>
      <c r="I8" s="195"/>
      <c r="J8" s="192" t="s">
        <v>28</v>
      </c>
      <c r="K8" s="193" t="s">
        <v>27</v>
      </c>
      <c r="L8" s="421">
        <f>'26-10 payroll'!E8</f>
        <v>502</v>
      </c>
      <c r="M8" s="421"/>
      <c r="N8" s="421"/>
      <c r="O8" s="9"/>
      <c r="P8" s="196"/>
    </row>
    <row r="9" spans="1:22" s="187" customFormat="1">
      <c r="A9" s="170"/>
      <c r="B9" s="192" t="s">
        <v>29</v>
      </c>
      <c r="C9" s="193" t="s">
        <v>27</v>
      </c>
      <c r="D9" s="422" t="str">
        <f>'26-10 payroll'!D3</f>
        <v>FEBRUARY 26 - MARCH 10, 2018</v>
      </c>
      <c r="E9" s="422"/>
      <c r="F9" s="422"/>
      <c r="G9" s="55"/>
      <c r="H9" s="194"/>
      <c r="I9" s="195"/>
      <c r="J9" s="192" t="s">
        <v>29</v>
      </c>
      <c r="K9" s="193" t="s">
        <v>27</v>
      </c>
      <c r="L9" s="422" t="str">
        <f>'26-10 payroll'!D3</f>
        <v>FEBRUARY 26 - MARCH 10, 2018</v>
      </c>
      <c r="M9" s="422"/>
      <c r="N9" s="422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11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11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120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1099.8875</v>
      </c>
      <c r="G17" s="55"/>
      <c r="H17" s="56">
        <f>SUM(F13:F17)</f>
        <v>1219.8875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509.41250000000002</v>
      </c>
      <c r="O17" s="9"/>
      <c r="P17" s="10">
        <f>SUM(N13:N17)</f>
        <v>629.41250000000002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500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+'26-10 payroll'!E56+'26-10 payroll'!F56+'26-10 payroll'!G56+'26-10 payroll'!H56</f>
        <v>1687.5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300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70.2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94.5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6.2750000000000004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-2936.96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-500.77499999999998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4808.9274999999998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6654.6375000000007</v>
      </c>
      <c r="R28" s="215"/>
      <c r="T28" s="216">
        <f>+H28-'26-10 payroll'!S35</f>
        <v>-1757.6999999999998</v>
      </c>
      <c r="U28" s="217"/>
      <c r="V28" s="218">
        <f>+P28-'26-10 payroll'!S36</f>
        <v>-394.5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11" t="str">
        <f>'26-10 payroll'!A1</f>
        <v>THE OLD SPAGHETTI HOUSE</v>
      </c>
      <c r="C35" s="412"/>
      <c r="D35" s="412"/>
      <c r="E35" s="412"/>
      <c r="F35" s="412"/>
      <c r="G35" s="412"/>
      <c r="H35" s="413"/>
      <c r="I35" s="178"/>
      <c r="J35" s="411" t="str">
        <f>'26-10 payroll'!A1</f>
        <v>THE OLD SPAGHETTI HOUSE</v>
      </c>
      <c r="K35" s="412"/>
      <c r="L35" s="412"/>
      <c r="M35" s="412"/>
      <c r="N35" s="412"/>
      <c r="O35" s="412"/>
      <c r="P35" s="413"/>
    </row>
    <row r="36" spans="2:17">
      <c r="B36" s="414" t="str">
        <f>'26-10 payroll'!D2</f>
        <v>VALERO</v>
      </c>
      <c r="C36" s="415"/>
      <c r="D36" s="415"/>
      <c r="E36" s="415"/>
      <c r="F36" s="415"/>
      <c r="G36" s="415"/>
      <c r="H36" s="416"/>
      <c r="I36" s="178"/>
      <c r="J36" s="414" t="str">
        <f>'26-10 payroll'!D2</f>
        <v>VALERO</v>
      </c>
      <c r="K36" s="415"/>
      <c r="L36" s="415"/>
      <c r="M36" s="415"/>
      <c r="N36" s="415"/>
      <c r="O36" s="415"/>
      <c r="P36" s="416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17" t="s">
        <v>25</v>
      </c>
      <c r="C38" s="418"/>
      <c r="D38" s="418"/>
      <c r="E38" s="418"/>
      <c r="F38" s="418"/>
      <c r="G38" s="418"/>
      <c r="H38" s="419"/>
      <c r="I38" s="178"/>
      <c r="J38" s="417" t="s">
        <v>25</v>
      </c>
      <c r="K38" s="418"/>
      <c r="L38" s="418"/>
      <c r="M38" s="418"/>
      <c r="N38" s="418"/>
      <c r="O38" s="418"/>
      <c r="P38" s="419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20" t="str">
        <f>'26-10 payroll'!B24</f>
        <v>Dino, Joyce</v>
      </c>
      <c r="E40" s="420"/>
      <c r="F40" s="420"/>
      <c r="G40" s="55"/>
      <c r="H40" s="194"/>
      <c r="I40" s="195"/>
      <c r="J40" s="192" t="s">
        <v>26</v>
      </c>
      <c r="K40" s="193" t="s">
        <v>27</v>
      </c>
      <c r="L40" s="423" t="str">
        <f>'26-10 payroll'!B10</f>
        <v xml:space="preserve">Sosa, Anna Marie </v>
      </c>
      <c r="M40" s="420"/>
      <c r="N40" s="420"/>
      <c r="O40" s="9"/>
      <c r="P40" s="194"/>
    </row>
    <row r="41" spans="2:17">
      <c r="B41" s="192" t="s">
        <v>28</v>
      </c>
      <c r="C41" s="193" t="s">
        <v>27</v>
      </c>
      <c r="D41" s="421">
        <f>'26-10 payroll'!E9</f>
        <v>790.23076923076928</v>
      </c>
      <c r="E41" s="421"/>
      <c r="F41" s="421"/>
      <c r="G41" s="55"/>
      <c r="H41" s="196"/>
      <c r="I41" s="195"/>
      <c r="J41" s="192" t="s">
        <v>28</v>
      </c>
      <c r="K41" s="193" t="s">
        <v>27</v>
      </c>
      <c r="L41" s="421">
        <f>'26-10 payroll'!E10</f>
        <v>502</v>
      </c>
      <c r="M41" s="421"/>
      <c r="N41" s="421"/>
      <c r="O41" s="9"/>
      <c r="P41" s="196"/>
    </row>
    <row r="42" spans="2:17">
      <c r="B42" s="192" t="s">
        <v>29</v>
      </c>
      <c r="C42" s="193" t="s">
        <v>27</v>
      </c>
      <c r="D42" s="422" t="str">
        <f>'26-10 payroll'!D3</f>
        <v>FEBRUARY 26 - MARCH 10, 2018</v>
      </c>
      <c r="E42" s="422"/>
      <c r="F42" s="422"/>
      <c r="G42" s="55"/>
      <c r="H42" s="194"/>
      <c r="I42" s="195"/>
      <c r="J42" s="192" t="s">
        <v>29</v>
      </c>
      <c r="K42" s="193" t="s">
        <v>27</v>
      </c>
      <c r="L42" s="422" t="str">
        <f>'26-10 payroll'!D3</f>
        <v>FEBRUARY 26 - MARCH 10, 2018</v>
      </c>
      <c r="M42" s="422"/>
      <c r="N42" s="422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6526</v>
      </c>
      <c r="Q43" s="174"/>
    </row>
    <row r="44" spans="2:17">
      <c r="B44" s="192"/>
      <c r="C44" s="198"/>
      <c r="D44" s="200" t="s">
        <v>31</v>
      </c>
      <c r="E44" s="202">
        <f>'26-10 payroll'!F9</f>
        <v>10.5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12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120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120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1264.8168269230769</v>
      </c>
      <c r="G50" s="55"/>
      <c r="H50" s="56">
        <f>SUM(F46:F50)</f>
        <v>1384.8168269230769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1062.2375</v>
      </c>
      <c r="O50" s="9"/>
      <c r="P50" s="10">
        <f>SUM(N46:N50)</f>
        <v>1182.2375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+'26-10 payroll'!E58+'26-10 payroll'!F58+'26-10 payroll'!G58+'26-10 payroll'!H58</f>
        <v>1901.39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65.7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59.4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payroll'!F24+'26-10 payroll'!H24</f>
        <v>558.10048076923078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149.55416666666667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1878.89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500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-4504.0804807692311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-1408.9541666666667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7153.7363461538462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6299.2833333333338</v>
      </c>
      <c r="Q61" s="174"/>
      <c r="T61" s="216">
        <f>+H61-'26-10 payroll'!S37</f>
        <v>-2017.0899999999983</v>
      </c>
      <c r="V61" s="237">
        <f>+P61-'26-10 payroll'!S38</f>
        <v>-59.399999999999636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11" t="str">
        <f>'26-10 payroll'!A1</f>
        <v>THE OLD SPAGHETTI HOUSE</v>
      </c>
      <c r="C68" s="412"/>
      <c r="D68" s="412"/>
      <c r="E68" s="412"/>
      <c r="F68" s="412"/>
      <c r="G68" s="412"/>
      <c r="H68" s="413"/>
      <c r="I68" s="178"/>
      <c r="J68" s="411" t="str">
        <f>'26-10 payroll'!A1</f>
        <v>THE OLD SPAGHETTI HOUSE</v>
      </c>
      <c r="K68" s="412"/>
      <c r="L68" s="412"/>
      <c r="M68" s="412"/>
      <c r="N68" s="412"/>
      <c r="O68" s="412"/>
      <c r="P68" s="413"/>
    </row>
    <row r="69" spans="2:17">
      <c r="B69" s="414" t="str">
        <f>'26-10 payroll'!D2</f>
        <v>VALERO</v>
      </c>
      <c r="C69" s="415"/>
      <c r="D69" s="415"/>
      <c r="E69" s="415"/>
      <c r="F69" s="415"/>
      <c r="G69" s="415"/>
      <c r="H69" s="416"/>
      <c r="I69" s="178"/>
      <c r="J69" s="414" t="str">
        <f>'26-10 payroll'!D2</f>
        <v>VALERO</v>
      </c>
      <c r="K69" s="415"/>
      <c r="L69" s="415"/>
      <c r="M69" s="415"/>
      <c r="N69" s="415"/>
      <c r="O69" s="415"/>
      <c r="P69" s="416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17" t="s">
        <v>25</v>
      </c>
      <c r="C71" s="418"/>
      <c r="D71" s="418"/>
      <c r="E71" s="418"/>
      <c r="F71" s="418"/>
      <c r="G71" s="418"/>
      <c r="H71" s="419"/>
      <c r="I71" s="178"/>
      <c r="J71" s="417" t="s">
        <v>25</v>
      </c>
      <c r="K71" s="418"/>
      <c r="L71" s="418"/>
      <c r="M71" s="418"/>
      <c r="N71" s="418"/>
      <c r="O71" s="418"/>
      <c r="P71" s="419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23" t="str">
        <f>'26-10 payroll'!B11</f>
        <v>Briones, Christain Joy</v>
      </c>
      <c r="E73" s="420"/>
      <c r="F73" s="420"/>
      <c r="G73" s="55"/>
      <c r="H73" s="194"/>
      <c r="I73" s="195"/>
      <c r="J73" s="192" t="s">
        <v>26</v>
      </c>
      <c r="K73" s="193" t="s">
        <v>27</v>
      </c>
      <c r="L73" s="423">
        <f>'26-10 payroll'!B12</f>
        <v>0</v>
      </c>
      <c r="M73" s="420"/>
      <c r="N73" s="420"/>
      <c r="O73" s="9"/>
      <c r="P73" s="194"/>
    </row>
    <row r="74" spans="2:17">
      <c r="B74" s="192" t="s">
        <v>28</v>
      </c>
      <c r="C74" s="193" t="s">
        <v>27</v>
      </c>
      <c r="D74" s="421">
        <f>'26-10 payroll'!E11</f>
        <v>502</v>
      </c>
      <c r="E74" s="421"/>
      <c r="F74" s="421"/>
      <c r="G74" s="55"/>
      <c r="H74" s="196"/>
      <c r="I74" s="195"/>
      <c r="J74" s="192" t="s">
        <v>28</v>
      </c>
      <c r="K74" s="193" t="s">
        <v>27</v>
      </c>
      <c r="L74" s="421">
        <f>'26-10 payroll'!E12</f>
        <v>0</v>
      </c>
      <c r="M74" s="421"/>
      <c r="N74" s="421"/>
      <c r="O74" s="9"/>
      <c r="P74" s="196"/>
    </row>
    <row r="75" spans="2:17">
      <c r="B75" s="192" t="s">
        <v>29</v>
      </c>
      <c r="C75" s="193" t="s">
        <v>27</v>
      </c>
      <c r="D75" s="422" t="str">
        <f>'26-10 payroll'!D3</f>
        <v>FEBRUARY 26 - MARCH 10, 2018</v>
      </c>
      <c r="E75" s="422"/>
      <c r="F75" s="422"/>
      <c r="G75" s="55"/>
      <c r="H75" s="194"/>
      <c r="I75" s="195"/>
      <c r="J75" s="192" t="s">
        <v>29</v>
      </c>
      <c r="K75" s="193" t="s">
        <v>27</v>
      </c>
      <c r="L75" s="422" t="str">
        <f>'26-10 payroll'!D3</f>
        <v>FEBRUARY 26 - MARCH 10, 2018</v>
      </c>
      <c r="M75" s="422"/>
      <c r="N75" s="422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'26-10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0</v>
      </c>
      <c r="Q76" s="174"/>
    </row>
    <row r="77" spans="2:17">
      <c r="B77" s="192"/>
      <c r="C77" s="198"/>
      <c r="D77" s="200" t="s">
        <v>31</v>
      </c>
      <c r="E77" s="202">
        <f>'26-10 payroll'!F11</f>
        <v>11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196.09375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110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28.237500000000001</v>
      </c>
      <c r="G83" s="55"/>
      <c r="H83" s="56">
        <f>SUM(F79:F83)</f>
        <v>334.33125000000001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+'26-10 payroll'!E60+'26-10 payroll'!F60+'26-10 payroll'!G60+'26-10 payroll'!H60</f>
        <v>300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payroll'!F26+'26-10 payroll'!H26</f>
        <v>515.5958333333333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986.7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-1902.2958333333333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4958.0354166666666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+H94-'26-10 payroll'!S39</f>
        <v>-300</v>
      </c>
      <c r="V94" s="237">
        <f>+P94-'26-10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11" t="str">
        <f>'26-10 payroll'!A1</f>
        <v>THE OLD SPAGHETTI HOUSE</v>
      </c>
      <c r="C101" s="412"/>
      <c r="D101" s="412"/>
      <c r="E101" s="412"/>
      <c r="F101" s="412"/>
      <c r="G101" s="412"/>
      <c r="H101" s="413"/>
      <c r="I101" s="178"/>
      <c r="J101" s="411" t="str">
        <f>'26-10 payroll'!A1</f>
        <v>THE OLD SPAGHETTI HOUSE</v>
      </c>
      <c r="K101" s="412"/>
      <c r="L101" s="412"/>
      <c r="M101" s="412"/>
      <c r="N101" s="412"/>
      <c r="O101" s="412"/>
      <c r="P101" s="413"/>
    </row>
    <row r="102" spans="2:17">
      <c r="B102" s="414" t="str">
        <f>'26-10 payroll'!D2</f>
        <v>VALERO</v>
      </c>
      <c r="C102" s="415"/>
      <c r="D102" s="415"/>
      <c r="E102" s="415"/>
      <c r="F102" s="415"/>
      <c r="G102" s="415"/>
      <c r="H102" s="416"/>
      <c r="I102" s="178"/>
      <c r="J102" s="414" t="str">
        <f>'26-10 payroll'!D2</f>
        <v>VALERO</v>
      </c>
      <c r="K102" s="415"/>
      <c r="L102" s="415"/>
      <c r="M102" s="415"/>
      <c r="N102" s="415"/>
      <c r="O102" s="415"/>
      <c r="P102" s="416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17" t="s">
        <v>25</v>
      </c>
      <c r="C104" s="418"/>
      <c r="D104" s="418"/>
      <c r="E104" s="418"/>
      <c r="F104" s="418"/>
      <c r="G104" s="418"/>
      <c r="H104" s="419"/>
      <c r="I104" s="178"/>
      <c r="J104" s="417" t="s">
        <v>25</v>
      </c>
      <c r="K104" s="418"/>
      <c r="L104" s="418"/>
      <c r="M104" s="418"/>
      <c r="N104" s="418"/>
      <c r="O104" s="418"/>
      <c r="P104" s="419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23">
        <f>'26-10 payroll'!B13</f>
        <v>0</v>
      </c>
      <c r="E106" s="420"/>
      <c r="F106" s="420"/>
      <c r="G106" s="55"/>
      <c r="H106" s="194"/>
      <c r="I106" s="195"/>
      <c r="J106" s="192" t="s">
        <v>26</v>
      </c>
      <c r="K106" s="193" t="s">
        <v>27</v>
      </c>
      <c r="L106" s="423">
        <f>'26-10 payroll'!B29</f>
        <v>0</v>
      </c>
      <c r="M106" s="420"/>
      <c r="N106" s="420"/>
      <c r="O106" s="9"/>
      <c r="P106" s="194"/>
    </row>
    <row r="107" spans="2:17">
      <c r="B107" s="192" t="s">
        <v>28</v>
      </c>
      <c r="C107" s="193" t="s">
        <v>27</v>
      </c>
      <c r="D107" s="421">
        <f>'26-10 payroll'!E13</f>
        <v>0</v>
      </c>
      <c r="E107" s="421"/>
      <c r="F107" s="421"/>
      <c r="G107" s="55"/>
      <c r="H107" s="196"/>
      <c r="I107" s="195"/>
      <c r="J107" s="192" t="s">
        <v>28</v>
      </c>
      <c r="K107" s="193" t="s">
        <v>27</v>
      </c>
      <c r="L107" s="421">
        <f>'26-10 payroll'!E14</f>
        <v>0</v>
      </c>
      <c r="M107" s="421"/>
      <c r="N107" s="421"/>
      <c r="O107" s="9"/>
      <c r="P107" s="196"/>
    </row>
    <row r="108" spans="2:17">
      <c r="B108" s="192" t="s">
        <v>29</v>
      </c>
      <c r="C108" s="193" t="s">
        <v>27</v>
      </c>
      <c r="D108" s="422" t="str">
        <f>'26-10 payroll'!D3</f>
        <v>FEBRUARY 26 - MARCH 10, 2018</v>
      </c>
      <c r="E108" s="422"/>
      <c r="F108" s="422"/>
      <c r="G108" s="55"/>
      <c r="H108" s="194"/>
      <c r="I108" s="195"/>
      <c r="J108" s="192" t="s">
        <v>29</v>
      </c>
      <c r="K108" s="193" t="s">
        <v>27</v>
      </c>
      <c r="L108" s="422" t="str">
        <f>'26-10 payroll'!D3</f>
        <v>FEBRUARY 26 - MARCH 10, 2018</v>
      </c>
      <c r="M108" s="422"/>
      <c r="N108" s="422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11" t="str">
        <f>'26-10 payroll'!A1</f>
        <v>THE OLD SPAGHETTI HOUSE</v>
      </c>
      <c r="C134" s="412"/>
      <c r="D134" s="412"/>
      <c r="E134" s="412"/>
      <c r="F134" s="412"/>
      <c r="G134" s="412"/>
      <c r="H134" s="413"/>
      <c r="I134" s="178"/>
      <c r="J134" s="411" t="str">
        <f>'26-10 payroll'!A1</f>
        <v>THE OLD SPAGHETTI HOUSE</v>
      </c>
      <c r="K134" s="412"/>
      <c r="L134" s="412"/>
      <c r="M134" s="412"/>
      <c r="N134" s="412"/>
      <c r="O134" s="412"/>
      <c r="P134" s="413"/>
    </row>
    <row r="135" spans="2:17">
      <c r="B135" s="414" t="str">
        <f>'26-10 payroll'!D2</f>
        <v>VALERO</v>
      </c>
      <c r="C135" s="415"/>
      <c r="D135" s="415"/>
      <c r="E135" s="415"/>
      <c r="F135" s="415"/>
      <c r="G135" s="415"/>
      <c r="H135" s="416"/>
      <c r="I135" s="178"/>
      <c r="J135" s="414" t="str">
        <f>'26-10 payroll'!D2</f>
        <v>VALERO</v>
      </c>
      <c r="K135" s="415"/>
      <c r="L135" s="415"/>
      <c r="M135" s="415"/>
      <c r="N135" s="415"/>
      <c r="O135" s="415"/>
      <c r="P135" s="416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17" t="s">
        <v>25</v>
      </c>
      <c r="C137" s="418"/>
      <c r="D137" s="418"/>
      <c r="E137" s="418"/>
      <c r="F137" s="418"/>
      <c r="G137" s="418"/>
      <c r="H137" s="419"/>
      <c r="I137" s="178"/>
      <c r="J137" s="417" t="s">
        <v>25</v>
      </c>
      <c r="K137" s="418"/>
      <c r="L137" s="418"/>
      <c r="M137" s="418"/>
      <c r="N137" s="418"/>
      <c r="O137" s="418"/>
      <c r="P137" s="419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23">
        <f>'26-10 payroll'!B15</f>
        <v>0</v>
      </c>
      <c r="E139" s="420"/>
      <c r="F139" s="420"/>
      <c r="G139" s="55"/>
      <c r="H139" s="194"/>
      <c r="I139" s="195"/>
      <c r="J139" s="192" t="s">
        <v>26</v>
      </c>
      <c r="K139" s="193" t="s">
        <v>27</v>
      </c>
      <c r="L139" s="420">
        <f>'26-10 payroll'!C112</f>
        <v>0</v>
      </c>
      <c r="M139" s="420"/>
      <c r="N139" s="420"/>
      <c r="O139" s="9"/>
      <c r="P139" s="194"/>
    </row>
    <row r="140" spans="2:17">
      <c r="B140" s="192" t="s">
        <v>28</v>
      </c>
      <c r="C140" s="193" t="s">
        <v>27</v>
      </c>
      <c r="D140" s="421">
        <f>'26-10 payroll'!E15</f>
        <v>0</v>
      </c>
      <c r="E140" s="421"/>
      <c r="F140" s="421"/>
      <c r="G140" s="55"/>
      <c r="H140" s="196"/>
      <c r="I140" s="195"/>
      <c r="J140" s="192" t="s">
        <v>28</v>
      </c>
      <c r="K140" s="193" t="s">
        <v>27</v>
      </c>
      <c r="L140" s="421">
        <f>'26-10 payroll'!E112</f>
        <v>0</v>
      </c>
      <c r="M140" s="421"/>
      <c r="N140" s="421"/>
      <c r="O140" s="9"/>
      <c r="P140" s="196"/>
    </row>
    <row r="141" spans="2:17">
      <c r="B141" s="192" t="s">
        <v>29</v>
      </c>
      <c r="C141" s="193" t="s">
        <v>27</v>
      </c>
      <c r="D141" s="422" t="str">
        <f>'26-10 payroll'!D3</f>
        <v>FEBRUARY 26 - MARCH 10, 2018</v>
      </c>
      <c r="E141" s="422"/>
      <c r="F141" s="422"/>
      <c r="G141" s="55"/>
      <c r="H141" s="194"/>
      <c r="I141" s="195"/>
      <c r="J141" s="192" t="s">
        <v>29</v>
      </c>
      <c r="K141" s="193" t="s">
        <v>27</v>
      </c>
      <c r="L141" s="422">
        <f>'26-10 payroll'!D105</f>
        <v>0</v>
      </c>
      <c r="M141" s="422"/>
      <c r="N141" s="422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335"/>
  <sheetViews>
    <sheetView zoomScale="90" zoomScaleNormal="90" workbookViewId="0">
      <pane ySplit="6" topLeftCell="A258" activePane="bottomLeft" state="frozen"/>
      <selection pane="bottomLeft" activeCell="G258" sqref="G258"/>
    </sheetView>
  </sheetViews>
  <sheetFormatPr defaultRowHeight="15" customHeight="1"/>
  <cols>
    <col min="1" max="1" width="23" style="311" customWidth="1"/>
    <col min="2" max="7" width="8.7109375" style="311" customWidth="1"/>
    <col min="8" max="8" width="7.140625" style="338" bestFit="1" customWidth="1"/>
    <col min="9" max="9" width="4.42578125" style="338" bestFit="1" customWidth="1"/>
    <col min="10" max="10" width="7.140625" style="338" bestFit="1" customWidth="1"/>
    <col min="11" max="11" width="7.5703125" style="338" bestFit="1" customWidth="1"/>
    <col min="12" max="12" width="5.42578125" style="340" bestFit="1" customWidth="1"/>
    <col min="13" max="13" width="4.7109375" style="340" bestFit="1" customWidth="1"/>
    <col min="14" max="15" width="4.42578125" style="340" bestFit="1" customWidth="1"/>
    <col min="16" max="17" width="5.7109375" style="340" hidden="1" customWidth="1"/>
    <col min="18" max="18" width="5.7109375" style="340" customWidth="1"/>
    <col min="19" max="19" width="5.42578125" style="340" bestFit="1" customWidth="1"/>
    <col min="20" max="23" width="5.7109375" style="340" hidden="1" customWidth="1"/>
    <col min="24" max="24" width="6.140625" style="340" bestFit="1" customWidth="1"/>
    <col min="25" max="26" width="11.42578125" style="312" hidden="1" customWidth="1"/>
    <col min="27" max="27" width="33" style="314" customWidth="1"/>
    <col min="28" max="28" width="6" style="311" customWidth="1"/>
    <col min="29" max="16384" width="9.140625" style="311"/>
  </cols>
  <sheetData>
    <row r="1" spans="1:27" s="277" customFormat="1" ht="30">
      <c r="A1" s="342" t="s">
        <v>157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  <c r="W1" s="342"/>
      <c r="X1" s="342"/>
      <c r="Y1" s="342"/>
      <c r="Z1" s="342"/>
      <c r="AA1" s="342"/>
    </row>
    <row r="2" spans="1:27" s="277" customFormat="1" ht="30">
      <c r="A2" s="342" t="s">
        <v>263</v>
      </c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  <c r="R2" s="342"/>
      <c r="S2" s="342"/>
      <c r="T2" s="342"/>
      <c r="U2" s="342"/>
      <c r="V2" s="342"/>
      <c r="W2" s="342"/>
      <c r="X2" s="342"/>
      <c r="Y2" s="342"/>
      <c r="Z2" s="342"/>
      <c r="AA2" s="342"/>
    </row>
    <row r="3" spans="1:27" s="277" customFormat="1" ht="30">
      <c r="A3" s="342" t="s">
        <v>264</v>
      </c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  <c r="X3" s="342"/>
      <c r="Y3" s="342"/>
      <c r="Z3" s="342"/>
      <c r="AA3" s="342"/>
    </row>
    <row r="4" spans="1:27" s="282" customFormat="1" ht="22.5" customHeight="1" thickBot="1">
      <c r="A4" s="278" t="s">
        <v>160</v>
      </c>
      <c r="B4" s="279"/>
      <c r="C4" s="279"/>
      <c r="D4" s="279"/>
      <c r="E4" s="279"/>
      <c r="F4" s="280"/>
      <c r="G4" s="280"/>
      <c r="H4" s="343" t="s">
        <v>161</v>
      </c>
      <c r="I4" s="343"/>
      <c r="J4" s="343"/>
      <c r="K4" s="343"/>
      <c r="L4" s="343"/>
      <c r="M4" s="343"/>
      <c r="N4" s="343"/>
      <c r="O4" s="343"/>
      <c r="P4" s="343"/>
      <c r="Q4" s="343"/>
      <c r="R4" s="343"/>
      <c r="S4" s="343"/>
      <c r="T4" s="343"/>
      <c r="U4" s="343"/>
      <c r="V4" s="343"/>
      <c r="W4" s="343"/>
      <c r="X4" s="343"/>
      <c r="Y4" s="281"/>
      <c r="Z4" s="281"/>
    </row>
    <row r="5" spans="1:27" s="282" customFormat="1" ht="22.5" customHeight="1" thickBot="1">
      <c r="A5" s="283" t="s">
        <v>162</v>
      </c>
      <c r="B5" s="284" t="s">
        <v>163</v>
      </c>
      <c r="C5" s="284"/>
      <c r="D5" s="284" t="s">
        <v>164</v>
      </c>
      <c r="E5" s="284"/>
      <c r="F5" s="284" t="s">
        <v>164</v>
      </c>
      <c r="G5" s="284"/>
      <c r="H5" s="344" t="s">
        <v>91</v>
      </c>
      <c r="I5" s="345"/>
      <c r="J5" s="345"/>
      <c r="K5" s="346"/>
      <c r="L5" s="347" t="s">
        <v>90</v>
      </c>
      <c r="M5" s="349" t="s">
        <v>165</v>
      </c>
      <c r="N5" s="349" t="s">
        <v>166</v>
      </c>
      <c r="O5" s="351" t="s">
        <v>167</v>
      </c>
      <c r="P5" s="352"/>
      <c r="Q5" s="353"/>
      <c r="R5" s="349" t="s">
        <v>168</v>
      </c>
      <c r="S5" s="351" t="s">
        <v>19</v>
      </c>
      <c r="T5" s="352"/>
      <c r="U5" s="353"/>
      <c r="V5" s="349" t="s">
        <v>126</v>
      </c>
      <c r="W5" s="349" t="s">
        <v>127</v>
      </c>
      <c r="X5" s="354" t="s">
        <v>105</v>
      </c>
      <c r="Y5" s="285" t="s">
        <v>169</v>
      </c>
      <c r="Z5" s="285"/>
      <c r="AA5" s="307" t="s">
        <v>170</v>
      </c>
    </row>
    <row r="6" spans="1:27" s="282" customFormat="1" ht="22.5" customHeight="1" thickBot="1">
      <c r="A6" s="283"/>
      <c r="B6" s="284" t="s">
        <v>171</v>
      </c>
      <c r="C6" s="284" t="s">
        <v>172</v>
      </c>
      <c r="D6" s="284" t="s">
        <v>171</v>
      </c>
      <c r="E6" s="284" t="s">
        <v>172</v>
      </c>
      <c r="F6" s="284" t="s">
        <v>171</v>
      </c>
      <c r="G6" s="284" t="s">
        <v>172</v>
      </c>
      <c r="H6" s="286" t="s">
        <v>173</v>
      </c>
      <c r="I6" s="286" t="s">
        <v>93</v>
      </c>
      <c r="J6" s="286" t="s">
        <v>94</v>
      </c>
      <c r="K6" s="287" t="s">
        <v>174</v>
      </c>
      <c r="L6" s="348"/>
      <c r="M6" s="350"/>
      <c r="N6" s="350"/>
      <c r="O6" s="288" t="s">
        <v>175</v>
      </c>
      <c r="P6" s="288" t="s">
        <v>176</v>
      </c>
      <c r="Q6" s="329" t="s">
        <v>127</v>
      </c>
      <c r="R6" s="350"/>
      <c r="S6" s="288" t="s">
        <v>175</v>
      </c>
      <c r="T6" s="288" t="s">
        <v>176</v>
      </c>
      <c r="U6" s="329" t="s">
        <v>127</v>
      </c>
      <c r="V6" s="350"/>
      <c r="W6" s="350"/>
      <c r="X6" s="355"/>
      <c r="Y6" s="285" t="s">
        <v>171</v>
      </c>
      <c r="Z6" s="285" t="s">
        <v>172</v>
      </c>
      <c r="AA6" s="307"/>
    </row>
    <row r="7" spans="1:27" s="277" customFormat="1" ht="22.5" customHeight="1">
      <c r="A7" s="290" t="s">
        <v>177</v>
      </c>
      <c r="B7" s="291" t="s">
        <v>178</v>
      </c>
      <c r="C7" s="291"/>
      <c r="D7" s="291"/>
      <c r="E7" s="291"/>
      <c r="F7" s="291"/>
      <c r="G7" s="291"/>
      <c r="H7" s="331"/>
      <c r="I7" s="331"/>
      <c r="J7" s="331"/>
      <c r="K7" s="331"/>
      <c r="L7" s="332"/>
      <c r="M7" s="332"/>
      <c r="N7" s="332"/>
      <c r="O7" s="332"/>
      <c r="P7" s="332"/>
      <c r="Q7" s="332"/>
      <c r="R7" s="332"/>
      <c r="S7" s="332"/>
      <c r="T7" s="332"/>
      <c r="U7" s="332"/>
      <c r="V7" s="332"/>
      <c r="W7" s="332"/>
      <c r="X7" s="332"/>
      <c r="Y7" s="292"/>
      <c r="Z7" s="292"/>
      <c r="AA7" s="291"/>
    </row>
    <row r="8" spans="1:27" s="277" customFormat="1" ht="22.5" customHeight="1">
      <c r="A8" s="290" t="s">
        <v>179</v>
      </c>
      <c r="B8" s="291" t="s">
        <v>180</v>
      </c>
      <c r="C8" s="291"/>
      <c r="D8" s="291"/>
      <c r="E8" s="291"/>
      <c r="F8" s="426"/>
      <c r="G8" s="426"/>
      <c r="H8" s="331"/>
      <c r="I8" s="331"/>
      <c r="J8" s="331"/>
      <c r="K8" s="331"/>
      <c r="L8" s="332"/>
      <c r="M8" s="332"/>
      <c r="N8" s="332"/>
      <c r="O8" s="332"/>
      <c r="P8" s="332"/>
      <c r="Q8" s="332"/>
      <c r="R8" s="332"/>
      <c r="S8" s="332"/>
      <c r="T8" s="332"/>
      <c r="U8" s="332"/>
      <c r="V8" s="332"/>
      <c r="W8" s="332"/>
      <c r="X8" s="332"/>
      <c r="Y8" s="292"/>
      <c r="Z8" s="292"/>
      <c r="AA8" s="291"/>
    </row>
    <row r="9" spans="1:27" s="277" customFormat="1" ht="22.5" customHeight="1">
      <c r="A9" s="293" t="s">
        <v>265</v>
      </c>
      <c r="B9" s="301"/>
      <c r="C9" s="301"/>
      <c r="D9" s="302"/>
      <c r="E9" s="302"/>
      <c r="F9" s="356" t="s">
        <v>188</v>
      </c>
      <c r="G9" s="356"/>
      <c r="H9" s="333"/>
      <c r="I9" s="333"/>
      <c r="J9" s="333"/>
      <c r="K9" s="333"/>
      <c r="L9" s="334"/>
      <c r="M9" s="334"/>
      <c r="N9" s="334"/>
      <c r="O9" s="334"/>
      <c r="P9" s="334"/>
      <c r="Q9" s="334"/>
      <c r="R9" s="334"/>
      <c r="S9" s="334"/>
      <c r="T9" s="334"/>
      <c r="U9" s="334"/>
      <c r="V9" s="334"/>
      <c r="W9" s="334"/>
      <c r="X9" s="334"/>
      <c r="Y9" s="303"/>
      <c r="Z9" s="303"/>
      <c r="AA9" s="293"/>
    </row>
    <row r="10" spans="1:27" s="277" customFormat="1" ht="22.5" customHeight="1">
      <c r="A10" s="297" t="s">
        <v>266</v>
      </c>
      <c r="B10" s="298">
        <v>0.4777777777777778</v>
      </c>
      <c r="C10" s="298">
        <v>0.59166666666666667</v>
      </c>
      <c r="D10" s="298">
        <v>0.4777777777777778</v>
      </c>
      <c r="E10" s="298">
        <v>0.59166666666666667</v>
      </c>
      <c r="F10" s="299">
        <v>0.47916666666666669</v>
      </c>
      <c r="G10" s="299">
        <v>0.59166666666666667</v>
      </c>
      <c r="H10" s="335"/>
      <c r="I10" s="335"/>
      <c r="J10" s="335"/>
      <c r="K10" s="335"/>
      <c r="L10" s="336"/>
      <c r="M10" s="336"/>
      <c r="N10" s="336"/>
      <c r="O10" s="336"/>
      <c r="P10" s="336"/>
      <c r="Q10" s="336"/>
      <c r="R10" s="336"/>
      <c r="S10" s="336"/>
      <c r="T10" s="336"/>
      <c r="U10" s="336"/>
      <c r="V10" s="336"/>
      <c r="W10" s="336"/>
      <c r="X10" s="336"/>
      <c r="Y10" s="300">
        <v>0</v>
      </c>
      <c r="Z10" s="300">
        <v>0</v>
      </c>
      <c r="AA10" s="297"/>
    </row>
    <row r="11" spans="1:27" s="277" customFormat="1" ht="22.5" customHeight="1">
      <c r="A11" s="293" t="s">
        <v>266</v>
      </c>
      <c r="B11" s="294">
        <v>0.75138888888888899</v>
      </c>
      <c r="C11" s="294">
        <v>0.97916666666666663</v>
      </c>
      <c r="D11" s="294">
        <v>0.75138888888888899</v>
      </c>
      <c r="E11" s="294">
        <v>0.97916666666666663</v>
      </c>
      <c r="F11" s="295">
        <v>0.7583333333333333</v>
      </c>
      <c r="G11" s="295">
        <v>0.97916666666666663</v>
      </c>
      <c r="H11" s="333"/>
      <c r="I11" s="333"/>
      <c r="J11" s="333"/>
      <c r="K11" s="333"/>
      <c r="L11" s="334">
        <v>1</v>
      </c>
      <c r="M11" s="334"/>
      <c r="N11" s="334"/>
      <c r="O11" s="334"/>
      <c r="P11" s="334"/>
      <c r="Q11" s="334"/>
      <c r="R11" s="334"/>
      <c r="S11" s="334">
        <v>1.5</v>
      </c>
      <c r="T11" s="334"/>
      <c r="U11" s="334"/>
      <c r="V11" s="334"/>
      <c r="W11" s="334"/>
      <c r="X11" s="334"/>
      <c r="Y11" s="296">
        <v>0</v>
      </c>
      <c r="Z11" s="296">
        <v>0</v>
      </c>
      <c r="AA11" s="293"/>
    </row>
    <row r="12" spans="1:27" s="277" customFormat="1" ht="22.5" customHeight="1">
      <c r="A12" s="297" t="s">
        <v>267</v>
      </c>
      <c r="B12" s="298">
        <v>0.49027777777777781</v>
      </c>
      <c r="C12" s="298">
        <v>0.59930555555555554</v>
      </c>
      <c r="D12" s="298">
        <v>0.49027777777777781</v>
      </c>
      <c r="E12" s="298">
        <v>0.59930555555555554</v>
      </c>
      <c r="F12" s="299">
        <v>0.47916666666666669</v>
      </c>
      <c r="G12" s="299">
        <v>0.59930555555555554</v>
      </c>
      <c r="H12" s="335"/>
      <c r="I12" s="335"/>
      <c r="J12" s="335"/>
      <c r="K12" s="335"/>
      <c r="L12" s="336"/>
      <c r="M12" s="336"/>
      <c r="N12" s="336"/>
      <c r="O12" s="336"/>
      <c r="P12" s="336"/>
      <c r="Q12" s="336"/>
      <c r="R12" s="336"/>
      <c r="S12" s="336"/>
      <c r="T12" s="336"/>
      <c r="U12" s="336"/>
      <c r="V12" s="336"/>
      <c r="W12" s="336"/>
      <c r="X12" s="336"/>
      <c r="Y12" s="300">
        <v>0</v>
      </c>
      <c r="Z12" s="300">
        <v>0</v>
      </c>
      <c r="AA12" s="297" t="s">
        <v>268</v>
      </c>
    </row>
    <row r="13" spans="1:27" s="277" customFormat="1" ht="22.5" customHeight="1">
      <c r="A13" s="293" t="s">
        <v>267</v>
      </c>
      <c r="B13" s="294">
        <v>0.75347222222222221</v>
      </c>
      <c r="C13" s="294">
        <v>0.97916666666666663</v>
      </c>
      <c r="D13" s="294">
        <v>0.75347222222222221</v>
      </c>
      <c r="E13" s="294">
        <v>0.97916666666666663</v>
      </c>
      <c r="F13" s="295">
        <v>0.76597222222222217</v>
      </c>
      <c r="G13" s="295">
        <v>0.97916666666666663</v>
      </c>
      <c r="H13" s="333"/>
      <c r="I13" s="333"/>
      <c r="J13" s="333"/>
      <c r="K13" s="333"/>
      <c r="L13" s="334">
        <v>1</v>
      </c>
      <c r="M13" s="334">
        <f>16/60</f>
        <v>0.26666666666666666</v>
      </c>
      <c r="N13" s="334"/>
      <c r="O13" s="334"/>
      <c r="P13" s="334"/>
      <c r="Q13" s="334"/>
      <c r="R13" s="334"/>
      <c r="S13" s="334">
        <v>1.5</v>
      </c>
      <c r="T13" s="334"/>
      <c r="U13" s="334"/>
      <c r="V13" s="334"/>
      <c r="W13" s="334"/>
      <c r="X13" s="334"/>
      <c r="Y13" s="296">
        <v>0</v>
      </c>
      <c r="Z13" s="296">
        <v>0</v>
      </c>
      <c r="AA13" s="293"/>
    </row>
    <row r="14" spans="1:27" s="277" customFormat="1" ht="22.5" customHeight="1">
      <c r="A14" s="297" t="s">
        <v>269</v>
      </c>
      <c r="B14" s="298">
        <v>0.4777777777777778</v>
      </c>
      <c r="C14" s="298">
        <v>0.58819444444444446</v>
      </c>
      <c r="D14" s="298">
        <v>0.4777777777777778</v>
      </c>
      <c r="E14" s="298">
        <v>0.58819444444444446</v>
      </c>
      <c r="F14" s="299">
        <v>0.47916666666666669</v>
      </c>
      <c r="G14" s="299">
        <v>0.58819444444444446</v>
      </c>
      <c r="H14" s="335"/>
      <c r="I14" s="335"/>
      <c r="J14" s="335"/>
      <c r="K14" s="335"/>
      <c r="L14" s="336"/>
      <c r="M14" s="336"/>
      <c r="N14" s="336"/>
      <c r="O14" s="336"/>
      <c r="P14" s="336"/>
      <c r="Q14" s="336"/>
      <c r="R14" s="336"/>
      <c r="S14" s="336"/>
      <c r="T14" s="336"/>
      <c r="U14" s="336"/>
      <c r="V14" s="336"/>
      <c r="W14" s="336"/>
      <c r="X14" s="336"/>
      <c r="Y14" s="300">
        <v>0</v>
      </c>
      <c r="Z14" s="300">
        <v>0</v>
      </c>
      <c r="AA14" s="297"/>
    </row>
    <row r="15" spans="1:27" s="277" customFormat="1" ht="22.5" customHeight="1">
      <c r="A15" s="293" t="s">
        <v>269</v>
      </c>
      <c r="B15" s="294">
        <v>0.74930555555555556</v>
      </c>
      <c r="C15" s="294">
        <v>0.97986111111111107</v>
      </c>
      <c r="D15" s="294">
        <v>0.74930555555555556</v>
      </c>
      <c r="E15" s="294">
        <v>0.97986111111111107</v>
      </c>
      <c r="F15" s="295">
        <v>0.75486111111111109</v>
      </c>
      <c r="G15" s="295">
        <v>0.97916666666666663</v>
      </c>
      <c r="H15" s="333"/>
      <c r="I15" s="333"/>
      <c r="J15" s="333"/>
      <c r="K15" s="333"/>
      <c r="L15" s="334">
        <v>1</v>
      </c>
      <c r="M15" s="334"/>
      <c r="N15" s="334"/>
      <c r="O15" s="334"/>
      <c r="P15" s="334"/>
      <c r="Q15" s="334"/>
      <c r="R15" s="334"/>
      <c r="S15" s="334">
        <v>1.5</v>
      </c>
      <c r="T15" s="334"/>
      <c r="U15" s="334"/>
      <c r="V15" s="334"/>
      <c r="W15" s="334"/>
      <c r="X15" s="334"/>
      <c r="Y15" s="296">
        <v>0</v>
      </c>
      <c r="Z15" s="296">
        <v>0</v>
      </c>
      <c r="AA15" s="293"/>
    </row>
    <row r="16" spans="1:27" s="277" customFormat="1" ht="22.5" customHeight="1">
      <c r="A16" s="293" t="s">
        <v>270</v>
      </c>
      <c r="B16" s="294">
        <v>0.4770833333333333</v>
      </c>
      <c r="C16" s="294">
        <v>0.59375</v>
      </c>
      <c r="D16" s="294">
        <v>0.4770833333333333</v>
      </c>
      <c r="E16" s="294">
        <v>0.59375</v>
      </c>
      <c r="F16" s="295">
        <v>0.47916666666666669</v>
      </c>
      <c r="G16" s="295">
        <v>0.59375</v>
      </c>
      <c r="H16" s="333"/>
      <c r="I16" s="333"/>
      <c r="J16" s="333"/>
      <c r="K16" s="333"/>
      <c r="L16" s="334"/>
      <c r="M16" s="334"/>
      <c r="N16" s="334"/>
      <c r="O16" s="334"/>
      <c r="P16" s="334"/>
      <c r="Q16" s="334"/>
      <c r="R16" s="334"/>
      <c r="S16" s="334"/>
      <c r="T16" s="334"/>
      <c r="U16" s="334"/>
      <c r="V16" s="334"/>
      <c r="W16" s="334"/>
      <c r="X16" s="334"/>
      <c r="Y16" s="296">
        <v>0</v>
      </c>
      <c r="Z16" s="296">
        <v>0</v>
      </c>
      <c r="AA16" s="293"/>
    </row>
    <row r="17" spans="1:27" s="277" customFormat="1" ht="22.5" customHeight="1">
      <c r="A17" s="297" t="s">
        <v>270</v>
      </c>
      <c r="B17" s="298">
        <v>0.75486111111111109</v>
      </c>
      <c r="C17" s="298">
        <v>0.97916666666666663</v>
      </c>
      <c r="D17" s="298">
        <v>0.75486111111111109</v>
      </c>
      <c r="E17" s="298">
        <v>0.97916666666666663</v>
      </c>
      <c r="F17" s="299">
        <v>0.76041666666666663</v>
      </c>
      <c r="G17" s="299">
        <v>0.97916666666666663</v>
      </c>
      <c r="H17" s="335"/>
      <c r="I17" s="335"/>
      <c r="J17" s="335"/>
      <c r="K17" s="335"/>
      <c r="L17" s="336">
        <v>1</v>
      </c>
      <c r="M17" s="336"/>
      <c r="N17" s="336"/>
      <c r="O17" s="336"/>
      <c r="P17" s="336"/>
      <c r="Q17" s="336"/>
      <c r="R17" s="336"/>
      <c r="S17" s="336">
        <v>1.5</v>
      </c>
      <c r="T17" s="336"/>
      <c r="U17" s="336"/>
      <c r="V17" s="336"/>
      <c r="W17" s="336"/>
      <c r="X17" s="336"/>
      <c r="Y17" s="300">
        <v>0</v>
      </c>
      <c r="Z17" s="300">
        <v>0</v>
      </c>
      <c r="AA17" s="297"/>
    </row>
    <row r="18" spans="1:27" s="277" customFormat="1" ht="22.5" customHeight="1">
      <c r="A18" s="293" t="s">
        <v>271</v>
      </c>
      <c r="B18" s="294">
        <v>0.48402777777777778</v>
      </c>
      <c r="C18" s="294">
        <v>0.58680555555555558</v>
      </c>
      <c r="D18" s="294">
        <v>0.48402777777777778</v>
      </c>
      <c r="E18" s="294">
        <v>0.58680555555555558</v>
      </c>
      <c r="F18" s="295">
        <v>0.47916666666666669</v>
      </c>
      <c r="G18" s="295">
        <v>0.58680555555555558</v>
      </c>
      <c r="H18" s="333"/>
      <c r="I18" s="333"/>
      <c r="J18" s="333"/>
      <c r="K18" s="333"/>
      <c r="L18" s="334"/>
      <c r="M18" s="334"/>
      <c r="N18" s="334"/>
      <c r="O18" s="334"/>
      <c r="P18" s="334"/>
      <c r="Q18" s="334"/>
      <c r="R18" s="334"/>
      <c r="S18" s="334"/>
      <c r="T18" s="334"/>
      <c r="U18" s="334"/>
      <c r="V18" s="334"/>
      <c r="W18" s="334"/>
      <c r="X18" s="334"/>
      <c r="Y18" s="296">
        <v>0</v>
      </c>
      <c r="Z18" s="296">
        <v>0</v>
      </c>
      <c r="AA18" s="293" t="s">
        <v>272</v>
      </c>
    </row>
    <row r="19" spans="1:27" s="277" customFormat="1" ht="22.5" customHeight="1">
      <c r="A19" s="297" t="s">
        <v>271</v>
      </c>
      <c r="B19" s="298">
        <v>0.74930555555555556</v>
      </c>
      <c r="C19" s="298">
        <v>0.97986111111111107</v>
      </c>
      <c r="D19" s="298">
        <v>0.74930555555555556</v>
      </c>
      <c r="E19" s="298">
        <v>0.97986111111111107</v>
      </c>
      <c r="F19" s="299">
        <v>0.75347222222222221</v>
      </c>
      <c r="G19" s="299">
        <v>0.97916666666666663</v>
      </c>
      <c r="H19" s="335"/>
      <c r="I19" s="335"/>
      <c r="J19" s="335"/>
      <c r="K19" s="335"/>
      <c r="L19" s="336">
        <v>1</v>
      </c>
      <c r="M19" s="336"/>
      <c r="N19" s="336"/>
      <c r="O19" s="336"/>
      <c r="P19" s="336"/>
      <c r="Q19" s="336"/>
      <c r="R19" s="336"/>
      <c r="S19" s="336">
        <v>1.5</v>
      </c>
      <c r="T19" s="336"/>
      <c r="U19" s="336"/>
      <c r="V19" s="336"/>
      <c r="W19" s="336"/>
      <c r="X19" s="336"/>
      <c r="Y19" s="300">
        <v>0</v>
      </c>
      <c r="Z19" s="300">
        <v>0</v>
      </c>
      <c r="AA19" s="297"/>
    </row>
    <row r="20" spans="1:27" s="277" customFormat="1" ht="22.5" customHeight="1">
      <c r="A20" s="297" t="s">
        <v>273</v>
      </c>
      <c r="B20" s="304"/>
      <c r="C20" s="304"/>
      <c r="D20" s="305"/>
      <c r="E20" s="305"/>
      <c r="F20" s="357" t="s">
        <v>188</v>
      </c>
      <c r="G20" s="357"/>
      <c r="H20" s="335"/>
      <c r="I20" s="335"/>
      <c r="J20" s="335"/>
      <c r="K20" s="335"/>
      <c r="L20" s="336"/>
      <c r="M20" s="336"/>
      <c r="N20" s="336"/>
      <c r="O20" s="336"/>
      <c r="P20" s="336"/>
      <c r="Q20" s="336"/>
      <c r="R20" s="336"/>
      <c r="S20" s="336"/>
      <c r="T20" s="336"/>
      <c r="U20" s="336"/>
      <c r="V20" s="336"/>
      <c r="W20" s="336"/>
      <c r="X20" s="336"/>
      <c r="Y20" s="306"/>
      <c r="Z20" s="306"/>
      <c r="AA20" s="297"/>
    </row>
    <row r="21" spans="1:27" s="277" customFormat="1" ht="22.5" customHeight="1">
      <c r="A21" s="293" t="s">
        <v>274</v>
      </c>
      <c r="B21" s="301"/>
      <c r="C21" s="301"/>
      <c r="D21" s="302"/>
      <c r="E21" s="302"/>
      <c r="F21" s="356" t="s">
        <v>188</v>
      </c>
      <c r="G21" s="356"/>
      <c r="H21" s="333"/>
      <c r="I21" s="333"/>
      <c r="J21" s="333"/>
      <c r="K21" s="333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03"/>
      <c r="Z21" s="303"/>
      <c r="AA21" s="293"/>
    </row>
    <row r="22" spans="1:27" s="277" customFormat="1" ht="22.5" customHeight="1">
      <c r="A22" s="297" t="s">
        <v>275</v>
      </c>
      <c r="B22" s="298">
        <v>0.49305555555555558</v>
      </c>
      <c r="C22" s="298">
        <v>0.59375</v>
      </c>
      <c r="D22" s="298">
        <v>0.49305555555555558</v>
      </c>
      <c r="E22" s="298">
        <v>0.59375</v>
      </c>
      <c r="F22" s="299">
        <v>0.5</v>
      </c>
      <c r="G22" s="299">
        <v>0.59375</v>
      </c>
      <c r="H22" s="335"/>
      <c r="I22" s="335"/>
      <c r="J22" s="335"/>
      <c r="K22" s="335"/>
      <c r="L22" s="336"/>
      <c r="M22" s="336"/>
      <c r="N22" s="336"/>
      <c r="O22" s="336"/>
      <c r="P22" s="336"/>
      <c r="Q22" s="336"/>
      <c r="R22" s="336"/>
      <c r="S22" s="336"/>
      <c r="T22" s="336"/>
      <c r="U22" s="336"/>
      <c r="V22" s="336"/>
      <c r="W22" s="336"/>
      <c r="X22" s="336"/>
      <c r="Y22" s="300">
        <v>0</v>
      </c>
      <c r="Z22" s="300">
        <v>0</v>
      </c>
      <c r="AA22" s="297"/>
    </row>
    <row r="23" spans="1:27" s="277" customFormat="1" ht="22.5" customHeight="1">
      <c r="A23" s="293" t="s">
        <v>275</v>
      </c>
      <c r="B23" s="294">
        <v>0.63611111111111118</v>
      </c>
      <c r="C23" s="294">
        <v>0.87916666666666676</v>
      </c>
      <c r="D23" s="294">
        <v>0.63611111111111118</v>
      </c>
      <c r="E23" s="294">
        <v>0.87916666666666676</v>
      </c>
      <c r="F23" s="295">
        <v>0.63541666666666663</v>
      </c>
      <c r="G23" s="295">
        <v>0.875</v>
      </c>
      <c r="H23" s="333"/>
      <c r="I23" s="333"/>
      <c r="J23" s="333"/>
      <c r="K23" s="333"/>
      <c r="L23" s="334">
        <v>1</v>
      </c>
      <c r="M23" s="334">
        <f>1/60</f>
        <v>1.6666666666666666E-2</v>
      </c>
      <c r="N23" s="334"/>
      <c r="O23" s="334"/>
      <c r="P23" s="334"/>
      <c r="Q23" s="334"/>
      <c r="R23" s="334"/>
      <c r="S23" s="334"/>
      <c r="T23" s="334"/>
      <c r="U23" s="334"/>
      <c r="V23" s="334"/>
      <c r="W23" s="334"/>
      <c r="X23" s="334"/>
      <c r="Y23" s="296">
        <v>0</v>
      </c>
      <c r="Z23" s="296">
        <v>0</v>
      </c>
      <c r="AA23" s="293"/>
    </row>
    <row r="24" spans="1:27" s="277" customFormat="1" ht="22.5" customHeight="1">
      <c r="A24" s="297" t="s">
        <v>276</v>
      </c>
      <c r="B24" s="298">
        <v>0.49791666666666662</v>
      </c>
      <c r="C24" s="298">
        <v>0.58819444444444446</v>
      </c>
      <c r="D24" s="298">
        <v>0.49791666666666662</v>
      </c>
      <c r="E24" s="298">
        <v>0.58819444444444446</v>
      </c>
      <c r="F24" s="299">
        <v>0.5</v>
      </c>
      <c r="G24" s="299">
        <v>0.58819444444444446</v>
      </c>
      <c r="H24" s="335"/>
      <c r="I24" s="335"/>
      <c r="J24" s="335"/>
      <c r="K24" s="335"/>
      <c r="L24" s="336"/>
      <c r="M24" s="336"/>
      <c r="N24" s="336"/>
      <c r="O24" s="336"/>
      <c r="P24" s="336"/>
      <c r="Q24" s="336"/>
      <c r="R24" s="336"/>
      <c r="S24" s="336"/>
      <c r="T24" s="336"/>
      <c r="U24" s="336"/>
      <c r="V24" s="336"/>
      <c r="W24" s="336"/>
      <c r="X24" s="336"/>
      <c r="Y24" s="300">
        <v>0</v>
      </c>
      <c r="Z24" s="300">
        <v>0</v>
      </c>
      <c r="AA24" s="297"/>
    </row>
    <row r="25" spans="1:27" s="277" customFormat="1" ht="22.5" customHeight="1">
      <c r="A25" s="293" t="s">
        <v>276</v>
      </c>
      <c r="B25" s="294">
        <v>0.62916666666666665</v>
      </c>
      <c r="C25" s="294">
        <v>0.88263888888888886</v>
      </c>
      <c r="D25" s="294">
        <v>0.62916666666666665</v>
      </c>
      <c r="E25" s="294">
        <v>0.88263888888888886</v>
      </c>
      <c r="F25" s="295">
        <v>0.62986111111111109</v>
      </c>
      <c r="G25" s="295">
        <v>0.875</v>
      </c>
      <c r="H25" s="333"/>
      <c r="I25" s="333"/>
      <c r="J25" s="333"/>
      <c r="K25" s="333"/>
      <c r="L25" s="334">
        <v>1</v>
      </c>
      <c r="M25" s="334"/>
      <c r="N25" s="334"/>
      <c r="O25" s="334"/>
      <c r="P25" s="334"/>
      <c r="Q25" s="334"/>
      <c r="R25" s="334"/>
      <c r="S25" s="334"/>
      <c r="T25" s="334"/>
      <c r="U25" s="334"/>
      <c r="V25" s="334"/>
      <c r="W25" s="334"/>
      <c r="X25" s="334"/>
      <c r="Y25" s="296">
        <v>0</v>
      </c>
      <c r="Z25" s="296">
        <v>0</v>
      </c>
      <c r="AA25" s="293"/>
    </row>
    <row r="26" spans="1:27" s="277" customFormat="1" ht="22.5" customHeight="1">
      <c r="A26" s="293" t="s">
        <v>277</v>
      </c>
      <c r="B26" s="294">
        <v>0.50277777777777777</v>
      </c>
      <c r="C26" s="294">
        <v>0.58819444444444446</v>
      </c>
      <c r="D26" s="294">
        <v>0.50277777777777777</v>
      </c>
      <c r="E26" s="294">
        <v>0.58819444444444446</v>
      </c>
      <c r="F26" s="295">
        <v>0.5</v>
      </c>
      <c r="G26" s="295">
        <v>0.58819444444444446</v>
      </c>
      <c r="H26" s="333"/>
      <c r="I26" s="333"/>
      <c r="J26" s="333"/>
      <c r="K26" s="333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296">
        <v>0</v>
      </c>
      <c r="Z26" s="296">
        <v>0</v>
      </c>
      <c r="AA26" s="293"/>
    </row>
    <row r="27" spans="1:27" s="277" customFormat="1" ht="22.5" customHeight="1">
      <c r="A27" s="297" t="s">
        <v>277</v>
      </c>
      <c r="B27" s="298">
        <v>0.62777777777777777</v>
      </c>
      <c r="C27" s="298">
        <v>0.88611111111111107</v>
      </c>
      <c r="D27" s="298">
        <v>0.62777777777777777</v>
      </c>
      <c r="E27" s="298">
        <v>0.88611111111111107</v>
      </c>
      <c r="F27" s="299">
        <v>0.62986111111111109</v>
      </c>
      <c r="G27" s="299">
        <v>0.875</v>
      </c>
      <c r="H27" s="335"/>
      <c r="I27" s="335"/>
      <c r="J27" s="335"/>
      <c r="K27" s="335"/>
      <c r="L27" s="336">
        <v>1</v>
      </c>
      <c r="M27" s="336"/>
      <c r="N27" s="336"/>
      <c r="O27" s="336"/>
      <c r="P27" s="336"/>
      <c r="Q27" s="336"/>
      <c r="R27" s="336"/>
      <c r="S27" s="336"/>
      <c r="T27" s="336"/>
      <c r="U27" s="336"/>
      <c r="V27" s="336"/>
      <c r="W27" s="336"/>
      <c r="X27" s="336"/>
      <c r="Y27" s="300">
        <v>0</v>
      </c>
      <c r="Z27" s="300">
        <v>0</v>
      </c>
      <c r="AA27" s="297"/>
    </row>
    <row r="28" spans="1:27" s="277" customFormat="1" ht="22.5" customHeight="1">
      <c r="A28" s="297" t="s">
        <v>278</v>
      </c>
      <c r="B28" s="298">
        <v>0.49583333333333335</v>
      </c>
      <c r="C28" s="298">
        <v>0.59791666666666665</v>
      </c>
      <c r="D28" s="298">
        <v>0.49583333333333335</v>
      </c>
      <c r="E28" s="298">
        <v>0.59791666666666665</v>
      </c>
      <c r="F28" s="299">
        <v>0.5</v>
      </c>
      <c r="G28" s="299">
        <v>0.59791666666666665</v>
      </c>
      <c r="H28" s="335"/>
      <c r="I28" s="335"/>
      <c r="J28" s="335"/>
      <c r="K28" s="335"/>
      <c r="L28" s="336"/>
      <c r="M28" s="336"/>
      <c r="N28" s="336"/>
      <c r="O28" s="336"/>
      <c r="P28" s="336"/>
      <c r="Q28" s="336"/>
      <c r="R28" s="336"/>
      <c r="S28" s="336"/>
      <c r="T28" s="336"/>
      <c r="U28" s="336"/>
      <c r="V28" s="336"/>
      <c r="W28" s="336"/>
      <c r="X28" s="336"/>
      <c r="Y28" s="300">
        <v>0</v>
      </c>
      <c r="Z28" s="300">
        <v>0</v>
      </c>
      <c r="AA28" s="297"/>
    </row>
    <row r="29" spans="1:27" s="277" customFormat="1" ht="22.5" customHeight="1">
      <c r="A29" s="293" t="s">
        <v>278</v>
      </c>
      <c r="B29" s="294">
        <v>0.64027777777777783</v>
      </c>
      <c r="C29" s="294">
        <v>0.8833333333333333</v>
      </c>
      <c r="D29" s="294">
        <v>0.64027777777777783</v>
      </c>
      <c r="E29" s="294">
        <v>0.8833333333333333</v>
      </c>
      <c r="F29" s="295">
        <v>0.63958333333333328</v>
      </c>
      <c r="G29" s="295">
        <v>0.875</v>
      </c>
      <c r="H29" s="333"/>
      <c r="I29" s="333"/>
      <c r="J29" s="333"/>
      <c r="K29" s="333"/>
      <c r="L29" s="334">
        <v>1</v>
      </c>
      <c r="M29" s="334">
        <f>1/60</f>
        <v>1.6666666666666666E-2</v>
      </c>
      <c r="N29" s="334"/>
      <c r="O29" s="334"/>
      <c r="P29" s="334"/>
      <c r="Q29" s="334"/>
      <c r="R29" s="334"/>
      <c r="S29" s="334"/>
      <c r="T29" s="334"/>
      <c r="U29" s="334"/>
      <c r="V29" s="334"/>
      <c r="W29" s="334"/>
      <c r="X29" s="334"/>
      <c r="Y29" s="296">
        <v>0</v>
      </c>
      <c r="Z29" s="296">
        <v>0</v>
      </c>
      <c r="AA29" s="293"/>
    </row>
    <row r="30" spans="1:27" s="277" customFormat="1" ht="22.5" customHeight="1">
      <c r="A30" s="297" t="s">
        <v>279</v>
      </c>
      <c r="B30" s="298">
        <v>0.49513888888888885</v>
      </c>
      <c r="C30" s="298">
        <v>0.58680555555555558</v>
      </c>
      <c r="D30" s="298">
        <v>0.49513888888888885</v>
      </c>
      <c r="E30" s="298">
        <v>0.58680555555555558</v>
      </c>
      <c r="F30" s="357"/>
      <c r="G30" s="357"/>
      <c r="H30" s="335"/>
      <c r="I30" s="335"/>
      <c r="J30" s="335"/>
      <c r="K30" s="335"/>
      <c r="L30" s="336"/>
      <c r="M30" s="336"/>
      <c r="N30" s="336"/>
      <c r="O30" s="336"/>
      <c r="P30" s="336"/>
      <c r="Q30" s="336"/>
      <c r="R30" s="336"/>
      <c r="S30" s="336"/>
      <c r="T30" s="336"/>
      <c r="U30" s="336"/>
      <c r="V30" s="336"/>
      <c r="W30" s="336"/>
      <c r="X30" s="336"/>
      <c r="Y30" s="300">
        <v>0</v>
      </c>
      <c r="Z30" s="300">
        <v>0</v>
      </c>
      <c r="AA30" s="297"/>
    </row>
    <row r="31" spans="1:27" s="277" customFormat="1" ht="22.5" customHeight="1">
      <c r="A31" s="293" t="s">
        <v>279</v>
      </c>
      <c r="B31" s="294">
        <v>0.62916666666666665</v>
      </c>
      <c r="C31" s="294">
        <v>0.88541666666666663</v>
      </c>
      <c r="D31" s="294">
        <v>0.62916666666666665</v>
      </c>
      <c r="E31" s="294">
        <v>0.88541666666666663</v>
      </c>
      <c r="F31" s="425" t="s">
        <v>280</v>
      </c>
      <c r="G31" s="356"/>
      <c r="H31" s="333"/>
      <c r="I31" s="333"/>
      <c r="J31" s="333"/>
      <c r="K31" s="333"/>
      <c r="L31" s="334">
        <v>1</v>
      </c>
      <c r="M31" s="334">
        <f>1/60</f>
        <v>1.6666666666666666E-2</v>
      </c>
      <c r="N31" s="334"/>
      <c r="O31" s="334"/>
      <c r="P31" s="334"/>
      <c r="Q31" s="334"/>
      <c r="R31" s="334"/>
      <c r="S31" s="334"/>
      <c r="T31" s="334"/>
      <c r="U31" s="334"/>
      <c r="V31" s="334"/>
      <c r="W31" s="334"/>
      <c r="X31" s="334"/>
      <c r="Y31" s="296">
        <v>0</v>
      </c>
      <c r="Z31" s="296">
        <v>0</v>
      </c>
      <c r="AA31" s="293"/>
    </row>
    <row r="32" spans="1:27" s="277" customFormat="1" ht="22.5" customHeight="1">
      <c r="A32" s="293" t="s">
        <v>281</v>
      </c>
      <c r="B32" s="294">
        <v>0.5</v>
      </c>
      <c r="C32" s="294">
        <v>0.63472222222222219</v>
      </c>
      <c r="D32" s="294">
        <v>0.5</v>
      </c>
      <c r="E32" s="294">
        <v>0.63472222222222219</v>
      </c>
      <c r="F32" s="356"/>
      <c r="G32" s="356"/>
      <c r="H32" s="333"/>
      <c r="I32" s="333"/>
      <c r="J32" s="333"/>
      <c r="K32" s="333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4"/>
      <c r="W32" s="334"/>
      <c r="X32" s="334"/>
      <c r="Y32" s="296">
        <v>0</v>
      </c>
      <c r="Z32" s="296">
        <v>0</v>
      </c>
      <c r="AA32" s="293"/>
    </row>
    <row r="33" spans="1:27" s="277" customFormat="1" ht="22.5" customHeight="1">
      <c r="A33" s="297" t="s">
        <v>281</v>
      </c>
      <c r="B33" s="298">
        <v>0.6777777777777777</v>
      </c>
      <c r="C33" s="298">
        <v>0.875</v>
      </c>
      <c r="D33" s="298">
        <v>0.6777777777777777</v>
      </c>
      <c r="E33" s="298">
        <v>0.875</v>
      </c>
      <c r="F33" s="424" t="s">
        <v>280</v>
      </c>
      <c r="G33" s="357"/>
      <c r="H33" s="335"/>
      <c r="I33" s="335"/>
      <c r="J33" s="335"/>
      <c r="K33" s="335"/>
      <c r="L33" s="336">
        <v>1</v>
      </c>
      <c r="M33" s="336">
        <f>2/60</f>
        <v>3.3333333333333333E-2</v>
      </c>
      <c r="N33" s="336"/>
      <c r="O33" s="336"/>
      <c r="P33" s="336"/>
      <c r="Q33" s="336"/>
      <c r="R33" s="336"/>
      <c r="S33" s="336"/>
      <c r="T33" s="336"/>
      <c r="U33" s="336"/>
      <c r="V33" s="336"/>
      <c r="W33" s="336"/>
      <c r="X33" s="336"/>
      <c r="Y33" s="300">
        <v>0</v>
      </c>
      <c r="Z33" s="300">
        <v>0</v>
      </c>
      <c r="AA33" s="297"/>
    </row>
    <row r="34" spans="1:27" s="277" customFormat="1" ht="22.5" customHeight="1">
      <c r="A34" s="297" t="s">
        <v>282</v>
      </c>
      <c r="B34" s="304"/>
      <c r="C34" s="304"/>
      <c r="D34" s="305"/>
      <c r="E34" s="305"/>
      <c r="F34" s="357" t="s">
        <v>188</v>
      </c>
      <c r="G34" s="357"/>
      <c r="H34" s="335"/>
      <c r="I34" s="335"/>
      <c r="J34" s="335"/>
      <c r="K34" s="335"/>
      <c r="L34" s="336"/>
      <c r="M34" s="336"/>
      <c r="N34" s="336"/>
      <c r="O34" s="336"/>
      <c r="P34" s="336"/>
      <c r="Q34" s="336"/>
      <c r="R34" s="336"/>
      <c r="S34" s="336"/>
      <c r="T34" s="336"/>
      <c r="U34" s="336"/>
      <c r="V34" s="336"/>
      <c r="W34" s="336"/>
      <c r="X34" s="336"/>
      <c r="Y34" s="306"/>
      <c r="Z34" s="306"/>
      <c r="AA34" s="297"/>
    </row>
    <row r="35" spans="1:27" s="277" customFormat="1" ht="22.5" customHeight="1">
      <c r="A35" s="307" t="s">
        <v>3</v>
      </c>
      <c r="B35" s="307"/>
      <c r="C35" s="307"/>
      <c r="D35" s="307"/>
      <c r="E35" s="307"/>
      <c r="F35" s="307"/>
      <c r="G35" s="307"/>
      <c r="H35" s="337">
        <f>SUM(H8:H34)</f>
        <v>0</v>
      </c>
      <c r="I35" s="337">
        <f t="shared" ref="I35:X35" si="0">SUM(I8:I34)</f>
        <v>0</v>
      </c>
      <c r="J35" s="337">
        <f t="shared" si="0"/>
        <v>0</v>
      </c>
      <c r="K35" s="337">
        <f t="shared" si="0"/>
        <v>0</v>
      </c>
      <c r="L35" s="337">
        <f>SUM(L8:L34)</f>
        <v>11</v>
      </c>
      <c r="M35" s="337">
        <f t="shared" si="0"/>
        <v>0.35</v>
      </c>
      <c r="N35" s="337">
        <f t="shared" si="0"/>
        <v>0</v>
      </c>
      <c r="O35" s="337">
        <f t="shared" si="0"/>
        <v>0</v>
      </c>
      <c r="P35" s="337">
        <f t="shared" si="0"/>
        <v>0</v>
      </c>
      <c r="Q35" s="337">
        <f t="shared" si="0"/>
        <v>0</v>
      </c>
      <c r="R35" s="337">
        <f t="shared" si="0"/>
        <v>0</v>
      </c>
      <c r="S35" s="337">
        <f t="shared" si="0"/>
        <v>7.5</v>
      </c>
      <c r="T35" s="337">
        <f t="shared" si="0"/>
        <v>0</v>
      </c>
      <c r="U35" s="337">
        <f t="shared" si="0"/>
        <v>0</v>
      </c>
      <c r="V35" s="337">
        <f t="shared" si="0"/>
        <v>0</v>
      </c>
      <c r="W35" s="337">
        <f t="shared" si="0"/>
        <v>0</v>
      </c>
      <c r="X35" s="337">
        <f t="shared" si="0"/>
        <v>0</v>
      </c>
      <c r="Y35" s="285"/>
      <c r="Z35" s="285"/>
      <c r="AA35" s="307"/>
    </row>
    <row r="36" spans="1:27" s="277" customFormat="1" ht="22.5" customHeight="1" thickBot="1">
      <c r="H36" s="338"/>
      <c r="I36" s="338"/>
      <c r="J36" s="338"/>
      <c r="K36" s="338"/>
      <c r="L36" s="339"/>
      <c r="M36" s="339"/>
      <c r="N36" s="339"/>
      <c r="O36" s="339"/>
      <c r="P36" s="339"/>
      <c r="Q36" s="339"/>
      <c r="R36" s="339"/>
      <c r="S36" s="339"/>
      <c r="T36" s="339"/>
      <c r="U36" s="339"/>
      <c r="V36" s="339"/>
      <c r="W36" s="339"/>
      <c r="X36" s="339"/>
      <c r="Y36" s="308"/>
      <c r="Z36" s="308"/>
    </row>
    <row r="37" spans="1:27" s="277" customFormat="1" ht="22.5" customHeight="1" thickBot="1">
      <c r="A37" s="290" t="s">
        <v>177</v>
      </c>
      <c r="B37" s="291" t="s">
        <v>196</v>
      </c>
      <c r="C37" s="291"/>
      <c r="D37" s="291"/>
      <c r="E37" s="291"/>
      <c r="F37" s="291"/>
      <c r="G37" s="291"/>
      <c r="H37" s="344" t="s">
        <v>91</v>
      </c>
      <c r="I37" s="345"/>
      <c r="J37" s="345"/>
      <c r="K37" s="346"/>
      <c r="L37" s="347" t="s">
        <v>90</v>
      </c>
      <c r="M37" s="349" t="s">
        <v>165</v>
      </c>
      <c r="N37" s="349" t="s">
        <v>166</v>
      </c>
      <c r="O37" s="351" t="s">
        <v>167</v>
      </c>
      <c r="P37" s="352"/>
      <c r="Q37" s="353"/>
      <c r="R37" s="349" t="s">
        <v>168</v>
      </c>
      <c r="S37" s="351" t="s">
        <v>19</v>
      </c>
      <c r="T37" s="352"/>
      <c r="U37" s="353"/>
      <c r="V37" s="349" t="s">
        <v>126</v>
      </c>
      <c r="W37" s="349" t="s">
        <v>127</v>
      </c>
      <c r="X37" s="354" t="s">
        <v>105</v>
      </c>
      <c r="Y37" s="285" t="s">
        <v>169</v>
      </c>
      <c r="Z37" s="285"/>
      <c r="AA37" s="307" t="s">
        <v>170</v>
      </c>
    </row>
    <row r="38" spans="1:27" s="277" customFormat="1" ht="22.5" customHeight="1" thickBot="1">
      <c r="A38" s="290" t="s">
        <v>179</v>
      </c>
      <c r="B38" s="291" t="s">
        <v>197</v>
      </c>
      <c r="C38" s="291"/>
      <c r="D38" s="291"/>
      <c r="E38" s="291"/>
      <c r="F38" s="291"/>
      <c r="G38" s="291"/>
      <c r="H38" s="286" t="s">
        <v>173</v>
      </c>
      <c r="I38" s="286" t="s">
        <v>93</v>
      </c>
      <c r="J38" s="286" t="s">
        <v>94</v>
      </c>
      <c r="K38" s="287" t="s">
        <v>174</v>
      </c>
      <c r="L38" s="348"/>
      <c r="M38" s="350"/>
      <c r="N38" s="350"/>
      <c r="O38" s="288" t="s">
        <v>175</v>
      </c>
      <c r="P38" s="288" t="s">
        <v>176</v>
      </c>
      <c r="Q38" s="330" t="s">
        <v>127</v>
      </c>
      <c r="R38" s="350"/>
      <c r="S38" s="288" t="s">
        <v>175</v>
      </c>
      <c r="T38" s="288" t="s">
        <v>176</v>
      </c>
      <c r="U38" s="330" t="s">
        <v>127</v>
      </c>
      <c r="V38" s="350"/>
      <c r="W38" s="350"/>
      <c r="X38" s="355"/>
      <c r="Y38" s="285" t="s">
        <v>171</v>
      </c>
      <c r="Z38" s="285" t="s">
        <v>172</v>
      </c>
      <c r="AA38" s="307"/>
    </row>
    <row r="39" spans="1:27" s="277" customFormat="1" ht="22.5" customHeight="1">
      <c r="A39" s="293" t="s">
        <v>265</v>
      </c>
      <c r="B39" s="301"/>
      <c r="C39" s="301"/>
      <c r="D39" s="302"/>
      <c r="E39" s="302"/>
      <c r="F39" s="356" t="s">
        <v>188</v>
      </c>
      <c r="G39" s="356"/>
      <c r="H39" s="333"/>
      <c r="I39" s="333"/>
      <c r="J39" s="333"/>
      <c r="K39" s="333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03"/>
      <c r="Z39" s="303"/>
      <c r="AA39" s="293"/>
    </row>
    <row r="40" spans="1:27" s="277" customFormat="1" ht="22.5" customHeight="1">
      <c r="A40" s="297" t="s">
        <v>266</v>
      </c>
      <c r="B40" s="298">
        <v>0.49791666666666662</v>
      </c>
      <c r="C40" s="298">
        <v>0.60486111111111118</v>
      </c>
      <c r="D40" s="298">
        <v>0.49791666666666662</v>
      </c>
      <c r="E40" s="298">
        <v>0.60486111111111118</v>
      </c>
      <c r="F40" s="299">
        <v>0.5</v>
      </c>
      <c r="G40" s="299">
        <v>0.60486111111111118</v>
      </c>
      <c r="H40" s="335"/>
      <c r="I40" s="335"/>
      <c r="J40" s="335"/>
      <c r="K40" s="335"/>
      <c r="L40" s="336"/>
      <c r="M40" s="336"/>
      <c r="N40" s="336"/>
      <c r="O40" s="336"/>
      <c r="P40" s="336"/>
      <c r="Q40" s="336"/>
      <c r="R40" s="336"/>
      <c r="S40" s="336"/>
      <c r="T40" s="336"/>
      <c r="U40" s="336"/>
      <c r="V40" s="336"/>
      <c r="W40" s="336"/>
      <c r="X40" s="336"/>
      <c r="Y40" s="300">
        <v>0.33333333333333331</v>
      </c>
      <c r="Z40" s="300">
        <v>0.70833333333333337</v>
      </c>
      <c r="AA40" s="297"/>
    </row>
    <row r="41" spans="1:27" s="277" customFormat="1" ht="22.5" customHeight="1">
      <c r="A41" s="293" t="s">
        <v>266</v>
      </c>
      <c r="B41" s="294">
        <v>0.64513888888888882</v>
      </c>
      <c r="C41" s="294">
        <v>0.87986111111111109</v>
      </c>
      <c r="D41" s="294">
        <v>0.64513888888888882</v>
      </c>
      <c r="E41" s="294">
        <v>0.87986111111111109</v>
      </c>
      <c r="F41" s="295">
        <v>0.64652777777777781</v>
      </c>
      <c r="G41" s="295">
        <v>0.875</v>
      </c>
      <c r="H41" s="333"/>
      <c r="I41" s="333"/>
      <c r="J41" s="333"/>
      <c r="K41" s="333"/>
      <c r="L41" s="334">
        <v>1</v>
      </c>
      <c r="M41" s="334"/>
      <c r="N41" s="334"/>
      <c r="O41" s="334"/>
      <c r="P41" s="334"/>
      <c r="Q41" s="334"/>
      <c r="R41" s="334"/>
      <c r="S41" s="334"/>
      <c r="T41" s="334"/>
      <c r="U41" s="334"/>
      <c r="V41" s="334"/>
      <c r="W41" s="334"/>
      <c r="X41" s="334"/>
      <c r="Y41" s="296">
        <v>0.33333333333333331</v>
      </c>
      <c r="Z41" s="296">
        <v>0.70833333333333337</v>
      </c>
      <c r="AA41" s="293"/>
    </row>
    <row r="42" spans="1:27" s="277" customFormat="1" ht="22.5" customHeight="1">
      <c r="A42" s="297" t="s">
        <v>267</v>
      </c>
      <c r="B42" s="298">
        <v>0.51041666666666663</v>
      </c>
      <c r="C42" s="298">
        <v>0.60069444444444442</v>
      </c>
      <c r="D42" s="298">
        <v>0.51041666666666663</v>
      </c>
      <c r="E42" s="298">
        <v>0.60069444444444442</v>
      </c>
      <c r="F42" s="299">
        <v>0.5</v>
      </c>
      <c r="G42" s="299">
        <v>0.60069444444444442</v>
      </c>
      <c r="H42" s="335"/>
      <c r="I42" s="335"/>
      <c r="J42" s="335"/>
      <c r="K42" s="335"/>
      <c r="L42" s="336"/>
      <c r="M42" s="336"/>
      <c r="N42" s="336"/>
      <c r="O42" s="336"/>
      <c r="P42" s="336"/>
      <c r="Q42" s="336"/>
      <c r="R42" s="336"/>
      <c r="S42" s="336"/>
      <c r="T42" s="336"/>
      <c r="U42" s="336"/>
      <c r="V42" s="336"/>
      <c r="W42" s="336"/>
      <c r="X42" s="336"/>
      <c r="Y42" s="300">
        <v>0.33333333333333331</v>
      </c>
      <c r="Z42" s="300">
        <v>0.70833333333333337</v>
      </c>
      <c r="AA42" s="297" t="s">
        <v>238</v>
      </c>
    </row>
    <row r="43" spans="1:27" s="277" customFormat="1" ht="22.5" customHeight="1">
      <c r="A43" s="293" t="s">
        <v>267</v>
      </c>
      <c r="B43" s="294">
        <v>0.64236111111111105</v>
      </c>
      <c r="C43" s="294">
        <v>0.88194444444444453</v>
      </c>
      <c r="D43" s="294">
        <v>0.64236111111111105</v>
      </c>
      <c r="E43" s="294">
        <v>0.88194444444444453</v>
      </c>
      <c r="F43" s="295">
        <v>0.64236111111111105</v>
      </c>
      <c r="G43" s="295">
        <v>0.875</v>
      </c>
      <c r="H43" s="333"/>
      <c r="I43" s="333"/>
      <c r="J43" s="333"/>
      <c r="K43" s="333"/>
      <c r="L43" s="334">
        <v>1</v>
      </c>
      <c r="M43" s="334">
        <f>15/60</f>
        <v>0.25</v>
      </c>
      <c r="N43" s="334"/>
      <c r="O43" s="334"/>
      <c r="P43" s="334"/>
      <c r="Q43" s="334"/>
      <c r="R43" s="334"/>
      <c r="S43" s="334"/>
      <c r="T43" s="334"/>
      <c r="U43" s="334"/>
      <c r="V43" s="334"/>
      <c r="W43" s="334"/>
      <c r="X43" s="334"/>
      <c r="Y43" s="296">
        <v>0.33333333333333331</v>
      </c>
      <c r="Z43" s="296">
        <v>0.70833333333333337</v>
      </c>
      <c r="AA43" s="293"/>
    </row>
    <row r="44" spans="1:27" s="277" customFormat="1" ht="22.5" customHeight="1">
      <c r="A44" s="297" t="s">
        <v>269</v>
      </c>
      <c r="B44" s="298">
        <v>0.49722222222222223</v>
      </c>
      <c r="C44" s="298">
        <v>0.58958333333333335</v>
      </c>
      <c r="D44" s="298">
        <v>0.49722222222222223</v>
      </c>
      <c r="E44" s="298">
        <v>0.58958333333333335</v>
      </c>
      <c r="F44" s="299">
        <v>0.5</v>
      </c>
      <c r="G44" s="299">
        <v>0.58958333333333335</v>
      </c>
      <c r="H44" s="335"/>
      <c r="I44" s="335"/>
      <c r="J44" s="335"/>
      <c r="K44" s="335"/>
      <c r="L44" s="336"/>
      <c r="M44" s="336"/>
      <c r="N44" s="336"/>
      <c r="O44" s="336"/>
      <c r="P44" s="336"/>
      <c r="Q44" s="336"/>
      <c r="R44" s="336"/>
      <c r="S44" s="336"/>
      <c r="T44" s="336"/>
      <c r="U44" s="336"/>
      <c r="V44" s="336"/>
      <c r="W44" s="336"/>
      <c r="X44" s="336"/>
      <c r="Y44" s="300">
        <v>0.33333333333333331</v>
      </c>
      <c r="Z44" s="300">
        <v>0.70833333333333337</v>
      </c>
      <c r="AA44" s="297"/>
    </row>
    <row r="45" spans="1:27" s="277" customFormat="1" ht="22.5" customHeight="1">
      <c r="A45" s="293" t="s">
        <v>269</v>
      </c>
      <c r="B45" s="294">
        <v>0.63124999999999998</v>
      </c>
      <c r="C45" s="294">
        <v>0.87708333333333333</v>
      </c>
      <c r="D45" s="294">
        <v>0.63124999999999998</v>
      </c>
      <c r="E45" s="294">
        <v>0.87708333333333333</v>
      </c>
      <c r="F45" s="295">
        <v>0.63124999999999998</v>
      </c>
      <c r="G45" s="295">
        <v>0.875</v>
      </c>
      <c r="H45" s="333"/>
      <c r="I45" s="333"/>
      <c r="J45" s="333"/>
      <c r="K45" s="333"/>
      <c r="L45" s="334">
        <v>1</v>
      </c>
      <c r="M45" s="334"/>
      <c r="N45" s="334"/>
      <c r="O45" s="334"/>
      <c r="P45" s="334"/>
      <c r="Q45" s="334"/>
      <c r="R45" s="334"/>
      <c r="S45" s="334"/>
      <c r="T45" s="334"/>
      <c r="U45" s="334"/>
      <c r="V45" s="334"/>
      <c r="W45" s="334"/>
      <c r="X45" s="334"/>
      <c r="Y45" s="296">
        <v>0.33333333333333331</v>
      </c>
      <c r="Z45" s="296">
        <v>0.70833333333333337</v>
      </c>
      <c r="AA45" s="293"/>
    </row>
    <row r="46" spans="1:27" s="277" customFormat="1" ht="22.5" customHeight="1">
      <c r="A46" s="293" t="s">
        <v>270</v>
      </c>
      <c r="B46" s="294">
        <v>0.5083333333333333</v>
      </c>
      <c r="C46" s="294">
        <v>0.59375</v>
      </c>
      <c r="D46" s="294">
        <v>0.5083333333333333</v>
      </c>
      <c r="E46" s="294">
        <v>0.59375</v>
      </c>
      <c r="F46" s="295">
        <v>0.5</v>
      </c>
      <c r="G46" s="295">
        <v>0.59375</v>
      </c>
      <c r="H46" s="333"/>
      <c r="I46" s="333"/>
      <c r="J46" s="333"/>
      <c r="K46" s="333"/>
      <c r="L46" s="334"/>
      <c r="M46" s="334"/>
      <c r="N46" s="334"/>
      <c r="O46" s="334"/>
      <c r="P46" s="334"/>
      <c r="Q46" s="334"/>
      <c r="R46" s="334"/>
      <c r="S46" s="334"/>
      <c r="T46" s="334"/>
      <c r="U46" s="334"/>
      <c r="V46" s="334"/>
      <c r="W46" s="334"/>
      <c r="X46" s="334"/>
      <c r="Y46" s="296">
        <v>0.33333333333333331</v>
      </c>
      <c r="Z46" s="296">
        <v>0.70833333333333337</v>
      </c>
      <c r="AA46" s="293" t="s">
        <v>283</v>
      </c>
    </row>
    <row r="47" spans="1:27" s="277" customFormat="1" ht="22.5" customHeight="1">
      <c r="A47" s="297" t="s">
        <v>270</v>
      </c>
      <c r="B47" s="298">
        <v>0.63472222222222219</v>
      </c>
      <c r="C47" s="298">
        <v>0.87777777777777777</v>
      </c>
      <c r="D47" s="298">
        <v>0.63472222222222219</v>
      </c>
      <c r="E47" s="298">
        <v>0.87777777777777777</v>
      </c>
      <c r="F47" s="299">
        <v>0.63541666666666663</v>
      </c>
      <c r="G47" s="299">
        <v>0.87777777777777777</v>
      </c>
      <c r="H47" s="335"/>
      <c r="I47" s="335"/>
      <c r="J47" s="335"/>
      <c r="K47" s="335"/>
      <c r="L47" s="336">
        <v>1</v>
      </c>
      <c r="M47" s="336">
        <f>12/60</f>
        <v>0.2</v>
      </c>
      <c r="N47" s="336"/>
      <c r="O47" s="336"/>
      <c r="P47" s="336"/>
      <c r="Q47" s="336"/>
      <c r="R47" s="336"/>
      <c r="S47" s="336"/>
      <c r="T47" s="336"/>
      <c r="U47" s="336"/>
      <c r="V47" s="336"/>
      <c r="W47" s="336"/>
      <c r="X47" s="336"/>
      <c r="Y47" s="300">
        <v>0.33333333333333331</v>
      </c>
      <c r="Z47" s="300">
        <v>0.70833333333333337</v>
      </c>
      <c r="AA47" s="297"/>
    </row>
    <row r="48" spans="1:27" s="277" customFormat="1" ht="22.5" customHeight="1">
      <c r="A48" s="293" t="s">
        <v>271</v>
      </c>
      <c r="B48" s="294">
        <v>0.51250000000000007</v>
      </c>
      <c r="C48" s="294">
        <v>0.59027777777777779</v>
      </c>
      <c r="D48" s="294">
        <v>0.51250000000000007</v>
      </c>
      <c r="E48" s="294">
        <v>0.59027777777777779</v>
      </c>
      <c r="F48" s="295">
        <v>0.5</v>
      </c>
      <c r="G48" s="295">
        <v>0.59027777777777779</v>
      </c>
      <c r="H48" s="333"/>
      <c r="I48" s="333"/>
      <c r="J48" s="333"/>
      <c r="K48" s="333"/>
      <c r="L48" s="334"/>
      <c r="M48" s="334"/>
      <c r="N48" s="334"/>
      <c r="O48" s="334"/>
      <c r="P48" s="334"/>
      <c r="Q48" s="334"/>
      <c r="R48" s="334"/>
      <c r="S48" s="334"/>
      <c r="T48" s="334"/>
      <c r="U48" s="334"/>
      <c r="V48" s="334"/>
      <c r="W48" s="334"/>
      <c r="X48" s="334"/>
      <c r="Y48" s="296">
        <v>0.33333333333333331</v>
      </c>
      <c r="Z48" s="296">
        <v>0.70833333333333337</v>
      </c>
      <c r="AA48" s="293" t="s">
        <v>284</v>
      </c>
    </row>
    <row r="49" spans="1:27" s="277" customFormat="1" ht="22.5" customHeight="1">
      <c r="A49" s="297" t="s">
        <v>271</v>
      </c>
      <c r="B49" s="298">
        <v>0.63194444444444442</v>
      </c>
      <c r="C49" s="298">
        <v>0.87847222222222221</v>
      </c>
      <c r="D49" s="298">
        <v>0.63194444444444442</v>
      </c>
      <c r="E49" s="298">
        <v>0.87847222222222221</v>
      </c>
      <c r="F49" s="299">
        <v>0.63194444444444442</v>
      </c>
      <c r="G49" s="299">
        <v>0.875</v>
      </c>
      <c r="H49" s="335"/>
      <c r="I49" s="335"/>
      <c r="J49" s="335"/>
      <c r="K49" s="335"/>
      <c r="L49" s="336">
        <v>1</v>
      </c>
      <c r="M49" s="336">
        <f>18/60</f>
        <v>0.3</v>
      </c>
      <c r="N49" s="336"/>
      <c r="O49" s="336"/>
      <c r="P49" s="336"/>
      <c r="Q49" s="336"/>
      <c r="R49" s="336"/>
      <c r="S49" s="336"/>
      <c r="T49" s="336"/>
      <c r="U49" s="336"/>
      <c r="V49" s="336"/>
      <c r="W49" s="336"/>
      <c r="X49" s="336"/>
      <c r="Y49" s="300">
        <v>0.33333333333333331</v>
      </c>
      <c r="Z49" s="300">
        <v>0.70833333333333337</v>
      </c>
      <c r="AA49" s="297"/>
    </row>
    <row r="50" spans="1:27" s="277" customFormat="1" ht="22.5" customHeight="1">
      <c r="A50" s="297" t="s">
        <v>273</v>
      </c>
      <c r="B50" s="298">
        <v>0.53611111111111109</v>
      </c>
      <c r="C50" s="298">
        <v>0.67986111111111114</v>
      </c>
      <c r="D50" s="298">
        <v>0.53611111111111109</v>
      </c>
      <c r="E50" s="298">
        <v>0.67986111111111114</v>
      </c>
      <c r="F50" s="299">
        <v>0.5</v>
      </c>
      <c r="G50" s="299">
        <v>0.67986111111111114</v>
      </c>
      <c r="H50" s="335"/>
      <c r="I50" s="335"/>
      <c r="J50" s="335"/>
      <c r="K50" s="335"/>
      <c r="L50" s="336"/>
      <c r="M50" s="336"/>
      <c r="N50" s="336"/>
      <c r="O50" s="336"/>
      <c r="P50" s="336"/>
      <c r="Q50" s="336"/>
      <c r="R50" s="336"/>
      <c r="S50" s="336"/>
      <c r="T50" s="336"/>
      <c r="U50" s="336"/>
      <c r="V50" s="336"/>
      <c r="W50" s="336"/>
      <c r="X50" s="336"/>
      <c r="Y50" s="300">
        <v>0.33333333333333331</v>
      </c>
      <c r="Z50" s="300">
        <v>0.70833333333333337</v>
      </c>
      <c r="AA50" s="297" t="s">
        <v>285</v>
      </c>
    </row>
    <row r="51" spans="1:27" s="277" customFormat="1" ht="22.5" customHeight="1">
      <c r="A51" s="293" t="s">
        <v>273</v>
      </c>
      <c r="B51" s="294">
        <v>0.72222222222222221</v>
      </c>
      <c r="C51" s="294">
        <v>0.875</v>
      </c>
      <c r="D51" s="294">
        <v>0.72222222222222221</v>
      </c>
      <c r="E51" s="294">
        <v>0.875</v>
      </c>
      <c r="F51" s="295">
        <v>0.72152777777777777</v>
      </c>
      <c r="G51" s="295">
        <v>0.875</v>
      </c>
      <c r="H51" s="333"/>
      <c r="I51" s="333"/>
      <c r="J51" s="333"/>
      <c r="K51" s="333"/>
      <c r="L51" s="334">
        <v>1</v>
      </c>
      <c r="M51" s="334">
        <f>(52+1)/60</f>
        <v>0.8833333333333333</v>
      </c>
      <c r="N51" s="334"/>
      <c r="O51" s="334"/>
      <c r="P51" s="334"/>
      <c r="Q51" s="334"/>
      <c r="R51" s="334"/>
      <c r="S51" s="334"/>
      <c r="T51" s="334"/>
      <c r="U51" s="334"/>
      <c r="V51" s="334"/>
      <c r="W51" s="334"/>
      <c r="X51" s="334"/>
      <c r="Y51" s="296">
        <v>0.33333333333333331</v>
      </c>
      <c r="Z51" s="296">
        <v>0.70833333333333337</v>
      </c>
      <c r="AA51" s="293"/>
    </row>
    <row r="52" spans="1:27" s="277" customFormat="1" ht="22.5" customHeight="1">
      <c r="A52" s="297" t="s">
        <v>274</v>
      </c>
      <c r="B52" s="304"/>
      <c r="C52" s="304"/>
      <c r="D52" s="305"/>
      <c r="E52" s="305"/>
      <c r="F52" s="357" t="s">
        <v>188</v>
      </c>
      <c r="G52" s="357"/>
      <c r="H52" s="335"/>
      <c r="I52" s="335"/>
      <c r="J52" s="335"/>
      <c r="K52" s="335"/>
      <c r="L52" s="336"/>
      <c r="M52" s="336"/>
      <c r="N52" s="336"/>
      <c r="O52" s="336"/>
      <c r="P52" s="336"/>
      <c r="Q52" s="336"/>
      <c r="R52" s="336"/>
      <c r="S52" s="336"/>
      <c r="T52" s="336"/>
      <c r="U52" s="336"/>
      <c r="V52" s="336"/>
      <c r="W52" s="336"/>
      <c r="X52" s="336"/>
      <c r="Y52" s="306"/>
      <c r="Z52" s="306"/>
      <c r="AA52" s="297"/>
    </row>
    <row r="53" spans="1:27" s="277" customFormat="1" ht="22.5" customHeight="1">
      <c r="A53" s="293" t="s">
        <v>275</v>
      </c>
      <c r="B53" s="294">
        <v>0.48055555555555557</v>
      </c>
      <c r="C53" s="294">
        <v>0.59375</v>
      </c>
      <c r="D53" s="294">
        <v>0.48055555555555557</v>
      </c>
      <c r="E53" s="294">
        <v>0.59375</v>
      </c>
      <c r="F53" s="295">
        <v>0.47916666666666669</v>
      </c>
      <c r="G53" s="295">
        <v>0.59375</v>
      </c>
      <c r="H53" s="333"/>
      <c r="I53" s="333"/>
      <c r="J53" s="333"/>
      <c r="K53" s="333"/>
      <c r="L53" s="334"/>
      <c r="M53" s="334"/>
      <c r="N53" s="334"/>
      <c r="O53" s="334"/>
      <c r="P53" s="334"/>
      <c r="Q53" s="334"/>
      <c r="R53" s="334"/>
      <c r="S53" s="334"/>
      <c r="T53" s="334"/>
      <c r="U53" s="334"/>
      <c r="V53" s="334"/>
      <c r="W53" s="334"/>
      <c r="X53" s="334"/>
      <c r="Y53" s="296">
        <v>0.33333333333333331</v>
      </c>
      <c r="Z53" s="296">
        <v>0.70833333333333337</v>
      </c>
      <c r="AA53" s="293"/>
    </row>
    <row r="54" spans="1:27" s="277" customFormat="1" ht="22.5" customHeight="1">
      <c r="A54" s="297" t="s">
        <v>275</v>
      </c>
      <c r="B54" s="298">
        <v>0.7597222222222223</v>
      </c>
      <c r="C54" s="298">
        <v>0.97986111111111107</v>
      </c>
      <c r="D54" s="298">
        <v>0.7597222222222223</v>
      </c>
      <c r="E54" s="298">
        <v>0.97986111111111107</v>
      </c>
      <c r="F54" s="299">
        <v>0.76041666666666663</v>
      </c>
      <c r="G54" s="299">
        <v>0.97916666666666663</v>
      </c>
      <c r="H54" s="335"/>
      <c r="I54" s="335"/>
      <c r="J54" s="335"/>
      <c r="K54" s="335"/>
      <c r="L54" s="336">
        <v>1</v>
      </c>
      <c r="M54" s="336"/>
      <c r="N54" s="336"/>
      <c r="O54" s="336"/>
      <c r="P54" s="336"/>
      <c r="Q54" s="336"/>
      <c r="R54" s="336"/>
      <c r="S54" s="336">
        <v>1.5</v>
      </c>
      <c r="T54" s="336"/>
      <c r="U54" s="336"/>
      <c r="V54" s="336"/>
      <c r="W54" s="336"/>
      <c r="X54" s="336"/>
      <c r="Y54" s="300">
        <v>0.33333333333333331</v>
      </c>
      <c r="Z54" s="300">
        <v>0.70833333333333337</v>
      </c>
      <c r="AA54" s="297"/>
    </row>
    <row r="55" spans="1:27" s="277" customFormat="1" ht="22.5" customHeight="1">
      <c r="A55" s="293" t="s">
        <v>276</v>
      </c>
      <c r="B55" s="294">
        <v>0.49652777777777773</v>
      </c>
      <c r="C55" s="294">
        <v>0.59444444444444444</v>
      </c>
      <c r="D55" s="294">
        <v>0.49652777777777773</v>
      </c>
      <c r="E55" s="294">
        <v>0.59444444444444444</v>
      </c>
      <c r="F55" s="295">
        <v>0.47916666666666669</v>
      </c>
      <c r="G55" s="295">
        <v>0.59444444444444444</v>
      </c>
      <c r="H55" s="333"/>
      <c r="I55" s="333"/>
      <c r="J55" s="333"/>
      <c r="K55" s="333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296">
        <v>0.33333333333333331</v>
      </c>
      <c r="Z55" s="296">
        <v>0.70833333333333337</v>
      </c>
      <c r="AA55" s="293" t="s">
        <v>286</v>
      </c>
    </row>
    <row r="56" spans="1:27" s="277" customFormat="1" ht="22.5" customHeight="1">
      <c r="A56" s="297" t="s">
        <v>276</v>
      </c>
      <c r="B56" s="298">
        <v>0.76111111111111107</v>
      </c>
      <c r="C56" s="298">
        <v>0.97916666666666663</v>
      </c>
      <c r="D56" s="298">
        <v>0.76111111111111107</v>
      </c>
      <c r="E56" s="298">
        <v>0.97916666666666663</v>
      </c>
      <c r="F56" s="299">
        <v>0.76111111111111107</v>
      </c>
      <c r="G56" s="299">
        <v>0.97916666666666663</v>
      </c>
      <c r="H56" s="335"/>
      <c r="I56" s="335"/>
      <c r="J56" s="335"/>
      <c r="K56" s="335"/>
      <c r="L56" s="336">
        <v>1</v>
      </c>
      <c r="M56" s="336">
        <f>25/60</f>
        <v>0.41666666666666669</v>
      </c>
      <c r="N56" s="336"/>
      <c r="O56" s="336"/>
      <c r="P56" s="336"/>
      <c r="Q56" s="336"/>
      <c r="R56" s="336"/>
      <c r="S56" s="336">
        <v>1.5</v>
      </c>
      <c r="T56" s="336"/>
      <c r="U56" s="336"/>
      <c r="V56" s="336"/>
      <c r="W56" s="336"/>
      <c r="X56" s="336"/>
      <c r="Y56" s="300">
        <v>0.33333333333333331</v>
      </c>
      <c r="Z56" s="300">
        <v>0.70833333333333337</v>
      </c>
      <c r="AA56" s="297"/>
    </row>
    <row r="57" spans="1:27" s="277" customFormat="1" ht="22.5" customHeight="1">
      <c r="A57" s="293" t="s">
        <v>277</v>
      </c>
      <c r="B57" s="294">
        <v>0.4993055555555555</v>
      </c>
      <c r="C57" s="294">
        <v>0.58888888888888891</v>
      </c>
      <c r="D57" s="294">
        <v>0.4993055555555555</v>
      </c>
      <c r="E57" s="294">
        <v>0.58888888888888891</v>
      </c>
      <c r="F57" s="295">
        <v>0.47916666666666669</v>
      </c>
      <c r="G57" s="295">
        <v>0.58888888888888891</v>
      </c>
      <c r="H57" s="333"/>
      <c r="I57" s="333"/>
      <c r="J57" s="333"/>
      <c r="K57" s="333"/>
      <c r="L57" s="334"/>
      <c r="M57" s="334"/>
      <c r="N57" s="334"/>
      <c r="O57" s="334"/>
      <c r="P57" s="334"/>
      <c r="Q57" s="334"/>
      <c r="R57" s="334"/>
      <c r="S57" s="334"/>
      <c r="T57" s="334"/>
      <c r="U57" s="334"/>
      <c r="V57" s="334"/>
      <c r="W57" s="334"/>
      <c r="X57" s="334"/>
      <c r="Y57" s="296">
        <v>0.33333333333333331</v>
      </c>
      <c r="Z57" s="296">
        <v>0.70833333333333337</v>
      </c>
      <c r="AA57" s="293" t="s">
        <v>287</v>
      </c>
    </row>
    <row r="58" spans="1:27" s="277" customFormat="1" ht="22.5" customHeight="1">
      <c r="A58" s="297" t="s">
        <v>277</v>
      </c>
      <c r="B58" s="298">
        <v>0.75416666666666676</v>
      </c>
      <c r="C58" s="298">
        <v>0.98402777777777783</v>
      </c>
      <c r="D58" s="298">
        <v>0.75416666666666676</v>
      </c>
      <c r="E58" s="298">
        <v>0.98402777777777783</v>
      </c>
      <c r="F58" s="299">
        <v>0.75555555555555554</v>
      </c>
      <c r="G58" s="299">
        <v>0.97916666666666663</v>
      </c>
      <c r="H58" s="335"/>
      <c r="I58" s="335"/>
      <c r="J58" s="335"/>
      <c r="K58" s="335"/>
      <c r="L58" s="336">
        <v>1</v>
      </c>
      <c r="M58" s="336"/>
      <c r="N58" s="336"/>
      <c r="O58" s="336"/>
      <c r="P58" s="336"/>
      <c r="Q58" s="336"/>
      <c r="R58" s="336"/>
      <c r="S58" s="336">
        <v>11.5</v>
      </c>
      <c r="T58" s="336"/>
      <c r="U58" s="336"/>
      <c r="V58" s="336"/>
      <c r="W58" s="336"/>
      <c r="X58" s="336"/>
      <c r="Y58" s="300">
        <v>0.33333333333333331</v>
      </c>
      <c r="Z58" s="300">
        <v>0.70833333333333337</v>
      </c>
      <c r="AA58" s="297"/>
    </row>
    <row r="59" spans="1:27" s="277" customFormat="1" ht="22.5" customHeight="1">
      <c r="A59" s="293" t="s">
        <v>278</v>
      </c>
      <c r="B59" s="294">
        <v>0.5</v>
      </c>
      <c r="C59" s="294">
        <v>0.60138888888888886</v>
      </c>
      <c r="D59" s="294">
        <v>0.5</v>
      </c>
      <c r="E59" s="294">
        <v>0.60138888888888886</v>
      </c>
      <c r="F59" s="295">
        <v>0.47916666666666669</v>
      </c>
      <c r="G59" s="295">
        <v>0.60138888888888886</v>
      </c>
      <c r="H59" s="333"/>
      <c r="I59" s="333"/>
      <c r="J59" s="333"/>
      <c r="K59" s="333"/>
      <c r="L59" s="334"/>
      <c r="M59" s="334"/>
      <c r="N59" s="334"/>
      <c r="O59" s="334"/>
      <c r="P59" s="334"/>
      <c r="Q59" s="334"/>
      <c r="R59" s="334"/>
      <c r="S59" s="334"/>
      <c r="T59" s="334"/>
      <c r="U59" s="334"/>
      <c r="V59" s="334"/>
      <c r="W59" s="334"/>
      <c r="X59" s="334"/>
      <c r="Y59" s="296">
        <v>0.33333333333333331</v>
      </c>
      <c r="Z59" s="296">
        <v>0.70833333333333337</v>
      </c>
      <c r="AA59" s="293" t="s">
        <v>288</v>
      </c>
    </row>
    <row r="60" spans="1:27" s="277" customFormat="1" ht="22.5" customHeight="1">
      <c r="A60" s="297" t="s">
        <v>278</v>
      </c>
      <c r="B60" s="298">
        <v>0.76736111111111116</v>
      </c>
      <c r="C60" s="298">
        <v>0.98472222222222217</v>
      </c>
      <c r="D60" s="298">
        <v>0.76736111111111116</v>
      </c>
      <c r="E60" s="298">
        <v>0.98472222222222217</v>
      </c>
      <c r="F60" s="299">
        <v>0.7680555555555556</v>
      </c>
      <c r="G60" s="299">
        <v>0.97916666666666663</v>
      </c>
      <c r="H60" s="335"/>
      <c r="I60" s="335"/>
      <c r="J60" s="335"/>
      <c r="K60" s="335"/>
      <c r="L60" s="336">
        <v>1</v>
      </c>
      <c r="M60" s="336"/>
      <c r="N60" s="336"/>
      <c r="O60" s="336"/>
      <c r="P60" s="336"/>
      <c r="Q60" s="336"/>
      <c r="R60" s="336"/>
      <c r="S60" s="336">
        <v>1.5</v>
      </c>
      <c r="T60" s="336"/>
      <c r="U60" s="336"/>
      <c r="V60" s="336"/>
      <c r="W60" s="336"/>
      <c r="X60" s="336"/>
      <c r="Y60" s="300">
        <v>0.33333333333333331</v>
      </c>
      <c r="Z60" s="300">
        <v>0.70833333333333337</v>
      </c>
      <c r="AA60" s="297"/>
    </row>
    <row r="61" spans="1:27" s="277" customFormat="1" ht="22.5" customHeight="1">
      <c r="A61" s="297" t="s">
        <v>279</v>
      </c>
      <c r="B61" s="298">
        <v>0.49444444444444446</v>
      </c>
      <c r="C61" s="298">
        <v>0.59236111111111112</v>
      </c>
      <c r="D61" s="298">
        <v>0.49444444444444446</v>
      </c>
      <c r="E61" s="298">
        <v>0.59236111111111112</v>
      </c>
      <c r="F61" s="357"/>
      <c r="G61" s="357"/>
      <c r="H61" s="335"/>
      <c r="I61" s="335"/>
      <c r="J61" s="335"/>
      <c r="K61" s="335"/>
      <c r="L61" s="336"/>
      <c r="M61" s="336"/>
      <c r="N61" s="336"/>
      <c r="O61" s="336"/>
      <c r="P61" s="336"/>
      <c r="Q61" s="336"/>
      <c r="R61" s="336"/>
      <c r="S61" s="336"/>
      <c r="T61" s="336"/>
      <c r="U61" s="336"/>
      <c r="V61" s="336"/>
      <c r="W61" s="336"/>
      <c r="X61" s="336"/>
      <c r="Y61" s="300">
        <v>0.33333333333333331</v>
      </c>
      <c r="Z61" s="300">
        <v>0.70833333333333337</v>
      </c>
      <c r="AA61" s="297"/>
    </row>
    <row r="62" spans="1:27" s="277" customFormat="1" ht="22.5" customHeight="1">
      <c r="A62" s="293" t="s">
        <v>279</v>
      </c>
      <c r="B62" s="294">
        <v>0.77083333333333337</v>
      </c>
      <c r="C62" s="294">
        <v>0.98333333333333339</v>
      </c>
      <c r="D62" s="294">
        <v>0.77083333333333337</v>
      </c>
      <c r="E62" s="294">
        <v>0.98333333333333339</v>
      </c>
      <c r="F62" s="356" t="s">
        <v>202</v>
      </c>
      <c r="G62" s="356"/>
      <c r="H62" s="333"/>
      <c r="I62" s="333"/>
      <c r="J62" s="333"/>
      <c r="K62" s="333"/>
      <c r="L62" s="334">
        <v>1</v>
      </c>
      <c r="M62" s="334">
        <f>22/60</f>
        <v>0.36666666666666664</v>
      </c>
      <c r="N62" s="334"/>
      <c r="O62" s="334"/>
      <c r="P62" s="334"/>
      <c r="Q62" s="334"/>
      <c r="R62" s="334"/>
      <c r="S62" s="334">
        <v>1.5</v>
      </c>
      <c r="T62" s="334"/>
      <c r="U62" s="334"/>
      <c r="V62" s="334"/>
      <c r="W62" s="334"/>
      <c r="X62" s="334"/>
      <c r="Y62" s="296">
        <v>0.33333333333333331</v>
      </c>
      <c r="Z62" s="296">
        <v>0.70833333333333337</v>
      </c>
      <c r="AA62" s="293"/>
    </row>
    <row r="63" spans="1:27" s="277" customFormat="1" ht="22.5" customHeight="1">
      <c r="A63" s="293" t="s">
        <v>281</v>
      </c>
      <c r="B63" s="301"/>
      <c r="C63" s="301"/>
      <c r="D63" s="302"/>
      <c r="E63" s="302"/>
      <c r="F63" s="356" t="s">
        <v>188</v>
      </c>
      <c r="G63" s="356"/>
      <c r="H63" s="333"/>
      <c r="I63" s="333"/>
      <c r="J63" s="333"/>
      <c r="K63" s="333"/>
      <c r="L63" s="334"/>
      <c r="M63" s="334"/>
      <c r="N63" s="334"/>
      <c r="O63" s="334"/>
      <c r="P63" s="334"/>
      <c r="Q63" s="334"/>
      <c r="R63" s="334"/>
      <c r="S63" s="334"/>
      <c r="T63" s="334"/>
      <c r="U63" s="334"/>
      <c r="V63" s="334"/>
      <c r="W63" s="334"/>
      <c r="X63" s="334"/>
      <c r="Y63" s="303"/>
      <c r="Z63" s="303"/>
      <c r="AA63" s="293"/>
    </row>
    <row r="64" spans="1:27" s="277" customFormat="1" ht="22.5" customHeight="1">
      <c r="A64" s="297" t="s">
        <v>282</v>
      </c>
      <c r="B64" s="304"/>
      <c r="C64" s="304"/>
      <c r="D64" s="305"/>
      <c r="E64" s="305"/>
      <c r="F64" s="357" t="s">
        <v>188</v>
      </c>
      <c r="G64" s="357"/>
      <c r="H64" s="335"/>
      <c r="I64" s="335"/>
      <c r="J64" s="335"/>
      <c r="K64" s="335"/>
      <c r="L64" s="336"/>
      <c r="M64" s="336"/>
      <c r="N64" s="336"/>
      <c r="O64" s="336"/>
      <c r="P64" s="336"/>
      <c r="Q64" s="336"/>
      <c r="R64" s="336"/>
      <c r="S64" s="336"/>
      <c r="T64" s="336"/>
      <c r="U64" s="336"/>
      <c r="V64" s="336"/>
      <c r="W64" s="336"/>
      <c r="X64" s="336"/>
      <c r="Y64" s="306"/>
      <c r="Z64" s="306"/>
      <c r="AA64" s="297"/>
    </row>
    <row r="65" spans="1:27" s="277" customFormat="1" ht="22.5" customHeight="1">
      <c r="A65" s="307" t="s">
        <v>3</v>
      </c>
      <c r="B65" s="307"/>
      <c r="C65" s="307"/>
      <c r="D65" s="307"/>
      <c r="E65" s="307"/>
      <c r="F65" s="307"/>
      <c r="G65" s="307"/>
      <c r="H65" s="337">
        <f>SUM(H38:H64)</f>
        <v>0</v>
      </c>
      <c r="I65" s="337">
        <f t="shared" ref="I65:X65" si="1">SUM(I38:I64)</f>
        <v>0</v>
      </c>
      <c r="J65" s="337">
        <f t="shared" si="1"/>
        <v>0</v>
      </c>
      <c r="K65" s="337">
        <f t="shared" si="1"/>
        <v>0</v>
      </c>
      <c r="L65" s="337">
        <f t="shared" si="1"/>
        <v>11</v>
      </c>
      <c r="M65" s="337">
        <f t="shared" si="1"/>
        <v>2.4166666666666665</v>
      </c>
      <c r="N65" s="337">
        <f t="shared" si="1"/>
        <v>0</v>
      </c>
      <c r="O65" s="337">
        <f t="shared" si="1"/>
        <v>0</v>
      </c>
      <c r="P65" s="337">
        <f t="shared" si="1"/>
        <v>0</v>
      </c>
      <c r="Q65" s="337">
        <f t="shared" si="1"/>
        <v>0</v>
      </c>
      <c r="R65" s="337">
        <f t="shared" si="1"/>
        <v>0</v>
      </c>
      <c r="S65" s="337">
        <f t="shared" si="1"/>
        <v>17.5</v>
      </c>
      <c r="T65" s="337">
        <f t="shared" si="1"/>
        <v>0</v>
      </c>
      <c r="U65" s="337">
        <f t="shared" si="1"/>
        <v>0</v>
      </c>
      <c r="V65" s="337">
        <f t="shared" si="1"/>
        <v>0</v>
      </c>
      <c r="W65" s="337">
        <f t="shared" si="1"/>
        <v>0</v>
      </c>
      <c r="X65" s="337">
        <f t="shared" si="1"/>
        <v>0</v>
      </c>
      <c r="Y65" s="285"/>
      <c r="Z65" s="285"/>
      <c r="AA65" s="307"/>
    </row>
    <row r="66" spans="1:27" s="277" customFormat="1" ht="22.5" customHeight="1" thickBot="1">
      <c r="H66" s="338"/>
      <c r="I66" s="338"/>
      <c r="J66" s="338"/>
      <c r="K66" s="338"/>
      <c r="L66" s="339"/>
      <c r="M66" s="339"/>
      <c r="N66" s="339"/>
      <c r="O66" s="339"/>
      <c r="P66" s="339"/>
      <c r="Q66" s="339"/>
      <c r="R66" s="339"/>
      <c r="S66" s="339"/>
      <c r="T66" s="339"/>
      <c r="U66" s="339"/>
      <c r="V66" s="339"/>
      <c r="W66" s="339"/>
      <c r="X66" s="339"/>
      <c r="Y66" s="308"/>
      <c r="Z66" s="308"/>
    </row>
    <row r="67" spans="1:27" s="277" customFormat="1" ht="22.5" customHeight="1" thickBot="1">
      <c r="A67" s="290" t="s">
        <v>177</v>
      </c>
      <c r="B67" s="291" t="s">
        <v>205</v>
      </c>
      <c r="C67" s="291"/>
      <c r="D67" s="291"/>
      <c r="E67" s="291"/>
      <c r="F67" s="291"/>
      <c r="G67" s="291"/>
      <c r="H67" s="344" t="s">
        <v>91</v>
      </c>
      <c r="I67" s="345"/>
      <c r="J67" s="345"/>
      <c r="K67" s="346"/>
      <c r="L67" s="347" t="s">
        <v>90</v>
      </c>
      <c r="M67" s="349" t="s">
        <v>165</v>
      </c>
      <c r="N67" s="349" t="s">
        <v>166</v>
      </c>
      <c r="O67" s="351" t="s">
        <v>167</v>
      </c>
      <c r="P67" s="352"/>
      <c r="Q67" s="353"/>
      <c r="R67" s="349" t="s">
        <v>168</v>
      </c>
      <c r="S67" s="351" t="s">
        <v>19</v>
      </c>
      <c r="T67" s="352"/>
      <c r="U67" s="353"/>
      <c r="V67" s="349" t="s">
        <v>126</v>
      </c>
      <c r="W67" s="349" t="s">
        <v>127</v>
      </c>
      <c r="X67" s="354" t="s">
        <v>105</v>
      </c>
      <c r="Y67" s="285" t="s">
        <v>169</v>
      </c>
      <c r="Z67" s="285"/>
      <c r="AA67" s="307" t="s">
        <v>170</v>
      </c>
    </row>
    <row r="68" spans="1:27" s="277" customFormat="1" ht="22.5" customHeight="1" thickBot="1">
      <c r="A68" s="290" t="s">
        <v>179</v>
      </c>
      <c r="B68" s="291" t="s">
        <v>206</v>
      </c>
      <c r="C68" s="291"/>
      <c r="D68" s="291"/>
      <c r="E68" s="291"/>
      <c r="F68" s="291"/>
      <c r="G68" s="291"/>
      <c r="H68" s="286" t="s">
        <v>173</v>
      </c>
      <c r="I68" s="286" t="s">
        <v>93</v>
      </c>
      <c r="J68" s="286" t="s">
        <v>94</v>
      </c>
      <c r="K68" s="287" t="s">
        <v>174</v>
      </c>
      <c r="L68" s="348"/>
      <c r="M68" s="350"/>
      <c r="N68" s="350"/>
      <c r="O68" s="288" t="s">
        <v>175</v>
      </c>
      <c r="P68" s="288" t="s">
        <v>176</v>
      </c>
      <c r="Q68" s="330" t="s">
        <v>127</v>
      </c>
      <c r="R68" s="350"/>
      <c r="S68" s="288" t="s">
        <v>175</v>
      </c>
      <c r="T68" s="288" t="s">
        <v>176</v>
      </c>
      <c r="U68" s="330" t="s">
        <v>127</v>
      </c>
      <c r="V68" s="350"/>
      <c r="W68" s="350"/>
      <c r="X68" s="355"/>
      <c r="Y68" s="285" t="s">
        <v>171</v>
      </c>
      <c r="Z68" s="285" t="s">
        <v>172</v>
      </c>
      <c r="AA68" s="307"/>
    </row>
    <row r="69" spans="1:27" s="277" customFormat="1" ht="22.5" customHeight="1">
      <c r="A69" s="293" t="s">
        <v>265</v>
      </c>
      <c r="B69" s="301"/>
      <c r="C69" s="301"/>
      <c r="D69" s="302"/>
      <c r="E69" s="302"/>
      <c r="F69" s="356" t="s">
        <v>188</v>
      </c>
      <c r="G69" s="356"/>
      <c r="H69" s="333"/>
      <c r="I69" s="333"/>
      <c r="J69" s="333"/>
      <c r="K69" s="333"/>
      <c r="L69" s="334"/>
      <c r="M69" s="334"/>
      <c r="N69" s="334"/>
      <c r="O69" s="334"/>
      <c r="P69" s="334"/>
      <c r="Q69" s="334"/>
      <c r="R69" s="334"/>
      <c r="S69" s="334"/>
      <c r="T69" s="334"/>
      <c r="U69" s="334"/>
      <c r="V69" s="334"/>
      <c r="W69" s="334"/>
      <c r="X69" s="334"/>
      <c r="Y69" s="303"/>
      <c r="Z69" s="303"/>
      <c r="AA69" s="293"/>
    </row>
    <row r="70" spans="1:27" s="277" customFormat="1" ht="22.5" customHeight="1">
      <c r="A70" s="297" t="s">
        <v>266</v>
      </c>
      <c r="B70" s="298">
        <v>0.24027777777777778</v>
      </c>
      <c r="C70" s="298">
        <v>0.66736111111111107</v>
      </c>
      <c r="D70" s="298">
        <v>0.24027777777777778</v>
      </c>
      <c r="E70" s="298">
        <v>0.66736111111111107</v>
      </c>
      <c r="F70" s="299">
        <v>0.25</v>
      </c>
      <c r="G70" s="299">
        <v>0.66666666666666663</v>
      </c>
      <c r="H70" s="335"/>
      <c r="I70" s="335"/>
      <c r="J70" s="335"/>
      <c r="K70" s="335"/>
      <c r="L70" s="336">
        <v>1</v>
      </c>
      <c r="M70" s="336"/>
      <c r="N70" s="336"/>
      <c r="O70" s="336"/>
      <c r="P70" s="336"/>
      <c r="Q70" s="336"/>
      <c r="R70" s="336"/>
      <c r="S70" s="336"/>
      <c r="T70" s="336"/>
      <c r="U70" s="336"/>
      <c r="V70" s="336"/>
      <c r="W70" s="336"/>
      <c r="X70" s="336"/>
      <c r="Y70" s="300">
        <v>0.33333333333333331</v>
      </c>
      <c r="Z70" s="300">
        <v>0.75</v>
      </c>
      <c r="AA70" s="297" t="s">
        <v>289</v>
      </c>
    </row>
    <row r="71" spans="1:27" s="277" customFormat="1" ht="22.5" customHeight="1">
      <c r="A71" s="293" t="s">
        <v>267</v>
      </c>
      <c r="B71" s="294">
        <v>0.23819444444444446</v>
      </c>
      <c r="C71" s="294">
        <v>0.67083333333333339</v>
      </c>
      <c r="D71" s="294">
        <v>0.23819444444444446</v>
      </c>
      <c r="E71" s="294">
        <v>0.67083333333333339</v>
      </c>
      <c r="F71" s="295">
        <v>0.25</v>
      </c>
      <c r="G71" s="295">
        <v>0.66666666666666663</v>
      </c>
      <c r="H71" s="333"/>
      <c r="I71" s="333"/>
      <c r="J71" s="333"/>
      <c r="K71" s="333"/>
      <c r="L71" s="334">
        <v>1</v>
      </c>
      <c r="M71" s="334"/>
      <c r="N71" s="334"/>
      <c r="O71" s="334"/>
      <c r="P71" s="334"/>
      <c r="Q71" s="334"/>
      <c r="R71" s="334"/>
      <c r="S71" s="334"/>
      <c r="T71" s="334"/>
      <c r="U71" s="334"/>
      <c r="V71" s="334"/>
      <c r="W71" s="334"/>
      <c r="X71" s="334"/>
      <c r="Y71" s="296">
        <v>0.33333333333333331</v>
      </c>
      <c r="Z71" s="296">
        <v>0.75</v>
      </c>
      <c r="AA71" s="293" t="s">
        <v>256</v>
      </c>
    </row>
    <row r="72" spans="1:27" s="277" customFormat="1" ht="22.5" customHeight="1">
      <c r="A72" s="297" t="s">
        <v>269</v>
      </c>
      <c r="B72" s="298">
        <v>0.23611111111111113</v>
      </c>
      <c r="C72" s="298">
        <v>0.6694444444444444</v>
      </c>
      <c r="D72" s="298">
        <v>0.23611111111111113</v>
      </c>
      <c r="E72" s="298">
        <v>0.6694444444444444</v>
      </c>
      <c r="F72" s="299">
        <v>0.25</v>
      </c>
      <c r="G72" s="299">
        <v>0.66666666666666663</v>
      </c>
      <c r="H72" s="335"/>
      <c r="I72" s="335"/>
      <c r="J72" s="335"/>
      <c r="K72" s="335"/>
      <c r="L72" s="336">
        <v>1</v>
      </c>
      <c r="M72" s="336"/>
      <c r="N72" s="336"/>
      <c r="O72" s="336"/>
      <c r="P72" s="336"/>
      <c r="Q72" s="336"/>
      <c r="R72" s="336"/>
      <c r="S72" s="336"/>
      <c r="T72" s="336"/>
      <c r="U72" s="336"/>
      <c r="V72" s="336"/>
      <c r="W72" s="336"/>
      <c r="X72" s="336"/>
      <c r="Y72" s="300">
        <v>0.33333333333333331</v>
      </c>
      <c r="Z72" s="300">
        <v>0.75</v>
      </c>
      <c r="AA72" s="297" t="s">
        <v>256</v>
      </c>
    </row>
    <row r="73" spans="1:27" s="277" customFormat="1" ht="22.5" customHeight="1">
      <c r="A73" s="293" t="s">
        <v>270</v>
      </c>
      <c r="B73" s="294">
        <v>0.45416666666666666</v>
      </c>
      <c r="C73" s="294">
        <v>0.84027777777777779</v>
      </c>
      <c r="D73" s="294">
        <v>0.45416666666666666</v>
      </c>
      <c r="E73" s="294">
        <v>0.84027777777777779</v>
      </c>
      <c r="F73" s="295">
        <v>0.45833333333333331</v>
      </c>
      <c r="G73" s="295">
        <v>0.83333333333333337</v>
      </c>
      <c r="H73" s="333"/>
      <c r="I73" s="333"/>
      <c r="J73" s="333"/>
      <c r="K73" s="333"/>
      <c r="L73" s="334">
        <v>1</v>
      </c>
      <c r="M73" s="334"/>
      <c r="N73" s="334"/>
      <c r="O73" s="334"/>
      <c r="P73" s="334"/>
      <c r="Q73" s="334"/>
      <c r="R73" s="334"/>
      <c r="S73" s="334"/>
      <c r="T73" s="334"/>
      <c r="U73" s="334"/>
      <c r="V73" s="334"/>
      <c r="W73" s="334"/>
      <c r="X73" s="334"/>
      <c r="Y73" s="296">
        <v>0.33333333333333331</v>
      </c>
      <c r="Z73" s="296">
        <v>0.75</v>
      </c>
      <c r="AA73" s="293"/>
    </row>
    <row r="74" spans="1:27" s="277" customFormat="1" ht="22.5" customHeight="1">
      <c r="A74" s="297" t="s">
        <v>271</v>
      </c>
      <c r="B74" s="298">
        <v>0.24652777777777779</v>
      </c>
      <c r="C74" s="298">
        <v>0.62916666666666665</v>
      </c>
      <c r="D74" s="298">
        <v>0.24652777777777779</v>
      </c>
      <c r="E74" s="298">
        <v>0.62916666666666665</v>
      </c>
      <c r="F74" s="299">
        <v>0.25</v>
      </c>
      <c r="G74" s="299">
        <v>0.625</v>
      </c>
      <c r="H74" s="335"/>
      <c r="I74" s="335"/>
      <c r="J74" s="335"/>
      <c r="K74" s="335"/>
      <c r="L74" s="336">
        <v>1</v>
      </c>
      <c r="M74" s="336"/>
      <c r="N74" s="336"/>
      <c r="O74" s="336"/>
      <c r="P74" s="336"/>
      <c r="Q74" s="336"/>
      <c r="R74" s="336"/>
      <c r="S74" s="336"/>
      <c r="T74" s="336"/>
      <c r="U74" s="336"/>
      <c r="V74" s="336"/>
      <c r="W74" s="336"/>
      <c r="X74" s="336"/>
      <c r="Y74" s="300">
        <v>0.33333333333333331</v>
      </c>
      <c r="Z74" s="300">
        <v>0.75</v>
      </c>
      <c r="AA74" s="297"/>
    </row>
    <row r="75" spans="1:27" s="277" customFormat="1" ht="22.5" customHeight="1">
      <c r="A75" s="293" t="s">
        <v>273</v>
      </c>
      <c r="B75" s="301"/>
      <c r="C75" s="301"/>
      <c r="D75" s="302"/>
      <c r="E75" s="302"/>
      <c r="F75" s="356" t="s">
        <v>210</v>
      </c>
      <c r="G75" s="356"/>
      <c r="H75" s="333"/>
      <c r="I75" s="333"/>
      <c r="J75" s="333"/>
      <c r="K75" s="333"/>
      <c r="L75" s="334">
        <v>1</v>
      </c>
      <c r="M75" s="334"/>
      <c r="N75" s="334"/>
      <c r="O75" s="334"/>
      <c r="P75" s="334"/>
      <c r="Q75" s="334"/>
      <c r="R75" s="334"/>
      <c r="S75" s="334"/>
      <c r="T75" s="334"/>
      <c r="U75" s="334"/>
      <c r="V75" s="334"/>
      <c r="W75" s="334"/>
      <c r="X75" s="334"/>
      <c r="Y75" s="303"/>
      <c r="Z75" s="303"/>
      <c r="AA75" s="293"/>
    </row>
    <row r="76" spans="1:27" s="277" customFormat="1" ht="22.5" customHeight="1">
      <c r="A76" s="297" t="s">
        <v>274</v>
      </c>
      <c r="B76" s="304"/>
      <c r="C76" s="304"/>
      <c r="D76" s="305"/>
      <c r="E76" s="305"/>
      <c r="F76" s="357" t="s">
        <v>188</v>
      </c>
      <c r="G76" s="357"/>
      <c r="H76" s="335"/>
      <c r="I76" s="335"/>
      <c r="J76" s="335"/>
      <c r="K76" s="335"/>
      <c r="L76" s="336"/>
      <c r="M76" s="336"/>
      <c r="N76" s="336"/>
      <c r="O76" s="336"/>
      <c r="P76" s="336"/>
      <c r="Q76" s="336"/>
      <c r="R76" s="336"/>
      <c r="S76" s="336"/>
      <c r="T76" s="336"/>
      <c r="U76" s="336"/>
      <c r="V76" s="336"/>
      <c r="W76" s="336"/>
      <c r="X76" s="336"/>
      <c r="Y76" s="306"/>
      <c r="Z76" s="306"/>
      <c r="AA76" s="297"/>
    </row>
    <row r="77" spans="1:27" s="277" customFormat="1" ht="22.5" customHeight="1">
      <c r="A77" s="293" t="s">
        <v>275</v>
      </c>
      <c r="B77" s="294">
        <v>0.59166666666666667</v>
      </c>
      <c r="C77" s="294">
        <v>0.97916666666666663</v>
      </c>
      <c r="D77" s="294">
        <v>0.59166666666666667</v>
      </c>
      <c r="E77" s="294">
        <v>0.97916666666666663</v>
      </c>
      <c r="F77" s="295">
        <v>0.60416666666666663</v>
      </c>
      <c r="G77" s="295">
        <v>0.97916666666666663</v>
      </c>
      <c r="H77" s="333"/>
      <c r="I77" s="333"/>
      <c r="J77" s="333"/>
      <c r="K77" s="333"/>
      <c r="L77" s="334">
        <v>1</v>
      </c>
      <c r="M77" s="334"/>
      <c r="N77" s="334"/>
      <c r="O77" s="334"/>
      <c r="P77" s="334"/>
      <c r="Q77" s="334"/>
      <c r="R77" s="334"/>
      <c r="S77" s="334">
        <v>1.5</v>
      </c>
      <c r="T77" s="334"/>
      <c r="U77" s="334"/>
      <c r="V77" s="334"/>
      <c r="W77" s="334"/>
      <c r="X77" s="334"/>
      <c r="Y77" s="296">
        <v>0.33333333333333331</v>
      </c>
      <c r="Z77" s="296">
        <v>0.75</v>
      </c>
      <c r="AA77" s="293"/>
    </row>
    <row r="78" spans="1:27" s="277" customFormat="1" ht="22.5" customHeight="1">
      <c r="A78" s="297" t="s">
        <v>276</v>
      </c>
      <c r="B78" s="298">
        <v>0.6</v>
      </c>
      <c r="C78" s="298">
        <v>0.97986111111111107</v>
      </c>
      <c r="D78" s="298">
        <v>0.6</v>
      </c>
      <c r="E78" s="298">
        <v>0.97986111111111107</v>
      </c>
      <c r="F78" s="299">
        <v>0.60416666666666663</v>
      </c>
      <c r="G78" s="299">
        <v>0.97916666666666663</v>
      </c>
      <c r="H78" s="335"/>
      <c r="I78" s="335"/>
      <c r="J78" s="335"/>
      <c r="K78" s="335"/>
      <c r="L78" s="336">
        <v>1</v>
      </c>
      <c r="M78" s="336"/>
      <c r="N78" s="336"/>
      <c r="O78" s="336"/>
      <c r="P78" s="336"/>
      <c r="Q78" s="336"/>
      <c r="R78" s="336"/>
      <c r="S78" s="336">
        <v>1.5</v>
      </c>
      <c r="T78" s="336"/>
      <c r="U78" s="336"/>
      <c r="V78" s="336"/>
      <c r="W78" s="336"/>
      <c r="X78" s="336"/>
      <c r="Y78" s="300">
        <v>0.33333333333333331</v>
      </c>
      <c r="Z78" s="300">
        <v>0.75</v>
      </c>
      <c r="AA78" s="297"/>
    </row>
    <row r="79" spans="1:27" s="277" customFormat="1" ht="22.5" customHeight="1">
      <c r="A79" s="293" t="s">
        <v>277</v>
      </c>
      <c r="B79" s="294">
        <v>0.47569444444444442</v>
      </c>
      <c r="C79" s="294">
        <v>0.99097222222222225</v>
      </c>
      <c r="D79" s="294">
        <v>0.47569444444444442</v>
      </c>
      <c r="E79" s="294">
        <v>0.99097222222222225</v>
      </c>
      <c r="F79" s="295">
        <v>0.47916666666666669</v>
      </c>
      <c r="G79" s="295">
        <v>2.0833333333333332E-2</v>
      </c>
      <c r="H79" s="333"/>
      <c r="I79" s="333"/>
      <c r="J79" s="333"/>
      <c r="K79" s="333"/>
      <c r="L79" s="334"/>
      <c r="M79" s="334"/>
      <c r="N79" s="334"/>
      <c r="O79" s="334"/>
      <c r="P79" s="334"/>
      <c r="Q79" s="334"/>
      <c r="R79" s="334"/>
      <c r="S79" s="334"/>
      <c r="T79" s="334"/>
      <c r="U79" s="334"/>
      <c r="V79" s="334"/>
      <c r="W79" s="334"/>
      <c r="X79" s="334"/>
      <c r="Y79" s="296">
        <v>0.33333333333333331</v>
      </c>
      <c r="Z79" s="296">
        <v>0.75</v>
      </c>
      <c r="AA79" s="293" t="s">
        <v>290</v>
      </c>
    </row>
    <row r="80" spans="1:27" s="277" customFormat="1" ht="22.5" customHeight="1">
      <c r="A80" s="293" t="s">
        <v>278</v>
      </c>
      <c r="B80" s="294">
        <v>3.6111111111111115E-2</v>
      </c>
      <c r="C80" s="294">
        <v>3.6111111111111115E-2</v>
      </c>
      <c r="D80" s="294">
        <v>3.6111111111111115E-2</v>
      </c>
      <c r="E80" s="294">
        <v>3.6111111111111115E-2</v>
      </c>
      <c r="F80" s="356" t="s">
        <v>291</v>
      </c>
      <c r="G80" s="356"/>
      <c r="H80" s="333"/>
      <c r="I80" s="333"/>
      <c r="J80" s="333"/>
      <c r="K80" s="333"/>
      <c r="L80" s="334">
        <v>1</v>
      </c>
      <c r="M80" s="334"/>
      <c r="N80" s="334"/>
      <c r="O80" s="334"/>
      <c r="P80" s="334"/>
      <c r="Q80" s="334"/>
      <c r="R80" s="334"/>
      <c r="S80" s="334">
        <v>2.5</v>
      </c>
      <c r="T80" s="334"/>
      <c r="U80" s="334"/>
      <c r="V80" s="334"/>
      <c r="W80" s="334"/>
      <c r="X80" s="334"/>
      <c r="Y80" s="296">
        <v>0.33333333333333331</v>
      </c>
      <c r="Z80" s="296">
        <v>0.75</v>
      </c>
      <c r="AA80" s="293" t="s">
        <v>292</v>
      </c>
    </row>
    <row r="81" spans="1:27" s="277" customFormat="1" ht="22.5" customHeight="1">
      <c r="A81" s="297" t="s">
        <v>278</v>
      </c>
      <c r="B81" s="298">
        <v>0.59861111111111109</v>
      </c>
      <c r="C81" s="298">
        <v>0.99513888888888891</v>
      </c>
      <c r="D81" s="298">
        <v>0.59861111111111109</v>
      </c>
      <c r="E81" s="298">
        <v>0.99513888888888891</v>
      </c>
      <c r="F81" s="299">
        <v>0.60416666666666663</v>
      </c>
      <c r="G81" s="299">
        <v>0.97916666666666663</v>
      </c>
      <c r="H81" s="335"/>
      <c r="I81" s="335"/>
      <c r="J81" s="335"/>
      <c r="K81" s="335"/>
      <c r="L81" s="336">
        <v>1</v>
      </c>
      <c r="M81" s="336"/>
      <c r="N81" s="336"/>
      <c r="O81" s="336"/>
      <c r="P81" s="336"/>
      <c r="Q81" s="336"/>
      <c r="R81" s="336"/>
      <c r="S81" s="336">
        <v>1.5</v>
      </c>
      <c r="T81" s="336"/>
      <c r="U81" s="336"/>
      <c r="V81" s="336"/>
      <c r="W81" s="336"/>
      <c r="X81" s="336"/>
      <c r="Y81" s="300">
        <v>0.33333333333333331</v>
      </c>
      <c r="Z81" s="300">
        <v>0.75</v>
      </c>
      <c r="AA81" s="297"/>
    </row>
    <row r="82" spans="1:27" s="277" customFormat="1" ht="22.5" customHeight="1">
      <c r="A82" s="297" t="s">
        <v>279</v>
      </c>
      <c r="B82" s="298">
        <v>0.60416666666666663</v>
      </c>
      <c r="C82" s="298">
        <v>0.98055555555555562</v>
      </c>
      <c r="D82" s="298">
        <v>0.60416666666666663</v>
      </c>
      <c r="E82" s="298">
        <v>0.98055555555555562</v>
      </c>
      <c r="F82" s="357" t="s">
        <v>291</v>
      </c>
      <c r="G82" s="357"/>
      <c r="H82" s="335"/>
      <c r="I82" s="335"/>
      <c r="J82" s="335"/>
      <c r="K82" s="335"/>
      <c r="L82" s="336">
        <v>1</v>
      </c>
      <c r="M82" s="336"/>
      <c r="N82" s="336"/>
      <c r="O82" s="336"/>
      <c r="P82" s="336"/>
      <c r="Q82" s="336"/>
      <c r="R82" s="336"/>
      <c r="S82" s="336">
        <v>1.5</v>
      </c>
      <c r="T82" s="336"/>
      <c r="U82" s="336"/>
      <c r="V82" s="336"/>
      <c r="W82" s="336"/>
      <c r="X82" s="336"/>
      <c r="Y82" s="300">
        <v>0.33333333333333331</v>
      </c>
      <c r="Z82" s="300">
        <v>0.75</v>
      </c>
      <c r="AA82" s="297"/>
    </row>
    <row r="83" spans="1:27" s="277" customFormat="1" ht="22.5" customHeight="1">
      <c r="A83" s="293" t="s">
        <v>281</v>
      </c>
      <c r="B83" s="294">
        <v>0.40763888888888888</v>
      </c>
      <c r="C83" s="294">
        <v>0.87777777777777777</v>
      </c>
      <c r="D83" s="294">
        <v>0.40763888888888888</v>
      </c>
      <c r="E83" s="294">
        <v>0.87777777777777777</v>
      </c>
      <c r="F83" s="425" t="s">
        <v>293</v>
      </c>
      <c r="G83" s="356"/>
      <c r="H83" s="333"/>
      <c r="I83" s="333"/>
      <c r="J83" s="333"/>
      <c r="K83" s="333"/>
      <c r="L83" s="334">
        <v>1</v>
      </c>
      <c r="M83" s="334"/>
      <c r="N83" s="334"/>
      <c r="O83" s="334"/>
      <c r="P83" s="334"/>
      <c r="Q83" s="334"/>
      <c r="R83" s="334"/>
      <c r="S83" s="334"/>
      <c r="T83" s="334"/>
      <c r="U83" s="334"/>
      <c r="V83" s="334"/>
      <c r="W83" s="334"/>
      <c r="X83" s="334"/>
      <c r="Y83" s="296">
        <v>0.33333333333333331</v>
      </c>
      <c r="Z83" s="296">
        <v>0.75</v>
      </c>
      <c r="AA83" s="293"/>
    </row>
    <row r="84" spans="1:27" s="277" customFormat="1" ht="22.5" customHeight="1">
      <c r="A84" s="297" t="s">
        <v>282</v>
      </c>
      <c r="B84" s="304"/>
      <c r="C84" s="304"/>
      <c r="D84" s="305"/>
      <c r="E84" s="305"/>
      <c r="F84" s="357" t="s">
        <v>188</v>
      </c>
      <c r="G84" s="357"/>
      <c r="H84" s="335"/>
      <c r="I84" s="335"/>
      <c r="J84" s="335"/>
      <c r="K84" s="335"/>
      <c r="L84" s="336"/>
      <c r="M84" s="336"/>
      <c r="N84" s="336"/>
      <c r="O84" s="336"/>
      <c r="P84" s="336"/>
      <c r="Q84" s="336"/>
      <c r="R84" s="336"/>
      <c r="S84" s="336"/>
      <c r="T84" s="336"/>
      <c r="U84" s="336"/>
      <c r="V84" s="336"/>
      <c r="W84" s="336"/>
      <c r="X84" s="336"/>
      <c r="Y84" s="306"/>
      <c r="Z84" s="306"/>
      <c r="AA84" s="297"/>
    </row>
    <row r="85" spans="1:27" s="277" customFormat="1" ht="22.5" customHeight="1">
      <c r="A85" s="307" t="s">
        <v>3</v>
      </c>
      <c r="B85" s="307"/>
      <c r="C85" s="307"/>
      <c r="D85" s="307"/>
      <c r="E85" s="307"/>
      <c r="F85" s="307"/>
      <c r="G85" s="307"/>
      <c r="H85" s="337">
        <f>SUM(H68:H84)</f>
        <v>0</v>
      </c>
      <c r="I85" s="337">
        <f t="shared" ref="I85:X85" si="2">SUM(I68:I84)</f>
        <v>0</v>
      </c>
      <c r="J85" s="337">
        <f t="shared" si="2"/>
        <v>0</v>
      </c>
      <c r="K85" s="337">
        <f t="shared" si="2"/>
        <v>0</v>
      </c>
      <c r="L85" s="337">
        <f t="shared" si="2"/>
        <v>12</v>
      </c>
      <c r="M85" s="337">
        <f t="shared" si="2"/>
        <v>0</v>
      </c>
      <c r="N85" s="337">
        <f t="shared" si="2"/>
        <v>0</v>
      </c>
      <c r="O85" s="337">
        <f t="shared" si="2"/>
        <v>0</v>
      </c>
      <c r="P85" s="337">
        <f t="shared" si="2"/>
        <v>0</v>
      </c>
      <c r="Q85" s="337">
        <f t="shared" si="2"/>
        <v>0</v>
      </c>
      <c r="R85" s="337">
        <f t="shared" si="2"/>
        <v>0</v>
      </c>
      <c r="S85" s="337">
        <f t="shared" si="2"/>
        <v>8.5</v>
      </c>
      <c r="T85" s="337">
        <f t="shared" si="2"/>
        <v>0</v>
      </c>
      <c r="U85" s="337">
        <f t="shared" si="2"/>
        <v>0</v>
      </c>
      <c r="V85" s="337">
        <f t="shared" si="2"/>
        <v>0</v>
      </c>
      <c r="W85" s="337">
        <f t="shared" si="2"/>
        <v>0</v>
      </c>
      <c r="X85" s="337">
        <f t="shared" si="2"/>
        <v>0</v>
      </c>
      <c r="Y85" s="285"/>
      <c r="Z85" s="285"/>
      <c r="AA85" s="307" t="s">
        <v>258</v>
      </c>
    </row>
    <row r="86" spans="1:27" s="277" customFormat="1" ht="22.5" customHeight="1" thickBot="1">
      <c r="H86" s="338"/>
      <c r="I86" s="338"/>
      <c r="J86" s="338"/>
      <c r="K86" s="338"/>
      <c r="L86" s="339"/>
      <c r="M86" s="339"/>
      <c r="N86" s="339"/>
      <c r="O86" s="339"/>
      <c r="P86" s="339"/>
      <c r="Q86" s="339"/>
      <c r="R86" s="339"/>
      <c r="S86" s="339"/>
      <c r="T86" s="339"/>
      <c r="U86" s="339"/>
      <c r="V86" s="339"/>
      <c r="W86" s="339"/>
      <c r="X86" s="339"/>
      <c r="Y86" s="308"/>
      <c r="Z86" s="308"/>
    </row>
    <row r="87" spans="1:27" s="277" customFormat="1" ht="22.5" customHeight="1" thickBot="1">
      <c r="A87" s="290" t="s">
        <v>177</v>
      </c>
      <c r="B87" s="291" t="s">
        <v>215</v>
      </c>
      <c r="C87" s="291"/>
      <c r="D87" s="291"/>
      <c r="E87" s="291"/>
      <c r="F87" s="291"/>
      <c r="G87" s="291"/>
      <c r="H87" s="344" t="s">
        <v>91</v>
      </c>
      <c r="I87" s="345"/>
      <c r="J87" s="345"/>
      <c r="K87" s="346"/>
      <c r="L87" s="347" t="s">
        <v>90</v>
      </c>
      <c r="M87" s="349" t="s">
        <v>165</v>
      </c>
      <c r="N87" s="349" t="s">
        <v>166</v>
      </c>
      <c r="O87" s="351" t="s">
        <v>167</v>
      </c>
      <c r="P87" s="352"/>
      <c r="Q87" s="353"/>
      <c r="R87" s="349" t="s">
        <v>168</v>
      </c>
      <c r="S87" s="351" t="s">
        <v>19</v>
      </c>
      <c r="T87" s="352"/>
      <c r="U87" s="353"/>
      <c r="V87" s="349" t="s">
        <v>126</v>
      </c>
      <c r="W87" s="349" t="s">
        <v>127</v>
      </c>
      <c r="X87" s="354" t="s">
        <v>105</v>
      </c>
      <c r="Y87" s="285" t="s">
        <v>169</v>
      </c>
      <c r="Z87" s="285"/>
      <c r="AA87" s="307" t="s">
        <v>170</v>
      </c>
    </row>
    <row r="88" spans="1:27" s="277" customFormat="1" ht="22.5" customHeight="1" thickBot="1">
      <c r="A88" s="290" t="s">
        <v>179</v>
      </c>
      <c r="B88" s="291" t="s">
        <v>216</v>
      </c>
      <c r="C88" s="291"/>
      <c r="D88" s="291"/>
      <c r="E88" s="291"/>
      <c r="F88" s="291"/>
      <c r="G88" s="291"/>
      <c r="H88" s="286" t="s">
        <v>173</v>
      </c>
      <c r="I88" s="286" t="s">
        <v>93</v>
      </c>
      <c r="J88" s="286" t="s">
        <v>94</v>
      </c>
      <c r="K88" s="287" t="s">
        <v>174</v>
      </c>
      <c r="L88" s="348"/>
      <c r="M88" s="350"/>
      <c r="N88" s="350"/>
      <c r="O88" s="288" t="s">
        <v>175</v>
      </c>
      <c r="P88" s="288" t="s">
        <v>176</v>
      </c>
      <c r="Q88" s="330" t="s">
        <v>127</v>
      </c>
      <c r="R88" s="350"/>
      <c r="S88" s="288" t="s">
        <v>175</v>
      </c>
      <c r="T88" s="288" t="s">
        <v>176</v>
      </c>
      <c r="U88" s="330" t="s">
        <v>127</v>
      </c>
      <c r="V88" s="350"/>
      <c r="W88" s="350"/>
      <c r="X88" s="355"/>
      <c r="Y88" s="285" t="s">
        <v>171</v>
      </c>
      <c r="Z88" s="285" t="s">
        <v>172</v>
      </c>
      <c r="AA88" s="307"/>
    </row>
    <row r="89" spans="1:27" s="277" customFormat="1" ht="22.5" customHeight="1">
      <c r="A89" s="293" t="s">
        <v>265</v>
      </c>
      <c r="B89" s="301"/>
      <c r="C89" s="301"/>
      <c r="D89" s="302"/>
      <c r="E89" s="302"/>
      <c r="F89" s="356" t="s">
        <v>188</v>
      </c>
      <c r="G89" s="356"/>
      <c r="H89" s="333"/>
      <c r="I89" s="333"/>
      <c r="J89" s="333"/>
      <c r="K89" s="333"/>
      <c r="L89" s="334"/>
      <c r="M89" s="334"/>
      <c r="N89" s="334"/>
      <c r="O89" s="334"/>
      <c r="P89" s="334"/>
      <c r="Q89" s="334"/>
      <c r="R89" s="334"/>
      <c r="S89" s="334"/>
      <c r="T89" s="334"/>
      <c r="U89" s="334"/>
      <c r="V89" s="334"/>
      <c r="W89" s="334"/>
      <c r="X89" s="334"/>
      <c r="Y89" s="303"/>
      <c r="Z89" s="303"/>
      <c r="AA89" s="293"/>
    </row>
    <row r="90" spans="1:27" s="277" customFormat="1" ht="22.5" customHeight="1">
      <c r="A90" s="297" t="s">
        <v>266</v>
      </c>
      <c r="B90" s="298">
        <v>0.47986111111111113</v>
      </c>
      <c r="C90" s="298">
        <v>0.63472222222222219</v>
      </c>
      <c r="D90" s="298">
        <v>0.47986111111111113</v>
      </c>
      <c r="E90" s="298">
        <v>0.63472222222222219</v>
      </c>
      <c r="F90" s="299">
        <v>0.47916666666666669</v>
      </c>
      <c r="G90" s="299">
        <v>0.63472222222222219</v>
      </c>
      <c r="H90" s="335"/>
      <c r="I90" s="335"/>
      <c r="J90" s="335"/>
      <c r="K90" s="335"/>
      <c r="L90" s="336"/>
      <c r="M90" s="336"/>
      <c r="N90" s="336"/>
      <c r="O90" s="336"/>
      <c r="P90" s="336"/>
      <c r="Q90" s="336"/>
      <c r="R90" s="336"/>
      <c r="S90" s="336"/>
      <c r="T90" s="336"/>
      <c r="U90" s="336"/>
      <c r="V90" s="336"/>
      <c r="W90" s="336"/>
      <c r="X90" s="336"/>
      <c r="Y90" s="300">
        <v>0.33333333333333331</v>
      </c>
      <c r="Z90" s="300">
        <v>0.70833333333333337</v>
      </c>
      <c r="AA90" s="297"/>
    </row>
    <row r="91" spans="1:27" s="277" customFormat="1" ht="22.5" customHeight="1">
      <c r="A91" s="293" t="s">
        <v>266</v>
      </c>
      <c r="B91" s="294">
        <v>0.74097222222222225</v>
      </c>
      <c r="C91" s="294">
        <v>0.97916666666666663</v>
      </c>
      <c r="D91" s="294">
        <v>0.74097222222222225</v>
      </c>
      <c r="E91" s="294">
        <v>0.97916666666666663</v>
      </c>
      <c r="F91" s="295">
        <v>0.80138888888888893</v>
      </c>
      <c r="G91" s="295">
        <v>0.97916666666666663</v>
      </c>
      <c r="H91" s="333"/>
      <c r="I91" s="333"/>
      <c r="J91" s="333"/>
      <c r="K91" s="333"/>
      <c r="L91" s="334">
        <v>1</v>
      </c>
      <c r="M91" s="334"/>
      <c r="N91" s="334"/>
      <c r="O91" s="334"/>
      <c r="P91" s="334"/>
      <c r="Q91" s="334"/>
      <c r="R91" s="334"/>
      <c r="S91" s="334">
        <v>1.5</v>
      </c>
      <c r="T91" s="334"/>
      <c r="U91" s="334"/>
      <c r="V91" s="334"/>
      <c r="W91" s="334"/>
      <c r="X91" s="334"/>
      <c r="Y91" s="296">
        <v>0.33333333333333331</v>
      </c>
      <c r="Z91" s="296">
        <v>0.70833333333333337</v>
      </c>
      <c r="AA91" s="293"/>
    </row>
    <row r="92" spans="1:27" s="277" customFormat="1" ht="22.5" customHeight="1">
      <c r="A92" s="297" t="s">
        <v>267</v>
      </c>
      <c r="B92" s="298">
        <v>0.4597222222222222</v>
      </c>
      <c r="C92" s="298">
        <v>0.62361111111111112</v>
      </c>
      <c r="D92" s="298">
        <v>0.4597222222222222</v>
      </c>
      <c r="E92" s="298">
        <v>0.62361111111111112</v>
      </c>
      <c r="F92" s="299">
        <v>0.47916666666666669</v>
      </c>
      <c r="G92" s="299">
        <v>0.62361111111111112</v>
      </c>
      <c r="H92" s="335"/>
      <c r="I92" s="335"/>
      <c r="J92" s="335"/>
      <c r="K92" s="335"/>
      <c r="L92" s="336"/>
      <c r="M92" s="336"/>
      <c r="N92" s="336"/>
      <c r="O92" s="336"/>
      <c r="P92" s="336"/>
      <c r="Q92" s="336"/>
      <c r="R92" s="336"/>
      <c r="S92" s="336"/>
      <c r="T92" s="336"/>
      <c r="U92" s="336"/>
      <c r="V92" s="336"/>
      <c r="W92" s="336"/>
      <c r="X92" s="336"/>
      <c r="Y92" s="300">
        <v>0.33333333333333331</v>
      </c>
      <c r="Z92" s="300">
        <v>0.70833333333333337</v>
      </c>
      <c r="AA92" s="297"/>
    </row>
    <row r="93" spans="1:27" s="277" customFormat="1" ht="22.5" customHeight="1">
      <c r="A93" s="293" t="s">
        <v>267</v>
      </c>
      <c r="B93" s="294">
        <v>0.74930555555555556</v>
      </c>
      <c r="C93" s="294">
        <v>0.97916666666666663</v>
      </c>
      <c r="D93" s="294">
        <v>0.74930555555555556</v>
      </c>
      <c r="E93" s="294">
        <v>0.97916666666666663</v>
      </c>
      <c r="F93" s="295">
        <v>0.79027777777777775</v>
      </c>
      <c r="G93" s="295">
        <v>0.97916666666666663</v>
      </c>
      <c r="H93" s="333"/>
      <c r="I93" s="333"/>
      <c r="J93" s="333"/>
      <c r="K93" s="333"/>
      <c r="L93" s="334">
        <v>1</v>
      </c>
      <c r="M93" s="334">
        <f>1/60</f>
        <v>1.6666666666666666E-2</v>
      </c>
      <c r="N93" s="334"/>
      <c r="O93" s="334"/>
      <c r="P93" s="334"/>
      <c r="Q93" s="334"/>
      <c r="R93" s="334"/>
      <c r="S93" s="334">
        <v>1.5</v>
      </c>
      <c r="T93" s="334"/>
      <c r="U93" s="334"/>
      <c r="V93" s="334"/>
      <c r="W93" s="334"/>
      <c r="X93" s="334"/>
      <c r="Y93" s="296">
        <v>0.33333333333333331</v>
      </c>
      <c r="Z93" s="296">
        <v>0.70833333333333337</v>
      </c>
      <c r="AA93" s="293"/>
    </row>
    <row r="94" spans="1:27" s="277" customFormat="1" ht="22.5" customHeight="1">
      <c r="A94" s="297" t="s">
        <v>269</v>
      </c>
      <c r="B94" s="298">
        <v>0.47013888888888888</v>
      </c>
      <c r="C94" s="298">
        <v>0.625</v>
      </c>
      <c r="D94" s="298">
        <v>0.47013888888888888</v>
      </c>
      <c r="E94" s="298">
        <v>0.625</v>
      </c>
      <c r="F94" s="299">
        <v>0.47916666666666669</v>
      </c>
      <c r="G94" s="299">
        <v>0.625</v>
      </c>
      <c r="H94" s="335"/>
      <c r="I94" s="335"/>
      <c r="J94" s="335"/>
      <c r="K94" s="335"/>
      <c r="L94" s="336"/>
      <c r="M94" s="336"/>
      <c r="N94" s="336"/>
      <c r="O94" s="336"/>
      <c r="P94" s="336"/>
      <c r="Q94" s="336"/>
      <c r="R94" s="336"/>
      <c r="S94" s="336"/>
      <c r="T94" s="336"/>
      <c r="U94" s="336"/>
      <c r="V94" s="336"/>
      <c r="W94" s="336"/>
      <c r="X94" s="336"/>
      <c r="Y94" s="300">
        <v>0.33333333333333331</v>
      </c>
      <c r="Z94" s="300">
        <v>0.70833333333333337</v>
      </c>
      <c r="AA94" s="297"/>
    </row>
    <row r="95" spans="1:27" s="277" customFormat="1" ht="22.5" customHeight="1">
      <c r="A95" s="293" t="s">
        <v>269</v>
      </c>
      <c r="B95" s="294">
        <v>0.74652777777777779</v>
      </c>
      <c r="C95" s="294">
        <v>0.97986111111111107</v>
      </c>
      <c r="D95" s="294">
        <v>0.74652777777777779</v>
      </c>
      <c r="E95" s="294">
        <v>0.97986111111111107</v>
      </c>
      <c r="F95" s="295">
        <v>0.79166666666666663</v>
      </c>
      <c r="G95" s="295">
        <v>0.97916666666666663</v>
      </c>
      <c r="H95" s="333"/>
      <c r="I95" s="333"/>
      <c r="J95" s="333"/>
      <c r="K95" s="333"/>
      <c r="L95" s="334">
        <v>1</v>
      </c>
      <c r="M95" s="334"/>
      <c r="N95" s="334"/>
      <c r="O95" s="334"/>
      <c r="P95" s="334"/>
      <c r="Q95" s="334"/>
      <c r="R95" s="334"/>
      <c r="S95" s="334">
        <v>1.5</v>
      </c>
      <c r="T95" s="334"/>
      <c r="U95" s="334"/>
      <c r="V95" s="334"/>
      <c r="W95" s="334"/>
      <c r="X95" s="334"/>
      <c r="Y95" s="296">
        <v>0.33333333333333331</v>
      </c>
      <c r="Z95" s="296">
        <v>0.70833333333333337</v>
      </c>
      <c r="AA95" s="293"/>
    </row>
    <row r="96" spans="1:27" s="277" customFormat="1" ht="22.5" customHeight="1">
      <c r="A96" s="293" t="s">
        <v>270</v>
      </c>
      <c r="B96" s="294">
        <v>0.47569444444444442</v>
      </c>
      <c r="C96" s="294">
        <v>0.62638888888888888</v>
      </c>
      <c r="D96" s="294">
        <v>0.47569444444444442</v>
      </c>
      <c r="E96" s="294">
        <v>0.62638888888888888</v>
      </c>
      <c r="F96" s="295">
        <v>0.47916666666666669</v>
      </c>
      <c r="G96" s="295">
        <v>0.62638888888888888</v>
      </c>
      <c r="H96" s="333"/>
      <c r="I96" s="333"/>
      <c r="J96" s="333"/>
      <c r="K96" s="333"/>
      <c r="L96" s="334"/>
      <c r="M96" s="334"/>
      <c r="N96" s="334"/>
      <c r="O96" s="334"/>
      <c r="P96" s="334"/>
      <c r="Q96" s="334"/>
      <c r="R96" s="334"/>
      <c r="S96" s="334"/>
      <c r="T96" s="334"/>
      <c r="U96" s="334"/>
      <c r="V96" s="334"/>
      <c r="W96" s="334"/>
      <c r="X96" s="334"/>
      <c r="Y96" s="296">
        <v>0.33333333333333331</v>
      </c>
      <c r="Z96" s="296">
        <v>0.70833333333333337</v>
      </c>
      <c r="AA96" s="293"/>
    </row>
    <row r="97" spans="1:27" s="277" customFormat="1" ht="22.5" customHeight="1">
      <c r="A97" s="297" t="s">
        <v>270</v>
      </c>
      <c r="B97" s="298">
        <v>0.74722222222222223</v>
      </c>
      <c r="C97" s="298">
        <v>0.97916666666666663</v>
      </c>
      <c r="D97" s="298">
        <v>0.74722222222222223</v>
      </c>
      <c r="E97" s="298">
        <v>0.97916666666666663</v>
      </c>
      <c r="F97" s="299">
        <v>0.79305555555555562</v>
      </c>
      <c r="G97" s="299">
        <v>0.97916666666666663</v>
      </c>
      <c r="H97" s="335"/>
      <c r="I97" s="335"/>
      <c r="J97" s="335"/>
      <c r="K97" s="335"/>
      <c r="L97" s="336">
        <v>1</v>
      </c>
      <c r="M97" s="336"/>
      <c r="N97" s="336"/>
      <c r="O97" s="336"/>
      <c r="P97" s="336"/>
      <c r="Q97" s="336"/>
      <c r="R97" s="336"/>
      <c r="S97" s="336">
        <v>1.5</v>
      </c>
      <c r="T97" s="336"/>
      <c r="U97" s="336"/>
      <c r="V97" s="336"/>
      <c r="W97" s="336"/>
      <c r="X97" s="336"/>
      <c r="Y97" s="300">
        <v>0.33333333333333331</v>
      </c>
      <c r="Z97" s="300">
        <v>0.70833333333333337</v>
      </c>
      <c r="AA97" s="297"/>
    </row>
    <row r="98" spans="1:27" s="277" customFormat="1" ht="22.5" customHeight="1">
      <c r="A98" s="293" t="s">
        <v>271</v>
      </c>
      <c r="B98" s="294">
        <v>0.48472222222222222</v>
      </c>
      <c r="C98" s="294">
        <v>0.625</v>
      </c>
      <c r="D98" s="294">
        <v>0.48472222222222222</v>
      </c>
      <c r="E98" s="294">
        <v>0.625</v>
      </c>
      <c r="F98" s="295">
        <v>0.47916666666666669</v>
      </c>
      <c r="G98" s="295">
        <v>0.625</v>
      </c>
      <c r="H98" s="333"/>
      <c r="I98" s="333"/>
      <c r="J98" s="333"/>
      <c r="K98" s="333"/>
      <c r="L98" s="334"/>
      <c r="M98" s="334"/>
      <c r="N98" s="334"/>
      <c r="O98" s="334"/>
      <c r="P98" s="334"/>
      <c r="Q98" s="334"/>
      <c r="R98" s="334"/>
      <c r="S98" s="334"/>
      <c r="T98" s="334"/>
      <c r="U98" s="334"/>
      <c r="V98" s="334"/>
      <c r="W98" s="334"/>
      <c r="X98" s="334"/>
      <c r="Y98" s="296">
        <v>0.33333333333333331</v>
      </c>
      <c r="Z98" s="296">
        <v>0.70833333333333337</v>
      </c>
      <c r="AA98" s="293" t="s">
        <v>239</v>
      </c>
    </row>
    <row r="99" spans="1:27" s="277" customFormat="1" ht="22.5" customHeight="1">
      <c r="A99" s="297" t="s">
        <v>271</v>
      </c>
      <c r="B99" s="298">
        <v>0.74305555555555547</v>
      </c>
      <c r="C99" s="298">
        <v>0.97916666666666663</v>
      </c>
      <c r="D99" s="298">
        <v>0.74305555555555547</v>
      </c>
      <c r="E99" s="298">
        <v>0.97916666666666663</v>
      </c>
      <c r="F99" s="299">
        <v>0.79166666666666663</v>
      </c>
      <c r="G99" s="299">
        <v>0.97916666666666663</v>
      </c>
      <c r="H99" s="335"/>
      <c r="I99" s="335"/>
      <c r="J99" s="335"/>
      <c r="K99" s="335"/>
      <c r="L99" s="336">
        <v>1</v>
      </c>
      <c r="M99" s="336">
        <f>8/60</f>
        <v>0.13333333333333333</v>
      </c>
      <c r="N99" s="336"/>
      <c r="O99" s="336"/>
      <c r="P99" s="336"/>
      <c r="Q99" s="336"/>
      <c r="R99" s="336"/>
      <c r="S99" s="336">
        <v>1.5</v>
      </c>
      <c r="T99" s="336"/>
      <c r="U99" s="336"/>
      <c r="V99" s="336"/>
      <c r="W99" s="336"/>
      <c r="X99" s="336"/>
      <c r="Y99" s="300">
        <v>0.33333333333333331</v>
      </c>
      <c r="Z99" s="300">
        <v>0.70833333333333337</v>
      </c>
      <c r="AA99" s="297"/>
    </row>
    <row r="100" spans="1:27" s="277" customFormat="1" ht="22.5" customHeight="1">
      <c r="A100" s="297" t="s">
        <v>273</v>
      </c>
      <c r="B100" s="298">
        <v>0.45555555555555555</v>
      </c>
      <c r="C100" s="298">
        <v>0.70624999999999993</v>
      </c>
      <c r="D100" s="298">
        <v>0.45555555555555555</v>
      </c>
      <c r="E100" s="298">
        <v>0.70624999999999993</v>
      </c>
      <c r="F100" s="299">
        <v>0.45833333333333331</v>
      </c>
      <c r="G100" s="299">
        <v>0.70624999999999993</v>
      </c>
      <c r="H100" s="335"/>
      <c r="I100" s="335"/>
      <c r="J100" s="335"/>
      <c r="K100" s="335"/>
      <c r="L100" s="336"/>
      <c r="M100" s="336"/>
      <c r="N100" s="336"/>
      <c r="O100" s="336"/>
      <c r="P100" s="336"/>
      <c r="Q100" s="336"/>
      <c r="R100" s="336"/>
      <c r="S100" s="336"/>
      <c r="T100" s="336"/>
      <c r="U100" s="336"/>
      <c r="V100" s="336"/>
      <c r="W100" s="336"/>
      <c r="X100" s="336"/>
      <c r="Y100" s="300">
        <v>0.33333333333333331</v>
      </c>
      <c r="Z100" s="300">
        <v>0.70833333333333337</v>
      </c>
      <c r="AA100" s="297"/>
    </row>
    <row r="101" spans="1:27" s="277" customFormat="1" ht="22.5" customHeight="1">
      <c r="A101" s="293" t="s">
        <v>273</v>
      </c>
      <c r="B101" s="294">
        <v>0.70694444444444438</v>
      </c>
      <c r="C101" s="294">
        <v>0.875</v>
      </c>
      <c r="D101" s="294">
        <v>0.70694444444444438</v>
      </c>
      <c r="E101" s="294">
        <v>0.875</v>
      </c>
      <c r="F101" s="295">
        <v>0.74791666666666667</v>
      </c>
      <c r="G101" s="295">
        <v>0.875</v>
      </c>
      <c r="H101" s="333"/>
      <c r="I101" s="333"/>
      <c r="J101" s="333"/>
      <c r="K101" s="333"/>
      <c r="L101" s="334">
        <v>1</v>
      </c>
      <c r="M101" s="334"/>
      <c r="N101" s="334"/>
      <c r="O101" s="334"/>
      <c r="P101" s="334"/>
      <c r="Q101" s="334"/>
      <c r="R101" s="334"/>
      <c r="S101" s="334"/>
      <c r="T101" s="334"/>
      <c r="U101" s="334"/>
      <c r="V101" s="334"/>
      <c r="W101" s="334"/>
      <c r="X101" s="334"/>
      <c r="Y101" s="296">
        <v>0.33333333333333331</v>
      </c>
      <c r="Z101" s="296">
        <v>0.70833333333333337</v>
      </c>
      <c r="AA101" s="293"/>
    </row>
    <row r="102" spans="1:27" s="277" customFormat="1" ht="22.5" customHeight="1">
      <c r="A102" s="297" t="s">
        <v>274</v>
      </c>
      <c r="B102" s="304"/>
      <c r="C102" s="304"/>
      <c r="D102" s="305"/>
      <c r="E102" s="305"/>
      <c r="F102" s="357" t="s">
        <v>188</v>
      </c>
      <c r="G102" s="357"/>
      <c r="H102" s="335"/>
      <c r="I102" s="335"/>
      <c r="J102" s="335"/>
      <c r="K102" s="335"/>
      <c r="L102" s="336"/>
      <c r="M102" s="336"/>
      <c r="N102" s="336"/>
      <c r="O102" s="336"/>
      <c r="P102" s="336"/>
      <c r="Q102" s="336"/>
      <c r="R102" s="336"/>
      <c r="S102" s="336"/>
      <c r="T102" s="336"/>
      <c r="U102" s="336"/>
      <c r="V102" s="336"/>
      <c r="W102" s="336"/>
      <c r="X102" s="336"/>
      <c r="Y102" s="306"/>
      <c r="Z102" s="306"/>
      <c r="AA102" s="297"/>
    </row>
    <row r="103" spans="1:27" s="277" customFormat="1" ht="22.5" customHeight="1">
      <c r="A103" s="293" t="s">
        <v>275</v>
      </c>
      <c r="B103" s="294">
        <v>0.25</v>
      </c>
      <c r="C103" s="294">
        <v>0.41944444444444445</v>
      </c>
      <c r="D103" s="294">
        <v>0.25</v>
      </c>
      <c r="E103" s="294">
        <v>0.41944444444444445</v>
      </c>
      <c r="F103" s="295">
        <v>0.25</v>
      </c>
      <c r="G103" s="295">
        <v>0.41944444444444445</v>
      </c>
      <c r="H103" s="333"/>
      <c r="I103" s="333"/>
      <c r="J103" s="333"/>
      <c r="K103" s="333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334"/>
      <c r="Y103" s="296">
        <v>0.33333333333333331</v>
      </c>
      <c r="Z103" s="296">
        <v>0.70833333333333337</v>
      </c>
      <c r="AA103" s="293"/>
    </row>
    <row r="104" spans="1:27" s="277" customFormat="1" ht="22.5" customHeight="1">
      <c r="A104" s="297" t="s">
        <v>275</v>
      </c>
      <c r="B104" s="298">
        <v>0.45416666666666666</v>
      </c>
      <c r="C104" s="298">
        <v>0.62847222222222221</v>
      </c>
      <c r="D104" s="298">
        <v>0.45416666666666666</v>
      </c>
      <c r="E104" s="298">
        <v>0.62847222222222221</v>
      </c>
      <c r="F104" s="299">
        <v>0.46111111111111108</v>
      </c>
      <c r="G104" s="299">
        <v>0.625</v>
      </c>
      <c r="H104" s="335"/>
      <c r="I104" s="335"/>
      <c r="J104" s="335"/>
      <c r="K104" s="335"/>
      <c r="L104" s="336">
        <v>1</v>
      </c>
      <c r="M104" s="336"/>
      <c r="N104" s="336"/>
      <c r="O104" s="336"/>
      <c r="P104" s="336"/>
      <c r="Q104" s="336"/>
      <c r="R104" s="336"/>
      <c r="S104" s="336"/>
      <c r="T104" s="336"/>
      <c r="U104" s="336"/>
      <c r="V104" s="336"/>
      <c r="W104" s="336"/>
      <c r="X104" s="336"/>
      <c r="Y104" s="300">
        <v>0.33333333333333331</v>
      </c>
      <c r="Z104" s="300">
        <v>0.70833333333333337</v>
      </c>
      <c r="AA104" s="297"/>
    </row>
    <row r="105" spans="1:27" s="277" customFormat="1" ht="22.5" customHeight="1">
      <c r="A105" s="293" t="s">
        <v>276</v>
      </c>
      <c r="B105" s="294">
        <v>0.26527777777777778</v>
      </c>
      <c r="C105" s="294">
        <v>0.42222222222222222</v>
      </c>
      <c r="D105" s="294">
        <v>0.26527777777777778</v>
      </c>
      <c r="E105" s="294">
        <v>0.42222222222222222</v>
      </c>
      <c r="F105" s="295">
        <v>0.25</v>
      </c>
      <c r="G105" s="295">
        <v>0.42222222222222222</v>
      </c>
      <c r="H105" s="333"/>
      <c r="I105" s="333"/>
      <c r="J105" s="333"/>
      <c r="K105" s="333"/>
      <c r="L105" s="334"/>
      <c r="M105" s="334"/>
      <c r="N105" s="334"/>
      <c r="O105" s="334"/>
      <c r="P105" s="334"/>
      <c r="Q105" s="334"/>
      <c r="R105" s="334"/>
      <c r="S105" s="334"/>
      <c r="T105" s="334"/>
      <c r="U105" s="334"/>
      <c r="V105" s="334"/>
      <c r="W105" s="334"/>
      <c r="X105" s="334"/>
      <c r="Y105" s="296">
        <v>0.33333333333333331</v>
      </c>
      <c r="Z105" s="296">
        <v>0.70833333333333337</v>
      </c>
      <c r="AA105" s="293"/>
    </row>
    <row r="106" spans="1:27" s="277" customFormat="1" ht="22.5" customHeight="1">
      <c r="A106" s="297" t="s">
        <v>276</v>
      </c>
      <c r="B106" s="298">
        <v>0.45347222222222222</v>
      </c>
      <c r="C106" s="298">
        <v>0.58819444444444446</v>
      </c>
      <c r="D106" s="298">
        <v>0.45347222222222222</v>
      </c>
      <c r="E106" s="298">
        <v>0.58819444444444446</v>
      </c>
      <c r="F106" s="299">
        <v>0.46388888888888885</v>
      </c>
      <c r="G106" s="299">
        <v>0.625</v>
      </c>
      <c r="H106" s="335"/>
      <c r="I106" s="335"/>
      <c r="J106" s="335"/>
      <c r="K106" s="335"/>
      <c r="L106" s="336"/>
      <c r="M106" s="336"/>
      <c r="N106" s="336"/>
      <c r="O106" s="336"/>
      <c r="P106" s="336"/>
      <c r="Q106" s="336"/>
      <c r="R106" s="336"/>
      <c r="S106" s="336"/>
      <c r="T106" s="336"/>
      <c r="U106" s="336"/>
      <c r="V106" s="336"/>
      <c r="W106" s="336"/>
      <c r="X106" s="336"/>
      <c r="Y106" s="300">
        <v>0.33333333333333331</v>
      </c>
      <c r="Z106" s="300">
        <v>0.70833333333333337</v>
      </c>
      <c r="AA106" s="297"/>
    </row>
    <row r="107" spans="1:27" s="277" customFormat="1" ht="22.5" customHeight="1">
      <c r="A107" s="293" t="s">
        <v>276</v>
      </c>
      <c r="B107" s="294">
        <v>0.62847222222222221</v>
      </c>
      <c r="C107" s="294">
        <v>0.62847222222222221</v>
      </c>
      <c r="D107" s="294">
        <v>0.62847222222222221</v>
      </c>
      <c r="E107" s="294">
        <v>0.62847222222222221</v>
      </c>
      <c r="F107" s="356"/>
      <c r="G107" s="356"/>
      <c r="H107" s="333"/>
      <c r="I107" s="333"/>
      <c r="J107" s="333"/>
      <c r="K107" s="333"/>
      <c r="L107" s="334">
        <v>1</v>
      </c>
      <c r="M107" s="334">
        <f>22/60</f>
        <v>0.36666666666666664</v>
      </c>
      <c r="N107" s="334"/>
      <c r="O107" s="334"/>
      <c r="P107" s="334"/>
      <c r="Q107" s="334"/>
      <c r="R107" s="334"/>
      <c r="S107" s="334"/>
      <c r="T107" s="334"/>
      <c r="U107" s="334"/>
      <c r="V107" s="334"/>
      <c r="W107" s="334"/>
      <c r="X107" s="334"/>
      <c r="Y107" s="296">
        <v>0.33333333333333331</v>
      </c>
      <c r="Z107" s="296">
        <v>0.70833333333333337</v>
      </c>
      <c r="AA107" s="293"/>
    </row>
    <row r="108" spans="1:27" s="277" customFormat="1" ht="22.5" customHeight="1">
      <c r="A108" s="297" t="s">
        <v>277</v>
      </c>
      <c r="B108" s="298">
        <v>0.25</v>
      </c>
      <c r="C108" s="298">
        <v>0.42152777777777778</v>
      </c>
      <c r="D108" s="298">
        <v>0.25</v>
      </c>
      <c r="E108" s="298">
        <v>0.42152777777777778</v>
      </c>
      <c r="F108" s="299">
        <v>0.25</v>
      </c>
      <c r="G108" s="299">
        <v>0.42152777777777778</v>
      </c>
      <c r="H108" s="335"/>
      <c r="I108" s="335"/>
      <c r="J108" s="335"/>
      <c r="K108" s="335"/>
      <c r="L108" s="336"/>
      <c r="M108" s="336"/>
      <c r="N108" s="336"/>
      <c r="O108" s="336"/>
      <c r="P108" s="336"/>
      <c r="Q108" s="336"/>
      <c r="R108" s="336"/>
      <c r="S108" s="336"/>
      <c r="T108" s="336"/>
      <c r="U108" s="336"/>
      <c r="V108" s="336"/>
      <c r="W108" s="336"/>
      <c r="X108" s="336"/>
      <c r="Y108" s="300">
        <v>0.33333333333333331</v>
      </c>
      <c r="Z108" s="300">
        <v>0.70833333333333337</v>
      </c>
      <c r="AA108" s="297"/>
    </row>
    <row r="109" spans="1:27" s="277" customFormat="1" ht="22.5" customHeight="1">
      <c r="A109" s="293" t="s">
        <v>277</v>
      </c>
      <c r="B109" s="294">
        <v>0.45208333333333334</v>
      </c>
      <c r="C109" s="294">
        <v>0.62638888888888888</v>
      </c>
      <c r="D109" s="294">
        <v>0.45208333333333334</v>
      </c>
      <c r="E109" s="294">
        <v>0.62638888888888888</v>
      </c>
      <c r="F109" s="295">
        <v>0.46319444444444446</v>
      </c>
      <c r="G109" s="295">
        <v>0.625</v>
      </c>
      <c r="H109" s="333"/>
      <c r="I109" s="333"/>
      <c r="J109" s="333"/>
      <c r="K109" s="333"/>
      <c r="L109" s="334">
        <v>1</v>
      </c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296">
        <v>0.33333333333333331</v>
      </c>
      <c r="Z109" s="296">
        <v>0.70833333333333337</v>
      </c>
      <c r="AA109" s="293"/>
    </row>
    <row r="110" spans="1:27" s="277" customFormat="1" ht="22.5" customHeight="1">
      <c r="A110" s="293" t="s">
        <v>278</v>
      </c>
      <c r="B110" s="294">
        <v>0.26180555555555557</v>
      </c>
      <c r="C110" s="294">
        <v>0.41805555555555557</v>
      </c>
      <c r="D110" s="294">
        <v>0.26180555555555557</v>
      </c>
      <c r="E110" s="294">
        <v>0.41805555555555557</v>
      </c>
      <c r="F110" s="295">
        <v>0.25</v>
      </c>
      <c r="G110" s="295">
        <v>0.91805555555555562</v>
      </c>
      <c r="H110" s="333"/>
      <c r="I110" s="333"/>
      <c r="J110" s="333"/>
      <c r="K110" s="333"/>
      <c r="L110" s="334"/>
      <c r="M110" s="334"/>
      <c r="N110" s="334"/>
      <c r="O110" s="334"/>
      <c r="P110" s="334"/>
      <c r="Q110" s="334"/>
      <c r="R110" s="334"/>
      <c r="S110" s="334"/>
      <c r="T110" s="334"/>
      <c r="U110" s="334"/>
      <c r="V110" s="334"/>
      <c r="W110" s="334"/>
      <c r="X110" s="334"/>
      <c r="Y110" s="296">
        <v>0.33333333333333331</v>
      </c>
      <c r="Z110" s="296">
        <v>0.70833333333333337</v>
      </c>
      <c r="AA110" s="293"/>
    </row>
    <row r="111" spans="1:27" s="277" customFormat="1" ht="22.5" customHeight="1">
      <c r="A111" s="297" t="s">
        <v>278</v>
      </c>
      <c r="B111" s="298">
        <v>0.45069444444444445</v>
      </c>
      <c r="C111" s="298">
        <v>0.62638888888888888</v>
      </c>
      <c r="D111" s="298">
        <v>0.45069444444444445</v>
      </c>
      <c r="E111" s="298">
        <v>0.62638888888888888</v>
      </c>
      <c r="F111" s="299">
        <v>0.95972222222222225</v>
      </c>
      <c r="G111" s="299">
        <v>0.625</v>
      </c>
      <c r="H111" s="335"/>
      <c r="I111" s="335"/>
      <c r="J111" s="335"/>
      <c r="K111" s="335"/>
      <c r="L111" s="336">
        <v>1</v>
      </c>
      <c r="M111" s="336">
        <f>17/60</f>
        <v>0.28333333333333333</v>
      </c>
      <c r="N111" s="336"/>
      <c r="O111" s="336"/>
      <c r="P111" s="336"/>
      <c r="Q111" s="336"/>
      <c r="R111" s="336"/>
      <c r="S111" s="336"/>
      <c r="T111" s="336"/>
      <c r="U111" s="336"/>
      <c r="V111" s="336"/>
      <c r="W111" s="336"/>
      <c r="X111" s="336">
        <f>(17/60)/8*502</f>
        <v>17.779166666666665</v>
      </c>
      <c r="Y111" s="300">
        <v>0.33333333333333331</v>
      </c>
      <c r="Z111" s="300">
        <v>0.70833333333333337</v>
      </c>
      <c r="AA111" s="297"/>
    </row>
    <row r="112" spans="1:27" s="277" customFormat="1" ht="22.5" customHeight="1">
      <c r="A112" s="297" t="s">
        <v>279</v>
      </c>
      <c r="B112" s="298">
        <v>0.24722222222222223</v>
      </c>
      <c r="C112" s="298">
        <v>0.41805555555555557</v>
      </c>
      <c r="D112" s="298">
        <v>0.24722222222222223</v>
      </c>
      <c r="E112" s="298">
        <v>0.41805555555555557</v>
      </c>
      <c r="F112" s="357"/>
      <c r="G112" s="357"/>
      <c r="H112" s="335"/>
      <c r="I112" s="335"/>
      <c r="J112" s="335"/>
      <c r="K112" s="335"/>
      <c r="L112" s="336"/>
      <c r="M112" s="336"/>
      <c r="N112" s="336"/>
      <c r="O112" s="336"/>
      <c r="P112" s="336"/>
      <c r="Q112" s="336"/>
      <c r="R112" s="336"/>
      <c r="S112" s="336"/>
      <c r="T112" s="336"/>
      <c r="U112" s="336"/>
      <c r="V112" s="336"/>
      <c r="W112" s="336"/>
      <c r="X112" s="336"/>
      <c r="Y112" s="300">
        <v>0.33333333333333331</v>
      </c>
      <c r="Z112" s="300">
        <v>0.70833333333333337</v>
      </c>
      <c r="AA112" s="297"/>
    </row>
    <row r="113" spans="1:27" s="277" customFormat="1" ht="22.5" customHeight="1">
      <c r="A113" s="293" t="s">
        <v>279</v>
      </c>
      <c r="B113" s="294">
        <v>0.43541666666666662</v>
      </c>
      <c r="C113" s="294">
        <v>0.66041666666666665</v>
      </c>
      <c r="D113" s="294">
        <v>0.43541666666666662</v>
      </c>
      <c r="E113" s="294">
        <v>0.66041666666666665</v>
      </c>
      <c r="F113" s="425" t="s">
        <v>294</v>
      </c>
      <c r="G113" s="356"/>
      <c r="H113" s="333"/>
      <c r="I113" s="333"/>
      <c r="J113" s="333"/>
      <c r="K113" s="333"/>
      <c r="L113" s="334">
        <v>1</v>
      </c>
      <c r="M113" s="334"/>
      <c r="N113" s="334"/>
      <c r="O113" s="334"/>
      <c r="P113" s="334"/>
      <c r="Q113" s="334"/>
      <c r="R113" s="334"/>
      <c r="S113" s="334"/>
      <c r="T113" s="334"/>
      <c r="U113" s="334"/>
      <c r="V113" s="334"/>
      <c r="W113" s="334"/>
      <c r="X113" s="334"/>
      <c r="Y113" s="296">
        <v>0.33333333333333331</v>
      </c>
      <c r="Z113" s="296">
        <v>0.70833333333333337</v>
      </c>
      <c r="AA113" s="293"/>
    </row>
    <row r="114" spans="1:27" s="277" customFormat="1" ht="22.5" customHeight="1">
      <c r="A114" s="297" t="s">
        <v>281</v>
      </c>
      <c r="B114" s="304"/>
      <c r="C114" s="304"/>
      <c r="D114" s="305"/>
      <c r="E114" s="305"/>
      <c r="F114" s="357" t="s">
        <v>94</v>
      </c>
      <c r="G114" s="357"/>
      <c r="H114" s="335"/>
      <c r="I114" s="335"/>
      <c r="J114" s="335">
        <v>1</v>
      </c>
      <c r="K114" s="335"/>
      <c r="L114" s="336"/>
      <c r="M114" s="336"/>
      <c r="N114" s="336"/>
      <c r="O114" s="336"/>
      <c r="P114" s="336"/>
      <c r="Q114" s="336"/>
      <c r="R114" s="336"/>
      <c r="S114" s="336"/>
      <c r="T114" s="336"/>
      <c r="U114" s="336"/>
      <c r="V114" s="336"/>
      <c r="W114" s="336"/>
      <c r="X114" s="336"/>
      <c r="Y114" s="306"/>
      <c r="Z114" s="306"/>
      <c r="AA114" s="297"/>
    </row>
    <row r="115" spans="1:27" s="277" customFormat="1" ht="22.5" customHeight="1">
      <c r="A115" s="293" t="s">
        <v>282</v>
      </c>
      <c r="B115" s="301"/>
      <c r="C115" s="301"/>
      <c r="D115" s="302"/>
      <c r="E115" s="302"/>
      <c r="F115" s="356" t="s">
        <v>188</v>
      </c>
      <c r="G115" s="356"/>
      <c r="H115" s="333"/>
      <c r="I115" s="333"/>
      <c r="J115" s="333"/>
      <c r="K115" s="333"/>
      <c r="L115" s="334"/>
      <c r="M115" s="334"/>
      <c r="N115" s="334"/>
      <c r="O115" s="334"/>
      <c r="P115" s="334"/>
      <c r="Q115" s="334"/>
      <c r="R115" s="334"/>
      <c r="S115" s="334"/>
      <c r="T115" s="334"/>
      <c r="U115" s="334"/>
      <c r="V115" s="334"/>
      <c r="W115" s="334"/>
      <c r="X115" s="334"/>
      <c r="Y115" s="303"/>
      <c r="Z115" s="303"/>
      <c r="AA115" s="293"/>
    </row>
    <row r="116" spans="1:27" s="277" customFormat="1" ht="22.5" customHeight="1">
      <c r="A116" s="307" t="s">
        <v>3</v>
      </c>
      <c r="B116" s="307"/>
      <c r="C116" s="307"/>
      <c r="D116" s="307"/>
      <c r="E116" s="307"/>
      <c r="F116" s="307"/>
      <c r="G116" s="307"/>
      <c r="H116" s="337">
        <f>SUM(H88:H115)</f>
        <v>0</v>
      </c>
      <c r="I116" s="337">
        <f t="shared" ref="I116:X116" si="3">SUM(I88:I115)</f>
        <v>0</v>
      </c>
      <c r="J116" s="337">
        <f t="shared" si="3"/>
        <v>1</v>
      </c>
      <c r="K116" s="337">
        <f t="shared" si="3"/>
        <v>0</v>
      </c>
      <c r="L116" s="337">
        <f t="shared" si="3"/>
        <v>11</v>
      </c>
      <c r="M116" s="337">
        <f t="shared" si="3"/>
        <v>0.79999999999999993</v>
      </c>
      <c r="N116" s="337">
        <f t="shared" si="3"/>
        <v>0</v>
      </c>
      <c r="O116" s="337">
        <f t="shared" si="3"/>
        <v>0</v>
      </c>
      <c r="P116" s="337">
        <f t="shared" si="3"/>
        <v>0</v>
      </c>
      <c r="Q116" s="337">
        <f t="shared" si="3"/>
        <v>0</v>
      </c>
      <c r="R116" s="337">
        <f t="shared" si="3"/>
        <v>0</v>
      </c>
      <c r="S116" s="337">
        <f t="shared" si="3"/>
        <v>7.5</v>
      </c>
      <c r="T116" s="337">
        <f t="shared" si="3"/>
        <v>0</v>
      </c>
      <c r="U116" s="337">
        <f t="shared" si="3"/>
        <v>0</v>
      </c>
      <c r="V116" s="337">
        <f t="shared" si="3"/>
        <v>0</v>
      </c>
      <c r="W116" s="337">
        <f t="shared" si="3"/>
        <v>0</v>
      </c>
      <c r="X116" s="337">
        <f t="shared" si="3"/>
        <v>17.779166666666665</v>
      </c>
      <c r="Y116" s="285"/>
      <c r="Z116" s="285"/>
      <c r="AA116" s="307"/>
    </row>
    <row r="117" spans="1:27" s="277" customFormat="1" ht="22.5" customHeight="1" thickBot="1">
      <c r="H117" s="338"/>
      <c r="I117" s="338"/>
      <c r="J117" s="338"/>
      <c r="K117" s="338"/>
      <c r="L117" s="339"/>
      <c r="M117" s="339"/>
      <c r="N117" s="339"/>
      <c r="O117" s="339"/>
      <c r="P117" s="339"/>
      <c r="Q117" s="339"/>
      <c r="R117" s="339"/>
      <c r="S117" s="339"/>
      <c r="T117" s="339"/>
      <c r="U117" s="339"/>
      <c r="V117" s="339"/>
      <c r="W117" s="339"/>
      <c r="X117" s="339"/>
      <c r="Y117" s="308"/>
      <c r="Z117" s="308"/>
    </row>
    <row r="118" spans="1:27" s="277" customFormat="1" ht="22.5" customHeight="1" thickBot="1">
      <c r="A118" s="290" t="s">
        <v>177</v>
      </c>
      <c r="B118" s="291" t="s">
        <v>219</v>
      </c>
      <c r="C118" s="291"/>
      <c r="D118" s="291"/>
      <c r="E118" s="291"/>
      <c r="F118" s="291"/>
      <c r="G118" s="291"/>
      <c r="H118" s="344" t="s">
        <v>91</v>
      </c>
      <c r="I118" s="345"/>
      <c r="J118" s="345"/>
      <c r="K118" s="346"/>
      <c r="L118" s="347" t="s">
        <v>90</v>
      </c>
      <c r="M118" s="349" t="s">
        <v>165</v>
      </c>
      <c r="N118" s="349" t="s">
        <v>166</v>
      </c>
      <c r="O118" s="351" t="s">
        <v>167</v>
      </c>
      <c r="P118" s="352"/>
      <c r="Q118" s="353"/>
      <c r="R118" s="349" t="s">
        <v>168</v>
      </c>
      <c r="S118" s="351" t="s">
        <v>19</v>
      </c>
      <c r="T118" s="352"/>
      <c r="U118" s="353"/>
      <c r="V118" s="349" t="s">
        <v>126</v>
      </c>
      <c r="W118" s="349" t="s">
        <v>127</v>
      </c>
      <c r="X118" s="354" t="s">
        <v>105</v>
      </c>
      <c r="Y118" s="285" t="s">
        <v>169</v>
      </c>
      <c r="Z118" s="285"/>
      <c r="AA118" s="307" t="s">
        <v>170</v>
      </c>
    </row>
    <row r="119" spans="1:27" s="277" customFormat="1" ht="22.5" customHeight="1" thickBot="1">
      <c r="A119" s="290" t="s">
        <v>179</v>
      </c>
      <c r="B119" s="291" t="s">
        <v>220</v>
      </c>
      <c r="C119" s="291"/>
      <c r="D119" s="291"/>
      <c r="E119" s="291"/>
      <c r="F119" s="291"/>
      <c r="G119" s="291"/>
      <c r="H119" s="286" t="s">
        <v>173</v>
      </c>
      <c r="I119" s="286" t="s">
        <v>93</v>
      </c>
      <c r="J119" s="286" t="s">
        <v>94</v>
      </c>
      <c r="K119" s="287" t="s">
        <v>174</v>
      </c>
      <c r="L119" s="348"/>
      <c r="M119" s="350"/>
      <c r="N119" s="350"/>
      <c r="O119" s="288" t="s">
        <v>175</v>
      </c>
      <c r="P119" s="288" t="s">
        <v>176</v>
      </c>
      <c r="Q119" s="330" t="s">
        <v>127</v>
      </c>
      <c r="R119" s="350"/>
      <c r="S119" s="288" t="s">
        <v>175</v>
      </c>
      <c r="T119" s="288" t="s">
        <v>176</v>
      </c>
      <c r="U119" s="330" t="s">
        <v>127</v>
      </c>
      <c r="V119" s="350"/>
      <c r="W119" s="350"/>
      <c r="X119" s="355"/>
      <c r="Y119" s="285" t="s">
        <v>171</v>
      </c>
      <c r="Z119" s="285" t="s">
        <v>172</v>
      </c>
      <c r="AA119" s="307"/>
    </row>
    <row r="120" spans="1:27" s="277" customFormat="1" ht="22.5" customHeight="1">
      <c r="A120" s="293" t="s">
        <v>265</v>
      </c>
      <c r="B120" s="301"/>
      <c r="C120" s="301"/>
      <c r="D120" s="302"/>
      <c r="E120" s="302"/>
      <c r="F120" s="356" t="s">
        <v>188</v>
      </c>
      <c r="G120" s="356"/>
      <c r="H120" s="333"/>
      <c r="I120" s="333"/>
      <c r="J120" s="333"/>
      <c r="K120" s="333"/>
      <c r="L120" s="334"/>
      <c r="M120" s="334"/>
      <c r="N120" s="334"/>
      <c r="O120" s="334"/>
      <c r="P120" s="334"/>
      <c r="Q120" s="334"/>
      <c r="R120" s="334"/>
      <c r="S120" s="334"/>
      <c r="T120" s="334"/>
      <c r="U120" s="334"/>
      <c r="V120" s="334"/>
      <c r="W120" s="334"/>
      <c r="X120" s="334"/>
      <c r="Y120" s="303"/>
      <c r="Z120" s="303"/>
      <c r="AA120" s="293"/>
    </row>
    <row r="121" spans="1:27" s="277" customFormat="1" ht="22.5" customHeight="1">
      <c r="A121" s="297" t="s">
        <v>266</v>
      </c>
      <c r="B121" s="298">
        <v>0.24513888888888888</v>
      </c>
      <c r="C121" s="298">
        <v>0.62847222222222221</v>
      </c>
      <c r="D121" s="298">
        <v>0.24513888888888888</v>
      </c>
      <c r="E121" s="298">
        <v>0.62847222222222221</v>
      </c>
      <c r="F121" s="299">
        <v>0.25</v>
      </c>
      <c r="G121" s="299">
        <v>0.625</v>
      </c>
      <c r="H121" s="335"/>
      <c r="I121" s="335"/>
      <c r="J121" s="335"/>
      <c r="K121" s="335"/>
      <c r="L121" s="336">
        <v>1</v>
      </c>
      <c r="M121" s="336"/>
      <c r="N121" s="336"/>
      <c r="O121" s="336"/>
      <c r="P121" s="336"/>
      <c r="Q121" s="336"/>
      <c r="R121" s="336"/>
      <c r="S121" s="336"/>
      <c r="T121" s="336"/>
      <c r="U121" s="336"/>
      <c r="V121" s="336"/>
      <c r="W121" s="336"/>
      <c r="X121" s="336"/>
      <c r="Y121" s="300">
        <v>0.33333333333333331</v>
      </c>
      <c r="Z121" s="300">
        <v>0.70833333333333337</v>
      </c>
      <c r="AA121" s="297"/>
    </row>
    <row r="122" spans="1:27" s="277" customFormat="1" ht="22.5" customHeight="1">
      <c r="A122" s="297" t="s">
        <v>267</v>
      </c>
      <c r="B122" s="298">
        <v>0.24166666666666667</v>
      </c>
      <c r="C122" s="298">
        <v>0.41875000000000001</v>
      </c>
      <c r="D122" s="298">
        <v>0.24166666666666667</v>
      </c>
      <c r="E122" s="298">
        <v>0.41875000000000001</v>
      </c>
      <c r="F122" s="299">
        <v>0.25</v>
      </c>
      <c r="G122" s="299">
        <v>0.91875000000000007</v>
      </c>
      <c r="H122" s="335"/>
      <c r="I122" s="335"/>
      <c r="J122" s="335"/>
      <c r="K122" s="335"/>
      <c r="L122" s="336"/>
      <c r="M122" s="336"/>
      <c r="N122" s="336"/>
      <c r="O122" s="336"/>
      <c r="P122" s="336"/>
      <c r="Q122" s="336"/>
      <c r="R122" s="336"/>
      <c r="S122" s="336"/>
      <c r="T122" s="336"/>
      <c r="U122" s="336"/>
      <c r="V122" s="336"/>
      <c r="W122" s="336"/>
      <c r="X122" s="336"/>
      <c r="Y122" s="300">
        <v>0.33333333333333331</v>
      </c>
      <c r="Z122" s="300">
        <v>0.70833333333333337</v>
      </c>
      <c r="AA122" s="297"/>
    </row>
    <row r="123" spans="1:27" s="277" customFormat="1" ht="22.5" customHeight="1">
      <c r="A123" s="293" t="s">
        <v>267</v>
      </c>
      <c r="B123" s="294">
        <v>0.46180555555555558</v>
      </c>
      <c r="C123" s="294">
        <v>0.62638888888888888</v>
      </c>
      <c r="D123" s="294">
        <v>0.46180555555555558</v>
      </c>
      <c r="E123" s="294">
        <v>0.62638888888888888</v>
      </c>
      <c r="F123" s="295">
        <v>0.45833333333333331</v>
      </c>
      <c r="G123" s="295">
        <v>0.625</v>
      </c>
      <c r="H123" s="333"/>
      <c r="I123" s="333"/>
      <c r="J123" s="333"/>
      <c r="K123" s="333"/>
      <c r="L123" s="334">
        <v>1</v>
      </c>
      <c r="M123" s="334">
        <f>2/60</f>
        <v>3.3333333333333333E-2</v>
      </c>
      <c r="N123" s="334"/>
      <c r="O123" s="334"/>
      <c r="P123" s="334"/>
      <c r="Q123" s="334"/>
      <c r="R123" s="334"/>
      <c r="S123" s="334"/>
      <c r="T123" s="334"/>
      <c r="U123" s="334"/>
      <c r="V123" s="334"/>
      <c r="W123" s="334"/>
      <c r="X123" s="334"/>
      <c r="Y123" s="296">
        <v>0.33333333333333331</v>
      </c>
      <c r="Z123" s="296">
        <v>0.70833333333333337</v>
      </c>
      <c r="AA123" s="293"/>
    </row>
    <row r="124" spans="1:27" s="277" customFormat="1" ht="22.5" customHeight="1">
      <c r="A124" s="293" t="s">
        <v>269</v>
      </c>
      <c r="B124" s="294">
        <v>0.2388888888888889</v>
      </c>
      <c r="C124" s="294">
        <v>0.41944444444444445</v>
      </c>
      <c r="D124" s="294">
        <v>0.2388888888888889</v>
      </c>
      <c r="E124" s="294">
        <v>0.41944444444444445</v>
      </c>
      <c r="F124" s="295">
        <v>0.25</v>
      </c>
      <c r="G124" s="295">
        <v>0.9194444444444444</v>
      </c>
      <c r="H124" s="333"/>
      <c r="I124" s="333"/>
      <c r="J124" s="333"/>
      <c r="K124" s="333"/>
      <c r="L124" s="334"/>
      <c r="M124" s="334"/>
      <c r="N124" s="334"/>
      <c r="O124" s="334"/>
      <c r="P124" s="334"/>
      <c r="Q124" s="334"/>
      <c r="R124" s="334"/>
      <c r="S124" s="334"/>
      <c r="T124" s="334"/>
      <c r="U124" s="334"/>
      <c r="V124" s="334"/>
      <c r="W124" s="334"/>
      <c r="X124" s="334"/>
      <c r="Y124" s="296">
        <v>0.33333333333333331</v>
      </c>
      <c r="Z124" s="296">
        <v>0.70833333333333337</v>
      </c>
      <c r="AA124" s="293"/>
    </row>
    <row r="125" spans="1:27" s="277" customFormat="1" ht="22.5" customHeight="1">
      <c r="A125" s="297" t="s">
        <v>269</v>
      </c>
      <c r="B125" s="298">
        <v>0.45763888888888887</v>
      </c>
      <c r="C125" s="298">
        <v>0.62569444444444444</v>
      </c>
      <c r="D125" s="298">
        <v>0.45763888888888887</v>
      </c>
      <c r="E125" s="298">
        <v>0.62569444444444444</v>
      </c>
      <c r="F125" s="299">
        <v>0.96111111111111114</v>
      </c>
      <c r="G125" s="299">
        <v>0.625</v>
      </c>
      <c r="H125" s="335"/>
      <c r="I125" s="335"/>
      <c r="J125" s="335"/>
      <c r="K125" s="335"/>
      <c r="L125" s="336">
        <v>1</v>
      </c>
      <c r="M125" s="336"/>
      <c r="N125" s="336"/>
      <c r="O125" s="336"/>
      <c r="P125" s="336"/>
      <c r="Q125" s="336"/>
      <c r="R125" s="336"/>
      <c r="S125" s="336"/>
      <c r="T125" s="336"/>
      <c r="U125" s="336"/>
      <c r="V125" s="336"/>
      <c r="W125" s="336"/>
      <c r="X125" s="336"/>
      <c r="Y125" s="300">
        <v>0.33333333333333331</v>
      </c>
      <c r="Z125" s="300">
        <v>0.70833333333333337</v>
      </c>
      <c r="AA125" s="297"/>
    </row>
    <row r="126" spans="1:27" s="277" customFormat="1" ht="22.5" customHeight="1">
      <c r="A126" s="297" t="s">
        <v>270</v>
      </c>
      <c r="B126" s="298">
        <v>0.23819444444444446</v>
      </c>
      <c r="C126" s="298">
        <v>0.43055555555555558</v>
      </c>
      <c r="D126" s="298">
        <v>0.23819444444444446</v>
      </c>
      <c r="E126" s="298">
        <v>0.43055555555555558</v>
      </c>
      <c r="F126" s="299">
        <v>0.25</v>
      </c>
      <c r="G126" s="299">
        <v>0.43055555555555558</v>
      </c>
      <c r="H126" s="335"/>
      <c r="I126" s="335"/>
      <c r="J126" s="335"/>
      <c r="K126" s="335"/>
      <c r="L126" s="336"/>
      <c r="M126" s="336"/>
      <c r="N126" s="336"/>
      <c r="O126" s="336"/>
      <c r="P126" s="336"/>
      <c r="Q126" s="336"/>
      <c r="R126" s="336"/>
      <c r="S126" s="336"/>
      <c r="T126" s="336"/>
      <c r="U126" s="336"/>
      <c r="V126" s="336"/>
      <c r="W126" s="336"/>
      <c r="X126" s="336"/>
      <c r="Y126" s="300">
        <v>0.33333333333333331</v>
      </c>
      <c r="Z126" s="300">
        <v>0.70833333333333337</v>
      </c>
      <c r="AA126" s="297"/>
    </row>
    <row r="127" spans="1:27" s="277" customFormat="1" ht="22.5" customHeight="1">
      <c r="A127" s="293" t="s">
        <v>270</v>
      </c>
      <c r="B127" s="294">
        <v>0.45763888888888887</v>
      </c>
      <c r="C127" s="294">
        <v>0.62638888888888888</v>
      </c>
      <c r="D127" s="294">
        <v>0.45763888888888887</v>
      </c>
      <c r="E127" s="294">
        <v>0.62638888888888888</v>
      </c>
      <c r="F127" s="295">
        <v>0.47222222222222227</v>
      </c>
      <c r="G127" s="295">
        <v>0.625</v>
      </c>
      <c r="H127" s="333"/>
      <c r="I127" s="333"/>
      <c r="J127" s="333"/>
      <c r="K127" s="333"/>
      <c r="L127" s="334">
        <v>1</v>
      </c>
      <c r="M127" s="334"/>
      <c r="N127" s="334"/>
      <c r="O127" s="334"/>
      <c r="P127" s="334"/>
      <c r="Q127" s="334"/>
      <c r="R127" s="334"/>
      <c r="S127" s="334"/>
      <c r="T127" s="334"/>
      <c r="U127" s="334"/>
      <c r="V127" s="334"/>
      <c r="W127" s="334"/>
      <c r="X127" s="334"/>
      <c r="Y127" s="296">
        <v>0.33333333333333331</v>
      </c>
      <c r="Z127" s="296">
        <v>0.70833333333333337</v>
      </c>
      <c r="AA127" s="293"/>
    </row>
    <row r="128" spans="1:27" s="277" customFormat="1" ht="22.5" customHeight="1">
      <c r="A128" s="297" t="s">
        <v>271</v>
      </c>
      <c r="B128" s="298">
        <v>0.24930555555555556</v>
      </c>
      <c r="C128" s="298">
        <v>0.41944444444444445</v>
      </c>
      <c r="D128" s="298">
        <v>0.24930555555555556</v>
      </c>
      <c r="E128" s="298">
        <v>0.41944444444444445</v>
      </c>
      <c r="F128" s="299">
        <v>0.25</v>
      </c>
      <c r="G128" s="299">
        <v>0.41944444444444445</v>
      </c>
      <c r="H128" s="335"/>
      <c r="I128" s="335"/>
      <c r="J128" s="335"/>
      <c r="K128" s="335"/>
      <c r="L128" s="336"/>
      <c r="M128" s="336"/>
      <c r="N128" s="336"/>
      <c r="O128" s="336"/>
      <c r="P128" s="336"/>
      <c r="Q128" s="336"/>
      <c r="R128" s="336"/>
      <c r="S128" s="336"/>
      <c r="T128" s="336"/>
      <c r="U128" s="336"/>
      <c r="V128" s="336"/>
      <c r="W128" s="336"/>
      <c r="X128" s="336"/>
      <c r="Y128" s="300">
        <v>0.33333333333333331</v>
      </c>
      <c r="Z128" s="300">
        <v>0.70833333333333337</v>
      </c>
      <c r="AA128" s="297"/>
    </row>
    <row r="129" spans="1:27" s="277" customFormat="1" ht="22.5" customHeight="1">
      <c r="A129" s="293" t="s">
        <v>271</v>
      </c>
      <c r="B129" s="294">
        <v>0.45624999999999999</v>
      </c>
      <c r="C129" s="294">
        <v>0.62569444444444444</v>
      </c>
      <c r="D129" s="294">
        <v>0.45624999999999999</v>
      </c>
      <c r="E129" s="294">
        <v>0.62569444444444444</v>
      </c>
      <c r="F129" s="295">
        <v>0.46111111111111108</v>
      </c>
      <c r="G129" s="295">
        <v>0.625</v>
      </c>
      <c r="H129" s="333"/>
      <c r="I129" s="333"/>
      <c r="J129" s="333"/>
      <c r="K129" s="333"/>
      <c r="L129" s="334">
        <v>1</v>
      </c>
      <c r="M129" s="334"/>
      <c r="N129" s="334"/>
      <c r="O129" s="334"/>
      <c r="P129" s="334"/>
      <c r="Q129" s="334"/>
      <c r="R129" s="334"/>
      <c r="S129" s="334"/>
      <c r="T129" s="334"/>
      <c r="U129" s="334"/>
      <c r="V129" s="334"/>
      <c r="W129" s="334"/>
      <c r="X129" s="334"/>
      <c r="Y129" s="296">
        <v>0.33333333333333331</v>
      </c>
      <c r="Z129" s="296">
        <v>0.70833333333333337</v>
      </c>
      <c r="AA129" s="293"/>
    </row>
    <row r="130" spans="1:27" s="277" customFormat="1" ht="22.5" customHeight="1">
      <c r="A130" s="293" t="s">
        <v>273</v>
      </c>
      <c r="B130" s="294">
        <v>0.50902777777777775</v>
      </c>
      <c r="C130" s="294">
        <v>0.71388888888888891</v>
      </c>
      <c r="D130" s="294">
        <v>0.50902777777777775</v>
      </c>
      <c r="E130" s="294">
        <v>0.71388888888888891</v>
      </c>
      <c r="F130" s="295">
        <v>0.5</v>
      </c>
      <c r="G130" s="295">
        <v>0.71388888888888891</v>
      </c>
      <c r="H130" s="333"/>
      <c r="I130" s="333"/>
      <c r="J130" s="333"/>
      <c r="K130" s="333"/>
      <c r="L130" s="334"/>
      <c r="M130" s="334"/>
      <c r="N130" s="334"/>
      <c r="O130" s="334"/>
      <c r="P130" s="334"/>
      <c r="Q130" s="334"/>
      <c r="R130" s="334"/>
      <c r="S130" s="334"/>
      <c r="T130" s="334"/>
      <c r="U130" s="334"/>
      <c r="V130" s="334"/>
      <c r="W130" s="334"/>
      <c r="X130" s="334"/>
      <c r="Y130" s="296">
        <v>0.33333333333333331</v>
      </c>
      <c r="Z130" s="296">
        <v>0.70833333333333337</v>
      </c>
      <c r="AA130" s="293" t="s">
        <v>218</v>
      </c>
    </row>
    <row r="131" spans="1:27" s="277" customFormat="1" ht="22.5" customHeight="1">
      <c r="A131" s="297" t="s">
        <v>273</v>
      </c>
      <c r="B131" s="298">
        <v>0.73819444444444438</v>
      </c>
      <c r="C131" s="298">
        <v>0.875</v>
      </c>
      <c r="D131" s="298">
        <v>0.73819444444444438</v>
      </c>
      <c r="E131" s="298">
        <v>0.875</v>
      </c>
      <c r="F131" s="299">
        <v>0.75555555555555554</v>
      </c>
      <c r="G131" s="299">
        <v>0.875</v>
      </c>
      <c r="H131" s="335"/>
      <c r="I131" s="335"/>
      <c r="J131" s="335"/>
      <c r="K131" s="335"/>
      <c r="L131" s="336">
        <v>1</v>
      </c>
      <c r="M131" s="336">
        <f>13/60</f>
        <v>0.21666666666666667</v>
      </c>
      <c r="N131" s="336"/>
      <c r="O131" s="336"/>
      <c r="P131" s="336"/>
      <c r="Q131" s="336"/>
      <c r="R131" s="336"/>
      <c r="S131" s="336"/>
      <c r="T131" s="336"/>
      <c r="U131" s="336"/>
      <c r="V131" s="336"/>
      <c r="W131" s="336"/>
      <c r="X131" s="336"/>
      <c r="Y131" s="300">
        <v>0.33333333333333331</v>
      </c>
      <c r="Z131" s="300">
        <v>0.70833333333333337</v>
      </c>
      <c r="AA131" s="297"/>
    </row>
    <row r="132" spans="1:27" s="277" customFormat="1" ht="22.5" customHeight="1">
      <c r="A132" s="293" t="s">
        <v>274</v>
      </c>
      <c r="B132" s="301"/>
      <c r="C132" s="301"/>
      <c r="D132" s="302"/>
      <c r="E132" s="302"/>
      <c r="F132" s="356" t="s">
        <v>188</v>
      </c>
      <c r="G132" s="356"/>
      <c r="H132" s="333"/>
      <c r="I132" s="333"/>
      <c r="J132" s="333"/>
      <c r="K132" s="333"/>
      <c r="L132" s="334"/>
      <c r="M132" s="334"/>
      <c r="N132" s="334"/>
      <c r="O132" s="334"/>
      <c r="P132" s="334"/>
      <c r="Q132" s="334"/>
      <c r="R132" s="334"/>
      <c r="S132" s="334"/>
      <c r="T132" s="334"/>
      <c r="U132" s="334"/>
      <c r="V132" s="334"/>
      <c r="W132" s="334"/>
      <c r="X132" s="334"/>
      <c r="Y132" s="303"/>
      <c r="Z132" s="303"/>
      <c r="AA132" s="293"/>
    </row>
    <row r="133" spans="1:27" s="277" customFormat="1" ht="22.5" customHeight="1">
      <c r="A133" s="297" t="s">
        <v>275</v>
      </c>
      <c r="B133" s="298">
        <v>0.4694444444444445</v>
      </c>
      <c r="C133" s="298">
        <v>0.63541666666666663</v>
      </c>
      <c r="D133" s="298">
        <v>0.4694444444444445</v>
      </c>
      <c r="E133" s="298">
        <v>0.63541666666666663</v>
      </c>
      <c r="F133" s="299">
        <v>0.47916666666666669</v>
      </c>
      <c r="G133" s="299">
        <v>0.63541666666666663</v>
      </c>
      <c r="H133" s="335"/>
      <c r="I133" s="335"/>
      <c r="J133" s="335"/>
      <c r="K133" s="335"/>
      <c r="L133" s="336"/>
      <c r="M133" s="336"/>
      <c r="N133" s="336"/>
      <c r="O133" s="336"/>
      <c r="P133" s="336"/>
      <c r="Q133" s="336"/>
      <c r="R133" s="336"/>
      <c r="S133" s="336"/>
      <c r="T133" s="336"/>
      <c r="U133" s="336"/>
      <c r="V133" s="336"/>
      <c r="W133" s="336"/>
      <c r="X133" s="336"/>
      <c r="Y133" s="300">
        <v>0.33333333333333331</v>
      </c>
      <c r="Z133" s="300">
        <v>0.70833333333333337</v>
      </c>
      <c r="AA133" s="297"/>
    </row>
    <row r="134" spans="1:27" s="277" customFormat="1" ht="22.5" customHeight="1">
      <c r="A134" s="293" t="s">
        <v>275</v>
      </c>
      <c r="B134" s="294">
        <v>0.74583333333333324</v>
      </c>
      <c r="C134" s="294">
        <v>0.97986111111111107</v>
      </c>
      <c r="D134" s="294">
        <v>0.74583333333333324</v>
      </c>
      <c r="E134" s="294">
        <v>0.97986111111111107</v>
      </c>
      <c r="F134" s="295">
        <v>0.80208333333333337</v>
      </c>
      <c r="G134" s="295">
        <v>0.97916666666666663</v>
      </c>
      <c r="H134" s="333"/>
      <c r="I134" s="333"/>
      <c r="J134" s="333"/>
      <c r="K134" s="333"/>
      <c r="L134" s="334">
        <v>1</v>
      </c>
      <c r="M134" s="334"/>
      <c r="N134" s="334"/>
      <c r="O134" s="334"/>
      <c r="P134" s="334"/>
      <c r="Q134" s="334"/>
      <c r="R134" s="334"/>
      <c r="S134" s="334">
        <v>1.5</v>
      </c>
      <c r="T134" s="334"/>
      <c r="U134" s="334"/>
      <c r="V134" s="334"/>
      <c r="W134" s="334"/>
      <c r="X134" s="334"/>
      <c r="Y134" s="296">
        <v>0.33333333333333331</v>
      </c>
      <c r="Z134" s="296">
        <v>0.70833333333333337</v>
      </c>
      <c r="AA134" s="293"/>
    </row>
    <row r="135" spans="1:27" s="277" customFormat="1" ht="22.5" customHeight="1">
      <c r="A135" s="297" t="s">
        <v>276</v>
      </c>
      <c r="B135" s="298">
        <v>0.46249999999999997</v>
      </c>
      <c r="C135" s="298">
        <v>0.625</v>
      </c>
      <c r="D135" s="298">
        <v>0.46249999999999997</v>
      </c>
      <c r="E135" s="298">
        <v>0.625</v>
      </c>
      <c r="F135" s="299">
        <v>0.47916666666666669</v>
      </c>
      <c r="G135" s="299">
        <v>0.625</v>
      </c>
      <c r="H135" s="335"/>
      <c r="I135" s="335"/>
      <c r="J135" s="335"/>
      <c r="K135" s="335"/>
      <c r="L135" s="336"/>
      <c r="M135" s="336"/>
      <c r="N135" s="336"/>
      <c r="O135" s="336"/>
      <c r="P135" s="336"/>
      <c r="Q135" s="336"/>
      <c r="R135" s="336"/>
      <c r="S135" s="336"/>
      <c r="T135" s="336"/>
      <c r="U135" s="336"/>
      <c r="V135" s="336"/>
      <c r="W135" s="336"/>
      <c r="X135" s="336"/>
      <c r="Y135" s="300">
        <v>0.33333333333333331</v>
      </c>
      <c r="Z135" s="300">
        <v>0.70833333333333337</v>
      </c>
      <c r="AA135" s="297"/>
    </row>
    <row r="136" spans="1:27" s="277" customFormat="1" ht="22.5" customHeight="1">
      <c r="A136" s="293" t="s">
        <v>276</v>
      </c>
      <c r="B136" s="294">
        <v>0.74722222222222223</v>
      </c>
      <c r="C136" s="294">
        <v>0.97986111111111107</v>
      </c>
      <c r="D136" s="294">
        <v>0.74722222222222223</v>
      </c>
      <c r="E136" s="294">
        <v>0.97986111111111107</v>
      </c>
      <c r="F136" s="295">
        <v>0.79166666666666663</v>
      </c>
      <c r="G136" s="295">
        <v>0.97916666666666663</v>
      </c>
      <c r="H136" s="333"/>
      <c r="I136" s="333"/>
      <c r="J136" s="333"/>
      <c r="K136" s="333"/>
      <c r="L136" s="334">
        <v>1</v>
      </c>
      <c r="M136" s="334"/>
      <c r="N136" s="334"/>
      <c r="O136" s="334"/>
      <c r="P136" s="334"/>
      <c r="Q136" s="334"/>
      <c r="R136" s="334"/>
      <c r="S136" s="334">
        <v>1.5</v>
      </c>
      <c r="T136" s="334"/>
      <c r="U136" s="334"/>
      <c r="V136" s="334"/>
      <c r="W136" s="334"/>
      <c r="X136" s="334"/>
      <c r="Y136" s="296">
        <v>0.33333333333333331</v>
      </c>
      <c r="Z136" s="296">
        <v>0.70833333333333337</v>
      </c>
      <c r="AA136" s="293"/>
    </row>
    <row r="137" spans="1:27" s="277" customFormat="1" ht="22.5" customHeight="1">
      <c r="A137" s="297" t="s">
        <v>277</v>
      </c>
      <c r="B137" s="298">
        <v>0.46180555555555558</v>
      </c>
      <c r="C137" s="298">
        <v>0.62638888888888888</v>
      </c>
      <c r="D137" s="298">
        <v>0.46180555555555558</v>
      </c>
      <c r="E137" s="298">
        <v>0.62638888888888888</v>
      </c>
      <c r="F137" s="299">
        <v>0.47916666666666669</v>
      </c>
      <c r="G137" s="299">
        <v>0.62638888888888888</v>
      </c>
      <c r="H137" s="335"/>
      <c r="I137" s="335"/>
      <c r="J137" s="335"/>
      <c r="K137" s="335"/>
      <c r="L137" s="336"/>
      <c r="M137" s="336"/>
      <c r="N137" s="336"/>
      <c r="O137" s="336"/>
      <c r="P137" s="336"/>
      <c r="Q137" s="336"/>
      <c r="R137" s="336"/>
      <c r="S137" s="336"/>
      <c r="T137" s="336"/>
      <c r="U137" s="336"/>
      <c r="V137" s="336"/>
      <c r="W137" s="336"/>
      <c r="X137" s="336"/>
      <c r="Y137" s="300">
        <v>0.33333333333333331</v>
      </c>
      <c r="Z137" s="300">
        <v>0.70833333333333337</v>
      </c>
      <c r="AA137" s="297"/>
    </row>
    <row r="138" spans="1:27" s="277" customFormat="1" ht="22.5" customHeight="1">
      <c r="A138" s="293" t="s">
        <v>277</v>
      </c>
      <c r="B138" s="294">
        <v>0.73263888888888884</v>
      </c>
      <c r="C138" s="294">
        <v>0.97986111111111107</v>
      </c>
      <c r="D138" s="294">
        <v>0.73263888888888884</v>
      </c>
      <c r="E138" s="294">
        <v>0.97986111111111107</v>
      </c>
      <c r="F138" s="295">
        <v>0.79305555555555562</v>
      </c>
      <c r="G138" s="295">
        <v>0.97916666666666663</v>
      </c>
      <c r="H138" s="333"/>
      <c r="I138" s="333"/>
      <c r="J138" s="333"/>
      <c r="K138" s="333"/>
      <c r="L138" s="334">
        <v>1</v>
      </c>
      <c r="M138" s="334"/>
      <c r="N138" s="334"/>
      <c r="O138" s="334"/>
      <c r="P138" s="334"/>
      <c r="Q138" s="334"/>
      <c r="R138" s="334"/>
      <c r="S138" s="334">
        <v>1.5</v>
      </c>
      <c r="T138" s="334"/>
      <c r="U138" s="334"/>
      <c r="V138" s="334"/>
      <c r="W138" s="334"/>
      <c r="X138" s="334"/>
      <c r="Y138" s="296">
        <v>0.33333333333333331</v>
      </c>
      <c r="Z138" s="296">
        <v>0.70833333333333337</v>
      </c>
      <c r="AA138" s="293"/>
    </row>
    <row r="139" spans="1:27" s="277" customFormat="1" ht="22.5" customHeight="1">
      <c r="A139" s="297" t="s">
        <v>278</v>
      </c>
      <c r="B139" s="298">
        <v>0.46736111111111112</v>
      </c>
      <c r="C139" s="298">
        <v>0.63194444444444442</v>
      </c>
      <c r="D139" s="298">
        <v>0.46736111111111112</v>
      </c>
      <c r="E139" s="298">
        <v>0.63194444444444442</v>
      </c>
      <c r="F139" s="299">
        <v>0.47916666666666669</v>
      </c>
      <c r="G139" s="299">
        <v>0.63194444444444442</v>
      </c>
      <c r="H139" s="335"/>
      <c r="I139" s="335"/>
      <c r="J139" s="335"/>
      <c r="K139" s="335"/>
      <c r="L139" s="336"/>
      <c r="M139" s="336"/>
      <c r="N139" s="336"/>
      <c r="O139" s="336"/>
      <c r="P139" s="336"/>
      <c r="Q139" s="336"/>
      <c r="R139" s="336"/>
      <c r="S139" s="336"/>
      <c r="T139" s="336"/>
      <c r="U139" s="336"/>
      <c r="V139" s="336"/>
      <c r="W139" s="336"/>
      <c r="X139" s="336"/>
      <c r="Y139" s="300">
        <v>0.33333333333333331</v>
      </c>
      <c r="Z139" s="300">
        <v>0.70833333333333337</v>
      </c>
      <c r="AA139" s="297"/>
    </row>
    <row r="140" spans="1:27" s="277" customFormat="1" ht="22.5" customHeight="1">
      <c r="A140" s="293" t="s">
        <v>278</v>
      </c>
      <c r="B140" s="294">
        <v>0.75069444444444444</v>
      </c>
      <c r="C140" s="294">
        <v>0.97986111111111107</v>
      </c>
      <c r="D140" s="294">
        <v>0.75069444444444444</v>
      </c>
      <c r="E140" s="294">
        <v>0.97986111111111107</v>
      </c>
      <c r="F140" s="295">
        <v>0.79861111111111116</v>
      </c>
      <c r="G140" s="295">
        <v>0.97916666666666663</v>
      </c>
      <c r="H140" s="333"/>
      <c r="I140" s="333"/>
      <c r="J140" s="333"/>
      <c r="K140" s="333"/>
      <c r="L140" s="334">
        <v>1</v>
      </c>
      <c r="M140" s="334"/>
      <c r="N140" s="334"/>
      <c r="O140" s="334"/>
      <c r="P140" s="334"/>
      <c r="Q140" s="334"/>
      <c r="R140" s="334"/>
      <c r="S140" s="334">
        <v>1.5</v>
      </c>
      <c r="T140" s="334"/>
      <c r="U140" s="334"/>
      <c r="V140" s="334"/>
      <c r="W140" s="334"/>
      <c r="X140" s="334"/>
      <c r="Y140" s="296">
        <v>0.33333333333333331</v>
      </c>
      <c r="Z140" s="296">
        <v>0.70833333333333337</v>
      </c>
      <c r="AA140" s="293"/>
    </row>
    <row r="141" spans="1:27" s="277" customFormat="1" ht="22.5" customHeight="1">
      <c r="A141" s="293" t="s">
        <v>279</v>
      </c>
      <c r="B141" s="294">
        <v>0.45624999999999999</v>
      </c>
      <c r="C141" s="294">
        <v>0.63402777777777775</v>
      </c>
      <c r="D141" s="294">
        <v>0.45624999999999999</v>
      </c>
      <c r="E141" s="294">
        <v>0.63402777777777775</v>
      </c>
      <c r="F141" s="356"/>
      <c r="G141" s="356"/>
      <c r="H141" s="333"/>
      <c r="I141" s="333"/>
      <c r="J141" s="333"/>
      <c r="K141" s="333"/>
      <c r="L141" s="334"/>
      <c r="M141" s="334"/>
      <c r="N141" s="334"/>
      <c r="O141" s="334"/>
      <c r="P141" s="334"/>
      <c r="Q141" s="334"/>
      <c r="R141" s="334"/>
      <c r="S141" s="334"/>
      <c r="T141" s="334"/>
      <c r="U141" s="334"/>
      <c r="V141" s="334"/>
      <c r="W141" s="334"/>
      <c r="X141" s="334"/>
      <c r="Y141" s="296">
        <v>0.33333333333333331</v>
      </c>
      <c r="Z141" s="296">
        <v>0.70833333333333337</v>
      </c>
      <c r="AA141" s="293"/>
    </row>
    <row r="142" spans="1:27" s="277" customFormat="1" ht="22.5" customHeight="1">
      <c r="A142" s="297" t="s">
        <v>279</v>
      </c>
      <c r="B142" s="298">
        <v>0.74791666666666667</v>
      </c>
      <c r="C142" s="298">
        <v>0.97916666666666663</v>
      </c>
      <c r="D142" s="298">
        <v>0.74791666666666667</v>
      </c>
      <c r="E142" s="298">
        <v>0.97916666666666663</v>
      </c>
      <c r="F142" s="424" t="s">
        <v>202</v>
      </c>
      <c r="G142" s="357"/>
      <c r="H142" s="335"/>
      <c r="I142" s="335"/>
      <c r="J142" s="335"/>
      <c r="K142" s="335"/>
      <c r="L142" s="336">
        <v>1</v>
      </c>
      <c r="M142" s="336"/>
      <c r="N142" s="336"/>
      <c r="O142" s="336"/>
      <c r="P142" s="336"/>
      <c r="Q142" s="336"/>
      <c r="R142" s="336"/>
      <c r="S142" s="336">
        <v>1.5</v>
      </c>
      <c r="T142" s="336"/>
      <c r="U142" s="336"/>
      <c r="V142" s="336"/>
      <c r="W142" s="336"/>
      <c r="X142" s="336"/>
      <c r="Y142" s="300">
        <v>0.33333333333333331</v>
      </c>
      <c r="Z142" s="300">
        <v>0.70833333333333337</v>
      </c>
      <c r="AA142" s="297"/>
    </row>
    <row r="143" spans="1:27" s="277" customFormat="1" ht="22.5" customHeight="1">
      <c r="A143" s="297" t="s">
        <v>281</v>
      </c>
      <c r="B143" s="304"/>
      <c r="C143" s="304"/>
      <c r="D143" s="305"/>
      <c r="E143" s="305"/>
      <c r="F143" s="357" t="s">
        <v>188</v>
      </c>
      <c r="G143" s="357"/>
      <c r="H143" s="335"/>
      <c r="I143" s="335"/>
      <c r="J143" s="335"/>
      <c r="K143" s="335"/>
      <c r="L143" s="336"/>
      <c r="M143" s="336"/>
      <c r="N143" s="336"/>
      <c r="O143" s="336"/>
      <c r="P143" s="336"/>
      <c r="Q143" s="336"/>
      <c r="R143" s="336"/>
      <c r="S143" s="336"/>
      <c r="T143" s="336"/>
      <c r="U143" s="336"/>
      <c r="V143" s="336"/>
      <c r="W143" s="336"/>
      <c r="X143" s="336"/>
      <c r="Y143" s="306"/>
      <c r="Z143" s="306"/>
      <c r="AA143" s="297"/>
    </row>
    <row r="144" spans="1:27" s="277" customFormat="1" ht="22.5" customHeight="1">
      <c r="A144" s="293" t="s">
        <v>282</v>
      </c>
      <c r="B144" s="301"/>
      <c r="C144" s="301"/>
      <c r="D144" s="302"/>
      <c r="E144" s="302"/>
      <c r="F144" s="356" t="s">
        <v>188</v>
      </c>
      <c r="G144" s="356"/>
      <c r="H144" s="333"/>
      <c r="I144" s="333"/>
      <c r="J144" s="333"/>
      <c r="K144" s="333"/>
      <c r="L144" s="334"/>
      <c r="M144" s="334"/>
      <c r="N144" s="334"/>
      <c r="O144" s="334"/>
      <c r="P144" s="334"/>
      <c r="Q144" s="334"/>
      <c r="R144" s="334"/>
      <c r="S144" s="334"/>
      <c r="T144" s="334"/>
      <c r="U144" s="334"/>
      <c r="V144" s="334"/>
      <c r="W144" s="334"/>
      <c r="X144" s="334"/>
      <c r="Y144" s="303"/>
      <c r="Z144" s="303"/>
      <c r="AA144" s="293"/>
    </row>
    <row r="145" spans="1:27" s="277" customFormat="1" ht="22.5" customHeight="1">
      <c r="A145" s="307" t="s">
        <v>3</v>
      </c>
      <c r="B145" s="307"/>
      <c r="C145" s="307"/>
      <c r="D145" s="307"/>
      <c r="E145" s="307"/>
      <c r="F145" s="307"/>
      <c r="G145" s="307"/>
      <c r="H145" s="337">
        <f>SUM(H119:H144)</f>
        <v>0</v>
      </c>
      <c r="I145" s="337">
        <f t="shared" ref="I145:X145" si="4">SUM(I119:I144)</f>
        <v>0</v>
      </c>
      <c r="J145" s="337">
        <f t="shared" si="4"/>
        <v>0</v>
      </c>
      <c r="K145" s="337">
        <f t="shared" si="4"/>
        <v>0</v>
      </c>
      <c r="L145" s="337">
        <f t="shared" si="4"/>
        <v>11</v>
      </c>
      <c r="M145" s="337">
        <f t="shared" si="4"/>
        <v>0.25</v>
      </c>
      <c r="N145" s="337">
        <f t="shared" si="4"/>
        <v>0</v>
      </c>
      <c r="O145" s="337">
        <f t="shared" si="4"/>
        <v>0</v>
      </c>
      <c r="P145" s="337">
        <f t="shared" si="4"/>
        <v>0</v>
      </c>
      <c r="Q145" s="337">
        <f t="shared" si="4"/>
        <v>0</v>
      </c>
      <c r="R145" s="337">
        <f t="shared" si="4"/>
        <v>0</v>
      </c>
      <c r="S145" s="337">
        <f t="shared" si="4"/>
        <v>7.5</v>
      </c>
      <c r="T145" s="337">
        <f t="shared" si="4"/>
        <v>0</v>
      </c>
      <c r="U145" s="337">
        <f t="shared" si="4"/>
        <v>0</v>
      </c>
      <c r="V145" s="337">
        <f t="shared" si="4"/>
        <v>0</v>
      </c>
      <c r="W145" s="337">
        <f t="shared" si="4"/>
        <v>0</v>
      </c>
      <c r="X145" s="337">
        <f t="shared" si="4"/>
        <v>0</v>
      </c>
      <c r="Y145" s="285"/>
      <c r="Z145" s="285"/>
      <c r="AA145" s="307"/>
    </row>
    <row r="146" spans="1:27" s="277" customFormat="1" ht="22.5" customHeight="1" thickBot="1">
      <c r="H146" s="338"/>
      <c r="I146" s="338"/>
      <c r="J146" s="338"/>
      <c r="K146" s="338"/>
      <c r="L146" s="339"/>
      <c r="M146" s="339"/>
      <c r="N146" s="339"/>
      <c r="O146" s="339"/>
      <c r="P146" s="339"/>
      <c r="Q146" s="339"/>
      <c r="R146" s="339"/>
      <c r="S146" s="339"/>
      <c r="T146" s="339"/>
      <c r="U146" s="339"/>
      <c r="V146" s="339"/>
      <c r="W146" s="339"/>
      <c r="X146" s="339"/>
      <c r="Y146" s="308"/>
      <c r="Z146" s="308"/>
    </row>
    <row r="147" spans="1:27" s="277" customFormat="1" ht="22.5" customHeight="1" thickBot="1">
      <c r="A147" s="290" t="s">
        <v>177</v>
      </c>
      <c r="B147" s="291" t="s">
        <v>223</v>
      </c>
      <c r="C147" s="291"/>
      <c r="D147" s="291"/>
      <c r="E147" s="291"/>
      <c r="F147" s="291"/>
      <c r="G147" s="291"/>
      <c r="H147" s="344" t="s">
        <v>91</v>
      </c>
      <c r="I147" s="345"/>
      <c r="J147" s="345"/>
      <c r="K147" s="346"/>
      <c r="L147" s="347" t="s">
        <v>90</v>
      </c>
      <c r="M147" s="349" t="s">
        <v>165</v>
      </c>
      <c r="N147" s="349" t="s">
        <v>166</v>
      </c>
      <c r="O147" s="351" t="s">
        <v>167</v>
      </c>
      <c r="P147" s="352"/>
      <c r="Q147" s="353"/>
      <c r="R147" s="349" t="s">
        <v>168</v>
      </c>
      <c r="S147" s="351" t="s">
        <v>19</v>
      </c>
      <c r="T147" s="352"/>
      <c r="U147" s="353"/>
      <c r="V147" s="349" t="s">
        <v>126</v>
      </c>
      <c r="W147" s="349" t="s">
        <v>127</v>
      </c>
      <c r="X147" s="354" t="s">
        <v>105</v>
      </c>
      <c r="Y147" s="285" t="s">
        <v>169</v>
      </c>
      <c r="Z147" s="285"/>
      <c r="AA147" s="307" t="s">
        <v>170</v>
      </c>
    </row>
    <row r="148" spans="1:27" s="277" customFormat="1" ht="22.5" customHeight="1" thickBot="1">
      <c r="A148" s="290" t="s">
        <v>179</v>
      </c>
      <c r="B148" s="291" t="s">
        <v>224</v>
      </c>
      <c r="C148" s="291"/>
      <c r="D148" s="291"/>
      <c r="E148" s="291"/>
      <c r="F148" s="291"/>
      <c r="G148" s="291"/>
      <c r="H148" s="286" t="s">
        <v>173</v>
      </c>
      <c r="I148" s="286" t="s">
        <v>93</v>
      </c>
      <c r="J148" s="286" t="s">
        <v>94</v>
      </c>
      <c r="K148" s="287" t="s">
        <v>174</v>
      </c>
      <c r="L148" s="348"/>
      <c r="M148" s="350"/>
      <c r="N148" s="350"/>
      <c r="O148" s="288" t="s">
        <v>175</v>
      </c>
      <c r="P148" s="288" t="s">
        <v>176</v>
      </c>
      <c r="Q148" s="330" t="s">
        <v>127</v>
      </c>
      <c r="R148" s="350"/>
      <c r="S148" s="288" t="s">
        <v>175</v>
      </c>
      <c r="T148" s="288" t="s">
        <v>176</v>
      </c>
      <c r="U148" s="330" t="s">
        <v>127</v>
      </c>
      <c r="V148" s="350"/>
      <c r="W148" s="350"/>
      <c r="X148" s="355"/>
      <c r="Y148" s="285" t="s">
        <v>171</v>
      </c>
      <c r="Z148" s="285" t="s">
        <v>172</v>
      </c>
      <c r="AA148" s="307"/>
    </row>
    <row r="149" spans="1:27" s="277" customFormat="1" ht="22.5" customHeight="1">
      <c r="A149" s="293" t="s">
        <v>265</v>
      </c>
      <c r="B149" s="301"/>
      <c r="C149" s="301"/>
      <c r="D149" s="302"/>
      <c r="E149" s="302"/>
      <c r="F149" s="356" t="s">
        <v>188</v>
      </c>
      <c r="G149" s="356"/>
      <c r="H149" s="333"/>
      <c r="I149" s="333"/>
      <c r="J149" s="333"/>
      <c r="K149" s="333"/>
      <c r="L149" s="334"/>
      <c r="M149" s="334"/>
      <c r="N149" s="334"/>
      <c r="O149" s="334"/>
      <c r="P149" s="334"/>
      <c r="Q149" s="334"/>
      <c r="R149" s="334"/>
      <c r="S149" s="334"/>
      <c r="T149" s="334"/>
      <c r="U149" s="334"/>
      <c r="V149" s="334"/>
      <c r="W149" s="334"/>
      <c r="X149" s="334"/>
      <c r="Y149" s="303"/>
      <c r="Z149" s="303"/>
      <c r="AA149" s="293"/>
    </row>
    <row r="150" spans="1:27" s="277" customFormat="1" ht="22.5" customHeight="1">
      <c r="A150" s="297" t="s">
        <v>266</v>
      </c>
      <c r="B150" s="298">
        <v>0.50694444444444442</v>
      </c>
      <c r="C150" s="298">
        <v>0.79652777777777783</v>
      </c>
      <c r="D150" s="298">
        <v>0.50694444444444442</v>
      </c>
      <c r="E150" s="298">
        <v>0.79652777777777783</v>
      </c>
      <c r="F150" s="299">
        <v>0.5</v>
      </c>
      <c r="G150" s="299">
        <v>0.875</v>
      </c>
      <c r="H150" s="335"/>
      <c r="I150" s="335"/>
      <c r="J150" s="335"/>
      <c r="K150" s="335"/>
      <c r="L150" s="336">
        <v>1</v>
      </c>
      <c r="M150" s="336">
        <f>10/60</f>
        <v>0.16666666666666666</v>
      </c>
      <c r="N150" s="336">
        <f>(53+60)/60</f>
        <v>1.8833333333333333</v>
      </c>
      <c r="O150" s="336"/>
      <c r="P150" s="336"/>
      <c r="Q150" s="336"/>
      <c r="R150" s="336"/>
      <c r="S150" s="336"/>
      <c r="T150" s="336"/>
      <c r="U150" s="336"/>
      <c r="V150" s="336"/>
      <c r="W150" s="336"/>
      <c r="X150" s="336"/>
      <c r="Y150" s="300">
        <v>0.33333333333333331</v>
      </c>
      <c r="Z150" s="300">
        <v>0.75</v>
      </c>
      <c r="AA150" s="297" t="s">
        <v>295</v>
      </c>
    </row>
    <row r="151" spans="1:27" s="277" customFormat="1" ht="22.5" customHeight="1">
      <c r="A151" s="293" t="s">
        <v>267</v>
      </c>
      <c r="B151" s="294">
        <v>0.54652777777777783</v>
      </c>
      <c r="C151" s="294">
        <v>0.875</v>
      </c>
      <c r="D151" s="294">
        <v>0.54652777777777783</v>
      </c>
      <c r="E151" s="294">
        <v>0.875</v>
      </c>
      <c r="F151" s="295">
        <v>0.5</v>
      </c>
      <c r="G151" s="295">
        <v>0.875</v>
      </c>
      <c r="H151" s="333"/>
      <c r="I151" s="333"/>
      <c r="J151" s="333"/>
      <c r="K151" s="333"/>
      <c r="L151" s="334">
        <v>1</v>
      </c>
      <c r="M151" s="334">
        <f>(60+7)/60</f>
        <v>1.1166666666666667</v>
      </c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4"/>
      <c r="Y151" s="296">
        <v>0.33333333333333331</v>
      </c>
      <c r="Z151" s="296">
        <v>0.75</v>
      </c>
      <c r="AA151" s="293" t="s">
        <v>296</v>
      </c>
    </row>
    <row r="152" spans="1:27" s="277" customFormat="1" ht="22.5" customHeight="1">
      <c r="A152" s="297" t="s">
        <v>269</v>
      </c>
      <c r="B152" s="298">
        <v>0.5</v>
      </c>
      <c r="C152" s="298">
        <v>0.875</v>
      </c>
      <c r="D152" s="298">
        <v>0.5</v>
      </c>
      <c r="E152" s="298">
        <v>0.875</v>
      </c>
      <c r="F152" s="299">
        <v>0.5</v>
      </c>
      <c r="G152" s="299">
        <v>0.875</v>
      </c>
      <c r="H152" s="335"/>
      <c r="I152" s="335"/>
      <c r="J152" s="335"/>
      <c r="K152" s="335"/>
      <c r="L152" s="336">
        <v>1</v>
      </c>
      <c r="M152" s="336"/>
      <c r="N152" s="336"/>
      <c r="O152" s="336"/>
      <c r="P152" s="336"/>
      <c r="Q152" s="336"/>
      <c r="R152" s="336"/>
      <c r="S152" s="336"/>
      <c r="T152" s="336"/>
      <c r="U152" s="336"/>
      <c r="V152" s="336"/>
      <c r="W152" s="336"/>
      <c r="X152" s="336"/>
      <c r="Y152" s="300">
        <v>0.33333333333333331</v>
      </c>
      <c r="Z152" s="300">
        <v>0.75</v>
      </c>
      <c r="AA152" s="297" t="s">
        <v>160</v>
      </c>
    </row>
    <row r="153" spans="1:27" s="277" customFormat="1" ht="22.5" customHeight="1">
      <c r="A153" s="293" t="s">
        <v>270</v>
      </c>
      <c r="B153" s="294">
        <v>0.20625000000000002</v>
      </c>
      <c r="C153" s="294">
        <v>0.62847222222222221</v>
      </c>
      <c r="D153" s="294">
        <v>0.20625000000000002</v>
      </c>
      <c r="E153" s="294">
        <v>0.62847222222222221</v>
      </c>
      <c r="F153" s="295">
        <v>0.20833333333333334</v>
      </c>
      <c r="G153" s="295">
        <v>0.58333333333333337</v>
      </c>
      <c r="H153" s="333"/>
      <c r="I153" s="333"/>
      <c r="J153" s="333"/>
      <c r="K153" s="333"/>
      <c r="L153" s="334">
        <v>1</v>
      </c>
      <c r="M153" s="334"/>
      <c r="N153" s="334"/>
      <c r="O153" s="334"/>
      <c r="P153" s="334"/>
      <c r="Q153" s="334"/>
      <c r="R153" s="334"/>
      <c r="S153" s="334"/>
      <c r="T153" s="334"/>
      <c r="U153" s="334"/>
      <c r="V153" s="334"/>
      <c r="W153" s="334"/>
      <c r="X153" s="334"/>
      <c r="Y153" s="296">
        <v>0.33333333333333331</v>
      </c>
      <c r="Z153" s="296">
        <v>0.75</v>
      </c>
      <c r="AA153" s="293" t="s">
        <v>297</v>
      </c>
    </row>
    <row r="154" spans="1:27" s="277" customFormat="1" ht="22.5" customHeight="1">
      <c r="A154" s="297" t="s">
        <v>271</v>
      </c>
      <c r="B154" s="298">
        <v>0.49652777777777773</v>
      </c>
      <c r="C154" s="298">
        <v>0.88680555555555562</v>
      </c>
      <c r="D154" s="298">
        <v>0.49652777777777773</v>
      </c>
      <c r="E154" s="298">
        <v>0.88680555555555562</v>
      </c>
      <c r="F154" s="299">
        <v>0.5</v>
      </c>
      <c r="G154" s="299">
        <v>0.875</v>
      </c>
      <c r="H154" s="335"/>
      <c r="I154" s="335"/>
      <c r="J154" s="335"/>
      <c r="K154" s="335"/>
      <c r="L154" s="336">
        <v>1</v>
      </c>
      <c r="M154" s="336"/>
      <c r="N154" s="336"/>
      <c r="O154" s="336"/>
      <c r="P154" s="336"/>
      <c r="Q154" s="336"/>
      <c r="R154" s="336"/>
      <c r="S154" s="336"/>
      <c r="T154" s="336"/>
      <c r="U154" s="336"/>
      <c r="V154" s="336"/>
      <c r="W154" s="336"/>
      <c r="X154" s="336"/>
      <c r="Y154" s="300">
        <v>0.33333333333333331</v>
      </c>
      <c r="Z154" s="300">
        <v>0.75</v>
      </c>
      <c r="AA154" s="297" t="s">
        <v>160</v>
      </c>
    </row>
    <row r="155" spans="1:27" s="277" customFormat="1" ht="22.5" customHeight="1">
      <c r="A155" s="293" t="s">
        <v>273</v>
      </c>
      <c r="B155" s="301"/>
      <c r="C155" s="301"/>
      <c r="D155" s="302"/>
      <c r="E155" s="302"/>
      <c r="F155" s="356" t="s">
        <v>228</v>
      </c>
      <c r="G155" s="356"/>
      <c r="H155" s="333"/>
      <c r="I155" s="333"/>
      <c r="J155" s="333"/>
      <c r="K155" s="333"/>
      <c r="L155" s="334">
        <v>1</v>
      </c>
      <c r="M155" s="334"/>
      <c r="N155" s="334">
        <v>1</v>
      </c>
      <c r="O155" s="334"/>
      <c r="P155" s="334"/>
      <c r="Q155" s="334"/>
      <c r="R155" s="334"/>
      <c r="S155" s="334"/>
      <c r="T155" s="334"/>
      <c r="U155" s="334"/>
      <c r="V155" s="334"/>
      <c r="W155" s="334"/>
      <c r="X155" s="334"/>
      <c r="Y155" s="303"/>
      <c r="Z155" s="303"/>
      <c r="AA155" s="293"/>
    </row>
    <row r="156" spans="1:27" s="277" customFormat="1" ht="22.5" customHeight="1">
      <c r="A156" s="297" t="s">
        <v>274</v>
      </c>
      <c r="B156" s="304"/>
      <c r="C156" s="304"/>
      <c r="D156" s="305"/>
      <c r="E156" s="305"/>
      <c r="F156" s="357" t="s">
        <v>229</v>
      </c>
      <c r="G156" s="357"/>
      <c r="H156" s="335"/>
      <c r="I156" s="335"/>
      <c r="J156" s="335"/>
      <c r="K156" s="335"/>
      <c r="L156" s="336"/>
      <c r="M156" s="336"/>
      <c r="N156" s="336"/>
      <c r="O156" s="336"/>
      <c r="P156" s="336"/>
      <c r="Q156" s="336"/>
      <c r="R156" s="336"/>
      <c r="S156" s="336"/>
      <c r="T156" s="336"/>
      <c r="U156" s="336"/>
      <c r="V156" s="336"/>
      <c r="W156" s="336"/>
      <c r="X156" s="336"/>
      <c r="Y156" s="306"/>
      <c r="Z156" s="306"/>
      <c r="AA156" s="297"/>
    </row>
    <row r="157" spans="1:27" s="277" customFormat="1" ht="22.5" customHeight="1">
      <c r="A157" s="293" t="s">
        <v>275</v>
      </c>
      <c r="B157" s="294">
        <v>0.50277777777777777</v>
      </c>
      <c r="C157" s="294">
        <v>0.85416666666666663</v>
      </c>
      <c r="D157" s="294">
        <v>0.50277777777777777</v>
      </c>
      <c r="E157" s="294">
        <v>0.85416666666666663</v>
      </c>
      <c r="F157" s="295">
        <v>0.5</v>
      </c>
      <c r="G157" s="295">
        <v>0.875</v>
      </c>
      <c r="H157" s="333"/>
      <c r="I157" s="333"/>
      <c r="J157" s="333"/>
      <c r="K157" s="333"/>
      <c r="L157" s="334">
        <v>1</v>
      </c>
      <c r="M157" s="334"/>
      <c r="N157" s="334">
        <f>(30/60)</f>
        <v>0.5</v>
      </c>
      <c r="O157" s="334"/>
      <c r="P157" s="334"/>
      <c r="Q157" s="334"/>
      <c r="R157" s="334"/>
      <c r="S157" s="334"/>
      <c r="T157" s="334"/>
      <c r="U157" s="334"/>
      <c r="V157" s="334"/>
      <c r="W157" s="334"/>
      <c r="X157" s="334"/>
      <c r="Y157" s="296">
        <v>0.33333333333333331</v>
      </c>
      <c r="Z157" s="296">
        <v>0.75</v>
      </c>
      <c r="AA157" s="293" t="s">
        <v>298</v>
      </c>
    </row>
    <row r="158" spans="1:27" s="277" customFormat="1" ht="22.5" customHeight="1">
      <c r="A158" s="297" t="s">
        <v>276</v>
      </c>
      <c r="B158" s="298">
        <v>0.5625</v>
      </c>
      <c r="C158" s="298">
        <v>0.87569444444444444</v>
      </c>
      <c r="D158" s="298">
        <v>0.5625</v>
      </c>
      <c r="E158" s="298">
        <v>0.87569444444444444</v>
      </c>
      <c r="F158" s="299">
        <v>0.5</v>
      </c>
      <c r="G158" s="299">
        <v>0.875</v>
      </c>
      <c r="H158" s="335"/>
      <c r="I158" s="335"/>
      <c r="J158" s="335"/>
      <c r="K158" s="335"/>
      <c r="L158" s="336">
        <v>1</v>
      </c>
      <c r="M158" s="336">
        <f>(60+30)/60</f>
        <v>1.5</v>
      </c>
      <c r="N158" s="336"/>
      <c r="O158" s="336"/>
      <c r="P158" s="336"/>
      <c r="Q158" s="336"/>
      <c r="R158" s="336"/>
      <c r="S158" s="336"/>
      <c r="T158" s="336"/>
      <c r="U158" s="336"/>
      <c r="V158" s="336"/>
      <c r="W158" s="336"/>
      <c r="X158" s="336"/>
      <c r="Y158" s="300">
        <v>0.33333333333333331</v>
      </c>
      <c r="Z158" s="300">
        <v>0.75</v>
      </c>
      <c r="AA158" s="297" t="s">
        <v>299</v>
      </c>
    </row>
    <row r="159" spans="1:27" s="277" customFormat="1" ht="22.5" customHeight="1">
      <c r="A159" s="293" t="s">
        <v>277</v>
      </c>
      <c r="B159" s="294">
        <v>0.4368055555555555</v>
      </c>
      <c r="C159" s="294">
        <v>0.89583333333333337</v>
      </c>
      <c r="D159" s="294">
        <v>0.4368055555555555</v>
      </c>
      <c r="E159" s="294">
        <v>0.89583333333333337</v>
      </c>
      <c r="F159" s="295">
        <v>0.4375</v>
      </c>
      <c r="G159" s="295">
        <v>0.8125</v>
      </c>
      <c r="H159" s="333"/>
      <c r="I159" s="333"/>
      <c r="J159" s="333"/>
      <c r="K159" s="333"/>
      <c r="L159" s="334">
        <v>1</v>
      </c>
      <c r="M159" s="334"/>
      <c r="N159" s="334"/>
      <c r="O159" s="334"/>
      <c r="P159" s="334"/>
      <c r="Q159" s="334"/>
      <c r="R159" s="334"/>
      <c r="S159" s="334"/>
      <c r="T159" s="334"/>
      <c r="U159" s="334"/>
      <c r="V159" s="334"/>
      <c r="W159" s="334"/>
      <c r="X159" s="334"/>
      <c r="Y159" s="296">
        <v>0.33333333333333331</v>
      </c>
      <c r="Z159" s="296">
        <v>0.75</v>
      </c>
      <c r="AA159" s="293" t="s">
        <v>257</v>
      </c>
    </row>
    <row r="160" spans="1:27" s="277" customFormat="1" ht="22.5" customHeight="1">
      <c r="A160" s="297" t="s">
        <v>278</v>
      </c>
      <c r="B160" s="298">
        <v>0.52083333333333337</v>
      </c>
      <c r="C160" s="298">
        <v>0.97916666666666663</v>
      </c>
      <c r="D160" s="298">
        <v>0.52083333333333337</v>
      </c>
      <c r="E160" s="298">
        <v>0.97916666666666663</v>
      </c>
      <c r="F160" s="299">
        <v>0.52083333333333337</v>
      </c>
      <c r="G160" s="299">
        <v>0.89583333333333337</v>
      </c>
      <c r="H160" s="335"/>
      <c r="I160" s="335"/>
      <c r="J160" s="335"/>
      <c r="K160" s="335"/>
      <c r="L160" s="336">
        <v>1</v>
      </c>
      <c r="M160" s="336"/>
      <c r="N160" s="336"/>
      <c r="O160" s="336"/>
      <c r="P160" s="336"/>
      <c r="Q160" s="336"/>
      <c r="R160" s="336"/>
      <c r="S160" s="336">
        <v>1.5</v>
      </c>
      <c r="T160" s="336"/>
      <c r="U160" s="336"/>
      <c r="V160" s="336"/>
      <c r="W160" s="336"/>
      <c r="X160" s="336"/>
      <c r="Y160" s="300">
        <v>0.33333333333333331</v>
      </c>
      <c r="Z160" s="300">
        <v>0.75</v>
      </c>
      <c r="AA160" s="297" t="s">
        <v>257</v>
      </c>
    </row>
    <row r="161" spans="1:27" s="277" customFormat="1" ht="22.5" customHeight="1">
      <c r="A161" s="293" t="s">
        <v>279</v>
      </c>
      <c r="B161" s="294">
        <v>0.47152777777777777</v>
      </c>
      <c r="C161" s="294">
        <v>0.93819444444444444</v>
      </c>
      <c r="D161" s="294">
        <v>0.47152777777777777</v>
      </c>
      <c r="E161" s="294">
        <v>0.93819444444444444</v>
      </c>
      <c r="F161" s="295">
        <v>0.47916666666666669</v>
      </c>
      <c r="G161" s="295">
        <v>0.85416666666666663</v>
      </c>
      <c r="H161" s="333"/>
      <c r="I161" s="333"/>
      <c r="J161" s="333"/>
      <c r="K161" s="333"/>
      <c r="L161" s="334">
        <v>1</v>
      </c>
      <c r="M161" s="334"/>
      <c r="N161" s="334"/>
      <c r="O161" s="334"/>
      <c r="P161" s="334"/>
      <c r="Q161" s="334"/>
      <c r="R161" s="334"/>
      <c r="S161" s="334"/>
      <c r="T161" s="334"/>
      <c r="U161" s="334"/>
      <c r="V161" s="334"/>
      <c r="W161" s="334"/>
      <c r="X161" s="334"/>
      <c r="Y161" s="296">
        <v>0.33333333333333331</v>
      </c>
      <c r="Z161" s="296">
        <v>0.75</v>
      </c>
      <c r="AA161" s="293" t="s">
        <v>257</v>
      </c>
    </row>
    <row r="162" spans="1:27" s="277" customFormat="1" ht="22.5" customHeight="1">
      <c r="A162" s="297" t="s">
        <v>281</v>
      </c>
      <c r="B162" s="304"/>
      <c r="C162" s="304"/>
      <c r="D162" s="305"/>
      <c r="E162" s="305"/>
      <c r="F162" s="357" t="s">
        <v>93</v>
      </c>
      <c r="G162" s="357"/>
      <c r="H162" s="335"/>
      <c r="I162" s="335">
        <f>1-R162</f>
        <v>0</v>
      </c>
      <c r="J162" s="335"/>
      <c r="K162" s="335"/>
      <c r="L162" s="336"/>
      <c r="M162" s="336"/>
      <c r="N162" s="336"/>
      <c r="O162" s="336"/>
      <c r="P162" s="336"/>
      <c r="Q162" s="336"/>
      <c r="R162" s="336">
        <v>1</v>
      </c>
      <c r="S162" s="336"/>
      <c r="T162" s="336"/>
      <c r="U162" s="336"/>
      <c r="V162" s="336"/>
      <c r="W162" s="336"/>
      <c r="X162" s="336"/>
      <c r="Y162" s="306"/>
      <c r="Z162" s="306"/>
      <c r="AA162" s="297"/>
    </row>
    <row r="163" spans="1:27" s="277" customFormat="1" ht="22.5" customHeight="1">
      <c r="A163" s="293" t="s">
        <v>282</v>
      </c>
      <c r="B163" s="301"/>
      <c r="C163" s="301"/>
      <c r="D163" s="302"/>
      <c r="E163" s="302"/>
      <c r="F163" s="356" t="s">
        <v>188</v>
      </c>
      <c r="G163" s="356"/>
      <c r="H163" s="333"/>
      <c r="I163" s="333"/>
      <c r="J163" s="333"/>
      <c r="K163" s="333"/>
      <c r="L163" s="334"/>
      <c r="M163" s="334"/>
      <c r="N163" s="334"/>
      <c r="O163" s="334"/>
      <c r="P163" s="334"/>
      <c r="Q163" s="334"/>
      <c r="R163" s="334"/>
      <c r="S163" s="334"/>
      <c r="T163" s="334"/>
      <c r="U163" s="334"/>
      <c r="V163" s="334"/>
      <c r="W163" s="334"/>
      <c r="X163" s="334"/>
      <c r="Y163" s="303"/>
      <c r="Z163" s="303"/>
      <c r="AA163" s="293"/>
    </row>
    <row r="164" spans="1:27" s="277" customFormat="1" ht="22.5" customHeight="1">
      <c r="A164" s="307" t="s">
        <v>3</v>
      </c>
      <c r="B164" s="307"/>
      <c r="C164" s="307"/>
      <c r="D164" s="307"/>
      <c r="E164" s="307"/>
      <c r="F164" s="307"/>
      <c r="G164" s="307"/>
      <c r="H164" s="337">
        <f>SUM(H148:H163)</f>
        <v>0</v>
      </c>
      <c r="I164" s="337">
        <f t="shared" ref="I164:X164" si="5">SUM(I148:I163)</f>
        <v>0</v>
      </c>
      <c r="J164" s="337">
        <f t="shared" si="5"/>
        <v>0</v>
      </c>
      <c r="K164" s="337">
        <f t="shared" si="5"/>
        <v>0</v>
      </c>
      <c r="L164" s="337">
        <f>SUM(L148:L163)</f>
        <v>11</v>
      </c>
      <c r="M164" s="337">
        <f t="shared" si="5"/>
        <v>2.7833333333333332</v>
      </c>
      <c r="N164" s="337">
        <f t="shared" si="5"/>
        <v>3.3833333333333333</v>
      </c>
      <c r="O164" s="337">
        <f t="shared" si="5"/>
        <v>0</v>
      </c>
      <c r="P164" s="337">
        <f t="shared" si="5"/>
        <v>0</v>
      </c>
      <c r="Q164" s="337">
        <f t="shared" si="5"/>
        <v>0</v>
      </c>
      <c r="R164" s="337">
        <f t="shared" si="5"/>
        <v>1</v>
      </c>
      <c r="S164" s="337">
        <f t="shared" si="5"/>
        <v>1.5</v>
      </c>
      <c r="T164" s="337">
        <f t="shared" si="5"/>
        <v>0</v>
      </c>
      <c r="U164" s="337">
        <f t="shared" si="5"/>
        <v>0</v>
      </c>
      <c r="V164" s="337">
        <f t="shared" si="5"/>
        <v>0</v>
      </c>
      <c r="W164" s="337">
        <f t="shared" si="5"/>
        <v>0</v>
      </c>
      <c r="X164" s="337">
        <f t="shared" si="5"/>
        <v>0</v>
      </c>
      <c r="Y164" s="285"/>
      <c r="Z164" s="285"/>
      <c r="AA164" s="307"/>
    </row>
    <row r="165" spans="1:27" s="277" customFormat="1" ht="22.5" customHeight="1" thickBot="1">
      <c r="H165" s="338"/>
      <c r="I165" s="338"/>
      <c r="J165" s="338"/>
      <c r="K165" s="338"/>
      <c r="L165" s="339"/>
      <c r="M165" s="339"/>
      <c r="N165" s="339"/>
      <c r="O165" s="339"/>
      <c r="P165" s="339"/>
      <c r="Q165" s="339"/>
      <c r="R165" s="339"/>
      <c r="S165" s="339"/>
      <c r="T165" s="339"/>
      <c r="U165" s="339"/>
      <c r="V165" s="339"/>
      <c r="W165" s="339"/>
      <c r="X165" s="339"/>
      <c r="Y165" s="308"/>
      <c r="Z165" s="308"/>
    </row>
    <row r="166" spans="1:27" s="277" customFormat="1" ht="22.5" customHeight="1" thickBot="1">
      <c r="A166" s="290" t="s">
        <v>177</v>
      </c>
      <c r="B166" s="291" t="s">
        <v>234</v>
      </c>
      <c r="C166" s="291"/>
      <c r="D166" s="291"/>
      <c r="E166" s="291"/>
      <c r="F166" s="291"/>
      <c r="G166" s="291"/>
      <c r="H166" s="344" t="s">
        <v>91</v>
      </c>
      <c r="I166" s="345"/>
      <c r="J166" s="345"/>
      <c r="K166" s="346"/>
      <c r="L166" s="347" t="s">
        <v>90</v>
      </c>
      <c r="M166" s="349" t="s">
        <v>165</v>
      </c>
      <c r="N166" s="349" t="s">
        <v>166</v>
      </c>
      <c r="O166" s="351" t="s">
        <v>167</v>
      </c>
      <c r="P166" s="352"/>
      <c r="Q166" s="353"/>
      <c r="R166" s="349" t="s">
        <v>168</v>
      </c>
      <c r="S166" s="351" t="s">
        <v>19</v>
      </c>
      <c r="T166" s="352"/>
      <c r="U166" s="353"/>
      <c r="V166" s="349" t="s">
        <v>126</v>
      </c>
      <c r="W166" s="349" t="s">
        <v>127</v>
      </c>
      <c r="X166" s="354" t="s">
        <v>105</v>
      </c>
      <c r="Y166" s="285" t="s">
        <v>169</v>
      </c>
      <c r="Z166" s="285"/>
      <c r="AA166" s="307" t="s">
        <v>170</v>
      </c>
    </row>
    <row r="167" spans="1:27" s="277" customFormat="1" ht="22.5" customHeight="1" thickBot="1">
      <c r="A167" s="290" t="s">
        <v>179</v>
      </c>
      <c r="B167" s="291" t="s">
        <v>235</v>
      </c>
      <c r="C167" s="291"/>
      <c r="D167" s="291"/>
      <c r="E167" s="291"/>
      <c r="F167" s="291"/>
      <c r="G167" s="291"/>
      <c r="H167" s="286" t="s">
        <v>173</v>
      </c>
      <c r="I167" s="286" t="s">
        <v>93</v>
      </c>
      <c r="J167" s="286" t="s">
        <v>94</v>
      </c>
      <c r="K167" s="287" t="s">
        <v>174</v>
      </c>
      <c r="L167" s="348"/>
      <c r="M167" s="350"/>
      <c r="N167" s="350"/>
      <c r="O167" s="288" t="s">
        <v>175</v>
      </c>
      <c r="P167" s="288" t="s">
        <v>176</v>
      </c>
      <c r="Q167" s="330" t="s">
        <v>127</v>
      </c>
      <c r="R167" s="350"/>
      <c r="S167" s="288" t="s">
        <v>175</v>
      </c>
      <c r="T167" s="288" t="s">
        <v>176</v>
      </c>
      <c r="U167" s="330" t="s">
        <v>127</v>
      </c>
      <c r="V167" s="350"/>
      <c r="W167" s="350"/>
      <c r="X167" s="355"/>
      <c r="Y167" s="285" t="s">
        <v>171</v>
      </c>
      <c r="Z167" s="285" t="s">
        <v>172</v>
      </c>
      <c r="AA167" s="307"/>
    </row>
    <row r="168" spans="1:27" s="277" customFormat="1" ht="22.5" customHeight="1">
      <c r="A168" s="293" t="s">
        <v>265</v>
      </c>
      <c r="B168" s="301"/>
      <c r="C168" s="301"/>
      <c r="D168" s="302"/>
      <c r="E168" s="302"/>
      <c r="F168" s="356" t="s">
        <v>188</v>
      </c>
      <c r="G168" s="356"/>
      <c r="H168" s="333"/>
      <c r="I168" s="333"/>
      <c r="J168" s="333"/>
      <c r="K168" s="333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03"/>
      <c r="Z168" s="303"/>
      <c r="AA168" s="293"/>
    </row>
    <row r="169" spans="1:27" s="277" customFormat="1" ht="22.5" customHeight="1">
      <c r="A169" s="297" t="s">
        <v>266</v>
      </c>
      <c r="B169" s="298">
        <v>0.47638888888888892</v>
      </c>
      <c r="C169" s="298">
        <v>0.60416666666666663</v>
      </c>
      <c r="D169" s="298">
        <v>0.47638888888888892</v>
      </c>
      <c r="E169" s="298">
        <v>0.60416666666666663</v>
      </c>
      <c r="F169" s="299">
        <v>0.47916666666666669</v>
      </c>
      <c r="G169" s="299">
        <v>0.60416666666666663</v>
      </c>
      <c r="H169" s="335"/>
      <c r="I169" s="335"/>
      <c r="J169" s="335"/>
      <c r="K169" s="335"/>
      <c r="L169" s="336"/>
      <c r="M169" s="336"/>
      <c r="N169" s="336"/>
      <c r="O169" s="336"/>
      <c r="P169" s="336"/>
      <c r="Q169" s="336"/>
      <c r="R169" s="336"/>
      <c r="S169" s="336"/>
      <c r="T169" s="336"/>
      <c r="U169" s="336"/>
      <c r="V169" s="336"/>
      <c r="W169" s="336"/>
      <c r="X169" s="336"/>
      <c r="Y169" s="300">
        <v>0.33333333333333331</v>
      </c>
      <c r="Z169" s="300">
        <v>0.70833333333333337</v>
      </c>
      <c r="AA169" s="297"/>
    </row>
    <row r="170" spans="1:27" s="277" customFormat="1" ht="22.5" customHeight="1">
      <c r="A170" s="293" t="s">
        <v>266</v>
      </c>
      <c r="B170" s="294">
        <v>0.75416666666666676</v>
      </c>
      <c r="C170" s="294">
        <v>0.97916666666666663</v>
      </c>
      <c r="D170" s="294">
        <v>0.75416666666666676</v>
      </c>
      <c r="E170" s="294">
        <v>0.97916666666666663</v>
      </c>
      <c r="F170" s="295">
        <v>0.77083333333333337</v>
      </c>
      <c r="G170" s="295">
        <v>0.97916666666666663</v>
      </c>
      <c r="H170" s="333"/>
      <c r="I170" s="333"/>
      <c r="J170" s="333"/>
      <c r="K170" s="333"/>
      <c r="L170" s="334">
        <v>1</v>
      </c>
      <c r="M170" s="334"/>
      <c r="N170" s="334"/>
      <c r="O170" s="334"/>
      <c r="P170" s="334"/>
      <c r="Q170" s="334"/>
      <c r="R170" s="334"/>
      <c r="S170" s="334">
        <v>1.5</v>
      </c>
      <c r="T170" s="334"/>
      <c r="U170" s="334"/>
      <c r="V170" s="334"/>
      <c r="W170" s="334"/>
      <c r="X170" s="334"/>
      <c r="Y170" s="296">
        <v>0.33333333333333331</v>
      </c>
      <c r="Z170" s="296">
        <v>0.70833333333333337</v>
      </c>
      <c r="AA170" s="293"/>
    </row>
    <row r="171" spans="1:27" s="277" customFormat="1" ht="22.5" customHeight="1">
      <c r="A171" s="297" t="s">
        <v>267</v>
      </c>
      <c r="B171" s="298">
        <v>0.47916666666666669</v>
      </c>
      <c r="C171" s="298">
        <v>0.6</v>
      </c>
      <c r="D171" s="298">
        <v>0.47916666666666669</v>
      </c>
      <c r="E171" s="298">
        <v>0.6</v>
      </c>
      <c r="F171" s="299">
        <v>0.47916666666666669</v>
      </c>
      <c r="G171" s="299">
        <v>0.6</v>
      </c>
      <c r="H171" s="335"/>
      <c r="I171" s="335"/>
      <c r="J171" s="335"/>
      <c r="K171" s="335"/>
      <c r="L171" s="336"/>
      <c r="M171" s="336"/>
      <c r="N171" s="336"/>
      <c r="O171" s="336"/>
      <c r="P171" s="336"/>
      <c r="Q171" s="336"/>
      <c r="R171" s="336"/>
      <c r="S171" s="336"/>
      <c r="T171" s="336"/>
      <c r="U171" s="336"/>
      <c r="V171" s="336"/>
      <c r="W171" s="336"/>
      <c r="X171" s="336"/>
      <c r="Y171" s="300">
        <v>0.33333333333333331</v>
      </c>
      <c r="Z171" s="300">
        <v>0.70833333333333337</v>
      </c>
      <c r="AA171" s="297"/>
    </row>
    <row r="172" spans="1:27" s="277" customFormat="1" ht="22.5" customHeight="1">
      <c r="A172" s="293" t="s">
        <v>267</v>
      </c>
      <c r="B172" s="294">
        <v>0.76041666666666663</v>
      </c>
      <c r="C172" s="294">
        <v>0.97916666666666663</v>
      </c>
      <c r="D172" s="294">
        <v>0.76041666666666663</v>
      </c>
      <c r="E172" s="294">
        <v>0.97916666666666663</v>
      </c>
      <c r="F172" s="295">
        <v>0.76666666666666661</v>
      </c>
      <c r="G172" s="295">
        <v>0.97916666666666663</v>
      </c>
      <c r="H172" s="333"/>
      <c r="I172" s="333"/>
      <c r="J172" s="333"/>
      <c r="K172" s="333"/>
      <c r="L172" s="334">
        <v>1</v>
      </c>
      <c r="M172" s="334"/>
      <c r="N172" s="334"/>
      <c r="O172" s="334"/>
      <c r="P172" s="334"/>
      <c r="Q172" s="334"/>
      <c r="R172" s="334"/>
      <c r="S172" s="334">
        <v>1.5</v>
      </c>
      <c r="T172" s="334"/>
      <c r="U172" s="334"/>
      <c r="V172" s="334"/>
      <c r="W172" s="334"/>
      <c r="X172" s="334"/>
      <c r="Y172" s="296">
        <v>0.33333333333333331</v>
      </c>
      <c r="Z172" s="296">
        <v>0.70833333333333337</v>
      </c>
      <c r="AA172" s="293"/>
    </row>
    <row r="173" spans="1:27" s="277" customFormat="1" ht="22.5" customHeight="1">
      <c r="A173" s="297" t="s">
        <v>269</v>
      </c>
      <c r="B173" s="298">
        <v>0.4770833333333333</v>
      </c>
      <c r="C173" s="298">
        <v>0.61388888888888882</v>
      </c>
      <c r="D173" s="298">
        <v>0.4770833333333333</v>
      </c>
      <c r="E173" s="298">
        <v>0.61388888888888882</v>
      </c>
      <c r="F173" s="299">
        <v>0.47916666666666669</v>
      </c>
      <c r="G173" s="299">
        <v>0.61388888888888882</v>
      </c>
      <c r="H173" s="335"/>
      <c r="I173" s="335"/>
      <c r="J173" s="335"/>
      <c r="K173" s="335"/>
      <c r="L173" s="336"/>
      <c r="M173" s="336"/>
      <c r="N173" s="336"/>
      <c r="O173" s="336"/>
      <c r="P173" s="336"/>
      <c r="Q173" s="336"/>
      <c r="R173" s="336"/>
      <c r="S173" s="336"/>
      <c r="T173" s="336"/>
      <c r="U173" s="336"/>
      <c r="V173" s="336"/>
      <c r="W173" s="336"/>
      <c r="X173" s="336"/>
      <c r="Y173" s="300">
        <v>0.33333333333333331</v>
      </c>
      <c r="Z173" s="300">
        <v>0.70833333333333337</v>
      </c>
      <c r="AA173" s="297"/>
    </row>
    <row r="174" spans="1:27" s="277" customFormat="1" ht="22.5" customHeight="1">
      <c r="A174" s="293" t="s">
        <v>269</v>
      </c>
      <c r="B174" s="294">
        <v>0.75416666666666676</v>
      </c>
      <c r="C174" s="294">
        <v>0.97916666666666663</v>
      </c>
      <c r="D174" s="294">
        <v>0.75416666666666676</v>
      </c>
      <c r="E174" s="294">
        <v>0.97916666666666663</v>
      </c>
      <c r="F174" s="295">
        <v>0.78055555555555556</v>
      </c>
      <c r="G174" s="295">
        <v>0.97916666666666663</v>
      </c>
      <c r="H174" s="333"/>
      <c r="I174" s="333"/>
      <c r="J174" s="333"/>
      <c r="K174" s="333"/>
      <c r="L174" s="334">
        <v>1</v>
      </c>
      <c r="M174" s="334"/>
      <c r="N174" s="334"/>
      <c r="O174" s="334"/>
      <c r="P174" s="334"/>
      <c r="Q174" s="334"/>
      <c r="R174" s="334"/>
      <c r="S174" s="334">
        <v>1.5</v>
      </c>
      <c r="T174" s="334"/>
      <c r="U174" s="334"/>
      <c r="V174" s="334"/>
      <c r="W174" s="334"/>
      <c r="X174" s="334"/>
      <c r="Y174" s="296">
        <v>0.33333333333333331</v>
      </c>
      <c r="Z174" s="296">
        <v>0.70833333333333337</v>
      </c>
      <c r="AA174" s="293"/>
    </row>
    <row r="175" spans="1:27" s="277" customFormat="1" ht="22.5" customHeight="1">
      <c r="A175" s="297" t="s">
        <v>270</v>
      </c>
      <c r="B175" s="298">
        <v>0.4777777777777778</v>
      </c>
      <c r="C175" s="298">
        <v>0.59583333333333333</v>
      </c>
      <c r="D175" s="298">
        <v>0.4777777777777778</v>
      </c>
      <c r="E175" s="298">
        <v>0.59583333333333333</v>
      </c>
      <c r="F175" s="299">
        <v>0.47916666666666669</v>
      </c>
      <c r="G175" s="299">
        <v>0.59583333333333333</v>
      </c>
      <c r="H175" s="335"/>
      <c r="I175" s="335"/>
      <c r="J175" s="335"/>
      <c r="K175" s="335"/>
      <c r="L175" s="336"/>
      <c r="M175" s="336"/>
      <c r="N175" s="336"/>
      <c r="O175" s="336"/>
      <c r="P175" s="336"/>
      <c r="Q175" s="336"/>
      <c r="R175" s="336"/>
      <c r="S175" s="336"/>
      <c r="T175" s="336"/>
      <c r="U175" s="336"/>
      <c r="V175" s="336"/>
      <c r="W175" s="336"/>
      <c r="X175" s="336"/>
      <c r="Y175" s="300">
        <v>0.33333333333333331</v>
      </c>
      <c r="Z175" s="300">
        <v>0.70833333333333337</v>
      </c>
      <c r="AA175" s="297"/>
    </row>
    <row r="176" spans="1:27" s="277" customFormat="1" ht="22.5" customHeight="1">
      <c r="A176" s="293" t="s">
        <v>270</v>
      </c>
      <c r="B176" s="294">
        <v>0.75208333333333333</v>
      </c>
      <c r="C176" s="294">
        <v>0.97916666666666663</v>
      </c>
      <c r="D176" s="294">
        <v>0.75208333333333333</v>
      </c>
      <c r="E176" s="294">
        <v>0.97916666666666663</v>
      </c>
      <c r="F176" s="295">
        <v>0.76250000000000007</v>
      </c>
      <c r="G176" s="295">
        <v>0.97916666666666663</v>
      </c>
      <c r="H176" s="333"/>
      <c r="I176" s="333"/>
      <c r="J176" s="333"/>
      <c r="K176" s="333"/>
      <c r="L176" s="334">
        <v>1</v>
      </c>
      <c r="M176" s="334"/>
      <c r="N176" s="334"/>
      <c r="O176" s="334"/>
      <c r="P176" s="334"/>
      <c r="Q176" s="334"/>
      <c r="R176" s="334"/>
      <c r="S176" s="334">
        <v>1.5</v>
      </c>
      <c r="T176" s="334"/>
      <c r="U176" s="334"/>
      <c r="V176" s="334"/>
      <c r="W176" s="334"/>
      <c r="X176" s="334"/>
      <c r="Y176" s="296">
        <v>0.33333333333333331</v>
      </c>
      <c r="Z176" s="296">
        <v>0.70833333333333337</v>
      </c>
      <c r="AA176" s="293"/>
    </row>
    <row r="177" spans="1:27" s="277" customFormat="1" ht="22.5" customHeight="1">
      <c r="A177" s="297" t="s">
        <v>271</v>
      </c>
      <c r="B177" s="298">
        <v>0.47847222222222219</v>
      </c>
      <c r="C177" s="298">
        <v>0.59791666666666665</v>
      </c>
      <c r="D177" s="298">
        <v>0.47847222222222219</v>
      </c>
      <c r="E177" s="298">
        <v>0.59791666666666665</v>
      </c>
      <c r="F177" s="299">
        <v>0.47916666666666669</v>
      </c>
      <c r="G177" s="299">
        <v>0.59791666666666665</v>
      </c>
      <c r="H177" s="335"/>
      <c r="I177" s="335"/>
      <c r="J177" s="335"/>
      <c r="K177" s="335"/>
      <c r="L177" s="336"/>
      <c r="M177" s="336"/>
      <c r="N177" s="336"/>
      <c r="O177" s="336"/>
      <c r="P177" s="336"/>
      <c r="Q177" s="336"/>
      <c r="R177" s="336"/>
      <c r="S177" s="336"/>
      <c r="T177" s="336"/>
      <c r="U177" s="336"/>
      <c r="V177" s="336"/>
      <c r="W177" s="336"/>
      <c r="X177" s="336"/>
      <c r="Y177" s="300">
        <v>0.33333333333333331</v>
      </c>
      <c r="Z177" s="300">
        <v>0.70833333333333337</v>
      </c>
      <c r="AA177" s="297"/>
    </row>
    <row r="178" spans="1:27" s="277" customFormat="1" ht="22.5" customHeight="1">
      <c r="A178" s="293" t="s">
        <v>271</v>
      </c>
      <c r="B178" s="294">
        <v>0.75277777777777777</v>
      </c>
      <c r="C178" s="294">
        <v>0.97916666666666663</v>
      </c>
      <c r="D178" s="294">
        <v>0.75277777777777777</v>
      </c>
      <c r="E178" s="294">
        <v>0.97916666666666663</v>
      </c>
      <c r="F178" s="295">
        <v>0.76458333333333339</v>
      </c>
      <c r="G178" s="295">
        <v>0.97916666666666663</v>
      </c>
      <c r="H178" s="333"/>
      <c r="I178" s="333"/>
      <c r="J178" s="333"/>
      <c r="K178" s="333"/>
      <c r="L178" s="334">
        <v>1</v>
      </c>
      <c r="M178" s="334"/>
      <c r="N178" s="334"/>
      <c r="O178" s="334"/>
      <c r="P178" s="334"/>
      <c r="Q178" s="334"/>
      <c r="R178" s="334"/>
      <c r="S178" s="334">
        <v>1.5</v>
      </c>
      <c r="T178" s="334"/>
      <c r="U178" s="334"/>
      <c r="V178" s="334"/>
      <c r="W178" s="334"/>
      <c r="X178" s="334"/>
      <c r="Y178" s="296">
        <v>0.33333333333333331</v>
      </c>
      <c r="Z178" s="296">
        <v>0.70833333333333337</v>
      </c>
      <c r="AA178" s="293"/>
    </row>
    <row r="179" spans="1:27" s="277" customFormat="1" ht="22.5" customHeight="1">
      <c r="A179" s="293" t="s">
        <v>273</v>
      </c>
      <c r="B179" s="294">
        <v>0.41319444444444442</v>
      </c>
      <c r="C179" s="294">
        <v>0.60347222222222219</v>
      </c>
      <c r="D179" s="294">
        <v>0.41319444444444442</v>
      </c>
      <c r="E179" s="294">
        <v>0.60347222222222219</v>
      </c>
      <c r="F179" s="295">
        <v>0.41666666666666669</v>
      </c>
      <c r="G179" s="295">
        <v>0.60347222222222219</v>
      </c>
      <c r="H179" s="333"/>
      <c r="I179" s="333"/>
      <c r="J179" s="333"/>
      <c r="K179" s="333"/>
      <c r="L179" s="334"/>
      <c r="M179" s="334"/>
      <c r="N179" s="334"/>
      <c r="O179" s="334"/>
      <c r="P179" s="334"/>
      <c r="Q179" s="334"/>
      <c r="R179" s="334"/>
      <c r="S179" s="334"/>
      <c r="T179" s="334"/>
      <c r="U179" s="334"/>
      <c r="V179" s="334"/>
      <c r="W179" s="334"/>
      <c r="X179" s="334"/>
      <c r="Y179" s="296">
        <v>0.33333333333333331</v>
      </c>
      <c r="Z179" s="296">
        <v>0.70833333333333337</v>
      </c>
      <c r="AA179" s="293"/>
    </row>
    <row r="180" spans="1:27" s="277" customFormat="1" ht="22.5" customHeight="1">
      <c r="A180" s="297" t="s">
        <v>273</v>
      </c>
      <c r="B180" s="298">
        <v>0.70763888888888893</v>
      </c>
      <c r="C180" s="298">
        <v>0.875</v>
      </c>
      <c r="D180" s="298">
        <v>0.70763888888888893</v>
      </c>
      <c r="E180" s="298">
        <v>0.875</v>
      </c>
      <c r="F180" s="299">
        <v>0.7284722222222223</v>
      </c>
      <c r="G180" s="299">
        <v>0.875</v>
      </c>
      <c r="H180" s="335"/>
      <c r="I180" s="335"/>
      <c r="J180" s="335"/>
      <c r="K180" s="335"/>
      <c r="L180" s="336">
        <v>1</v>
      </c>
      <c r="M180" s="336"/>
      <c r="N180" s="336"/>
      <c r="O180" s="336"/>
      <c r="P180" s="336"/>
      <c r="Q180" s="336"/>
      <c r="R180" s="336"/>
      <c r="S180" s="336"/>
      <c r="T180" s="336"/>
      <c r="U180" s="336"/>
      <c r="V180" s="336"/>
      <c r="W180" s="336"/>
      <c r="X180" s="336"/>
      <c r="Y180" s="300">
        <v>0.33333333333333331</v>
      </c>
      <c r="Z180" s="300">
        <v>0.70833333333333337</v>
      </c>
      <c r="AA180" s="297"/>
    </row>
    <row r="181" spans="1:27" s="277" customFormat="1" ht="22.5" customHeight="1">
      <c r="A181" s="297" t="s">
        <v>274</v>
      </c>
      <c r="B181" s="304"/>
      <c r="C181" s="304"/>
      <c r="D181" s="305"/>
      <c r="E181" s="305"/>
      <c r="F181" s="357" t="s">
        <v>188</v>
      </c>
      <c r="G181" s="357"/>
      <c r="H181" s="335"/>
      <c r="I181" s="335"/>
      <c r="J181" s="335"/>
      <c r="K181" s="335"/>
      <c r="L181" s="336"/>
      <c r="M181" s="336"/>
      <c r="N181" s="336"/>
      <c r="O181" s="336"/>
      <c r="P181" s="336"/>
      <c r="Q181" s="336"/>
      <c r="R181" s="336"/>
      <c r="S181" s="336"/>
      <c r="T181" s="336"/>
      <c r="U181" s="336"/>
      <c r="V181" s="336"/>
      <c r="W181" s="336"/>
      <c r="X181" s="336"/>
      <c r="Y181" s="306"/>
      <c r="Z181" s="306"/>
      <c r="AA181" s="297"/>
    </row>
    <row r="182" spans="1:27" s="277" customFormat="1" ht="22.5" customHeight="1">
      <c r="A182" s="293" t="s">
        <v>275</v>
      </c>
      <c r="B182" s="294">
        <v>0.27083333333333331</v>
      </c>
      <c r="C182" s="294">
        <v>0.62847222222222221</v>
      </c>
      <c r="D182" s="294">
        <v>0.27083333333333331</v>
      </c>
      <c r="E182" s="294">
        <v>0.62847222222222221</v>
      </c>
      <c r="F182" s="295">
        <v>0.25</v>
      </c>
      <c r="G182" s="295">
        <v>0.625</v>
      </c>
      <c r="H182" s="333"/>
      <c r="I182" s="333"/>
      <c r="J182" s="333"/>
      <c r="K182" s="333"/>
      <c r="L182" s="334">
        <v>1</v>
      </c>
      <c r="M182" s="334">
        <f>30/60</f>
        <v>0.5</v>
      </c>
      <c r="N182" s="334"/>
      <c r="O182" s="334"/>
      <c r="P182" s="334"/>
      <c r="Q182" s="334"/>
      <c r="R182" s="334"/>
      <c r="S182" s="334"/>
      <c r="T182" s="334"/>
      <c r="U182" s="334"/>
      <c r="V182" s="334"/>
      <c r="W182" s="334"/>
      <c r="X182" s="334"/>
      <c r="Y182" s="296">
        <v>0.33333333333333331</v>
      </c>
      <c r="Z182" s="296">
        <v>0.70833333333333337</v>
      </c>
      <c r="AA182" s="293" t="s">
        <v>288</v>
      </c>
    </row>
    <row r="183" spans="1:27" s="277" customFormat="1" ht="22.5" customHeight="1">
      <c r="A183" s="297" t="s">
        <v>276</v>
      </c>
      <c r="B183" s="298">
        <v>0.2638888888888889</v>
      </c>
      <c r="C183" s="298">
        <v>0.62916666666666665</v>
      </c>
      <c r="D183" s="298">
        <v>0.2638888888888889</v>
      </c>
      <c r="E183" s="298">
        <v>0.62916666666666665</v>
      </c>
      <c r="F183" s="299">
        <v>0.25</v>
      </c>
      <c r="G183" s="299">
        <v>0.625</v>
      </c>
      <c r="H183" s="335"/>
      <c r="I183" s="335"/>
      <c r="J183" s="335"/>
      <c r="K183" s="335"/>
      <c r="L183" s="336">
        <v>1</v>
      </c>
      <c r="M183" s="336">
        <f>20/60</f>
        <v>0.33333333333333331</v>
      </c>
      <c r="N183" s="336"/>
      <c r="O183" s="336"/>
      <c r="P183" s="336"/>
      <c r="Q183" s="336"/>
      <c r="R183" s="336"/>
      <c r="S183" s="336"/>
      <c r="T183" s="336"/>
      <c r="U183" s="336"/>
      <c r="V183" s="336"/>
      <c r="W183" s="336"/>
      <c r="X183" s="336"/>
      <c r="Y183" s="300">
        <v>0.33333333333333331</v>
      </c>
      <c r="Z183" s="300">
        <v>0.70833333333333337</v>
      </c>
      <c r="AA183" s="297" t="s">
        <v>300</v>
      </c>
    </row>
    <row r="184" spans="1:27" s="277" customFormat="1" ht="22.5" customHeight="1">
      <c r="A184" s="293" t="s">
        <v>277</v>
      </c>
      <c r="B184" s="294">
        <v>0.25486111111111109</v>
      </c>
      <c r="C184" s="294">
        <v>0.62986111111111109</v>
      </c>
      <c r="D184" s="294">
        <v>0.25486111111111109</v>
      </c>
      <c r="E184" s="294">
        <v>0.62986111111111109</v>
      </c>
      <c r="F184" s="295">
        <v>0.25</v>
      </c>
      <c r="G184" s="295">
        <v>0.625</v>
      </c>
      <c r="H184" s="333"/>
      <c r="I184" s="333"/>
      <c r="J184" s="333"/>
      <c r="K184" s="333"/>
      <c r="L184" s="334">
        <v>1</v>
      </c>
      <c r="M184" s="334">
        <f>7/60</f>
        <v>0.11666666666666667</v>
      </c>
      <c r="N184" s="334"/>
      <c r="O184" s="334"/>
      <c r="P184" s="334"/>
      <c r="Q184" s="334"/>
      <c r="R184" s="334"/>
      <c r="S184" s="334"/>
      <c r="T184" s="334"/>
      <c r="U184" s="334"/>
      <c r="V184" s="334"/>
      <c r="W184" s="334"/>
      <c r="X184" s="334"/>
      <c r="Y184" s="296">
        <v>0.33333333333333331</v>
      </c>
      <c r="Z184" s="296">
        <v>0.70833333333333337</v>
      </c>
      <c r="AA184" s="293" t="s">
        <v>272</v>
      </c>
    </row>
    <row r="185" spans="1:27" s="277" customFormat="1" ht="22.5" customHeight="1">
      <c r="A185" s="297" t="s">
        <v>278</v>
      </c>
      <c r="B185" s="298">
        <v>0.26041666666666669</v>
      </c>
      <c r="C185" s="298">
        <v>0.41944444444444445</v>
      </c>
      <c r="D185" s="298">
        <v>0.26041666666666669</v>
      </c>
      <c r="E185" s="298">
        <v>0.41944444444444445</v>
      </c>
      <c r="F185" s="299">
        <v>0.25</v>
      </c>
      <c r="G185" s="299">
        <v>0.9194444444444444</v>
      </c>
      <c r="H185" s="335"/>
      <c r="I185" s="335"/>
      <c r="J185" s="335"/>
      <c r="K185" s="335"/>
      <c r="L185" s="336"/>
      <c r="M185" s="336"/>
      <c r="N185" s="336"/>
      <c r="O185" s="336"/>
      <c r="P185" s="336"/>
      <c r="Q185" s="336"/>
      <c r="R185" s="336"/>
      <c r="S185" s="336"/>
      <c r="T185" s="336"/>
      <c r="U185" s="336"/>
      <c r="V185" s="336"/>
      <c r="W185" s="336"/>
      <c r="X185" s="336"/>
      <c r="Y185" s="300">
        <v>0.33333333333333331</v>
      </c>
      <c r="Z185" s="300">
        <v>0.70833333333333337</v>
      </c>
      <c r="AA185" s="297"/>
    </row>
    <row r="186" spans="1:27" s="277" customFormat="1" ht="22.5" customHeight="1">
      <c r="A186" s="293" t="s">
        <v>278</v>
      </c>
      <c r="B186" s="294">
        <v>0.4381944444444445</v>
      </c>
      <c r="C186" s="294">
        <v>0.62777777777777777</v>
      </c>
      <c r="D186" s="294">
        <v>0.4381944444444445</v>
      </c>
      <c r="E186" s="294">
        <v>0.62777777777777777</v>
      </c>
      <c r="F186" s="295">
        <v>0.96111111111111114</v>
      </c>
      <c r="G186" s="295">
        <v>0.625</v>
      </c>
      <c r="H186" s="333"/>
      <c r="I186" s="333"/>
      <c r="J186" s="333"/>
      <c r="K186" s="333"/>
      <c r="L186" s="334">
        <v>1</v>
      </c>
      <c r="M186" s="334">
        <f>15/60</f>
        <v>0.25</v>
      </c>
      <c r="N186" s="334"/>
      <c r="O186" s="334"/>
      <c r="P186" s="334"/>
      <c r="Q186" s="334"/>
      <c r="R186" s="334"/>
      <c r="S186" s="334"/>
      <c r="T186" s="334"/>
      <c r="U186" s="334"/>
      <c r="V186" s="334"/>
      <c r="W186" s="334"/>
      <c r="X186" s="334">
        <f>(15/60)/8*502</f>
        <v>15.6875</v>
      </c>
      <c r="Y186" s="296">
        <v>0.33333333333333331</v>
      </c>
      <c r="Z186" s="296">
        <v>0.70833333333333337</v>
      </c>
      <c r="AA186" s="293"/>
    </row>
    <row r="187" spans="1:27" s="277" customFormat="1" ht="22.5" customHeight="1">
      <c r="A187" s="293" t="s">
        <v>279</v>
      </c>
      <c r="B187" s="294">
        <v>0.24791666666666667</v>
      </c>
      <c r="C187" s="294">
        <v>0.40972222222222227</v>
      </c>
      <c r="D187" s="294">
        <v>0.24791666666666667</v>
      </c>
      <c r="E187" s="294">
        <v>0.40972222222222227</v>
      </c>
      <c r="F187" s="356"/>
      <c r="G187" s="356"/>
      <c r="H187" s="333"/>
      <c r="I187" s="333"/>
      <c r="J187" s="333"/>
      <c r="K187" s="333"/>
      <c r="L187" s="334"/>
      <c r="M187" s="334"/>
      <c r="N187" s="334"/>
      <c r="O187" s="334"/>
      <c r="P187" s="334"/>
      <c r="Q187" s="334"/>
      <c r="R187" s="334"/>
      <c r="S187" s="334"/>
      <c r="T187" s="334"/>
      <c r="U187" s="334"/>
      <c r="V187" s="334"/>
      <c r="W187" s="334"/>
      <c r="X187" s="334"/>
      <c r="Y187" s="296">
        <v>0.33333333333333331</v>
      </c>
      <c r="Z187" s="296">
        <v>0.70833333333333337</v>
      </c>
      <c r="AA187" s="293"/>
    </row>
    <row r="188" spans="1:27" s="277" customFormat="1" ht="22.5" customHeight="1">
      <c r="A188" s="297" t="s">
        <v>279</v>
      </c>
      <c r="B188" s="298">
        <v>0.43541666666666662</v>
      </c>
      <c r="C188" s="298">
        <v>0.65208333333333335</v>
      </c>
      <c r="D188" s="298">
        <v>0.43541666666666662</v>
      </c>
      <c r="E188" s="298">
        <v>0.65208333333333335</v>
      </c>
      <c r="F188" s="424" t="s">
        <v>294</v>
      </c>
      <c r="G188" s="357"/>
      <c r="H188" s="335"/>
      <c r="I188" s="335"/>
      <c r="J188" s="335"/>
      <c r="K188" s="335"/>
      <c r="L188" s="336">
        <v>1</v>
      </c>
      <c r="M188" s="336"/>
      <c r="N188" s="336"/>
      <c r="O188" s="336"/>
      <c r="P188" s="336"/>
      <c r="Q188" s="336"/>
      <c r="R188" s="336"/>
      <c r="S188" s="336"/>
      <c r="T188" s="336"/>
      <c r="U188" s="336"/>
      <c r="V188" s="336"/>
      <c r="W188" s="336"/>
      <c r="X188" s="336"/>
      <c r="Y188" s="300">
        <v>0.33333333333333331</v>
      </c>
      <c r="Z188" s="300">
        <v>0.70833333333333337</v>
      </c>
      <c r="AA188" s="297"/>
    </row>
    <row r="189" spans="1:27" s="277" customFormat="1" ht="22.5" customHeight="1">
      <c r="A189" s="297" t="s">
        <v>281</v>
      </c>
      <c r="B189" s="304"/>
      <c r="C189" s="304"/>
      <c r="D189" s="305"/>
      <c r="E189" s="305"/>
      <c r="F189" s="357" t="s">
        <v>188</v>
      </c>
      <c r="G189" s="357"/>
      <c r="H189" s="335"/>
      <c r="I189" s="335"/>
      <c r="J189" s="335"/>
      <c r="K189" s="335"/>
      <c r="L189" s="336"/>
      <c r="M189" s="336"/>
      <c r="N189" s="336"/>
      <c r="O189" s="336"/>
      <c r="P189" s="336"/>
      <c r="Q189" s="336"/>
      <c r="R189" s="336"/>
      <c r="S189" s="336"/>
      <c r="T189" s="336"/>
      <c r="U189" s="336"/>
      <c r="V189" s="336"/>
      <c r="W189" s="336"/>
      <c r="X189" s="336"/>
      <c r="Y189" s="306"/>
      <c r="Z189" s="306"/>
      <c r="AA189" s="297"/>
    </row>
    <row r="190" spans="1:27" s="277" customFormat="1" ht="22.5" customHeight="1">
      <c r="A190" s="293" t="s">
        <v>282</v>
      </c>
      <c r="B190" s="301"/>
      <c r="C190" s="301"/>
      <c r="D190" s="302"/>
      <c r="E190" s="302"/>
      <c r="F190" s="356" t="s">
        <v>188</v>
      </c>
      <c r="G190" s="356"/>
      <c r="H190" s="333"/>
      <c r="I190" s="333"/>
      <c r="J190" s="333"/>
      <c r="K190" s="333"/>
      <c r="L190" s="334"/>
      <c r="M190" s="334"/>
      <c r="N190" s="334"/>
      <c r="O190" s="334"/>
      <c r="P190" s="334"/>
      <c r="Q190" s="334"/>
      <c r="R190" s="334"/>
      <c r="S190" s="334"/>
      <c r="T190" s="334"/>
      <c r="U190" s="334"/>
      <c r="V190" s="334"/>
      <c r="W190" s="334"/>
      <c r="X190" s="334"/>
      <c r="Y190" s="303"/>
      <c r="Z190" s="303"/>
      <c r="AA190" s="293"/>
    </row>
    <row r="191" spans="1:27" s="277" customFormat="1" ht="22.5" customHeight="1">
      <c r="A191" s="307" t="s">
        <v>3</v>
      </c>
      <c r="B191" s="307"/>
      <c r="C191" s="307"/>
      <c r="D191" s="307"/>
      <c r="E191" s="307"/>
      <c r="F191" s="307"/>
      <c r="G191" s="307"/>
      <c r="H191" s="337">
        <f>SUM(H167:H190)</f>
        <v>0</v>
      </c>
      <c r="I191" s="337">
        <f t="shared" ref="I191:X191" si="6">SUM(I167:I190)</f>
        <v>0</v>
      </c>
      <c r="J191" s="337">
        <f t="shared" si="6"/>
        <v>0</v>
      </c>
      <c r="K191" s="337">
        <f t="shared" si="6"/>
        <v>0</v>
      </c>
      <c r="L191" s="337">
        <f t="shared" si="6"/>
        <v>11</v>
      </c>
      <c r="M191" s="337">
        <f t="shared" si="6"/>
        <v>1.2</v>
      </c>
      <c r="N191" s="337">
        <f t="shared" si="6"/>
        <v>0</v>
      </c>
      <c r="O191" s="337">
        <f t="shared" si="6"/>
        <v>0</v>
      </c>
      <c r="P191" s="337">
        <f t="shared" si="6"/>
        <v>0</v>
      </c>
      <c r="Q191" s="337">
        <f t="shared" si="6"/>
        <v>0</v>
      </c>
      <c r="R191" s="337">
        <f t="shared" si="6"/>
        <v>0</v>
      </c>
      <c r="S191" s="337">
        <f t="shared" si="6"/>
        <v>7.5</v>
      </c>
      <c r="T191" s="337">
        <f t="shared" si="6"/>
        <v>0</v>
      </c>
      <c r="U191" s="337">
        <f t="shared" si="6"/>
        <v>0</v>
      </c>
      <c r="V191" s="337">
        <f t="shared" si="6"/>
        <v>0</v>
      </c>
      <c r="W191" s="337">
        <f t="shared" si="6"/>
        <v>0</v>
      </c>
      <c r="X191" s="337">
        <f t="shared" si="6"/>
        <v>15.6875</v>
      </c>
      <c r="Y191" s="285"/>
      <c r="Z191" s="285"/>
      <c r="AA191" s="307"/>
    </row>
    <row r="192" spans="1:27" s="277" customFormat="1" ht="22.5" customHeight="1" thickBot="1">
      <c r="H192" s="338"/>
      <c r="I192" s="338"/>
      <c r="J192" s="338"/>
      <c r="K192" s="338"/>
      <c r="L192" s="339"/>
      <c r="M192" s="339"/>
      <c r="N192" s="339"/>
      <c r="O192" s="339"/>
      <c r="P192" s="339"/>
      <c r="Q192" s="339"/>
      <c r="R192" s="339"/>
      <c r="S192" s="339"/>
      <c r="T192" s="339"/>
      <c r="U192" s="339"/>
      <c r="V192" s="339"/>
      <c r="W192" s="339"/>
      <c r="X192" s="339"/>
      <c r="Y192" s="308"/>
      <c r="Z192" s="308"/>
    </row>
    <row r="193" spans="1:27" s="277" customFormat="1" ht="22.5" customHeight="1" thickBot="1">
      <c r="A193" s="290" t="s">
        <v>177</v>
      </c>
      <c r="B193" s="291" t="s">
        <v>240</v>
      </c>
      <c r="C193" s="291"/>
      <c r="D193" s="291"/>
      <c r="E193" s="291"/>
      <c r="F193" s="291"/>
      <c r="G193" s="291"/>
      <c r="H193" s="344" t="s">
        <v>91</v>
      </c>
      <c r="I193" s="345"/>
      <c r="J193" s="345"/>
      <c r="K193" s="346"/>
      <c r="L193" s="347" t="s">
        <v>90</v>
      </c>
      <c r="M193" s="349" t="s">
        <v>165</v>
      </c>
      <c r="N193" s="349" t="s">
        <v>166</v>
      </c>
      <c r="O193" s="351" t="s">
        <v>167</v>
      </c>
      <c r="P193" s="352"/>
      <c r="Q193" s="353"/>
      <c r="R193" s="349" t="s">
        <v>168</v>
      </c>
      <c r="S193" s="351" t="s">
        <v>19</v>
      </c>
      <c r="T193" s="352"/>
      <c r="U193" s="353"/>
      <c r="V193" s="349" t="s">
        <v>126</v>
      </c>
      <c r="W193" s="349" t="s">
        <v>127</v>
      </c>
      <c r="X193" s="354" t="s">
        <v>105</v>
      </c>
      <c r="Y193" s="285" t="s">
        <v>169</v>
      </c>
      <c r="Z193" s="285"/>
      <c r="AA193" s="307" t="s">
        <v>170</v>
      </c>
    </row>
    <row r="194" spans="1:27" s="277" customFormat="1" ht="22.5" customHeight="1" thickBot="1">
      <c r="A194" s="290" t="s">
        <v>179</v>
      </c>
      <c r="B194" s="291" t="s">
        <v>241</v>
      </c>
      <c r="C194" s="291"/>
      <c r="D194" s="291"/>
      <c r="E194" s="291"/>
      <c r="F194" s="291"/>
      <c r="G194" s="291"/>
      <c r="H194" s="286" t="s">
        <v>173</v>
      </c>
      <c r="I194" s="286" t="s">
        <v>93</v>
      </c>
      <c r="J194" s="286" t="s">
        <v>94</v>
      </c>
      <c r="K194" s="287" t="s">
        <v>174</v>
      </c>
      <c r="L194" s="348"/>
      <c r="M194" s="350"/>
      <c r="N194" s="350"/>
      <c r="O194" s="288" t="s">
        <v>175</v>
      </c>
      <c r="P194" s="288" t="s">
        <v>176</v>
      </c>
      <c r="Q194" s="330" t="s">
        <v>127</v>
      </c>
      <c r="R194" s="350"/>
      <c r="S194" s="288" t="s">
        <v>175</v>
      </c>
      <c r="T194" s="288" t="s">
        <v>176</v>
      </c>
      <c r="U194" s="330" t="s">
        <v>127</v>
      </c>
      <c r="V194" s="350"/>
      <c r="W194" s="350"/>
      <c r="X194" s="355"/>
      <c r="Y194" s="285" t="s">
        <v>171</v>
      </c>
      <c r="Z194" s="285" t="s">
        <v>172</v>
      </c>
      <c r="AA194" s="307"/>
    </row>
    <row r="195" spans="1:27" s="277" customFormat="1" ht="22.5" customHeight="1">
      <c r="A195" s="293" t="s">
        <v>265</v>
      </c>
      <c r="B195" s="301"/>
      <c r="C195" s="301"/>
      <c r="D195" s="302"/>
      <c r="E195" s="302"/>
      <c r="F195" s="356" t="s">
        <v>188</v>
      </c>
      <c r="G195" s="356"/>
      <c r="H195" s="333"/>
      <c r="I195" s="333"/>
      <c r="J195" s="333"/>
      <c r="K195" s="333"/>
      <c r="L195" s="334"/>
      <c r="M195" s="334"/>
      <c r="N195" s="334"/>
      <c r="O195" s="334"/>
      <c r="P195" s="334"/>
      <c r="Q195" s="334"/>
      <c r="R195" s="334"/>
      <c r="S195" s="334"/>
      <c r="T195" s="334"/>
      <c r="U195" s="334"/>
      <c r="V195" s="334"/>
      <c r="W195" s="334"/>
      <c r="X195" s="334"/>
      <c r="Y195" s="303"/>
      <c r="Z195" s="303"/>
      <c r="AA195" s="293"/>
    </row>
    <row r="196" spans="1:27" s="277" customFormat="1" ht="22.5" customHeight="1">
      <c r="A196" s="297" t="s">
        <v>266</v>
      </c>
      <c r="B196" s="298">
        <v>0.4548611111111111</v>
      </c>
      <c r="C196" s="298">
        <v>0.63611111111111118</v>
      </c>
      <c r="D196" s="298">
        <v>0.4548611111111111</v>
      </c>
      <c r="E196" s="298">
        <v>0.63611111111111118</v>
      </c>
      <c r="F196" s="299">
        <v>0.47916666666666669</v>
      </c>
      <c r="G196" s="299">
        <v>0.63611111111111118</v>
      </c>
      <c r="H196" s="335"/>
      <c r="I196" s="335"/>
      <c r="J196" s="335"/>
      <c r="K196" s="335"/>
      <c r="L196" s="336"/>
      <c r="M196" s="336"/>
      <c r="N196" s="336"/>
      <c r="O196" s="336"/>
      <c r="P196" s="336"/>
      <c r="Q196" s="336"/>
      <c r="R196" s="336"/>
      <c r="S196" s="336"/>
      <c r="T196" s="336"/>
      <c r="U196" s="336"/>
      <c r="V196" s="336"/>
      <c r="W196" s="336"/>
      <c r="X196" s="336"/>
      <c r="Y196" s="300">
        <v>0.33333333333333331</v>
      </c>
      <c r="Z196" s="300">
        <v>0.70833333333333337</v>
      </c>
      <c r="AA196" s="297"/>
    </row>
    <row r="197" spans="1:27" s="277" customFormat="1" ht="22.5" customHeight="1">
      <c r="A197" s="293" t="s">
        <v>266</v>
      </c>
      <c r="B197" s="294">
        <v>0.74861111111111101</v>
      </c>
      <c r="C197" s="294">
        <v>0.97916666666666663</v>
      </c>
      <c r="D197" s="294">
        <v>0.74861111111111101</v>
      </c>
      <c r="E197" s="294">
        <v>0.97916666666666663</v>
      </c>
      <c r="F197" s="295">
        <v>0.8027777777777777</v>
      </c>
      <c r="G197" s="295">
        <v>0.97916666666666663</v>
      </c>
      <c r="H197" s="333"/>
      <c r="I197" s="333"/>
      <c r="J197" s="333"/>
      <c r="K197" s="333"/>
      <c r="L197" s="334">
        <v>1</v>
      </c>
      <c r="M197" s="334"/>
      <c r="N197" s="334"/>
      <c r="O197" s="334"/>
      <c r="P197" s="334"/>
      <c r="Q197" s="334"/>
      <c r="R197" s="334"/>
      <c r="S197" s="334">
        <v>1.5</v>
      </c>
      <c r="T197" s="334"/>
      <c r="U197" s="334"/>
      <c r="V197" s="334"/>
      <c r="W197" s="334"/>
      <c r="X197" s="334"/>
      <c r="Y197" s="296">
        <v>0.33333333333333331</v>
      </c>
      <c r="Z197" s="296">
        <v>0.70833333333333337</v>
      </c>
      <c r="AA197" s="293"/>
    </row>
    <row r="198" spans="1:27" s="277" customFormat="1" ht="22.5" customHeight="1">
      <c r="A198" s="297" t="s">
        <v>267</v>
      </c>
      <c r="B198" s="298">
        <v>0.45347222222222222</v>
      </c>
      <c r="C198" s="298">
        <v>0.62430555555555556</v>
      </c>
      <c r="D198" s="298">
        <v>0.45347222222222222</v>
      </c>
      <c r="E198" s="298">
        <v>0.62430555555555556</v>
      </c>
      <c r="F198" s="299">
        <v>0.47916666666666669</v>
      </c>
      <c r="G198" s="299">
        <v>0.62430555555555556</v>
      </c>
      <c r="H198" s="335"/>
      <c r="I198" s="335"/>
      <c r="J198" s="335"/>
      <c r="K198" s="335"/>
      <c r="L198" s="336"/>
      <c r="M198" s="336"/>
      <c r="N198" s="336"/>
      <c r="O198" s="336"/>
      <c r="P198" s="336"/>
      <c r="Q198" s="336"/>
      <c r="R198" s="336"/>
      <c r="S198" s="336"/>
      <c r="T198" s="336"/>
      <c r="U198" s="336"/>
      <c r="V198" s="336"/>
      <c r="W198" s="336"/>
      <c r="X198" s="336"/>
      <c r="Y198" s="300">
        <v>0.33333333333333331</v>
      </c>
      <c r="Z198" s="300">
        <v>0.70833333333333337</v>
      </c>
      <c r="AA198" s="297"/>
    </row>
    <row r="199" spans="1:27" s="277" customFormat="1" ht="22.5" customHeight="1">
      <c r="A199" s="293" t="s">
        <v>267</v>
      </c>
      <c r="B199" s="294">
        <v>0.74930555555555556</v>
      </c>
      <c r="C199" s="294">
        <v>0.97986111111111107</v>
      </c>
      <c r="D199" s="294">
        <v>0.74930555555555556</v>
      </c>
      <c r="E199" s="294">
        <v>0.97986111111111107</v>
      </c>
      <c r="F199" s="295">
        <v>0.7909722222222223</v>
      </c>
      <c r="G199" s="295">
        <v>0.97916666666666663</v>
      </c>
      <c r="H199" s="333"/>
      <c r="I199" s="333"/>
      <c r="J199" s="333"/>
      <c r="K199" s="333"/>
      <c r="L199" s="334">
        <v>1</v>
      </c>
      <c r="M199" s="334"/>
      <c r="N199" s="334"/>
      <c r="O199" s="334"/>
      <c r="P199" s="334"/>
      <c r="Q199" s="334"/>
      <c r="R199" s="334"/>
      <c r="S199" s="334">
        <v>1.5</v>
      </c>
      <c r="T199" s="334"/>
      <c r="U199" s="334"/>
      <c r="V199" s="334"/>
      <c r="W199" s="334"/>
      <c r="X199" s="334"/>
      <c r="Y199" s="296">
        <v>0.33333333333333331</v>
      </c>
      <c r="Z199" s="296">
        <v>0.70833333333333337</v>
      </c>
      <c r="AA199" s="293"/>
    </row>
    <row r="200" spans="1:27" s="277" customFormat="1" ht="22.5" customHeight="1">
      <c r="A200" s="297" t="s">
        <v>269</v>
      </c>
      <c r="B200" s="298">
        <v>0.45</v>
      </c>
      <c r="C200" s="298">
        <v>0.62708333333333333</v>
      </c>
      <c r="D200" s="298">
        <v>0.45</v>
      </c>
      <c r="E200" s="298">
        <v>0.62708333333333333</v>
      </c>
      <c r="F200" s="299">
        <v>0.47916666666666669</v>
      </c>
      <c r="G200" s="299">
        <v>0.62708333333333333</v>
      </c>
      <c r="H200" s="335"/>
      <c r="I200" s="335"/>
      <c r="J200" s="335"/>
      <c r="K200" s="335"/>
      <c r="L200" s="336"/>
      <c r="M200" s="336"/>
      <c r="N200" s="336"/>
      <c r="O200" s="336"/>
      <c r="P200" s="336"/>
      <c r="Q200" s="336"/>
      <c r="R200" s="336"/>
      <c r="S200" s="336"/>
      <c r="T200" s="336"/>
      <c r="U200" s="336"/>
      <c r="V200" s="336"/>
      <c r="W200" s="336"/>
      <c r="X200" s="336"/>
      <c r="Y200" s="300">
        <v>0.33333333333333331</v>
      </c>
      <c r="Z200" s="300">
        <v>0.70833333333333337</v>
      </c>
      <c r="AA200" s="297"/>
    </row>
    <row r="201" spans="1:27" s="277" customFormat="1" ht="22.5" customHeight="1">
      <c r="A201" s="293" t="s">
        <v>269</v>
      </c>
      <c r="B201" s="294">
        <v>0.74583333333333324</v>
      </c>
      <c r="C201" s="294">
        <v>0.97986111111111107</v>
      </c>
      <c r="D201" s="294">
        <v>0.74583333333333324</v>
      </c>
      <c r="E201" s="294">
        <v>0.97986111111111107</v>
      </c>
      <c r="F201" s="295">
        <v>0.79375000000000007</v>
      </c>
      <c r="G201" s="295">
        <v>0.97916666666666663</v>
      </c>
      <c r="H201" s="333"/>
      <c r="I201" s="333"/>
      <c r="J201" s="333"/>
      <c r="K201" s="333"/>
      <c r="L201" s="334">
        <v>1</v>
      </c>
      <c r="M201" s="334"/>
      <c r="N201" s="334"/>
      <c r="O201" s="334"/>
      <c r="P201" s="334"/>
      <c r="Q201" s="334"/>
      <c r="R201" s="334"/>
      <c r="S201" s="334">
        <v>1.5</v>
      </c>
      <c r="T201" s="334"/>
      <c r="U201" s="334"/>
      <c r="V201" s="334"/>
      <c r="W201" s="334"/>
      <c r="X201" s="334"/>
      <c r="Y201" s="296">
        <v>0.33333333333333331</v>
      </c>
      <c r="Z201" s="296">
        <v>0.70833333333333337</v>
      </c>
      <c r="AA201" s="293"/>
    </row>
    <row r="202" spans="1:27" s="277" customFormat="1" ht="22.5" customHeight="1">
      <c r="A202" s="293" t="s">
        <v>270</v>
      </c>
      <c r="B202" s="294">
        <v>0.4597222222222222</v>
      </c>
      <c r="C202" s="294">
        <v>0.63472222222222219</v>
      </c>
      <c r="D202" s="294">
        <v>0.4597222222222222</v>
      </c>
      <c r="E202" s="294">
        <v>0.63472222222222219</v>
      </c>
      <c r="F202" s="295">
        <v>0.47916666666666669</v>
      </c>
      <c r="G202" s="295">
        <v>0.63472222222222219</v>
      </c>
      <c r="H202" s="333"/>
      <c r="I202" s="333"/>
      <c r="J202" s="333"/>
      <c r="K202" s="333"/>
      <c r="L202" s="334"/>
      <c r="M202" s="334"/>
      <c r="N202" s="334"/>
      <c r="O202" s="334"/>
      <c r="P202" s="334"/>
      <c r="Q202" s="334"/>
      <c r="R202" s="334"/>
      <c r="S202" s="334"/>
      <c r="T202" s="334"/>
      <c r="U202" s="334"/>
      <c r="V202" s="334"/>
      <c r="W202" s="334"/>
      <c r="X202" s="334"/>
      <c r="Y202" s="296">
        <v>0.33333333333333331</v>
      </c>
      <c r="Z202" s="296">
        <v>0.70833333333333337</v>
      </c>
      <c r="AA202" s="293"/>
    </row>
    <row r="203" spans="1:27" s="277" customFormat="1" ht="22.5" customHeight="1">
      <c r="A203" s="297" t="s">
        <v>270</v>
      </c>
      <c r="B203" s="298">
        <v>0.7416666666666667</v>
      </c>
      <c r="C203" s="298">
        <v>0.97916666666666663</v>
      </c>
      <c r="D203" s="298">
        <v>0.7416666666666667</v>
      </c>
      <c r="E203" s="298">
        <v>0.97916666666666663</v>
      </c>
      <c r="F203" s="299">
        <v>0.80138888888888893</v>
      </c>
      <c r="G203" s="299">
        <v>0.97916666666666663</v>
      </c>
      <c r="H203" s="335"/>
      <c r="I203" s="335"/>
      <c r="J203" s="335"/>
      <c r="K203" s="335"/>
      <c r="L203" s="336">
        <v>1</v>
      </c>
      <c r="M203" s="336"/>
      <c r="N203" s="336"/>
      <c r="O203" s="336"/>
      <c r="P203" s="336"/>
      <c r="Q203" s="336"/>
      <c r="R203" s="336"/>
      <c r="S203" s="336">
        <v>1.5</v>
      </c>
      <c r="T203" s="336"/>
      <c r="U203" s="336"/>
      <c r="V203" s="336"/>
      <c r="W203" s="336"/>
      <c r="X203" s="336"/>
      <c r="Y203" s="300">
        <v>0.33333333333333331</v>
      </c>
      <c r="Z203" s="300">
        <v>0.70833333333333337</v>
      </c>
      <c r="AA203" s="297"/>
    </row>
    <row r="204" spans="1:27" s="277" customFormat="1" ht="22.5" customHeight="1">
      <c r="A204" s="293" t="s">
        <v>271</v>
      </c>
      <c r="B204" s="294">
        <v>0.44930555555555557</v>
      </c>
      <c r="C204" s="294">
        <v>0.63194444444444442</v>
      </c>
      <c r="D204" s="294">
        <v>0.44930555555555557</v>
      </c>
      <c r="E204" s="294">
        <v>0.63194444444444442</v>
      </c>
      <c r="F204" s="295">
        <v>0.47916666666666669</v>
      </c>
      <c r="G204" s="295">
        <v>0.63194444444444442</v>
      </c>
      <c r="H204" s="333"/>
      <c r="I204" s="333"/>
      <c r="J204" s="333"/>
      <c r="K204" s="333"/>
      <c r="L204" s="334"/>
      <c r="M204" s="334"/>
      <c r="N204" s="334"/>
      <c r="O204" s="334"/>
      <c r="P204" s="334"/>
      <c r="Q204" s="334"/>
      <c r="R204" s="334"/>
      <c r="S204" s="334"/>
      <c r="T204" s="334"/>
      <c r="U204" s="334"/>
      <c r="V204" s="334"/>
      <c r="W204" s="334"/>
      <c r="X204" s="334"/>
      <c r="Y204" s="296">
        <v>0.33333333333333331</v>
      </c>
      <c r="Z204" s="296">
        <v>0.70833333333333337</v>
      </c>
      <c r="AA204" s="293"/>
    </row>
    <row r="205" spans="1:27" s="277" customFormat="1" ht="22.5" customHeight="1">
      <c r="A205" s="297" t="s">
        <v>271</v>
      </c>
      <c r="B205" s="298">
        <v>0.74791666666666667</v>
      </c>
      <c r="C205" s="298">
        <v>0.97916666666666663</v>
      </c>
      <c r="D205" s="298">
        <v>0.74791666666666667</v>
      </c>
      <c r="E205" s="298">
        <v>0.97916666666666663</v>
      </c>
      <c r="F205" s="299">
        <v>0.79861111111111116</v>
      </c>
      <c r="G205" s="299">
        <v>0.97916666666666663</v>
      </c>
      <c r="H205" s="335"/>
      <c r="I205" s="335"/>
      <c r="J205" s="335"/>
      <c r="K205" s="335"/>
      <c r="L205" s="336">
        <v>1</v>
      </c>
      <c r="M205" s="336"/>
      <c r="N205" s="336"/>
      <c r="O205" s="336"/>
      <c r="P205" s="336"/>
      <c r="Q205" s="336"/>
      <c r="R205" s="336"/>
      <c r="S205" s="336">
        <v>1.5</v>
      </c>
      <c r="T205" s="336"/>
      <c r="U205" s="336"/>
      <c r="V205" s="336"/>
      <c r="W205" s="336"/>
      <c r="X205" s="336"/>
      <c r="Y205" s="300">
        <v>0.33333333333333331</v>
      </c>
      <c r="Z205" s="300">
        <v>0.70833333333333337</v>
      </c>
      <c r="AA205" s="297"/>
    </row>
    <row r="206" spans="1:27" s="277" customFormat="1" ht="22.5" customHeight="1">
      <c r="A206" s="297" t="s">
        <v>273</v>
      </c>
      <c r="B206" s="304"/>
      <c r="C206" s="304"/>
      <c r="D206" s="305"/>
      <c r="E206" s="305"/>
      <c r="F206" s="357" t="s">
        <v>188</v>
      </c>
      <c r="G206" s="357"/>
      <c r="H206" s="335"/>
      <c r="I206" s="335"/>
      <c r="J206" s="335"/>
      <c r="K206" s="335"/>
      <c r="L206" s="336"/>
      <c r="M206" s="336"/>
      <c r="N206" s="336"/>
      <c r="O206" s="336"/>
      <c r="P206" s="336"/>
      <c r="Q206" s="336"/>
      <c r="R206" s="336"/>
      <c r="S206" s="336"/>
      <c r="T206" s="336"/>
      <c r="U206" s="336"/>
      <c r="V206" s="336"/>
      <c r="W206" s="336"/>
      <c r="X206" s="336"/>
      <c r="Y206" s="306"/>
      <c r="Z206" s="306"/>
      <c r="AA206" s="297"/>
    </row>
    <row r="207" spans="1:27" s="277" customFormat="1" ht="22.5" customHeight="1">
      <c r="A207" s="293" t="s">
        <v>274</v>
      </c>
      <c r="B207" s="301"/>
      <c r="C207" s="301"/>
      <c r="D207" s="302"/>
      <c r="E207" s="302"/>
      <c r="F207" s="356" t="s">
        <v>188</v>
      </c>
      <c r="G207" s="356"/>
      <c r="H207" s="333"/>
      <c r="I207" s="333"/>
      <c r="J207" s="333"/>
      <c r="K207" s="333"/>
      <c r="L207" s="334"/>
      <c r="M207" s="334"/>
      <c r="N207" s="334"/>
      <c r="O207" s="334"/>
      <c r="P207" s="334"/>
      <c r="Q207" s="334"/>
      <c r="R207" s="334"/>
      <c r="S207" s="334"/>
      <c r="T207" s="334"/>
      <c r="U207" s="334"/>
      <c r="V207" s="334"/>
      <c r="W207" s="334"/>
      <c r="X207" s="334"/>
      <c r="Y207" s="303"/>
      <c r="Z207" s="303"/>
      <c r="AA207" s="293"/>
    </row>
    <row r="208" spans="1:27" s="277" customFormat="1" ht="22.5" customHeight="1">
      <c r="A208" s="297" t="s">
        <v>275</v>
      </c>
      <c r="B208" s="298">
        <v>0.37916666666666665</v>
      </c>
      <c r="C208" s="298">
        <v>0.6</v>
      </c>
      <c r="D208" s="298">
        <v>0.37916666666666665</v>
      </c>
      <c r="E208" s="298">
        <v>0.6</v>
      </c>
      <c r="F208" s="299">
        <v>0.41666666666666669</v>
      </c>
      <c r="G208" s="299">
        <v>0.6</v>
      </c>
      <c r="H208" s="335"/>
      <c r="I208" s="335"/>
      <c r="J208" s="335"/>
      <c r="K208" s="335"/>
      <c r="L208" s="336"/>
      <c r="M208" s="336"/>
      <c r="N208" s="336"/>
      <c r="O208" s="336"/>
      <c r="P208" s="336"/>
      <c r="Q208" s="336"/>
      <c r="R208" s="336"/>
      <c r="S208" s="336"/>
      <c r="T208" s="336"/>
      <c r="U208" s="336"/>
      <c r="V208" s="336"/>
      <c r="W208" s="336"/>
      <c r="X208" s="336"/>
      <c r="Y208" s="300">
        <v>0.33333333333333331</v>
      </c>
      <c r="Z208" s="300">
        <v>0.70833333333333337</v>
      </c>
      <c r="AA208" s="297"/>
    </row>
    <row r="209" spans="1:27" s="277" customFormat="1" ht="22.5" customHeight="1">
      <c r="A209" s="293" t="s">
        <v>275</v>
      </c>
      <c r="B209" s="294">
        <v>0.625</v>
      </c>
      <c r="C209" s="294">
        <v>0.79583333333333339</v>
      </c>
      <c r="D209" s="294">
        <v>0.625</v>
      </c>
      <c r="E209" s="294">
        <v>0.79583333333333339</v>
      </c>
      <c r="F209" s="295">
        <v>0.64166666666666672</v>
      </c>
      <c r="G209" s="295">
        <v>0.79166666666666663</v>
      </c>
      <c r="H209" s="333"/>
      <c r="I209" s="333"/>
      <c r="J209" s="333"/>
      <c r="K209" s="333"/>
      <c r="L209" s="334">
        <v>1</v>
      </c>
      <c r="M209" s="334"/>
      <c r="N209" s="334"/>
      <c r="O209" s="334"/>
      <c r="P209" s="334"/>
      <c r="Q209" s="334"/>
      <c r="R209" s="334"/>
      <c r="S209" s="334"/>
      <c r="T209" s="334"/>
      <c r="U209" s="334"/>
      <c r="V209" s="334"/>
      <c r="W209" s="334"/>
      <c r="X209" s="334"/>
      <c r="Y209" s="296">
        <v>0.33333333333333331</v>
      </c>
      <c r="Z209" s="296">
        <v>0.70833333333333337</v>
      </c>
      <c r="AA209" s="293"/>
    </row>
    <row r="210" spans="1:27" s="277" customFormat="1" ht="22.5" customHeight="1">
      <c r="A210" s="297" t="s">
        <v>276</v>
      </c>
      <c r="B210" s="298">
        <v>0.37013888888888885</v>
      </c>
      <c r="C210" s="298">
        <v>0.58750000000000002</v>
      </c>
      <c r="D210" s="298">
        <v>0.37013888888888885</v>
      </c>
      <c r="E210" s="298">
        <v>0.58750000000000002</v>
      </c>
      <c r="F210" s="299">
        <v>0.41666666666666669</v>
      </c>
      <c r="G210" s="299">
        <v>0.58750000000000002</v>
      </c>
      <c r="H210" s="335"/>
      <c r="I210" s="335"/>
      <c r="J210" s="335"/>
      <c r="K210" s="335"/>
      <c r="L210" s="336"/>
      <c r="M210" s="336"/>
      <c r="N210" s="336"/>
      <c r="O210" s="336"/>
      <c r="P210" s="336"/>
      <c r="Q210" s="336"/>
      <c r="R210" s="336"/>
      <c r="S210" s="336"/>
      <c r="T210" s="336"/>
      <c r="U210" s="336"/>
      <c r="V210" s="336"/>
      <c r="W210" s="336"/>
      <c r="X210" s="336"/>
      <c r="Y210" s="300">
        <v>0.33333333333333331</v>
      </c>
      <c r="Z210" s="300">
        <v>0.70833333333333337</v>
      </c>
      <c r="AA210" s="297"/>
    </row>
    <row r="211" spans="1:27" s="277" customFormat="1" ht="22.5" customHeight="1">
      <c r="A211" s="293" t="s">
        <v>276</v>
      </c>
      <c r="B211" s="294">
        <v>0.60902777777777783</v>
      </c>
      <c r="C211" s="294">
        <v>0.79375000000000007</v>
      </c>
      <c r="D211" s="294">
        <v>0.60902777777777783</v>
      </c>
      <c r="E211" s="294">
        <v>0.79375000000000007</v>
      </c>
      <c r="F211" s="295">
        <v>0.62916666666666665</v>
      </c>
      <c r="G211" s="295">
        <v>0.79166666666666663</v>
      </c>
      <c r="H211" s="333"/>
      <c r="I211" s="333"/>
      <c r="J211" s="333"/>
      <c r="K211" s="333"/>
      <c r="L211" s="334">
        <v>1</v>
      </c>
      <c r="M211" s="334"/>
      <c r="N211" s="334"/>
      <c r="O211" s="334"/>
      <c r="P211" s="334"/>
      <c r="Q211" s="334"/>
      <c r="R211" s="334"/>
      <c r="S211" s="334"/>
      <c r="T211" s="334"/>
      <c r="U211" s="334"/>
      <c r="V211" s="334"/>
      <c r="W211" s="334"/>
      <c r="X211" s="334"/>
      <c r="Y211" s="296">
        <v>0.33333333333333331</v>
      </c>
      <c r="Z211" s="296">
        <v>0.70833333333333337</v>
      </c>
      <c r="AA211" s="293"/>
    </row>
    <row r="212" spans="1:27" s="277" customFormat="1" ht="22.5" customHeight="1">
      <c r="A212" s="293" t="s">
        <v>277</v>
      </c>
      <c r="B212" s="294">
        <v>0.36527777777777781</v>
      </c>
      <c r="C212" s="294">
        <v>0.58888888888888891</v>
      </c>
      <c r="D212" s="294">
        <v>0.36527777777777781</v>
      </c>
      <c r="E212" s="294">
        <v>0.58888888888888891</v>
      </c>
      <c r="F212" s="295">
        <v>0.41666666666666669</v>
      </c>
      <c r="G212" s="295">
        <v>0.58888888888888891</v>
      </c>
      <c r="H212" s="333"/>
      <c r="I212" s="333"/>
      <c r="J212" s="333"/>
      <c r="K212" s="333"/>
      <c r="L212" s="334"/>
      <c r="M212" s="334"/>
      <c r="N212" s="334"/>
      <c r="O212" s="334"/>
      <c r="P212" s="334"/>
      <c r="Q212" s="334"/>
      <c r="R212" s="334"/>
      <c r="S212" s="334"/>
      <c r="T212" s="334"/>
      <c r="U212" s="334"/>
      <c r="V212" s="334"/>
      <c r="W212" s="334"/>
      <c r="X212" s="334"/>
      <c r="Y212" s="296">
        <v>0.33333333333333331</v>
      </c>
      <c r="Z212" s="296">
        <v>0.70833333333333337</v>
      </c>
      <c r="AA212" s="293"/>
    </row>
    <row r="213" spans="1:27" s="277" customFormat="1" ht="22.5" customHeight="1">
      <c r="A213" s="297" t="s">
        <v>277</v>
      </c>
      <c r="B213" s="298">
        <v>0.62430555555555556</v>
      </c>
      <c r="C213" s="298">
        <v>0.79375000000000007</v>
      </c>
      <c r="D213" s="298">
        <v>0.62430555555555556</v>
      </c>
      <c r="E213" s="298">
        <v>0.79375000000000007</v>
      </c>
      <c r="F213" s="299">
        <v>0.63055555555555554</v>
      </c>
      <c r="G213" s="299">
        <v>0.79166666666666663</v>
      </c>
      <c r="H213" s="335"/>
      <c r="I213" s="335"/>
      <c r="J213" s="335"/>
      <c r="K213" s="335"/>
      <c r="L213" s="336">
        <v>1</v>
      </c>
      <c r="M213" s="336"/>
      <c r="N213" s="336"/>
      <c r="O213" s="336"/>
      <c r="P213" s="336"/>
      <c r="Q213" s="336"/>
      <c r="R213" s="336"/>
      <c r="S213" s="336"/>
      <c r="T213" s="336"/>
      <c r="U213" s="336"/>
      <c r="V213" s="336"/>
      <c r="W213" s="336"/>
      <c r="X213" s="336"/>
      <c r="Y213" s="300">
        <v>0.33333333333333331</v>
      </c>
      <c r="Z213" s="300">
        <v>0.70833333333333337</v>
      </c>
      <c r="AA213" s="297"/>
    </row>
    <row r="214" spans="1:27" s="277" customFormat="1" ht="22.5" customHeight="1">
      <c r="A214" s="297" t="s">
        <v>278</v>
      </c>
      <c r="B214" s="298">
        <v>0.3666666666666667</v>
      </c>
      <c r="C214" s="298">
        <v>0.59236111111111112</v>
      </c>
      <c r="D214" s="298">
        <v>0.3666666666666667</v>
      </c>
      <c r="E214" s="298">
        <v>0.59236111111111112</v>
      </c>
      <c r="F214" s="299">
        <v>0.41666666666666669</v>
      </c>
      <c r="G214" s="299">
        <v>0.59236111111111112</v>
      </c>
      <c r="H214" s="335"/>
      <c r="I214" s="335"/>
      <c r="J214" s="335"/>
      <c r="K214" s="335"/>
      <c r="L214" s="336"/>
      <c r="M214" s="336"/>
      <c r="N214" s="336"/>
      <c r="O214" s="336"/>
      <c r="P214" s="336"/>
      <c r="Q214" s="336"/>
      <c r="R214" s="336"/>
      <c r="S214" s="336"/>
      <c r="T214" s="336"/>
      <c r="U214" s="336"/>
      <c r="V214" s="336"/>
      <c r="W214" s="336"/>
      <c r="X214" s="336"/>
      <c r="Y214" s="300">
        <v>0.33333333333333331</v>
      </c>
      <c r="Z214" s="300">
        <v>0.70833333333333337</v>
      </c>
      <c r="AA214" s="297"/>
    </row>
    <row r="215" spans="1:27" s="277" customFormat="1" ht="22.5" customHeight="1">
      <c r="A215" s="293" t="s">
        <v>278</v>
      </c>
      <c r="B215" s="294">
        <v>0.62708333333333333</v>
      </c>
      <c r="C215" s="294">
        <v>0.79375000000000007</v>
      </c>
      <c r="D215" s="294">
        <v>0.62708333333333333</v>
      </c>
      <c r="E215" s="294">
        <v>0.79375000000000007</v>
      </c>
      <c r="F215" s="295">
        <v>0.63402777777777775</v>
      </c>
      <c r="G215" s="295">
        <v>0.79166666666666663</v>
      </c>
      <c r="H215" s="333"/>
      <c r="I215" s="333"/>
      <c r="J215" s="333"/>
      <c r="K215" s="333"/>
      <c r="L215" s="334">
        <v>1</v>
      </c>
      <c r="M215" s="334"/>
      <c r="N215" s="334"/>
      <c r="O215" s="334"/>
      <c r="P215" s="334"/>
      <c r="Q215" s="334"/>
      <c r="R215" s="334"/>
      <c r="S215" s="334"/>
      <c r="T215" s="334"/>
      <c r="U215" s="334"/>
      <c r="V215" s="334"/>
      <c r="W215" s="334"/>
      <c r="X215" s="334"/>
      <c r="Y215" s="296">
        <v>0.33333333333333331</v>
      </c>
      <c r="Z215" s="296">
        <v>0.70833333333333337</v>
      </c>
      <c r="AA215" s="293"/>
    </row>
    <row r="216" spans="1:27" s="277" customFormat="1" ht="22.5" customHeight="1">
      <c r="A216" s="297" t="s">
        <v>279</v>
      </c>
      <c r="B216" s="298">
        <v>0.37777777777777777</v>
      </c>
      <c r="C216" s="298">
        <v>0.59861111111111109</v>
      </c>
      <c r="D216" s="298">
        <v>0.37777777777777777</v>
      </c>
      <c r="E216" s="298">
        <v>0.59861111111111109</v>
      </c>
      <c r="F216" s="357"/>
      <c r="G216" s="357"/>
      <c r="H216" s="335"/>
      <c r="I216" s="335"/>
      <c r="J216" s="335"/>
      <c r="K216" s="335"/>
      <c r="L216" s="336"/>
      <c r="M216" s="336"/>
      <c r="N216" s="336"/>
      <c r="O216" s="336"/>
      <c r="P216" s="336"/>
      <c r="Q216" s="336"/>
      <c r="R216" s="336"/>
      <c r="S216" s="336"/>
      <c r="T216" s="336"/>
      <c r="U216" s="336"/>
      <c r="V216" s="336"/>
      <c r="W216" s="336"/>
      <c r="X216" s="336"/>
      <c r="Y216" s="300">
        <v>0.33333333333333331</v>
      </c>
      <c r="Z216" s="300">
        <v>0.70833333333333337</v>
      </c>
      <c r="AA216" s="297"/>
    </row>
    <row r="217" spans="1:27" s="277" customFormat="1" ht="22.5" customHeight="1">
      <c r="A217" s="293" t="s">
        <v>279</v>
      </c>
      <c r="B217" s="294">
        <v>0.62777777777777777</v>
      </c>
      <c r="C217" s="294">
        <v>0.79652777777777783</v>
      </c>
      <c r="D217" s="294">
        <v>0.62777777777777777</v>
      </c>
      <c r="E217" s="294">
        <v>0.79652777777777783</v>
      </c>
      <c r="F217" s="425" t="s">
        <v>301</v>
      </c>
      <c r="G217" s="356"/>
      <c r="H217" s="333"/>
      <c r="I217" s="333"/>
      <c r="J217" s="333"/>
      <c r="K217" s="333"/>
      <c r="L217" s="334">
        <v>1</v>
      </c>
      <c r="M217" s="334"/>
      <c r="N217" s="334"/>
      <c r="O217" s="334"/>
      <c r="P217" s="334"/>
      <c r="Q217" s="334"/>
      <c r="R217" s="334"/>
      <c r="S217" s="334"/>
      <c r="T217" s="334"/>
      <c r="U217" s="334"/>
      <c r="V217" s="334"/>
      <c r="W217" s="334"/>
      <c r="X217" s="334"/>
      <c r="Y217" s="296">
        <v>0.33333333333333331</v>
      </c>
      <c r="Z217" s="296">
        <v>0.70833333333333337</v>
      </c>
      <c r="AA217" s="293"/>
    </row>
    <row r="218" spans="1:27" s="277" customFormat="1" ht="22.5" customHeight="1">
      <c r="A218" s="293" t="s">
        <v>281</v>
      </c>
      <c r="B218" s="294">
        <v>0.52083333333333337</v>
      </c>
      <c r="C218" s="294">
        <v>0.70277777777777783</v>
      </c>
      <c r="D218" s="294">
        <v>0.52083333333333337</v>
      </c>
      <c r="E218" s="294">
        <v>0.70277777777777783</v>
      </c>
      <c r="F218" s="356"/>
      <c r="G218" s="356"/>
      <c r="H218" s="333"/>
      <c r="I218" s="333"/>
      <c r="J218" s="333"/>
      <c r="K218" s="333"/>
      <c r="L218" s="334"/>
      <c r="M218" s="334"/>
      <c r="N218" s="334"/>
      <c r="O218" s="334"/>
      <c r="P218" s="334"/>
      <c r="Q218" s="334"/>
      <c r="R218" s="334"/>
      <c r="S218" s="334"/>
      <c r="T218" s="334"/>
      <c r="U218" s="334"/>
      <c r="V218" s="334"/>
      <c r="W218" s="334"/>
      <c r="X218" s="334"/>
      <c r="Y218" s="296">
        <v>0.33333333333333331</v>
      </c>
      <c r="Z218" s="296">
        <v>0.70833333333333337</v>
      </c>
      <c r="AA218" s="293"/>
    </row>
    <row r="219" spans="1:27" s="277" customFormat="1" ht="22.5" customHeight="1">
      <c r="A219" s="297" t="s">
        <v>281</v>
      </c>
      <c r="B219" s="298">
        <v>0.73263888888888884</v>
      </c>
      <c r="C219" s="298">
        <v>0.875</v>
      </c>
      <c r="D219" s="298">
        <v>0.73263888888888884</v>
      </c>
      <c r="E219" s="298">
        <v>0.875</v>
      </c>
      <c r="F219" s="424" t="s">
        <v>302</v>
      </c>
      <c r="G219" s="357"/>
      <c r="H219" s="335"/>
      <c r="I219" s="335"/>
      <c r="J219" s="335"/>
      <c r="K219" s="335"/>
      <c r="L219" s="336">
        <v>1</v>
      </c>
      <c r="M219" s="336"/>
      <c r="N219" s="336">
        <f>60/60</f>
        <v>1</v>
      </c>
      <c r="O219" s="336"/>
      <c r="P219" s="336"/>
      <c r="Q219" s="336"/>
      <c r="R219" s="336"/>
      <c r="S219" s="336"/>
      <c r="T219" s="336"/>
      <c r="U219" s="336"/>
      <c r="V219" s="336"/>
      <c r="W219" s="336"/>
      <c r="X219" s="336"/>
      <c r="Y219" s="300">
        <v>0.33333333333333331</v>
      </c>
      <c r="Z219" s="300">
        <v>0.70833333333333337</v>
      </c>
      <c r="AA219" s="297"/>
    </row>
    <row r="220" spans="1:27" s="277" customFormat="1" ht="22.5" customHeight="1">
      <c r="A220" s="297" t="s">
        <v>282</v>
      </c>
      <c r="B220" s="304"/>
      <c r="C220" s="304"/>
      <c r="D220" s="305"/>
      <c r="E220" s="305"/>
      <c r="F220" s="357" t="s">
        <v>188</v>
      </c>
      <c r="G220" s="357"/>
      <c r="H220" s="335"/>
      <c r="I220" s="335"/>
      <c r="J220" s="335"/>
      <c r="K220" s="335"/>
      <c r="L220" s="336"/>
      <c r="M220" s="336"/>
      <c r="N220" s="336"/>
      <c r="O220" s="336"/>
      <c r="P220" s="336"/>
      <c r="Q220" s="336"/>
      <c r="R220" s="336"/>
      <c r="S220" s="336"/>
      <c r="T220" s="336"/>
      <c r="U220" s="336"/>
      <c r="V220" s="336"/>
      <c r="W220" s="336"/>
      <c r="X220" s="336"/>
      <c r="Y220" s="306"/>
      <c r="Z220" s="306"/>
      <c r="AA220" s="297"/>
    </row>
    <row r="221" spans="1:27" s="277" customFormat="1" ht="22.5" customHeight="1">
      <c r="A221" s="307" t="s">
        <v>3</v>
      </c>
      <c r="B221" s="307"/>
      <c r="C221" s="307"/>
      <c r="D221" s="307"/>
      <c r="E221" s="307"/>
      <c r="F221" s="307"/>
      <c r="G221" s="307"/>
      <c r="H221" s="337">
        <f t="shared" ref="H221:X221" si="7">SUM(H194:H220)</f>
        <v>0</v>
      </c>
      <c r="I221" s="337">
        <f t="shared" si="7"/>
        <v>0</v>
      </c>
      <c r="J221" s="337">
        <f t="shared" si="7"/>
        <v>0</v>
      </c>
      <c r="K221" s="337">
        <f t="shared" si="7"/>
        <v>0</v>
      </c>
      <c r="L221" s="337">
        <f t="shared" si="7"/>
        <v>11</v>
      </c>
      <c r="M221" s="337">
        <f t="shared" si="7"/>
        <v>0</v>
      </c>
      <c r="N221" s="337">
        <f t="shared" si="7"/>
        <v>1</v>
      </c>
      <c r="O221" s="337">
        <f t="shared" si="7"/>
        <v>0</v>
      </c>
      <c r="P221" s="337">
        <f t="shared" si="7"/>
        <v>0</v>
      </c>
      <c r="Q221" s="337">
        <f t="shared" si="7"/>
        <v>0</v>
      </c>
      <c r="R221" s="337">
        <f t="shared" si="7"/>
        <v>0</v>
      </c>
      <c r="S221" s="337">
        <f t="shared" si="7"/>
        <v>7.5</v>
      </c>
      <c r="T221" s="337">
        <f t="shared" si="7"/>
        <v>0</v>
      </c>
      <c r="U221" s="337">
        <f t="shared" si="7"/>
        <v>0</v>
      </c>
      <c r="V221" s="337">
        <f t="shared" si="7"/>
        <v>0</v>
      </c>
      <c r="W221" s="337">
        <f t="shared" si="7"/>
        <v>0</v>
      </c>
      <c r="X221" s="337">
        <f t="shared" si="7"/>
        <v>0</v>
      </c>
      <c r="Y221" s="285"/>
      <c r="Z221" s="285"/>
      <c r="AA221" s="307"/>
    </row>
    <row r="222" spans="1:27" s="277" customFormat="1" ht="22.5" customHeight="1" thickBot="1">
      <c r="H222" s="338"/>
      <c r="I222" s="338"/>
      <c r="J222" s="338"/>
      <c r="K222" s="338"/>
      <c r="L222" s="339"/>
      <c r="M222" s="339"/>
      <c r="N222" s="339"/>
      <c r="O222" s="339"/>
      <c r="P222" s="339"/>
      <c r="Q222" s="339"/>
      <c r="R222" s="339"/>
      <c r="S222" s="339"/>
      <c r="T222" s="339"/>
      <c r="U222" s="339"/>
      <c r="V222" s="339"/>
      <c r="W222" s="339"/>
      <c r="X222" s="339"/>
      <c r="Y222" s="308"/>
      <c r="Z222" s="308"/>
    </row>
    <row r="223" spans="1:27" s="277" customFormat="1" ht="22.5" customHeight="1" thickBot="1">
      <c r="A223" s="290" t="s">
        <v>177</v>
      </c>
      <c r="B223" s="291" t="s">
        <v>243</v>
      </c>
      <c r="C223" s="291"/>
      <c r="D223" s="291"/>
      <c r="E223" s="291"/>
      <c r="F223" s="291"/>
      <c r="G223" s="291"/>
      <c r="H223" s="344" t="s">
        <v>91</v>
      </c>
      <c r="I223" s="345"/>
      <c r="J223" s="345"/>
      <c r="K223" s="346"/>
      <c r="L223" s="347" t="s">
        <v>90</v>
      </c>
      <c r="M223" s="349" t="s">
        <v>165</v>
      </c>
      <c r="N223" s="349" t="s">
        <v>166</v>
      </c>
      <c r="O223" s="351" t="s">
        <v>167</v>
      </c>
      <c r="P223" s="352"/>
      <c r="Q223" s="353"/>
      <c r="R223" s="349" t="s">
        <v>168</v>
      </c>
      <c r="S223" s="351" t="s">
        <v>19</v>
      </c>
      <c r="T223" s="352"/>
      <c r="U223" s="353"/>
      <c r="V223" s="349" t="s">
        <v>126</v>
      </c>
      <c r="W223" s="349" t="s">
        <v>127</v>
      </c>
      <c r="X223" s="354" t="s">
        <v>105</v>
      </c>
      <c r="Y223" s="285" t="s">
        <v>169</v>
      </c>
      <c r="Z223" s="285"/>
      <c r="AA223" s="307" t="s">
        <v>170</v>
      </c>
    </row>
    <row r="224" spans="1:27" s="277" customFormat="1" ht="22.5" customHeight="1" thickBot="1">
      <c r="A224" s="290" t="s">
        <v>179</v>
      </c>
      <c r="B224" s="291" t="s">
        <v>244</v>
      </c>
      <c r="C224" s="291"/>
      <c r="D224" s="291"/>
      <c r="E224" s="291"/>
      <c r="F224" s="291"/>
      <c r="G224" s="291"/>
      <c r="H224" s="286" t="s">
        <v>173</v>
      </c>
      <c r="I224" s="286" t="s">
        <v>93</v>
      </c>
      <c r="J224" s="286" t="s">
        <v>94</v>
      </c>
      <c r="K224" s="287" t="s">
        <v>174</v>
      </c>
      <c r="L224" s="348"/>
      <c r="M224" s="350"/>
      <c r="N224" s="350"/>
      <c r="O224" s="288" t="s">
        <v>175</v>
      </c>
      <c r="P224" s="288" t="s">
        <v>176</v>
      </c>
      <c r="Q224" s="330" t="s">
        <v>127</v>
      </c>
      <c r="R224" s="350"/>
      <c r="S224" s="288" t="s">
        <v>175</v>
      </c>
      <c r="T224" s="288" t="s">
        <v>176</v>
      </c>
      <c r="U224" s="330" t="s">
        <v>127</v>
      </c>
      <c r="V224" s="350"/>
      <c r="W224" s="350"/>
      <c r="X224" s="355"/>
      <c r="Y224" s="285" t="s">
        <v>171</v>
      </c>
      <c r="Z224" s="285" t="s">
        <v>172</v>
      </c>
      <c r="AA224" s="307"/>
    </row>
    <row r="225" spans="1:27" s="277" customFormat="1" ht="22.5" customHeight="1">
      <c r="A225" s="293" t="s">
        <v>265</v>
      </c>
      <c r="B225" s="301"/>
      <c r="C225" s="301"/>
      <c r="D225" s="302"/>
      <c r="E225" s="302"/>
      <c r="F225" s="356" t="s">
        <v>188</v>
      </c>
      <c r="G225" s="356"/>
      <c r="H225" s="333"/>
      <c r="I225" s="333"/>
      <c r="J225" s="333"/>
      <c r="K225" s="333"/>
      <c r="L225" s="334"/>
      <c r="M225" s="334"/>
      <c r="N225" s="334"/>
      <c r="O225" s="334"/>
      <c r="P225" s="334"/>
      <c r="Q225" s="334"/>
      <c r="R225" s="334"/>
      <c r="S225" s="334"/>
      <c r="T225" s="334"/>
      <c r="U225" s="334"/>
      <c r="V225" s="334"/>
      <c r="W225" s="334"/>
      <c r="X225" s="334"/>
      <c r="Y225" s="303"/>
      <c r="Z225" s="303"/>
      <c r="AA225" s="293"/>
    </row>
    <row r="226" spans="1:27" s="277" customFormat="1" ht="22.5" customHeight="1">
      <c r="A226" s="297" t="s">
        <v>266</v>
      </c>
      <c r="B226" s="298">
        <v>0.2638888888888889</v>
      </c>
      <c r="C226" s="298">
        <v>0.41666666666666669</v>
      </c>
      <c r="D226" s="298">
        <v>0.2638888888888889</v>
      </c>
      <c r="E226" s="298">
        <v>0.41666666666666669</v>
      </c>
      <c r="F226" s="299">
        <v>0.25</v>
      </c>
      <c r="G226" s="299">
        <v>0.41666666666666669</v>
      </c>
      <c r="H226" s="335"/>
      <c r="I226" s="335"/>
      <c r="J226" s="335"/>
      <c r="K226" s="335"/>
      <c r="L226" s="336"/>
      <c r="M226" s="336"/>
      <c r="N226" s="336"/>
      <c r="O226" s="336"/>
      <c r="P226" s="336"/>
      <c r="Q226" s="336"/>
      <c r="R226" s="336"/>
      <c r="S226" s="336"/>
      <c r="T226" s="336"/>
      <c r="U226" s="336"/>
      <c r="V226" s="336"/>
      <c r="W226" s="336"/>
      <c r="X226" s="336"/>
      <c r="Y226" s="300">
        <v>0.33333333333333331</v>
      </c>
      <c r="Z226" s="300">
        <v>0.70833333333333337</v>
      </c>
      <c r="AA226" s="297" t="s">
        <v>300</v>
      </c>
    </row>
    <row r="227" spans="1:27" s="277" customFormat="1" ht="22.5" customHeight="1">
      <c r="A227" s="293" t="s">
        <v>266</v>
      </c>
      <c r="B227" s="294">
        <v>0.45277777777777778</v>
      </c>
      <c r="C227" s="294">
        <v>0.62777777777777777</v>
      </c>
      <c r="D227" s="294">
        <v>0.45277777777777778</v>
      </c>
      <c r="E227" s="294">
        <v>0.62777777777777777</v>
      </c>
      <c r="F227" s="295">
        <v>0.45833333333333331</v>
      </c>
      <c r="G227" s="295">
        <v>0.625</v>
      </c>
      <c r="H227" s="333"/>
      <c r="I227" s="333"/>
      <c r="J227" s="333"/>
      <c r="K227" s="333"/>
      <c r="L227" s="334">
        <v>1</v>
      </c>
      <c r="M227" s="334">
        <f>20/60</f>
        <v>0.33333333333333331</v>
      </c>
      <c r="N227" s="334"/>
      <c r="O227" s="334"/>
      <c r="P227" s="334"/>
      <c r="Q227" s="334"/>
      <c r="R227" s="334"/>
      <c r="S227" s="334"/>
      <c r="T227" s="334"/>
      <c r="U227" s="334"/>
      <c r="V227" s="334"/>
      <c r="W227" s="334"/>
      <c r="X227" s="334"/>
      <c r="Y227" s="296">
        <v>0.33333333333333331</v>
      </c>
      <c r="Z227" s="296">
        <v>0.70833333333333337</v>
      </c>
      <c r="AA227" s="293"/>
    </row>
    <row r="228" spans="1:27" s="277" customFormat="1" ht="22.5" customHeight="1">
      <c r="A228" s="297" t="s">
        <v>267</v>
      </c>
      <c r="B228" s="298">
        <v>0.24652777777777779</v>
      </c>
      <c r="C228" s="298">
        <v>0.37083333333333335</v>
      </c>
      <c r="D228" s="298">
        <v>0.24652777777777779</v>
      </c>
      <c r="E228" s="298">
        <v>0.37083333333333335</v>
      </c>
      <c r="F228" s="299">
        <v>0.25</v>
      </c>
      <c r="G228" s="299">
        <v>0.37083333333333335</v>
      </c>
      <c r="H228" s="335"/>
      <c r="I228" s="335"/>
      <c r="J228" s="335"/>
      <c r="K228" s="335"/>
      <c r="L228" s="336"/>
      <c r="M228" s="336"/>
      <c r="N228" s="336"/>
      <c r="O228" s="336"/>
      <c r="P228" s="336"/>
      <c r="Q228" s="336"/>
      <c r="R228" s="336"/>
      <c r="S228" s="336"/>
      <c r="T228" s="336"/>
      <c r="U228" s="336"/>
      <c r="V228" s="336"/>
      <c r="W228" s="336"/>
      <c r="X228" s="336"/>
      <c r="Y228" s="300">
        <v>0.33333333333333331</v>
      </c>
      <c r="Z228" s="300">
        <v>0.70833333333333337</v>
      </c>
      <c r="AA228" s="297"/>
    </row>
    <row r="229" spans="1:27" s="277" customFormat="1" ht="22.5" customHeight="1">
      <c r="A229" s="293" t="s">
        <v>267</v>
      </c>
      <c r="B229" s="294">
        <v>0.41180555555555554</v>
      </c>
      <c r="C229" s="294">
        <v>0.625</v>
      </c>
      <c r="D229" s="294">
        <v>0.41180555555555554</v>
      </c>
      <c r="E229" s="294">
        <v>0.625</v>
      </c>
      <c r="F229" s="295">
        <v>0.41250000000000003</v>
      </c>
      <c r="G229" s="295">
        <v>0.625</v>
      </c>
      <c r="H229" s="333"/>
      <c r="I229" s="333"/>
      <c r="J229" s="333"/>
      <c r="K229" s="333"/>
      <c r="L229" s="334">
        <v>1</v>
      </c>
      <c r="M229" s="334"/>
      <c r="N229" s="334"/>
      <c r="O229" s="334"/>
      <c r="P229" s="334"/>
      <c r="Q229" s="334"/>
      <c r="R229" s="334"/>
      <c r="S229" s="334"/>
      <c r="T229" s="334"/>
      <c r="U229" s="334"/>
      <c r="V229" s="334"/>
      <c r="W229" s="334"/>
      <c r="X229" s="334"/>
      <c r="Y229" s="296">
        <v>0.33333333333333331</v>
      </c>
      <c r="Z229" s="296">
        <v>0.70833333333333337</v>
      </c>
      <c r="AA229" s="293"/>
    </row>
    <row r="230" spans="1:27" s="277" customFormat="1" ht="22.5" customHeight="1">
      <c r="A230" s="297" t="s">
        <v>269</v>
      </c>
      <c r="B230" s="298">
        <v>0.23750000000000002</v>
      </c>
      <c r="C230" s="298">
        <v>0.39583333333333331</v>
      </c>
      <c r="D230" s="298">
        <v>0.23750000000000002</v>
      </c>
      <c r="E230" s="298">
        <v>0.39583333333333331</v>
      </c>
      <c r="F230" s="299">
        <v>0.25</v>
      </c>
      <c r="G230" s="299">
        <v>0.89583333333333337</v>
      </c>
      <c r="H230" s="335"/>
      <c r="I230" s="335"/>
      <c r="J230" s="335"/>
      <c r="K230" s="335"/>
      <c r="L230" s="336"/>
      <c r="M230" s="336"/>
      <c r="N230" s="336"/>
      <c r="O230" s="336"/>
      <c r="P230" s="336"/>
      <c r="Q230" s="336"/>
      <c r="R230" s="336"/>
      <c r="S230" s="336"/>
      <c r="T230" s="336"/>
      <c r="U230" s="336"/>
      <c r="V230" s="336"/>
      <c r="W230" s="336"/>
      <c r="X230" s="336"/>
      <c r="Y230" s="300">
        <v>0.33333333333333331</v>
      </c>
      <c r="Z230" s="300">
        <v>0.70833333333333337</v>
      </c>
      <c r="AA230" s="297"/>
    </row>
    <row r="231" spans="1:27" s="277" customFormat="1" ht="22.5" customHeight="1">
      <c r="A231" s="293" t="s">
        <v>269</v>
      </c>
      <c r="B231" s="294">
        <v>0.43472222222222223</v>
      </c>
      <c r="C231" s="294">
        <v>0.62638888888888888</v>
      </c>
      <c r="D231" s="294">
        <v>0.43472222222222223</v>
      </c>
      <c r="E231" s="294">
        <v>0.62638888888888888</v>
      </c>
      <c r="F231" s="295">
        <v>0.4375</v>
      </c>
      <c r="G231" s="295">
        <v>0.62638888888888888</v>
      </c>
      <c r="H231" s="333"/>
      <c r="I231" s="333"/>
      <c r="J231" s="333"/>
      <c r="K231" s="333"/>
      <c r="L231" s="334">
        <v>1</v>
      </c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296">
        <v>0.33333333333333331</v>
      </c>
      <c r="Z231" s="296">
        <v>0.70833333333333337</v>
      </c>
      <c r="AA231" s="293"/>
    </row>
    <row r="232" spans="1:27" s="277" customFormat="1" ht="22.5" customHeight="1">
      <c r="A232" s="293" t="s">
        <v>270</v>
      </c>
      <c r="B232" s="294">
        <v>0.25277777777777777</v>
      </c>
      <c r="C232" s="294">
        <v>0.41666666666666669</v>
      </c>
      <c r="D232" s="294">
        <v>0.25277777777777777</v>
      </c>
      <c r="E232" s="294">
        <v>0.41666666666666669</v>
      </c>
      <c r="F232" s="295">
        <v>0.25</v>
      </c>
      <c r="G232" s="295">
        <v>0.41666666666666669</v>
      </c>
      <c r="H232" s="333"/>
      <c r="I232" s="333"/>
      <c r="J232" s="333"/>
      <c r="K232" s="333"/>
      <c r="L232" s="334"/>
      <c r="M232" s="334"/>
      <c r="N232" s="334"/>
      <c r="O232" s="334"/>
      <c r="P232" s="334"/>
      <c r="Q232" s="334"/>
      <c r="R232" s="334"/>
      <c r="S232" s="334"/>
      <c r="T232" s="334"/>
      <c r="U232" s="334"/>
      <c r="V232" s="334"/>
      <c r="W232" s="334"/>
      <c r="X232" s="334"/>
      <c r="Y232" s="296">
        <v>0.33333333333333331</v>
      </c>
      <c r="Z232" s="296">
        <v>0.70833333333333337</v>
      </c>
      <c r="AA232" s="293"/>
    </row>
    <row r="233" spans="1:27" s="277" customFormat="1" ht="22.5" customHeight="1">
      <c r="A233" s="297" t="s">
        <v>270</v>
      </c>
      <c r="B233" s="298">
        <v>0.45763888888888887</v>
      </c>
      <c r="C233" s="298">
        <v>0.63124999999999998</v>
      </c>
      <c r="D233" s="298">
        <v>0.45763888888888887</v>
      </c>
      <c r="E233" s="298">
        <v>0.63124999999999998</v>
      </c>
      <c r="F233" s="299">
        <v>0.45833333333333331</v>
      </c>
      <c r="G233" s="299">
        <v>0.625</v>
      </c>
      <c r="H233" s="335"/>
      <c r="I233" s="335"/>
      <c r="J233" s="335"/>
      <c r="K233" s="335"/>
      <c r="L233" s="336">
        <v>1</v>
      </c>
      <c r="M233" s="336"/>
      <c r="N233" s="336"/>
      <c r="O233" s="336"/>
      <c r="P233" s="336"/>
      <c r="Q233" s="336"/>
      <c r="R233" s="336"/>
      <c r="S233" s="336"/>
      <c r="T233" s="336"/>
      <c r="U233" s="336"/>
      <c r="V233" s="336"/>
      <c r="W233" s="336"/>
      <c r="X233" s="336"/>
      <c r="Y233" s="300">
        <v>0.33333333333333331</v>
      </c>
      <c r="Z233" s="300">
        <v>0.70833333333333337</v>
      </c>
      <c r="AA233" s="297"/>
    </row>
    <row r="234" spans="1:27" s="277" customFormat="1" ht="22.5" customHeight="1">
      <c r="A234" s="293" t="s">
        <v>271</v>
      </c>
      <c r="B234" s="294">
        <v>0.24861111111111112</v>
      </c>
      <c r="C234" s="294">
        <v>0.41666666666666669</v>
      </c>
      <c r="D234" s="294">
        <v>0.24861111111111112</v>
      </c>
      <c r="E234" s="294">
        <v>0.41666666666666669</v>
      </c>
      <c r="F234" s="295">
        <v>0.25</v>
      </c>
      <c r="G234" s="295">
        <v>0.41666666666666669</v>
      </c>
      <c r="H234" s="333"/>
      <c r="I234" s="333"/>
      <c r="J234" s="333"/>
      <c r="K234" s="333"/>
      <c r="L234" s="334"/>
      <c r="M234" s="334"/>
      <c r="N234" s="334"/>
      <c r="O234" s="334"/>
      <c r="P234" s="334"/>
      <c r="Q234" s="334"/>
      <c r="R234" s="334"/>
      <c r="S234" s="334"/>
      <c r="T234" s="334"/>
      <c r="U234" s="334"/>
      <c r="V234" s="334"/>
      <c r="W234" s="334"/>
      <c r="X234" s="334"/>
      <c r="Y234" s="296">
        <v>0.33333333333333331</v>
      </c>
      <c r="Z234" s="296">
        <v>0.70833333333333337</v>
      </c>
      <c r="AA234" s="293"/>
    </row>
    <row r="235" spans="1:27" s="277" customFormat="1" ht="22.5" customHeight="1">
      <c r="A235" s="297" t="s">
        <v>271</v>
      </c>
      <c r="B235" s="298">
        <v>0.45763888888888887</v>
      </c>
      <c r="C235" s="298">
        <v>0.62847222222222221</v>
      </c>
      <c r="D235" s="298">
        <v>0.45763888888888887</v>
      </c>
      <c r="E235" s="298">
        <v>0.62847222222222221</v>
      </c>
      <c r="F235" s="299">
        <v>0.45833333333333331</v>
      </c>
      <c r="G235" s="299">
        <v>0.625</v>
      </c>
      <c r="H235" s="335"/>
      <c r="I235" s="335"/>
      <c r="J235" s="335"/>
      <c r="K235" s="335"/>
      <c r="L235" s="336">
        <v>1</v>
      </c>
      <c r="M235" s="336"/>
      <c r="N235" s="336"/>
      <c r="O235" s="336"/>
      <c r="P235" s="336"/>
      <c r="Q235" s="336"/>
      <c r="R235" s="336"/>
      <c r="S235" s="336"/>
      <c r="T235" s="336"/>
      <c r="U235" s="336"/>
      <c r="V235" s="336"/>
      <c r="W235" s="336"/>
      <c r="X235" s="336"/>
      <c r="Y235" s="300">
        <v>0.33333333333333331</v>
      </c>
      <c r="Z235" s="300">
        <v>0.70833333333333337</v>
      </c>
      <c r="AA235" s="297"/>
    </row>
    <row r="236" spans="1:27" s="277" customFormat="1" ht="22.5" customHeight="1">
      <c r="A236" s="297" t="s">
        <v>273</v>
      </c>
      <c r="B236" s="304"/>
      <c r="C236" s="304"/>
      <c r="D236" s="305"/>
      <c r="E236" s="305"/>
      <c r="F236" s="357" t="s">
        <v>188</v>
      </c>
      <c r="G236" s="357"/>
      <c r="H236" s="335"/>
      <c r="I236" s="335"/>
      <c r="J236" s="335"/>
      <c r="K236" s="335"/>
      <c r="L236" s="336"/>
      <c r="M236" s="336"/>
      <c r="N236" s="336"/>
      <c r="O236" s="336"/>
      <c r="P236" s="336"/>
      <c r="Q236" s="336"/>
      <c r="R236" s="336"/>
      <c r="S236" s="336"/>
      <c r="T236" s="336"/>
      <c r="U236" s="336"/>
      <c r="V236" s="336"/>
      <c r="W236" s="336"/>
      <c r="X236" s="336"/>
      <c r="Y236" s="306"/>
      <c r="Z236" s="306"/>
      <c r="AA236" s="297"/>
    </row>
    <row r="237" spans="1:27" s="277" customFormat="1" ht="22.5" customHeight="1">
      <c r="A237" s="293" t="s">
        <v>274</v>
      </c>
      <c r="B237" s="301"/>
      <c r="C237" s="301"/>
      <c r="D237" s="302"/>
      <c r="E237" s="302"/>
      <c r="F237" s="356" t="s">
        <v>188</v>
      </c>
      <c r="G237" s="356"/>
      <c r="H237" s="333"/>
      <c r="I237" s="333"/>
      <c r="J237" s="333"/>
      <c r="K237" s="333"/>
      <c r="L237" s="334"/>
      <c r="M237" s="334"/>
      <c r="N237" s="334"/>
      <c r="O237" s="334"/>
      <c r="P237" s="334"/>
      <c r="Q237" s="334"/>
      <c r="R237" s="334"/>
      <c r="S237" s="334"/>
      <c r="T237" s="334"/>
      <c r="U237" s="334"/>
      <c r="V237" s="334"/>
      <c r="W237" s="334"/>
      <c r="X237" s="334"/>
      <c r="Y237" s="303"/>
      <c r="Z237" s="303"/>
      <c r="AA237" s="293"/>
    </row>
    <row r="238" spans="1:27" s="277" customFormat="1" ht="22.5" customHeight="1">
      <c r="A238" s="297" t="s">
        <v>275</v>
      </c>
      <c r="B238" s="298">
        <v>0.47847222222222219</v>
      </c>
      <c r="C238" s="298">
        <v>0.58958333333333335</v>
      </c>
      <c r="D238" s="298">
        <v>0.47847222222222219</v>
      </c>
      <c r="E238" s="298">
        <v>0.58958333333333335</v>
      </c>
      <c r="F238" s="299">
        <v>0.47916666666666669</v>
      </c>
      <c r="G238" s="299">
        <v>0.58958333333333335</v>
      </c>
      <c r="H238" s="335"/>
      <c r="I238" s="335"/>
      <c r="J238" s="335"/>
      <c r="K238" s="335"/>
      <c r="L238" s="336"/>
      <c r="M238" s="336"/>
      <c r="N238" s="336"/>
      <c r="O238" s="336"/>
      <c r="P238" s="336"/>
      <c r="Q238" s="336"/>
      <c r="R238" s="336"/>
      <c r="S238" s="336"/>
      <c r="T238" s="336"/>
      <c r="U238" s="336"/>
      <c r="V238" s="336"/>
      <c r="W238" s="336"/>
      <c r="X238" s="336"/>
      <c r="Y238" s="300">
        <v>0.33333333333333331</v>
      </c>
      <c r="Z238" s="300">
        <v>0.70833333333333337</v>
      </c>
      <c r="AA238" s="297"/>
    </row>
    <row r="239" spans="1:27" s="277" customFormat="1" ht="22.5" customHeight="1">
      <c r="A239" s="293" t="s">
        <v>275</v>
      </c>
      <c r="B239" s="294">
        <v>0.75416666666666676</v>
      </c>
      <c r="C239" s="294">
        <v>0.97986111111111107</v>
      </c>
      <c r="D239" s="294">
        <v>0.75416666666666676</v>
      </c>
      <c r="E239" s="294">
        <v>0.97986111111111107</v>
      </c>
      <c r="F239" s="295">
        <v>0.75624999999999998</v>
      </c>
      <c r="G239" s="295">
        <v>0.97916666666666663</v>
      </c>
      <c r="H239" s="333"/>
      <c r="I239" s="333"/>
      <c r="J239" s="333"/>
      <c r="K239" s="333"/>
      <c r="L239" s="334">
        <v>1</v>
      </c>
      <c r="M239" s="334"/>
      <c r="N239" s="334"/>
      <c r="O239" s="334"/>
      <c r="P239" s="334"/>
      <c r="Q239" s="334"/>
      <c r="R239" s="334"/>
      <c r="S239" s="334">
        <v>1.5</v>
      </c>
      <c r="T239" s="334"/>
      <c r="U239" s="334"/>
      <c r="V239" s="334"/>
      <c r="W239" s="334"/>
      <c r="X239" s="334"/>
      <c r="Y239" s="296">
        <v>0.33333333333333331</v>
      </c>
      <c r="Z239" s="296">
        <v>0.70833333333333337</v>
      </c>
      <c r="AA239" s="293"/>
    </row>
    <row r="240" spans="1:27" s="277" customFormat="1" ht="22.5" customHeight="1">
      <c r="A240" s="297" t="s">
        <v>276</v>
      </c>
      <c r="B240" s="298">
        <v>0.48055555555555557</v>
      </c>
      <c r="C240" s="298">
        <v>0.59027777777777779</v>
      </c>
      <c r="D240" s="298">
        <v>0.48055555555555557</v>
      </c>
      <c r="E240" s="298">
        <v>0.59027777777777779</v>
      </c>
      <c r="F240" s="299">
        <v>0.47916666666666669</v>
      </c>
      <c r="G240" s="299">
        <v>0.59027777777777779</v>
      </c>
      <c r="H240" s="335"/>
      <c r="I240" s="335"/>
      <c r="J240" s="335"/>
      <c r="K240" s="335"/>
      <c r="L240" s="336"/>
      <c r="M240" s="336"/>
      <c r="N240" s="336"/>
      <c r="O240" s="336"/>
      <c r="P240" s="336"/>
      <c r="Q240" s="336"/>
      <c r="R240" s="336"/>
      <c r="S240" s="336"/>
      <c r="T240" s="336"/>
      <c r="U240" s="336"/>
      <c r="V240" s="336"/>
      <c r="W240" s="336"/>
      <c r="X240" s="336"/>
      <c r="Y240" s="300">
        <v>0.33333333333333331</v>
      </c>
      <c r="Z240" s="300">
        <v>0.70833333333333337</v>
      </c>
      <c r="AA240" s="297"/>
    </row>
    <row r="241" spans="1:27" s="277" customFormat="1" ht="22.5" customHeight="1">
      <c r="A241" s="293" t="s">
        <v>276</v>
      </c>
      <c r="B241" s="294">
        <v>0.75624999999999998</v>
      </c>
      <c r="C241" s="294">
        <v>0.97986111111111107</v>
      </c>
      <c r="D241" s="294">
        <v>0.75624999999999998</v>
      </c>
      <c r="E241" s="294">
        <v>0.97986111111111107</v>
      </c>
      <c r="F241" s="295">
        <v>0.75694444444444453</v>
      </c>
      <c r="G241" s="295">
        <v>0.97916666666666663</v>
      </c>
      <c r="H241" s="333"/>
      <c r="I241" s="333"/>
      <c r="J241" s="333"/>
      <c r="K241" s="333"/>
      <c r="L241" s="334">
        <v>1</v>
      </c>
      <c r="M241" s="334"/>
      <c r="N241" s="334"/>
      <c r="O241" s="334"/>
      <c r="P241" s="334"/>
      <c r="Q241" s="334"/>
      <c r="R241" s="334"/>
      <c r="S241" s="334">
        <v>1.5</v>
      </c>
      <c r="T241" s="334"/>
      <c r="U241" s="334"/>
      <c r="V241" s="334"/>
      <c r="W241" s="334"/>
      <c r="X241" s="334"/>
      <c r="Y241" s="296">
        <v>0.33333333333333331</v>
      </c>
      <c r="Z241" s="296">
        <v>0.70833333333333337</v>
      </c>
      <c r="AA241" s="293"/>
    </row>
    <row r="242" spans="1:27" s="277" customFormat="1" ht="22.5" customHeight="1">
      <c r="A242" s="293" t="s">
        <v>277</v>
      </c>
      <c r="B242" s="294">
        <v>0.4770833333333333</v>
      </c>
      <c r="C242" s="294">
        <v>0.58750000000000002</v>
      </c>
      <c r="D242" s="294">
        <v>0.4770833333333333</v>
      </c>
      <c r="E242" s="294">
        <v>0.58750000000000002</v>
      </c>
      <c r="F242" s="295">
        <v>0.47916666666666669</v>
      </c>
      <c r="G242" s="295">
        <v>0.58750000000000002</v>
      </c>
      <c r="H242" s="333"/>
      <c r="I242" s="333"/>
      <c r="J242" s="333"/>
      <c r="K242" s="333"/>
      <c r="L242" s="334"/>
      <c r="M242" s="334"/>
      <c r="N242" s="334"/>
      <c r="O242" s="334"/>
      <c r="P242" s="334"/>
      <c r="Q242" s="334"/>
      <c r="R242" s="334"/>
      <c r="S242" s="334"/>
      <c r="T242" s="334"/>
      <c r="U242" s="334"/>
      <c r="V242" s="334"/>
      <c r="W242" s="334"/>
      <c r="X242" s="334"/>
      <c r="Y242" s="296">
        <v>0.33333333333333331</v>
      </c>
      <c r="Z242" s="296">
        <v>0.70833333333333337</v>
      </c>
      <c r="AA242" s="293" t="s">
        <v>303</v>
      </c>
    </row>
    <row r="243" spans="1:27" s="277" customFormat="1" ht="22.5" customHeight="1">
      <c r="A243" s="297" t="s">
        <v>277</v>
      </c>
      <c r="B243" s="298">
        <v>0.75</v>
      </c>
      <c r="C243" s="298">
        <v>0.98888888888888893</v>
      </c>
      <c r="D243" s="298">
        <v>0.75</v>
      </c>
      <c r="E243" s="298">
        <v>0.98888888888888893</v>
      </c>
      <c r="F243" s="299">
        <v>0.75416666666666676</v>
      </c>
      <c r="G243" s="299">
        <v>2.0833333333333332E-2</v>
      </c>
      <c r="H243" s="335"/>
      <c r="I243" s="335"/>
      <c r="J243" s="335"/>
      <c r="K243" s="335"/>
      <c r="L243" s="336">
        <v>1</v>
      </c>
      <c r="M243" s="336"/>
      <c r="N243" s="336"/>
      <c r="O243" s="336">
        <v>1</v>
      </c>
      <c r="P243" s="336"/>
      <c r="Q243" s="336"/>
      <c r="R243" s="336"/>
      <c r="S243" s="336">
        <v>1.5</v>
      </c>
      <c r="T243" s="336"/>
      <c r="U243" s="336"/>
      <c r="V243" s="336"/>
      <c r="W243" s="336"/>
      <c r="X243" s="336"/>
      <c r="Y243" s="300">
        <v>0.33333333333333331</v>
      </c>
      <c r="Z243" s="300">
        <v>0.70833333333333337</v>
      </c>
      <c r="AA243" s="297"/>
    </row>
    <row r="244" spans="1:27" s="277" customFormat="1" ht="22.5" customHeight="1">
      <c r="A244" s="293" t="s">
        <v>278</v>
      </c>
      <c r="B244" s="294">
        <v>0.48055555555555557</v>
      </c>
      <c r="C244" s="294">
        <v>0.59375</v>
      </c>
      <c r="D244" s="294">
        <v>0.48055555555555557</v>
      </c>
      <c r="E244" s="294">
        <v>0.59375</v>
      </c>
      <c r="F244" s="295">
        <v>0.47916666666666669</v>
      </c>
      <c r="G244" s="295">
        <v>0.59375</v>
      </c>
      <c r="H244" s="333"/>
      <c r="I244" s="333"/>
      <c r="J244" s="333"/>
      <c r="K244" s="333"/>
      <c r="L244" s="334"/>
      <c r="M244" s="334"/>
      <c r="N244" s="334"/>
      <c r="O244" s="334"/>
      <c r="P244" s="334"/>
      <c r="Q244" s="334"/>
      <c r="R244" s="334"/>
      <c r="S244" s="334"/>
      <c r="T244" s="334"/>
      <c r="U244" s="334"/>
      <c r="V244" s="334"/>
      <c r="W244" s="334"/>
      <c r="X244" s="334"/>
      <c r="Y244" s="296">
        <v>0.33333333333333331</v>
      </c>
      <c r="Z244" s="296">
        <v>0.70833333333333337</v>
      </c>
      <c r="AA244" s="293"/>
    </row>
    <row r="245" spans="1:27" s="277" customFormat="1" ht="22.5" customHeight="1">
      <c r="A245" s="297" t="s">
        <v>278</v>
      </c>
      <c r="B245" s="298">
        <v>0.75416666666666676</v>
      </c>
      <c r="C245" s="298">
        <v>0.98541666666666661</v>
      </c>
      <c r="D245" s="298">
        <v>0.75416666666666676</v>
      </c>
      <c r="E245" s="298">
        <v>0.98541666666666661</v>
      </c>
      <c r="F245" s="299">
        <v>0.76041666666666663</v>
      </c>
      <c r="G245" s="299">
        <v>0.97916666666666663</v>
      </c>
      <c r="H245" s="335"/>
      <c r="I245" s="335"/>
      <c r="J245" s="335"/>
      <c r="K245" s="335"/>
      <c r="L245" s="336"/>
      <c r="M245" s="336"/>
      <c r="N245" s="336"/>
      <c r="O245" s="336"/>
      <c r="P245" s="336"/>
      <c r="Q245" s="336"/>
      <c r="R245" s="336"/>
      <c r="S245" s="336"/>
      <c r="T245" s="336"/>
      <c r="U245" s="336"/>
      <c r="V245" s="336"/>
      <c r="W245" s="336"/>
      <c r="X245" s="336"/>
      <c r="Y245" s="300">
        <v>0.33333333333333331</v>
      </c>
      <c r="Z245" s="300">
        <v>0.70833333333333337</v>
      </c>
      <c r="AA245" s="297"/>
    </row>
    <row r="246" spans="1:27" s="277" customFormat="1" ht="22.5" customHeight="1">
      <c r="A246" s="297" t="s">
        <v>278</v>
      </c>
      <c r="B246" s="298">
        <v>3.5416666666666666E-2</v>
      </c>
      <c r="C246" s="298">
        <v>3.6111111111111115E-2</v>
      </c>
      <c r="D246" s="298">
        <v>3.5416666666666666E-2</v>
      </c>
      <c r="E246" s="298">
        <v>3.6111111111111115E-2</v>
      </c>
      <c r="F246" s="299">
        <v>0.97916666666666663</v>
      </c>
      <c r="G246" s="299">
        <v>2.0833333333333332E-2</v>
      </c>
      <c r="H246" s="335"/>
      <c r="I246" s="335"/>
      <c r="J246" s="335"/>
      <c r="K246" s="335"/>
      <c r="L246" s="336">
        <v>1</v>
      </c>
      <c r="M246" s="336"/>
      <c r="N246" s="336"/>
      <c r="O246" s="336"/>
      <c r="P246" s="336"/>
      <c r="Q246" s="336"/>
      <c r="R246" s="336"/>
      <c r="S246" s="336">
        <v>2.5</v>
      </c>
      <c r="T246" s="336"/>
      <c r="U246" s="336"/>
      <c r="V246" s="336"/>
      <c r="W246" s="336"/>
      <c r="X246" s="336"/>
      <c r="Y246" s="300">
        <v>0.33333333333333331</v>
      </c>
      <c r="Z246" s="300">
        <v>0.70833333333333337</v>
      </c>
      <c r="AA246" s="297"/>
    </row>
    <row r="247" spans="1:27" s="277" customFormat="1" ht="22.5" customHeight="1">
      <c r="A247" s="293" t="s">
        <v>279</v>
      </c>
      <c r="B247" s="294">
        <v>0.4770833333333333</v>
      </c>
      <c r="C247" s="294">
        <v>0.58680555555555558</v>
      </c>
      <c r="D247" s="294">
        <v>0.4770833333333333</v>
      </c>
      <c r="E247" s="294">
        <v>0.58680555555555558</v>
      </c>
      <c r="F247" s="356"/>
      <c r="G247" s="356"/>
      <c r="H247" s="333"/>
      <c r="I247" s="333"/>
      <c r="J247" s="333"/>
      <c r="K247" s="333"/>
      <c r="L247" s="334"/>
      <c r="M247" s="334"/>
      <c r="N247" s="334"/>
      <c r="O247" s="334"/>
      <c r="P247" s="334"/>
      <c r="Q247" s="334"/>
      <c r="R247" s="334"/>
      <c r="S247" s="334"/>
      <c r="T247" s="334"/>
      <c r="U247" s="334"/>
      <c r="V247" s="334"/>
      <c r="W247" s="334"/>
      <c r="X247" s="334"/>
      <c r="Y247" s="296">
        <v>0.33333333333333331</v>
      </c>
      <c r="Z247" s="296">
        <v>0.70833333333333337</v>
      </c>
      <c r="AA247" s="293"/>
    </row>
    <row r="248" spans="1:27" s="277" customFormat="1" ht="22.5" customHeight="1">
      <c r="A248" s="297" t="s">
        <v>279</v>
      </c>
      <c r="B248" s="298">
        <v>0.75138888888888899</v>
      </c>
      <c r="C248" s="298">
        <v>0.98611111111111116</v>
      </c>
      <c r="D248" s="298">
        <v>0.75138888888888899</v>
      </c>
      <c r="E248" s="298">
        <v>0.98611111111111116</v>
      </c>
      <c r="F248" s="357" t="s">
        <v>202</v>
      </c>
      <c r="G248" s="357"/>
      <c r="H248" s="335"/>
      <c r="I248" s="335"/>
      <c r="J248" s="335"/>
      <c r="K248" s="335"/>
      <c r="L248" s="336">
        <v>1</v>
      </c>
      <c r="M248" s="336"/>
      <c r="N248" s="336"/>
      <c r="O248" s="336"/>
      <c r="P248" s="336"/>
      <c r="Q248" s="336"/>
      <c r="R248" s="336"/>
      <c r="S248" s="336">
        <v>1.5</v>
      </c>
      <c r="T248" s="336"/>
      <c r="U248" s="336"/>
      <c r="V248" s="336"/>
      <c r="W248" s="336"/>
      <c r="X248" s="336"/>
      <c r="Y248" s="300">
        <v>0.33333333333333331</v>
      </c>
      <c r="Z248" s="300">
        <v>0.70833333333333337</v>
      </c>
      <c r="AA248" s="297"/>
    </row>
    <row r="249" spans="1:27" s="277" customFormat="1" ht="22.5" customHeight="1">
      <c r="A249" s="297" t="s">
        <v>281</v>
      </c>
      <c r="B249" s="298">
        <v>0.42152777777777778</v>
      </c>
      <c r="C249" s="298">
        <v>0.58611111111111114</v>
      </c>
      <c r="D249" s="298">
        <v>0.42152777777777778</v>
      </c>
      <c r="E249" s="298">
        <v>0.58611111111111114</v>
      </c>
      <c r="F249" s="357"/>
      <c r="G249" s="357"/>
      <c r="H249" s="335"/>
      <c r="I249" s="335"/>
      <c r="J249" s="335"/>
      <c r="K249" s="335"/>
      <c r="L249" s="336"/>
      <c r="M249" s="336"/>
      <c r="N249" s="336"/>
      <c r="O249" s="336"/>
      <c r="P249" s="336"/>
      <c r="Q249" s="336"/>
      <c r="R249" s="336"/>
      <c r="S249" s="336"/>
      <c r="T249" s="336"/>
      <c r="U249" s="336"/>
      <c r="V249" s="336"/>
      <c r="W249" s="336"/>
      <c r="X249" s="336"/>
      <c r="Y249" s="300">
        <v>0.33333333333333331</v>
      </c>
      <c r="Z249" s="300">
        <v>0.70833333333333337</v>
      </c>
      <c r="AA249" s="297"/>
    </row>
    <row r="250" spans="1:27" s="277" customFormat="1" ht="22.5" customHeight="1">
      <c r="A250" s="293" t="s">
        <v>281</v>
      </c>
      <c r="B250" s="294">
        <v>0.71250000000000002</v>
      </c>
      <c r="C250" s="294">
        <v>0.87569444444444444</v>
      </c>
      <c r="D250" s="294">
        <v>0.71250000000000002</v>
      </c>
      <c r="E250" s="294">
        <v>0.87569444444444444</v>
      </c>
      <c r="F250" s="425" t="s">
        <v>293</v>
      </c>
      <c r="G250" s="356"/>
      <c r="H250" s="333"/>
      <c r="I250" s="333"/>
      <c r="J250" s="333"/>
      <c r="K250" s="333"/>
      <c r="L250" s="334">
        <v>1</v>
      </c>
      <c r="M250" s="334">
        <f>(7+2)/60</f>
        <v>0.15</v>
      </c>
      <c r="N250" s="334"/>
      <c r="O250" s="334"/>
      <c r="P250" s="334"/>
      <c r="Q250" s="334"/>
      <c r="R250" s="334"/>
      <c r="S250" s="334"/>
      <c r="T250" s="334"/>
      <c r="U250" s="334"/>
      <c r="V250" s="334"/>
      <c r="W250" s="334"/>
      <c r="X250" s="334"/>
      <c r="Y250" s="296">
        <v>0.33333333333333331</v>
      </c>
      <c r="Z250" s="296">
        <v>0.70833333333333337</v>
      </c>
      <c r="AA250" s="293"/>
    </row>
    <row r="251" spans="1:27" s="277" customFormat="1" ht="22.5" customHeight="1">
      <c r="A251" s="293" t="s">
        <v>282</v>
      </c>
      <c r="B251" s="301"/>
      <c r="C251" s="301"/>
      <c r="D251" s="302"/>
      <c r="E251" s="302"/>
      <c r="F251" s="356"/>
      <c r="G251" s="356"/>
      <c r="H251" s="333"/>
      <c r="I251" s="333"/>
      <c r="J251" s="333"/>
      <c r="K251" s="333"/>
      <c r="L251" s="334"/>
      <c r="M251" s="334"/>
      <c r="N251" s="334"/>
      <c r="O251" s="334"/>
      <c r="P251" s="334"/>
      <c r="Q251" s="334"/>
      <c r="R251" s="334"/>
      <c r="S251" s="334"/>
      <c r="T251" s="334"/>
      <c r="U251" s="334"/>
      <c r="V251" s="334"/>
      <c r="W251" s="334"/>
      <c r="X251" s="334"/>
      <c r="Y251" s="303"/>
      <c r="Z251" s="303"/>
      <c r="AA251" s="293"/>
    </row>
    <row r="252" spans="1:27" s="277" customFormat="1" ht="22.5" customHeight="1">
      <c r="A252" s="307" t="s">
        <v>3</v>
      </c>
      <c r="B252" s="307"/>
      <c r="C252" s="307"/>
      <c r="D252" s="307"/>
      <c r="E252" s="307"/>
      <c r="F252" s="307"/>
      <c r="G252" s="307"/>
      <c r="H252" s="337">
        <f t="shared" ref="H252:X252" si="8">SUM(H225:H251)</f>
        <v>0</v>
      </c>
      <c r="I252" s="337">
        <f t="shared" si="8"/>
        <v>0</v>
      </c>
      <c r="J252" s="337">
        <f t="shared" si="8"/>
        <v>0</v>
      </c>
      <c r="K252" s="337">
        <f t="shared" si="8"/>
        <v>0</v>
      </c>
      <c r="L252" s="337">
        <f t="shared" si="8"/>
        <v>11</v>
      </c>
      <c r="M252" s="337">
        <f t="shared" si="8"/>
        <v>0.48333333333333328</v>
      </c>
      <c r="N252" s="337">
        <f t="shared" si="8"/>
        <v>0</v>
      </c>
      <c r="O252" s="337">
        <f t="shared" si="8"/>
        <v>1</v>
      </c>
      <c r="P252" s="337">
        <f t="shared" si="8"/>
        <v>0</v>
      </c>
      <c r="Q252" s="337">
        <f t="shared" si="8"/>
        <v>0</v>
      </c>
      <c r="R252" s="337">
        <f t="shared" si="8"/>
        <v>0</v>
      </c>
      <c r="S252" s="337">
        <f t="shared" si="8"/>
        <v>8.5</v>
      </c>
      <c r="T252" s="337">
        <f t="shared" si="8"/>
        <v>0</v>
      </c>
      <c r="U252" s="337">
        <f t="shared" si="8"/>
        <v>0</v>
      </c>
      <c r="V252" s="337">
        <f t="shared" si="8"/>
        <v>0</v>
      </c>
      <c r="W252" s="337">
        <f t="shared" si="8"/>
        <v>0</v>
      </c>
      <c r="X252" s="337">
        <f t="shared" si="8"/>
        <v>0</v>
      </c>
      <c r="Y252" s="285"/>
      <c r="Z252" s="285"/>
      <c r="AA252" s="307"/>
    </row>
    <row r="253" spans="1:27" s="277" customFormat="1" ht="22.5" customHeight="1" thickBot="1">
      <c r="H253" s="338"/>
      <c r="I253" s="338"/>
      <c r="J253" s="338"/>
      <c r="K253" s="338"/>
      <c r="L253" s="339"/>
      <c r="M253" s="339"/>
      <c r="N253" s="339"/>
      <c r="O253" s="339"/>
      <c r="P253" s="339"/>
      <c r="Q253" s="339"/>
      <c r="R253" s="339"/>
      <c r="S253" s="339"/>
      <c r="T253" s="339"/>
      <c r="U253" s="339"/>
      <c r="V253" s="339"/>
      <c r="W253" s="339"/>
      <c r="X253" s="339"/>
      <c r="Y253" s="308"/>
      <c r="Z253" s="308"/>
    </row>
    <row r="254" spans="1:27" s="277" customFormat="1" ht="22.5" customHeight="1" thickBot="1">
      <c r="A254" s="290" t="s">
        <v>177</v>
      </c>
      <c r="B254" s="291" t="s">
        <v>248</v>
      </c>
      <c r="C254" s="291"/>
      <c r="D254" s="291"/>
      <c r="E254" s="291"/>
      <c r="F254" s="291"/>
      <c r="G254" s="291"/>
      <c r="H254" s="344" t="s">
        <v>91</v>
      </c>
      <c r="I254" s="345"/>
      <c r="J254" s="345"/>
      <c r="K254" s="346"/>
      <c r="L254" s="347" t="s">
        <v>90</v>
      </c>
      <c r="M254" s="349" t="s">
        <v>165</v>
      </c>
      <c r="N254" s="349" t="s">
        <v>166</v>
      </c>
      <c r="O254" s="351" t="s">
        <v>167</v>
      </c>
      <c r="P254" s="352"/>
      <c r="Q254" s="353"/>
      <c r="R254" s="349" t="s">
        <v>168</v>
      </c>
      <c r="S254" s="351" t="s">
        <v>19</v>
      </c>
      <c r="T254" s="352"/>
      <c r="U254" s="353"/>
      <c r="V254" s="349" t="s">
        <v>126</v>
      </c>
      <c r="W254" s="349" t="s">
        <v>127</v>
      </c>
      <c r="X254" s="354" t="s">
        <v>105</v>
      </c>
      <c r="Y254" s="285" t="s">
        <v>169</v>
      </c>
      <c r="Z254" s="285"/>
      <c r="AA254" s="307" t="s">
        <v>170</v>
      </c>
    </row>
    <row r="255" spans="1:27" s="277" customFormat="1" ht="22.5" customHeight="1" thickBot="1">
      <c r="A255" s="290" t="s">
        <v>179</v>
      </c>
      <c r="B255" s="291" t="s">
        <v>249</v>
      </c>
      <c r="C255" s="291"/>
      <c r="D255" s="291"/>
      <c r="E255" s="291"/>
      <c r="F255" s="291"/>
      <c r="G255" s="291"/>
      <c r="H255" s="286" t="s">
        <v>173</v>
      </c>
      <c r="I255" s="286" t="s">
        <v>93</v>
      </c>
      <c r="J255" s="286" t="s">
        <v>94</v>
      </c>
      <c r="K255" s="287" t="s">
        <v>174</v>
      </c>
      <c r="L255" s="348"/>
      <c r="M255" s="350"/>
      <c r="N255" s="350"/>
      <c r="O255" s="288" t="s">
        <v>175</v>
      </c>
      <c r="P255" s="288" t="s">
        <v>176</v>
      </c>
      <c r="Q255" s="330" t="s">
        <v>127</v>
      </c>
      <c r="R255" s="350"/>
      <c r="S255" s="288" t="s">
        <v>175</v>
      </c>
      <c r="T255" s="288" t="s">
        <v>176</v>
      </c>
      <c r="U255" s="330" t="s">
        <v>127</v>
      </c>
      <c r="V255" s="350"/>
      <c r="W255" s="350"/>
      <c r="X255" s="355"/>
      <c r="Y255" s="285" t="s">
        <v>171</v>
      </c>
      <c r="Z255" s="285" t="s">
        <v>172</v>
      </c>
      <c r="AA255" s="307"/>
    </row>
    <row r="256" spans="1:27" s="277" customFormat="1" ht="22.5" customHeight="1">
      <c r="A256" s="293" t="s">
        <v>265</v>
      </c>
      <c r="B256" s="301"/>
      <c r="C256" s="301"/>
      <c r="D256" s="302"/>
      <c r="E256" s="302"/>
      <c r="F256" s="356" t="s">
        <v>188</v>
      </c>
      <c r="G256" s="356"/>
      <c r="H256" s="333"/>
      <c r="I256" s="333"/>
      <c r="J256" s="333"/>
      <c r="K256" s="333"/>
      <c r="L256" s="334"/>
      <c r="M256" s="334"/>
      <c r="N256" s="334"/>
      <c r="O256" s="334"/>
      <c r="P256" s="334"/>
      <c r="Q256" s="334"/>
      <c r="R256" s="334"/>
      <c r="S256" s="334"/>
      <c r="T256" s="334"/>
      <c r="U256" s="334"/>
      <c r="V256" s="334"/>
      <c r="W256" s="334"/>
      <c r="X256" s="334"/>
      <c r="Y256" s="303"/>
      <c r="Z256" s="303"/>
      <c r="AA256" s="293"/>
    </row>
    <row r="257" spans="1:27" s="277" customFormat="1" ht="22.5" customHeight="1">
      <c r="A257" s="297" t="s">
        <v>266</v>
      </c>
      <c r="B257" s="298">
        <v>0.40486111111111112</v>
      </c>
      <c r="C257" s="298">
        <v>0.59027777777777779</v>
      </c>
      <c r="D257" s="298">
        <v>0.40486111111111112</v>
      </c>
      <c r="E257" s="298">
        <v>0.59027777777777779</v>
      </c>
      <c r="F257" s="299">
        <v>0.41666666666666669</v>
      </c>
      <c r="G257" s="299">
        <v>0.59027777777777779</v>
      </c>
      <c r="H257" s="335"/>
      <c r="I257" s="335"/>
      <c r="J257" s="335"/>
      <c r="K257" s="335"/>
      <c r="L257" s="336"/>
      <c r="M257" s="336"/>
      <c r="N257" s="336"/>
      <c r="O257" s="336"/>
      <c r="P257" s="336"/>
      <c r="Q257" s="336"/>
      <c r="R257" s="336"/>
      <c r="S257" s="336"/>
      <c r="T257" s="336"/>
      <c r="U257" s="336"/>
      <c r="V257" s="336"/>
      <c r="W257" s="336"/>
      <c r="X257" s="336"/>
      <c r="Y257" s="300">
        <v>0.33333333333333331</v>
      </c>
      <c r="Z257" s="300">
        <v>0.75</v>
      </c>
      <c r="AA257" s="297"/>
    </row>
    <row r="258" spans="1:27" s="277" customFormat="1" ht="22.5" customHeight="1">
      <c r="A258" s="293" t="s">
        <v>266</v>
      </c>
      <c r="B258" s="294">
        <v>0.62777777777777777</v>
      </c>
      <c r="C258" s="294">
        <v>0.79236111111111107</v>
      </c>
      <c r="D258" s="294">
        <v>0.62777777777777777</v>
      </c>
      <c r="E258" s="294">
        <v>0.79236111111111107</v>
      </c>
      <c r="F258" s="295">
        <v>0.63194444444444442</v>
      </c>
      <c r="G258" s="295">
        <v>0.91666666666666663</v>
      </c>
      <c r="H258" s="333"/>
      <c r="I258" s="333"/>
      <c r="J258" s="333"/>
      <c r="K258" s="333"/>
      <c r="L258" s="334">
        <v>1</v>
      </c>
      <c r="M258" s="334"/>
      <c r="N258" s="334"/>
      <c r="O258" s="334"/>
      <c r="P258" s="334"/>
      <c r="Q258" s="334"/>
      <c r="R258" s="334"/>
      <c r="S258" s="334"/>
      <c r="T258" s="334"/>
      <c r="U258" s="334"/>
      <c r="V258" s="334"/>
      <c r="W258" s="334"/>
      <c r="X258" s="334"/>
      <c r="Y258" s="296">
        <v>0.33333333333333331</v>
      </c>
      <c r="Z258" s="296">
        <v>0.75</v>
      </c>
      <c r="AA258" s="293"/>
    </row>
    <row r="259" spans="1:27" s="277" customFormat="1" ht="22.5" customHeight="1">
      <c r="A259" s="297" t="s">
        <v>267</v>
      </c>
      <c r="B259" s="298">
        <v>0.39444444444444443</v>
      </c>
      <c r="C259" s="298">
        <v>0.58819444444444446</v>
      </c>
      <c r="D259" s="298">
        <v>0.39444444444444443</v>
      </c>
      <c r="E259" s="298">
        <v>0.58819444444444446</v>
      </c>
      <c r="F259" s="299">
        <v>0.41666666666666669</v>
      </c>
      <c r="G259" s="299">
        <v>0.58819444444444446</v>
      </c>
      <c r="H259" s="335"/>
      <c r="I259" s="335"/>
      <c r="J259" s="335"/>
      <c r="K259" s="335"/>
      <c r="L259" s="336"/>
      <c r="M259" s="336"/>
      <c r="N259" s="336"/>
      <c r="O259" s="336"/>
      <c r="P259" s="336"/>
      <c r="Q259" s="336"/>
      <c r="R259" s="336"/>
      <c r="S259" s="336"/>
      <c r="T259" s="336"/>
      <c r="U259" s="336"/>
      <c r="V259" s="336"/>
      <c r="W259" s="336"/>
      <c r="X259" s="336"/>
      <c r="Y259" s="300">
        <v>0.33333333333333331</v>
      </c>
      <c r="Z259" s="300">
        <v>0.75</v>
      </c>
      <c r="AA259" s="297"/>
    </row>
    <row r="260" spans="1:27" s="277" customFormat="1" ht="22.5" customHeight="1">
      <c r="A260" s="293" t="s">
        <v>267</v>
      </c>
      <c r="B260" s="294">
        <v>0.62430555555555556</v>
      </c>
      <c r="C260" s="294">
        <v>0.79722222222222217</v>
      </c>
      <c r="D260" s="294">
        <v>0.62430555555555556</v>
      </c>
      <c r="E260" s="294">
        <v>0.79722222222222217</v>
      </c>
      <c r="F260" s="295">
        <v>0.62986111111111109</v>
      </c>
      <c r="G260" s="295">
        <v>0.79166666666666663</v>
      </c>
      <c r="H260" s="333"/>
      <c r="I260" s="333"/>
      <c r="J260" s="333"/>
      <c r="K260" s="333"/>
      <c r="L260" s="334">
        <v>1</v>
      </c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334"/>
      <c r="Y260" s="296">
        <v>0.33333333333333331</v>
      </c>
      <c r="Z260" s="296">
        <v>0.75</v>
      </c>
      <c r="AA260" s="293"/>
    </row>
    <row r="261" spans="1:27" s="277" customFormat="1" ht="22.5" customHeight="1">
      <c r="A261" s="297" t="s">
        <v>269</v>
      </c>
      <c r="B261" s="298">
        <v>0.40833333333333338</v>
      </c>
      <c r="C261" s="298">
        <v>0.5854166666666667</v>
      </c>
      <c r="D261" s="298">
        <v>0.40833333333333338</v>
      </c>
      <c r="E261" s="298">
        <v>0.5854166666666667</v>
      </c>
      <c r="F261" s="299">
        <v>0.41666666666666669</v>
      </c>
      <c r="G261" s="299">
        <v>0.5854166666666667</v>
      </c>
      <c r="H261" s="335"/>
      <c r="I261" s="335"/>
      <c r="J261" s="335"/>
      <c r="K261" s="335"/>
      <c r="L261" s="336"/>
      <c r="M261" s="336"/>
      <c r="N261" s="336"/>
      <c r="O261" s="336"/>
      <c r="P261" s="336"/>
      <c r="Q261" s="336"/>
      <c r="R261" s="336"/>
      <c r="S261" s="336"/>
      <c r="T261" s="336"/>
      <c r="U261" s="336"/>
      <c r="V261" s="336"/>
      <c r="W261" s="336"/>
      <c r="X261" s="336"/>
      <c r="Y261" s="300">
        <v>0.33333333333333331</v>
      </c>
      <c r="Z261" s="300">
        <v>0.75</v>
      </c>
      <c r="AA261" s="297"/>
    </row>
    <row r="262" spans="1:27" s="277" customFormat="1" ht="22.5" customHeight="1">
      <c r="A262" s="293" t="s">
        <v>269</v>
      </c>
      <c r="B262" s="294">
        <v>0.62361111111111112</v>
      </c>
      <c r="C262" s="294">
        <v>0.79583333333333339</v>
      </c>
      <c r="D262" s="294">
        <v>0.62361111111111112</v>
      </c>
      <c r="E262" s="294">
        <v>0.79583333333333339</v>
      </c>
      <c r="F262" s="295">
        <v>0.62708333333333333</v>
      </c>
      <c r="G262" s="295">
        <v>0.79166666666666663</v>
      </c>
      <c r="H262" s="333"/>
      <c r="I262" s="333"/>
      <c r="J262" s="333"/>
      <c r="K262" s="333"/>
      <c r="L262" s="334">
        <v>1</v>
      </c>
      <c r="M262" s="334"/>
      <c r="N262" s="334"/>
      <c r="O262" s="334"/>
      <c r="P262" s="334"/>
      <c r="Q262" s="334"/>
      <c r="R262" s="334"/>
      <c r="S262" s="334"/>
      <c r="T262" s="334"/>
      <c r="U262" s="334"/>
      <c r="V262" s="334"/>
      <c r="W262" s="334"/>
      <c r="X262" s="334"/>
      <c r="Y262" s="296">
        <v>0.33333333333333331</v>
      </c>
      <c r="Z262" s="296">
        <v>0.75</v>
      </c>
      <c r="AA262" s="293"/>
    </row>
    <row r="263" spans="1:27" s="277" customFormat="1" ht="22.5" customHeight="1">
      <c r="A263" s="293" t="s">
        <v>270</v>
      </c>
      <c r="B263" s="294">
        <v>0.42986111111111108</v>
      </c>
      <c r="C263" s="294">
        <v>0.58611111111111114</v>
      </c>
      <c r="D263" s="294">
        <v>0.42986111111111108</v>
      </c>
      <c r="E263" s="294">
        <v>0.58611111111111114</v>
      </c>
      <c r="F263" s="295">
        <v>0.45833333333333331</v>
      </c>
      <c r="G263" s="295">
        <v>0.58611111111111114</v>
      </c>
      <c r="H263" s="333"/>
      <c r="I263" s="333"/>
      <c r="J263" s="333"/>
      <c r="K263" s="333"/>
      <c r="L263" s="334"/>
      <c r="M263" s="334"/>
      <c r="N263" s="334"/>
      <c r="O263" s="334"/>
      <c r="P263" s="334"/>
      <c r="Q263" s="334"/>
      <c r="R263" s="334"/>
      <c r="S263" s="334"/>
      <c r="T263" s="334"/>
      <c r="U263" s="334"/>
      <c r="V263" s="334"/>
      <c r="W263" s="334"/>
      <c r="X263" s="334"/>
      <c r="Y263" s="296">
        <v>0.33333333333333331</v>
      </c>
      <c r="Z263" s="296">
        <v>0.75</v>
      </c>
      <c r="AA263" s="293"/>
    </row>
    <row r="264" spans="1:27" s="277" customFormat="1" ht="22.5" customHeight="1">
      <c r="A264" s="297" t="s">
        <v>270</v>
      </c>
      <c r="B264" s="298">
        <v>0.62569444444444444</v>
      </c>
      <c r="C264" s="298">
        <v>0.79375000000000007</v>
      </c>
      <c r="D264" s="298">
        <v>0.62569444444444444</v>
      </c>
      <c r="E264" s="298">
        <v>0.79375000000000007</v>
      </c>
      <c r="F264" s="299">
        <v>0.62777777777777777</v>
      </c>
      <c r="G264" s="299">
        <v>0.79166666666666663</v>
      </c>
      <c r="H264" s="335"/>
      <c r="I264" s="335"/>
      <c r="J264" s="335"/>
      <c r="K264" s="335"/>
      <c r="L264" s="336">
        <v>1</v>
      </c>
      <c r="M264" s="336"/>
      <c r="N264" s="336"/>
      <c r="O264" s="336"/>
      <c r="P264" s="336"/>
      <c r="Q264" s="336"/>
      <c r="R264" s="336"/>
      <c r="S264" s="336"/>
      <c r="T264" s="336"/>
      <c r="U264" s="336"/>
      <c r="V264" s="336"/>
      <c r="W264" s="336"/>
      <c r="X264" s="336"/>
      <c r="Y264" s="300">
        <v>0.33333333333333331</v>
      </c>
      <c r="Z264" s="300">
        <v>0.75</v>
      </c>
      <c r="AA264" s="297"/>
    </row>
    <row r="265" spans="1:27" s="277" customFormat="1" ht="22.5" customHeight="1">
      <c r="A265" s="293" t="s">
        <v>271</v>
      </c>
      <c r="B265" s="294">
        <v>0.40416666666666662</v>
      </c>
      <c r="C265" s="294">
        <v>0.58472222222222225</v>
      </c>
      <c r="D265" s="294">
        <v>0.40416666666666662</v>
      </c>
      <c r="E265" s="294">
        <v>0.58472222222222225</v>
      </c>
      <c r="F265" s="295">
        <v>0.41666666666666669</v>
      </c>
      <c r="G265" s="295">
        <v>0.58472222222222225</v>
      </c>
      <c r="H265" s="333"/>
      <c r="I265" s="333"/>
      <c r="J265" s="333"/>
      <c r="K265" s="333"/>
      <c r="L265" s="334"/>
      <c r="M265" s="334"/>
      <c r="N265" s="334"/>
      <c r="O265" s="334"/>
      <c r="P265" s="334"/>
      <c r="Q265" s="334"/>
      <c r="R265" s="334"/>
      <c r="S265" s="334"/>
      <c r="T265" s="334"/>
      <c r="U265" s="334"/>
      <c r="V265" s="334"/>
      <c r="W265" s="334"/>
      <c r="X265" s="334"/>
      <c r="Y265" s="296">
        <v>0.33333333333333331</v>
      </c>
      <c r="Z265" s="296">
        <v>0.75</v>
      </c>
      <c r="AA265" s="293"/>
    </row>
    <row r="266" spans="1:27" s="277" customFormat="1" ht="22.5" customHeight="1">
      <c r="A266" s="297" t="s">
        <v>271</v>
      </c>
      <c r="B266" s="298">
        <v>0.62430555555555556</v>
      </c>
      <c r="C266" s="298">
        <v>0.79791666666666661</v>
      </c>
      <c r="D266" s="298">
        <v>0.62430555555555556</v>
      </c>
      <c r="E266" s="298">
        <v>0.79791666666666661</v>
      </c>
      <c r="F266" s="299">
        <v>0.62638888888888888</v>
      </c>
      <c r="G266" s="299">
        <v>0.79166666666666663</v>
      </c>
      <c r="H266" s="335"/>
      <c r="I266" s="335"/>
      <c r="J266" s="335"/>
      <c r="K266" s="335"/>
      <c r="L266" s="336">
        <v>1</v>
      </c>
      <c r="M266" s="336"/>
      <c r="N266" s="336"/>
      <c r="O266" s="336"/>
      <c r="P266" s="336"/>
      <c r="Q266" s="336"/>
      <c r="R266" s="336"/>
      <c r="S266" s="336"/>
      <c r="T266" s="336"/>
      <c r="U266" s="336"/>
      <c r="V266" s="336"/>
      <c r="W266" s="336"/>
      <c r="X266" s="336"/>
      <c r="Y266" s="300">
        <v>0.33333333333333331</v>
      </c>
      <c r="Z266" s="300">
        <v>0.75</v>
      </c>
      <c r="AA266" s="297"/>
    </row>
    <row r="267" spans="1:27" s="277" customFormat="1" ht="22.5" customHeight="1">
      <c r="A267" s="297" t="s">
        <v>273</v>
      </c>
      <c r="B267" s="298">
        <v>0.41736111111111113</v>
      </c>
      <c r="C267" s="298">
        <v>0.6118055555555556</v>
      </c>
      <c r="D267" s="298">
        <v>0.41736111111111113</v>
      </c>
      <c r="E267" s="298">
        <v>0.6118055555555556</v>
      </c>
      <c r="F267" s="299">
        <v>0.41666666666666669</v>
      </c>
      <c r="G267" s="299">
        <v>0.6118055555555556</v>
      </c>
      <c r="H267" s="335"/>
      <c r="I267" s="335"/>
      <c r="J267" s="335"/>
      <c r="K267" s="335"/>
      <c r="L267" s="336"/>
      <c r="M267" s="336"/>
      <c r="N267" s="336"/>
      <c r="O267" s="336"/>
      <c r="P267" s="336"/>
      <c r="Q267" s="336"/>
      <c r="R267" s="336"/>
      <c r="S267" s="336"/>
      <c r="T267" s="336"/>
      <c r="U267" s="336"/>
      <c r="V267" s="336"/>
      <c r="W267" s="336"/>
      <c r="X267" s="336"/>
      <c r="Y267" s="300">
        <v>0.33333333333333331</v>
      </c>
      <c r="Z267" s="300">
        <v>0.75</v>
      </c>
      <c r="AA267" s="297"/>
    </row>
    <row r="268" spans="1:27" s="277" customFormat="1" ht="22.5" customHeight="1">
      <c r="A268" s="293" t="s">
        <v>273</v>
      </c>
      <c r="B268" s="294">
        <v>0.65138888888888891</v>
      </c>
      <c r="C268" s="294">
        <v>0.79305555555555562</v>
      </c>
      <c r="D268" s="294">
        <v>0.65138888888888891</v>
      </c>
      <c r="E268" s="294">
        <v>0.79305555555555562</v>
      </c>
      <c r="F268" s="295">
        <v>0.65347222222222223</v>
      </c>
      <c r="G268" s="295">
        <v>0.5</v>
      </c>
      <c r="H268" s="333"/>
      <c r="I268" s="333"/>
      <c r="J268" s="333"/>
      <c r="K268" s="333"/>
      <c r="L268" s="334">
        <v>1</v>
      </c>
      <c r="M268" s="334"/>
      <c r="N268" s="334"/>
      <c r="O268" s="334"/>
      <c r="P268" s="334"/>
      <c r="Q268" s="334"/>
      <c r="R268" s="334"/>
      <c r="S268" s="334"/>
      <c r="T268" s="334"/>
      <c r="U268" s="334"/>
      <c r="V268" s="334"/>
      <c r="W268" s="334"/>
      <c r="X268" s="334"/>
      <c r="Y268" s="296">
        <v>0.33333333333333331</v>
      </c>
      <c r="Z268" s="296">
        <v>0.75</v>
      </c>
      <c r="AA268" s="293"/>
    </row>
    <row r="269" spans="1:27" s="277" customFormat="1" ht="22.5" customHeight="1">
      <c r="A269" s="297" t="s">
        <v>274</v>
      </c>
      <c r="B269" s="304"/>
      <c r="C269" s="304"/>
      <c r="D269" s="305"/>
      <c r="E269" s="305"/>
      <c r="F269" s="357" t="s">
        <v>188</v>
      </c>
      <c r="G269" s="357"/>
      <c r="H269" s="335"/>
      <c r="I269" s="335"/>
      <c r="J269" s="335"/>
      <c r="K269" s="335"/>
      <c r="L269" s="336"/>
      <c r="M269" s="336"/>
      <c r="N269" s="336"/>
      <c r="O269" s="336"/>
      <c r="P269" s="336"/>
      <c r="Q269" s="336"/>
      <c r="R269" s="336"/>
      <c r="S269" s="336"/>
      <c r="T269" s="336"/>
      <c r="U269" s="336"/>
      <c r="V269" s="336"/>
      <c r="W269" s="336"/>
      <c r="X269" s="336"/>
      <c r="Y269" s="306"/>
      <c r="Z269" s="306"/>
      <c r="AA269" s="297"/>
    </row>
    <row r="270" spans="1:27" s="277" customFormat="1" ht="22.5" customHeight="1">
      <c r="A270" s="293" t="s">
        <v>275</v>
      </c>
      <c r="B270" s="294">
        <v>0.44444444444444442</v>
      </c>
      <c r="C270" s="294">
        <v>0.62847222222222221</v>
      </c>
      <c r="D270" s="294">
        <v>0.44444444444444442</v>
      </c>
      <c r="E270" s="294">
        <v>0.62847222222222221</v>
      </c>
      <c r="F270" s="295">
        <v>0.45833333333333331</v>
      </c>
      <c r="G270" s="295">
        <v>0.62847222222222221</v>
      </c>
      <c r="H270" s="333"/>
      <c r="I270" s="333"/>
      <c r="J270" s="333"/>
      <c r="K270" s="333"/>
      <c r="L270" s="334"/>
      <c r="M270" s="334"/>
      <c r="N270" s="334"/>
      <c r="O270" s="334"/>
      <c r="P270" s="334"/>
      <c r="Q270" s="334"/>
      <c r="R270" s="334"/>
      <c r="S270" s="334"/>
      <c r="T270" s="334"/>
      <c r="U270" s="334"/>
      <c r="V270" s="334"/>
      <c r="W270" s="334"/>
      <c r="X270" s="334"/>
      <c r="Y270" s="296">
        <v>0.33333333333333331</v>
      </c>
      <c r="Z270" s="296">
        <v>0.75</v>
      </c>
      <c r="AA270" s="293"/>
    </row>
    <row r="271" spans="1:27" s="277" customFormat="1" ht="22.5" customHeight="1">
      <c r="A271" s="297" t="s">
        <v>275</v>
      </c>
      <c r="B271" s="298">
        <v>0.75138888888888899</v>
      </c>
      <c r="C271" s="298">
        <v>0.92013888888888884</v>
      </c>
      <c r="D271" s="298">
        <v>0.75138888888888899</v>
      </c>
      <c r="E271" s="298">
        <v>0.92013888888888884</v>
      </c>
      <c r="F271" s="299">
        <v>0.75347222222222221</v>
      </c>
      <c r="G271" s="299">
        <v>0.91666666666666663</v>
      </c>
      <c r="H271" s="335"/>
      <c r="I271" s="335"/>
      <c r="J271" s="335"/>
      <c r="K271" s="335"/>
      <c r="L271" s="336">
        <v>1</v>
      </c>
      <c r="M271" s="336"/>
      <c r="N271" s="336"/>
      <c r="O271" s="336"/>
      <c r="P271" s="336"/>
      <c r="Q271" s="336"/>
      <c r="R271" s="336"/>
      <c r="S271" s="336"/>
      <c r="T271" s="336"/>
      <c r="U271" s="336"/>
      <c r="V271" s="336"/>
      <c r="W271" s="336"/>
      <c r="X271" s="336"/>
      <c r="Y271" s="300">
        <v>0.33333333333333331</v>
      </c>
      <c r="Z271" s="300">
        <v>0.75</v>
      </c>
      <c r="AA271" s="297"/>
    </row>
    <row r="272" spans="1:27" s="277" customFormat="1" ht="22.5" customHeight="1">
      <c r="A272" s="293" t="s">
        <v>276</v>
      </c>
      <c r="B272" s="294">
        <v>0.45208333333333334</v>
      </c>
      <c r="C272" s="294">
        <v>0.62569444444444444</v>
      </c>
      <c r="D272" s="294">
        <v>0.45208333333333334</v>
      </c>
      <c r="E272" s="294">
        <v>0.62569444444444444</v>
      </c>
      <c r="F272" s="295">
        <v>0.45833333333333331</v>
      </c>
      <c r="G272" s="295">
        <v>0.62569444444444444</v>
      </c>
      <c r="H272" s="333"/>
      <c r="I272" s="333"/>
      <c r="J272" s="333"/>
      <c r="K272" s="333"/>
      <c r="L272" s="334"/>
      <c r="M272" s="334"/>
      <c r="N272" s="334"/>
      <c r="O272" s="334"/>
      <c r="P272" s="334"/>
      <c r="Q272" s="334"/>
      <c r="R272" s="334"/>
      <c r="S272" s="334"/>
      <c r="T272" s="334"/>
      <c r="U272" s="334"/>
      <c r="V272" s="334"/>
      <c r="W272" s="334"/>
      <c r="X272" s="334"/>
      <c r="Y272" s="296">
        <v>0.33333333333333331</v>
      </c>
      <c r="Z272" s="296">
        <v>0.75</v>
      </c>
      <c r="AA272" s="293"/>
    </row>
    <row r="273" spans="1:27" s="277" customFormat="1" ht="22.5" customHeight="1">
      <c r="A273" s="297" t="s">
        <v>276</v>
      </c>
      <c r="B273" s="298">
        <v>0.75138888888888899</v>
      </c>
      <c r="C273" s="298">
        <v>0.91666666666666663</v>
      </c>
      <c r="D273" s="298">
        <v>0.75138888888888899</v>
      </c>
      <c r="E273" s="298">
        <v>0.91666666666666663</v>
      </c>
      <c r="F273" s="299">
        <v>0.75069444444444444</v>
      </c>
      <c r="G273" s="299">
        <v>0.91666666666666663</v>
      </c>
      <c r="H273" s="335"/>
      <c r="I273" s="335"/>
      <c r="J273" s="335"/>
      <c r="K273" s="335"/>
      <c r="L273" s="336">
        <v>1</v>
      </c>
      <c r="M273" s="336">
        <f>1/60</f>
        <v>1.6666666666666666E-2</v>
      </c>
      <c r="N273" s="336"/>
      <c r="O273" s="336"/>
      <c r="P273" s="336"/>
      <c r="Q273" s="336"/>
      <c r="R273" s="336"/>
      <c r="S273" s="336"/>
      <c r="T273" s="336"/>
      <c r="U273" s="336"/>
      <c r="V273" s="336"/>
      <c r="W273" s="336"/>
      <c r="X273" s="336"/>
      <c r="Y273" s="300">
        <v>0.33333333333333331</v>
      </c>
      <c r="Z273" s="300">
        <v>0.75</v>
      </c>
      <c r="AA273" s="297"/>
    </row>
    <row r="274" spans="1:27" s="277" customFormat="1" ht="22.5" customHeight="1">
      <c r="A274" s="293" t="s">
        <v>277</v>
      </c>
      <c r="B274" s="294">
        <v>0.44027777777777777</v>
      </c>
      <c r="C274" s="294">
        <v>0.62847222222222221</v>
      </c>
      <c r="D274" s="294">
        <v>0.44027777777777777</v>
      </c>
      <c r="E274" s="294">
        <v>0.62847222222222221</v>
      </c>
      <c r="F274" s="295">
        <v>0.45833333333333331</v>
      </c>
      <c r="G274" s="295">
        <v>0.62847222222222221</v>
      </c>
      <c r="H274" s="333"/>
      <c r="I274" s="333"/>
      <c r="J274" s="333"/>
      <c r="K274" s="333"/>
      <c r="L274" s="334"/>
      <c r="M274" s="334"/>
      <c r="N274" s="334"/>
      <c r="O274" s="334"/>
      <c r="P274" s="334"/>
      <c r="Q274" s="334"/>
      <c r="R274" s="334"/>
      <c r="S274" s="334"/>
      <c r="T274" s="334"/>
      <c r="U274" s="334"/>
      <c r="V274" s="334"/>
      <c r="W274" s="334"/>
      <c r="X274" s="334"/>
      <c r="Y274" s="296">
        <v>0.33333333333333331</v>
      </c>
      <c r="Z274" s="296">
        <v>0.75</v>
      </c>
      <c r="AA274" s="293"/>
    </row>
    <row r="275" spans="1:27" s="277" customFormat="1" ht="22.5" customHeight="1">
      <c r="A275" s="297" t="s">
        <v>277</v>
      </c>
      <c r="B275" s="298">
        <v>0.75624999999999998</v>
      </c>
      <c r="C275" s="298">
        <v>0.97916666666666663</v>
      </c>
      <c r="D275" s="298">
        <v>0.75624999999999998</v>
      </c>
      <c r="E275" s="298">
        <v>0.97916666666666663</v>
      </c>
      <c r="F275" s="299">
        <v>0.75347222222222221</v>
      </c>
      <c r="G275" s="299">
        <v>0.91666666666666663</v>
      </c>
      <c r="H275" s="335"/>
      <c r="I275" s="335"/>
      <c r="J275" s="335"/>
      <c r="K275" s="335"/>
      <c r="L275" s="336">
        <v>1</v>
      </c>
      <c r="M275" s="336">
        <f>4/60</f>
        <v>6.6666666666666666E-2</v>
      </c>
      <c r="N275" s="336"/>
      <c r="O275" s="336"/>
      <c r="P275" s="336"/>
      <c r="Q275" s="336"/>
      <c r="R275" s="336"/>
      <c r="S275" s="336"/>
      <c r="T275" s="336"/>
      <c r="U275" s="336"/>
      <c r="V275" s="336"/>
      <c r="W275" s="336"/>
      <c r="X275" s="336"/>
      <c r="Y275" s="300">
        <v>0.33333333333333331</v>
      </c>
      <c r="Z275" s="300">
        <v>0.75</v>
      </c>
      <c r="AA275" s="297"/>
    </row>
    <row r="276" spans="1:27" s="277" customFormat="1" ht="22.5" customHeight="1">
      <c r="A276" s="293" t="s">
        <v>278</v>
      </c>
      <c r="B276" s="294">
        <v>0.45763888888888887</v>
      </c>
      <c r="C276" s="294">
        <v>0.62777777777777777</v>
      </c>
      <c r="D276" s="294">
        <v>0.45763888888888887</v>
      </c>
      <c r="E276" s="294">
        <v>0.62777777777777777</v>
      </c>
      <c r="F276" s="295">
        <v>0.45833333333333331</v>
      </c>
      <c r="G276" s="295">
        <v>0.62777777777777777</v>
      </c>
      <c r="H276" s="333"/>
      <c r="I276" s="333"/>
      <c r="J276" s="333"/>
      <c r="K276" s="333"/>
      <c r="L276" s="334"/>
      <c r="M276" s="334"/>
      <c r="N276" s="334"/>
      <c r="O276" s="334"/>
      <c r="P276" s="334"/>
      <c r="Q276" s="334"/>
      <c r="R276" s="334"/>
      <c r="S276" s="334"/>
      <c r="T276" s="334"/>
      <c r="U276" s="334"/>
      <c r="V276" s="334"/>
      <c r="W276" s="334"/>
      <c r="X276" s="334"/>
      <c r="Y276" s="296">
        <v>0.33333333333333331</v>
      </c>
      <c r="Z276" s="296">
        <v>0.75</v>
      </c>
      <c r="AA276" s="293"/>
    </row>
    <row r="277" spans="1:27" s="277" customFormat="1" ht="22.5" customHeight="1">
      <c r="A277" s="297" t="s">
        <v>278</v>
      </c>
      <c r="B277" s="298">
        <v>0.75069444444444444</v>
      </c>
      <c r="C277" s="298">
        <v>0.97916666666666663</v>
      </c>
      <c r="D277" s="298">
        <v>0.75069444444444444</v>
      </c>
      <c r="E277" s="298">
        <v>0.97916666666666663</v>
      </c>
      <c r="F277" s="299">
        <v>0.75277777777777777</v>
      </c>
      <c r="G277" s="299">
        <v>0.91666666666666663</v>
      </c>
      <c r="H277" s="335"/>
      <c r="I277" s="335"/>
      <c r="J277" s="335"/>
      <c r="K277" s="335"/>
      <c r="L277" s="336">
        <v>1</v>
      </c>
      <c r="M277" s="336"/>
      <c r="N277" s="336"/>
      <c r="O277" s="336"/>
      <c r="P277" s="336"/>
      <c r="Q277" s="336"/>
      <c r="R277" s="336"/>
      <c r="S277" s="336">
        <v>1.5</v>
      </c>
      <c r="T277" s="336"/>
      <c r="U277" s="336"/>
      <c r="V277" s="336"/>
      <c r="W277" s="336"/>
      <c r="X277" s="336"/>
      <c r="Y277" s="300">
        <v>0.33333333333333331</v>
      </c>
      <c r="Z277" s="300">
        <v>0.75</v>
      </c>
      <c r="AA277" s="297"/>
    </row>
    <row r="278" spans="1:27" s="277" customFormat="1" ht="22.5" customHeight="1">
      <c r="A278" s="297" t="s">
        <v>279</v>
      </c>
      <c r="B278" s="298">
        <v>0.47500000000000003</v>
      </c>
      <c r="C278" s="298">
        <v>0.63472222222222219</v>
      </c>
      <c r="D278" s="298">
        <v>0.47500000000000003</v>
      </c>
      <c r="E278" s="298">
        <v>0.63472222222222219</v>
      </c>
      <c r="F278" s="357"/>
      <c r="G278" s="357"/>
      <c r="H278" s="335"/>
      <c r="I278" s="335"/>
      <c r="J278" s="335"/>
      <c r="K278" s="335"/>
      <c r="L278" s="336"/>
      <c r="M278" s="336"/>
      <c r="N278" s="336"/>
      <c r="O278" s="336"/>
      <c r="P278" s="336"/>
      <c r="Q278" s="336"/>
      <c r="R278" s="336"/>
      <c r="S278" s="336"/>
      <c r="T278" s="336"/>
      <c r="U278" s="336"/>
      <c r="V278" s="336"/>
      <c r="W278" s="336"/>
      <c r="X278" s="336"/>
      <c r="Y278" s="300">
        <v>0.33333333333333331</v>
      </c>
      <c r="Z278" s="300">
        <v>0.75</v>
      </c>
      <c r="AA278" s="297"/>
    </row>
    <row r="279" spans="1:27" s="277" customFormat="1" ht="22.5" customHeight="1">
      <c r="A279" s="293" t="s">
        <v>279</v>
      </c>
      <c r="B279" s="294">
        <v>0.75138888888888899</v>
      </c>
      <c r="C279" s="294">
        <v>0.97916666666666663</v>
      </c>
      <c r="D279" s="294">
        <v>0.75138888888888899</v>
      </c>
      <c r="E279" s="294">
        <v>0.97916666666666663</v>
      </c>
      <c r="F279" s="356" t="s">
        <v>202</v>
      </c>
      <c r="G279" s="356"/>
      <c r="H279" s="333"/>
      <c r="I279" s="333"/>
      <c r="J279" s="333"/>
      <c r="K279" s="333"/>
      <c r="L279" s="334">
        <v>1</v>
      </c>
      <c r="M279" s="334"/>
      <c r="N279" s="334"/>
      <c r="O279" s="334"/>
      <c r="P279" s="334"/>
      <c r="Q279" s="334"/>
      <c r="R279" s="334"/>
      <c r="S279" s="334">
        <v>1.5</v>
      </c>
      <c r="T279" s="334"/>
      <c r="U279" s="334"/>
      <c r="V279" s="334"/>
      <c r="W279" s="334"/>
      <c r="X279" s="334"/>
      <c r="Y279" s="296">
        <v>0.33333333333333331</v>
      </c>
      <c r="Z279" s="296">
        <v>0.75</v>
      </c>
      <c r="AA279" s="293"/>
    </row>
    <row r="280" spans="1:27" s="277" customFormat="1" ht="22.5" customHeight="1">
      <c r="A280" s="293" t="s">
        <v>281</v>
      </c>
      <c r="B280" s="294">
        <v>0.45</v>
      </c>
      <c r="C280" s="294">
        <v>0.6381944444444444</v>
      </c>
      <c r="D280" s="294">
        <v>0.45</v>
      </c>
      <c r="E280" s="294">
        <v>0.6381944444444444</v>
      </c>
      <c r="F280" s="356"/>
      <c r="G280" s="356"/>
      <c r="H280" s="333"/>
      <c r="I280" s="333"/>
      <c r="J280" s="333"/>
      <c r="K280" s="333"/>
      <c r="L280" s="334"/>
      <c r="M280" s="334"/>
      <c r="N280" s="334"/>
      <c r="O280" s="334"/>
      <c r="P280" s="334"/>
      <c r="Q280" s="334"/>
      <c r="R280" s="334"/>
      <c r="S280" s="334"/>
      <c r="T280" s="334"/>
      <c r="U280" s="334"/>
      <c r="V280" s="334"/>
      <c r="W280" s="334"/>
      <c r="X280" s="334"/>
      <c r="Y280" s="296">
        <v>0.33333333333333331</v>
      </c>
      <c r="Z280" s="296">
        <v>0.75</v>
      </c>
      <c r="AA280" s="293"/>
    </row>
    <row r="281" spans="1:27" s="277" customFormat="1" ht="22.5" customHeight="1">
      <c r="A281" s="297" t="s">
        <v>281</v>
      </c>
      <c r="B281" s="298">
        <v>0.6958333333333333</v>
      </c>
      <c r="C281" s="298">
        <v>0.875</v>
      </c>
      <c r="D281" s="298">
        <v>0.6958333333333333</v>
      </c>
      <c r="E281" s="298">
        <v>0.875</v>
      </c>
      <c r="F281" s="424" t="s">
        <v>304</v>
      </c>
      <c r="G281" s="357"/>
      <c r="H281" s="335"/>
      <c r="I281" s="335"/>
      <c r="J281" s="335"/>
      <c r="K281" s="335"/>
      <c r="L281" s="336">
        <v>1</v>
      </c>
      <c r="M281" s="336"/>
      <c r="N281" s="336"/>
      <c r="O281" s="336"/>
      <c r="P281" s="336"/>
      <c r="Q281" s="336"/>
      <c r="R281" s="336"/>
      <c r="S281" s="336"/>
      <c r="T281" s="336"/>
      <c r="U281" s="336"/>
      <c r="V281" s="336"/>
      <c r="W281" s="336"/>
      <c r="X281" s="336"/>
      <c r="Y281" s="300">
        <v>0.33333333333333331</v>
      </c>
      <c r="Z281" s="300">
        <v>0.75</v>
      </c>
      <c r="AA281" s="297"/>
    </row>
    <row r="282" spans="1:27" s="277" customFormat="1" ht="22.5" customHeight="1">
      <c r="A282" s="293" t="s">
        <v>282</v>
      </c>
      <c r="B282" s="301"/>
      <c r="C282" s="301"/>
      <c r="D282" s="302"/>
      <c r="E282" s="302"/>
      <c r="F282" s="356" t="s">
        <v>188</v>
      </c>
      <c r="G282" s="356"/>
      <c r="H282" s="333"/>
      <c r="I282" s="333"/>
      <c r="J282" s="333"/>
      <c r="K282" s="333"/>
      <c r="L282" s="334"/>
      <c r="M282" s="334"/>
      <c r="N282" s="334"/>
      <c r="O282" s="334"/>
      <c r="P282" s="334"/>
      <c r="Q282" s="334"/>
      <c r="R282" s="334"/>
      <c r="S282" s="334"/>
      <c r="T282" s="334"/>
      <c r="U282" s="334"/>
      <c r="V282" s="334"/>
      <c r="W282" s="334"/>
      <c r="X282" s="334"/>
      <c r="Y282" s="303"/>
      <c r="Z282" s="303"/>
      <c r="AA282" s="293"/>
    </row>
    <row r="283" spans="1:27" s="277" customFormat="1" ht="22.5" customHeight="1">
      <c r="A283" s="307" t="s">
        <v>3</v>
      </c>
      <c r="B283" s="307"/>
      <c r="C283" s="307"/>
      <c r="D283" s="307"/>
      <c r="E283" s="307"/>
      <c r="F283" s="307"/>
      <c r="G283" s="307"/>
      <c r="H283" s="337">
        <f>SUM(H256:H282)</f>
        <v>0</v>
      </c>
      <c r="I283" s="337">
        <f t="shared" ref="I283:X283" si="9">SUM(I256:I282)</f>
        <v>0</v>
      </c>
      <c r="J283" s="337">
        <f t="shared" si="9"/>
        <v>0</v>
      </c>
      <c r="K283" s="337">
        <f t="shared" si="9"/>
        <v>0</v>
      </c>
      <c r="L283" s="337">
        <f t="shared" si="9"/>
        <v>12</v>
      </c>
      <c r="M283" s="337">
        <f t="shared" si="9"/>
        <v>8.3333333333333329E-2</v>
      </c>
      <c r="N283" s="337">
        <f t="shared" si="9"/>
        <v>0</v>
      </c>
      <c r="O283" s="337">
        <f t="shared" si="9"/>
        <v>0</v>
      </c>
      <c r="P283" s="337">
        <f t="shared" si="9"/>
        <v>0</v>
      </c>
      <c r="Q283" s="337">
        <f t="shared" si="9"/>
        <v>0</v>
      </c>
      <c r="R283" s="337">
        <f t="shared" si="9"/>
        <v>0</v>
      </c>
      <c r="S283" s="337">
        <f t="shared" si="9"/>
        <v>3</v>
      </c>
      <c r="T283" s="337">
        <f t="shared" si="9"/>
        <v>0</v>
      </c>
      <c r="U283" s="337">
        <f t="shared" si="9"/>
        <v>0</v>
      </c>
      <c r="V283" s="337">
        <f t="shared" si="9"/>
        <v>0</v>
      </c>
      <c r="W283" s="337">
        <f t="shared" si="9"/>
        <v>0</v>
      </c>
      <c r="X283" s="337">
        <f t="shared" si="9"/>
        <v>0</v>
      </c>
      <c r="Y283" s="285"/>
      <c r="Z283" s="285"/>
      <c r="AA283" s="307"/>
    </row>
    <row r="284" spans="1:27" s="277" customFormat="1" ht="22.5" customHeight="1" thickBot="1">
      <c r="H284" s="338"/>
      <c r="I284" s="338"/>
      <c r="J284" s="338"/>
      <c r="K284" s="338"/>
      <c r="L284" s="339"/>
      <c r="M284" s="339"/>
      <c r="N284" s="339"/>
      <c r="O284" s="339"/>
      <c r="P284" s="339"/>
      <c r="Q284" s="339"/>
      <c r="R284" s="339"/>
      <c r="S284" s="339"/>
      <c r="T284" s="339"/>
      <c r="U284" s="339"/>
      <c r="V284" s="339"/>
      <c r="W284" s="339"/>
      <c r="X284" s="339"/>
      <c r="Y284" s="308"/>
      <c r="Z284" s="308"/>
    </row>
    <row r="285" spans="1:27" s="277" customFormat="1" ht="22.5" customHeight="1" thickBot="1">
      <c r="A285" s="290" t="s">
        <v>177</v>
      </c>
      <c r="B285" s="291" t="s">
        <v>251</v>
      </c>
      <c r="C285" s="291"/>
      <c r="D285" s="291"/>
      <c r="E285" s="291"/>
      <c r="F285" s="291"/>
      <c r="G285" s="291"/>
      <c r="H285" s="344" t="s">
        <v>91</v>
      </c>
      <c r="I285" s="345"/>
      <c r="J285" s="345"/>
      <c r="K285" s="346"/>
      <c r="L285" s="347" t="s">
        <v>90</v>
      </c>
      <c r="M285" s="349" t="s">
        <v>165</v>
      </c>
      <c r="N285" s="349" t="s">
        <v>166</v>
      </c>
      <c r="O285" s="351" t="s">
        <v>167</v>
      </c>
      <c r="P285" s="352"/>
      <c r="Q285" s="353"/>
      <c r="R285" s="349" t="s">
        <v>168</v>
      </c>
      <c r="S285" s="351" t="s">
        <v>19</v>
      </c>
      <c r="T285" s="352"/>
      <c r="U285" s="353"/>
      <c r="V285" s="349" t="s">
        <v>126</v>
      </c>
      <c r="W285" s="349" t="s">
        <v>127</v>
      </c>
      <c r="X285" s="354" t="s">
        <v>105</v>
      </c>
      <c r="Y285" s="285" t="s">
        <v>169</v>
      </c>
      <c r="Z285" s="285"/>
      <c r="AA285" s="307" t="s">
        <v>170</v>
      </c>
    </row>
    <row r="286" spans="1:27" s="277" customFormat="1" ht="22.5" customHeight="1" thickBot="1">
      <c r="A286" s="290" t="s">
        <v>179</v>
      </c>
      <c r="B286" s="291" t="s">
        <v>252</v>
      </c>
      <c r="C286" s="291"/>
      <c r="D286" s="291"/>
      <c r="E286" s="291"/>
      <c r="F286" s="291"/>
      <c r="G286" s="291"/>
      <c r="H286" s="286" t="s">
        <v>173</v>
      </c>
      <c r="I286" s="286" t="s">
        <v>93</v>
      </c>
      <c r="J286" s="286" t="s">
        <v>94</v>
      </c>
      <c r="K286" s="287" t="s">
        <v>174</v>
      </c>
      <c r="L286" s="348"/>
      <c r="M286" s="350"/>
      <c r="N286" s="350"/>
      <c r="O286" s="288" t="s">
        <v>175</v>
      </c>
      <c r="P286" s="288" t="s">
        <v>176</v>
      </c>
      <c r="Q286" s="330" t="s">
        <v>127</v>
      </c>
      <c r="R286" s="350"/>
      <c r="S286" s="288" t="s">
        <v>175</v>
      </c>
      <c r="T286" s="288" t="s">
        <v>176</v>
      </c>
      <c r="U286" s="330" t="s">
        <v>127</v>
      </c>
      <c r="V286" s="350"/>
      <c r="W286" s="350"/>
      <c r="X286" s="355"/>
      <c r="Y286" s="285" t="s">
        <v>171</v>
      </c>
      <c r="Z286" s="285" t="s">
        <v>172</v>
      </c>
      <c r="AA286" s="307"/>
    </row>
    <row r="287" spans="1:27" s="277" customFormat="1" ht="22.5" customHeight="1">
      <c r="A287" s="293" t="s">
        <v>265</v>
      </c>
      <c r="B287" s="301"/>
      <c r="C287" s="301"/>
      <c r="D287" s="302"/>
      <c r="E287" s="302"/>
      <c r="F287" s="356" t="s">
        <v>188</v>
      </c>
      <c r="G287" s="356"/>
      <c r="H287" s="333"/>
      <c r="I287" s="333"/>
      <c r="J287" s="333"/>
      <c r="K287" s="333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334"/>
      <c r="Y287" s="303"/>
      <c r="Z287" s="303"/>
      <c r="AA287" s="293"/>
    </row>
    <row r="288" spans="1:27" s="277" customFormat="1" ht="22.5" customHeight="1">
      <c r="A288" s="297" t="s">
        <v>266</v>
      </c>
      <c r="B288" s="298">
        <v>0.58680555555555558</v>
      </c>
      <c r="C288" s="298">
        <v>0.97986111111111107</v>
      </c>
      <c r="D288" s="298">
        <v>0.58680555555555558</v>
      </c>
      <c r="E288" s="298">
        <v>0.97986111111111107</v>
      </c>
      <c r="F288" s="299">
        <v>0.60416666666666663</v>
      </c>
      <c r="G288" s="299">
        <v>0.97916666666666663</v>
      </c>
      <c r="H288" s="335"/>
      <c r="I288" s="335"/>
      <c r="J288" s="335"/>
      <c r="K288" s="335"/>
      <c r="L288" s="336">
        <v>1</v>
      </c>
      <c r="M288" s="336"/>
      <c r="N288" s="336"/>
      <c r="O288" s="336"/>
      <c r="P288" s="336"/>
      <c r="Q288" s="336"/>
      <c r="R288" s="336"/>
      <c r="S288" s="336">
        <v>1.5</v>
      </c>
      <c r="T288" s="336"/>
      <c r="U288" s="336"/>
      <c r="V288" s="336"/>
      <c r="W288" s="336"/>
      <c r="X288" s="336"/>
      <c r="Y288" s="300">
        <v>0.33333333333333331</v>
      </c>
      <c r="Z288" s="300">
        <v>0.70833333333333337</v>
      </c>
      <c r="AA288" s="297"/>
    </row>
    <row r="289" spans="1:27" s="277" customFormat="1" ht="22.5" customHeight="1">
      <c r="A289" s="293" t="s">
        <v>267</v>
      </c>
      <c r="B289" s="294">
        <v>0.59375</v>
      </c>
      <c r="C289" s="294">
        <v>0.97986111111111107</v>
      </c>
      <c r="D289" s="294">
        <v>0.59375</v>
      </c>
      <c r="E289" s="294">
        <v>0.97986111111111107</v>
      </c>
      <c r="F289" s="295">
        <v>0.60416666666666663</v>
      </c>
      <c r="G289" s="295">
        <v>0.97916666666666663</v>
      </c>
      <c r="H289" s="333"/>
      <c r="I289" s="333"/>
      <c r="J289" s="333"/>
      <c r="K289" s="333"/>
      <c r="L289" s="334">
        <v>1</v>
      </c>
      <c r="M289" s="334"/>
      <c r="N289" s="334"/>
      <c r="O289" s="334"/>
      <c r="P289" s="334"/>
      <c r="Q289" s="334"/>
      <c r="R289" s="334"/>
      <c r="S289" s="334">
        <v>1.5</v>
      </c>
      <c r="T289" s="334"/>
      <c r="U289" s="334"/>
      <c r="V289" s="334"/>
      <c r="W289" s="334"/>
      <c r="X289" s="334"/>
      <c r="Y289" s="296">
        <v>0.33333333333333331</v>
      </c>
      <c r="Z289" s="296">
        <v>0.70833333333333337</v>
      </c>
      <c r="AA289" s="293"/>
    </row>
    <row r="290" spans="1:27" s="277" customFormat="1" ht="22.5" customHeight="1">
      <c r="A290" s="297" t="s">
        <v>269</v>
      </c>
      <c r="B290" s="298">
        <v>0.6</v>
      </c>
      <c r="C290" s="298">
        <v>0.98055555555555562</v>
      </c>
      <c r="D290" s="298">
        <v>0.6</v>
      </c>
      <c r="E290" s="298">
        <v>0.98055555555555562</v>
      </c>
      <c r="F290" s="299">
        <v>0.60416666666666663</v>
      </c>
      <c r="G290" s="299">
        <v>0.97916666666666663</v>
      </c>
      <c r="H290" s="335"/>
      <c r="I290" s="335"/>
      <c r="J290" s="335"/>
      <c r="K290" s="335"/>
      <c r="L290" s="336">
        <v>1</v>
      </c>
      <c r="M290" s="336"/>
      <c r="N290" s="336"/>
      <c r="O290" s="336"/>
      <c r="P290" s="336"/>
      <c r="Q290" s="336"/>
      <c r="R290" s="336"/>
      <c r="S290" s="336">
        <v>1.5</v>
      </c>
      <c r="T290" s="336"/>
      <c r="U290" s="336"/>
      <c r="V290" s="336"/>
      <c r="W290" s="336"/>
      <c r="X290" s="336"/>
      <c r="Y290" s="300">
        <v>0.33333333333333331</v>
      </c>
      <c r="Z290" s="300">
        <v>0.70833333333333337</v>
      </c>
      <c r="AA290" s="297"/>
    </row>
    <row r="291" spans="1:27" s="277" customFormat="1" ht="22.5" customHeight="1">
      <c r="A291" s="293" t="s">
        <v>270</v>
      </c>
      <c r="B291" s="294">
        <v>0.59444444444444444</v>
      </c>
      <c r="C291" s="294">
        <v>0.97986111111111107</v>
      </c>
      <c r="D291" s="294">
        <v>0.59444444444444444</v>
      </c>
      <c r="E291" s="294">
        <v>0.97986111111111107</v>
      </c>
      <c r="F291" s="295">
        <v>0.60416666666666663</v>
      </c>
      <c r="G291" s="295">
        <v>0.97916666666666663</v>
      </c>
      <c r="H291" s="333"/>
      <c r="I291" s="333"/>
      <c r="J291" s="333"/>
      <c r="K291" s="333"/>
      <c r="L291" s="334">
        <v>1</v>
      </c>
      <c r="M291" s="334"/>
      <c r="N291" s="334"/>
      <c r="O291" s="334"/>
      <c r="P291" s="334"/>
      <c r="Q291" s="334"/>
      <c r="R291" s="334"/>
      <c r="S291" s="334">
        <v>1.5</v>
      </c>
      <c r="T291" s="334"/>
      <c r="U291" s="334"/>
      <c r="V291" s="334"/>
      <c r="W291" s="334"/>
      <c r="X291" s="334"/>
      <c r="Y291" s="296">
        <v>0.33333333333333331</v>
      </c>
      <c r="Z291" s="296">
        <v>0.70833333333333337</v>
      </c>
      <c r="AA291" s="293"/>
    </row>
    <row r="292" spans="1:27" s="277" customFormat="1" ht="22.5" customHeight="1">
      <c r="A292" s="297" t="s">
        <v>271</v>
      </c>
      <c r="B292" s="298">
        <v>0.59861111111111109</v>
      </c>
      <c r="C292" s="298">
        <v>0.97986111111111107</v>
      </c>
      <c r="D292" s="298">
        <v>0.59861111111111109</v>
      </c>
      <c r="E292" s="298">
        <v>0.97986111111111107</v>
      </c>
      <c r="F292" s="299">
        <v>0.60416666666666663</v>
      </c>
      <c r="G292" s="299">
        <v>0.97916666666666663</v>
      </c>
      <c r="H292" s="335"/>
      <c r="I292" s="335"/>
      <c r="J292" s="335"/>
      <c r="K292" s="335"/>
      <c r="L292" s="336">
        <v>1</v>
      </c>
      <c r="M292" s="336"/>
      <c r="N292" s="336"/>
      <c r="O292" s="336"/>
      <c r="P292" s="336"/>
      <c r="Q292" s="336"/>
      <c r="R292" s="336"/>
      <c r="S292" s="336">
        <v>1.5</v>
      </c>
      <c r="T292" s="336"/>
      <c r="U292" s="336"/>
      <c r="V292" s="336"/>
      <c r="W292" s="336"/>
      <c r="X292" s="336"/>
      <c r="Y292" s="300">
        <v>0.33333333333333331</v>
      </c>
      <c r="Z292" s="300">
        <v>0.70833333333333337</v>
      </c>
      <c r="AA292" s="297"/>
    </row>
    <row r="293" spans="1:27" s="277" customFormat="1" ht="22.5" customHeight="1">
      <c r="A293" s="293" t="s">
        <v>273</v>
      </c>
      <c r="B293" s="294">
        <v>0.40902777777777777</v>
      </c>
      <c r="C293" s="294">
        <v>0.875</v>
      </c>
      <c r="D293" s="294">
        <v>0.40902777777777777</v>
      </c>
      <c r="E293" s="294">
        <v>0.875</v>
      </c>
      <c r="F293" s="295">
        <v>0.41666666666666669</v>
      </c>
      <c r="G293" s="295">
        <v>0.875</v>
      </c>
      <c r="H293" s="333"/>
      <c r="I293" s="333"/>
      <c r="J293" s="333"/>
      <c r="K293" s="333"/>
      <c r="L293" s="334">
        <v>1</v>
      </c>
      <c r="M293" s="334"/>
      <c r="N293" s="334"/>
      <c r="O293" s="334"/>
      <c r="P293" s="334"/>
      <c r="Q293" s="334"/>
      <c r="R293" s="334"/>
      <c r="S293" s="334"/>
      <c r="T293" s="334"/>
      <c r="U293" s="334"/>
      <c r="V293" s="334"/>
      <c r="W293" s="334"/>
      <c r="X293" s="334"/>
      <c r="Y293" s="296">
        <v>0.33333333333333331</v>
      </c>
      <c r="Z293" s="296">
        <v>0.70833333333333337</v>
      </c>
      <c r="AA293" s="293" t="s">
        <v>257</v>
      </c>
    </row>
    <row r="294" spans="1:27" s="277" customFormat="1" ht="22.5" customHeight="1">
      <c r="A294" s="297" t="s">
        <v>274</v>
      </c>
      <c r="B294" s="304"/>
      <c r="C294" s="304"/>
      <c r="D294" s="305"/>
      <c r="E294" s="305"/>
      <c r="F294" s="357" t="s">
        <v>188</v>
      </c>
      <c r="G294" s="357"/>
      <c r="H294" s="335"/>
      <c r="I294" s="335"/>
      <c r="J294" s="335"/>
      <c r="K294" s="335"/>
      <c r="L294" s="336"/>
      <c r="M294" s="336"/>
      <c r="N294" s="336"/>
      <c r="O294" s="336"/>
      <c r="P294" s="336"/>
      <c r="Q294" s="336"/>
      <c r="R294" s="336"/>
      <c r="S294" s="336"/>
      <c r="T294" s="336"/>
      <c r="U294" s="336"/>
      <c r="V294" s="336"/>
      <c r="W294" s="336"/>
      <c r="X294" s="336"/>
      <c r="Y294" s="306"/>
      <c r="Z294" s="306"/>
      <c r="AA294" s="297"/>
    </row>
    <row r="295" spans="1:27" s="277" customFormat="1" ht="22.5" customHeight="1">
      <c r="A295" s="293" t="s">
        <v>275</v>
      </c>
      <c r="B295" s="294">
        <v>0.25</v>
      </c>
      <c r="C295" s="294">
        <v>0.6694444444444444</v>
      </c>
      <c r="D295" s="294">
        <v>0.25</v>
      </c>
      <c r="E295" s="294">
        <v>0.6694444444444444</v>
      </c>
      <c r="F295" s="295">
        <v>0.25</v>
      </c>
      <c r="G295" s="295">
        <v>0.625</v>
      </c>
      <c r="H295" s="333"/>
      <c r="I295" s="333"/>
      <c r="J295" s="333"/>
      <c r="K295" s="333"/>
      <c r="L295" s="334">
        <v>1</v>
      </c>
      <c r="M295" s="334"/>
      <c r="N295" s="334"/>
      <c r="O295" s="334"/>
      <c r="P295" s="334"/>
      <c r="Q295" s="334"/>
      <c r="R295" s="334"/>
      <c r="S295" s="334"/>
      <c r="T295" s="334"/>
      <c r="U295" s="334"/>
      <c r="V295" s="334"/>
      <c r="W295" s="334"/>
      <c r="X295" s="334"/>
      <c r="Y295" s="296">
        <v>0.33333333333333331</v>
      </c>
      <c r="Z295" s="296">
        <v>0.70833333333333337</v>
      </c>
      <c r="AA295" s="293"/>
    </row>
    <row r="296" spans="1:27" s="277" customFormat="1" ht="22.5" customHeight="1">
      <c r="A296" s="297" t="s">
        <v>276</v>
      </c>
      <c r="B296" s="298">
        <v>0.25138888888888888</v>
      </c>
      <c r="C296" s="298">
        <v>0.69652777777777775</v>
      </c>
      <c r="D296" s="298">
        <v>0.25138888888888888</v>
      </c>
      <c r="E296" s="298">
        <v>0.69652777777777775</v>
      </c>
      <c r="F296" s="299">
        <v>0.25</v>
      </c>
      <c r="G296" s="299">
        <v>0.625</v>
      </c>
      <c r="H296" s="335"/>
      <c r="I296" s="335"/>
      <c r="J296" s="335"/>
      <c r="K296" s="335"/>
      <c r="L296" s="336">
        <v>1</v>
      </c>
      <c r="M296" s="336"/>
      <c r="N296" s="336"/>
      <c r="O296" s="336"/>
      <c r="P296" s="336"/>
      <c r="Q296" s="336"/>
      <c r="R296" s="336"/>
      <c r="S296" s="336"/>
      <c r="T296" s="336"/>
      <c r="U296" s="336"/>
      <c r="V296" s="336"/>
      <c r="W296" s="336"/>
      <c r="X296" s="336"/>
      <c r="Y296" s="300">
        <v>0.33333333333333331</v>
      </c>
      <c r="Z296" s="300">
        <v>0.70833333333333337</v>
      </c>
      <c r="AA296" s="297" t="s">
        <v>305</v>
      </c>
    </row>
    <row r="297" spans="1:27" s="277" customFormat="1" ht="22.5" customHeight="1">
      <c r="A297" s="297" t="s">
        <v>277</v>
      </c>
      <c r="B297" s="298">
        <v>0.24930555555555556</v>
      </c>
      <c r="C297" s="298">
        <v>0.66597222222222219</v>
      </c>
      <c r="D297" s="298">
        <v>0.24930555555555556</v>
      </c>
      <c r="E297" s="298">
        <v>0.66597222222222219</v>
      </c>
      <c r="F297" s="299">
        <v>0.25</v>
      </c>
      <c r="G297" s="299">
        <v>0.66597222222222219</v>
      </c>
      <c r="H297" s="335"/>
      <c r="I297" s="335"/>
      <c r="J297" s="335"/>
      <c r="K297" s="335"/>
      <c r="L297" s="336"/>
      <c r="M297" s="336"/>
      <c r="N297" s="336"/>
      <c r="O297" s="336"/>
      <c r="P297" s="336"/>
      <c r="Q297" s="336"/>
      <c r="R297" s="336"/>
      <c r="S297" s="336"/>
      <c r="T297" s="336"/>
      <c r="U297" s="336"/>
      <c r="V297" s="336"/>
      <c r="W297" s="336"/>
      <c r="X297" s="336"/>
      <c r="Y297" s="300">
        <v>0.33333333333333331</v>
      </c>
      <c r="Z297" s="300">
        <v>0.70833333333333337</v>
      </c>
      <c r="AA297" s="297" t="s">
        <v>256</v>
      </c>
    </row>
    <row r="298" spans="1:27" s="277" customFormat="1" ht="22.5" customHeight="1">
      <c r="A298" s="293" t="s">
        <v>277</v>
      </c>
      <c r="B298" s="294">
        <v>0.66666666666666663</v>
      </c>
      <c r="C298" s="294">
        <v>0.66666666666666663</v>
      </c>
      <c r="D298" s="294">
        <v>0.66666666666666663</v>
      </c>
      <c r="E298" s="294">
        <v>0.66666666666666663</v>
      </c>
      <c r="F298" s="295">
        <v>0.66597222222222219</v>
      </c>
      <c r="G298" s="295">
        <v>0.66666666666666663</v>
      </c>
      <c r="H298" s="333"/>
      <c r="I298" s="333"/>
      <c r="J298" s="333"/>
      <c r="K298" s="333"/>
      <c r="L298" s="334">
        <v>1</v>
      </c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334"/>
      <c r="Y298" s="296">
        <v>0.33333333333333331</v>
      </c>
      <c r="Z298" s="296">
        <v>0.70833333333333337</v>
      </c>
      <c r="AA298" s="293"/>
    </row>
    <row r="299" spans="1:27" s="277" customFormat="1" ht="22.5" customHeight="1">
      <c r="A299" s="293" t="s">
        <v>278</v>
      </c>
      <c r="B299" s="294">
        <v>0.26111111111111113</v>
      </c>
      <c r="C299" s="294">
        <v>0.625</v>
      </c>
      <c r="D299" s="294">
        <v>0.26111111111111113</v>
      </c>
      <c r="E299" s="294">
        <v>0.625</v>
      </c>
      <c r="F299" s="295">
        <v>0.25</v>
      </c>
      <c r="G299" s="295">
        <v>0.625</v>
      </c>
      <c r="H299" s="333"/>
      <c r="I299" s="333"/>
      <c r="J299" s="333"/>
      <c r="K299" s="333"/>
      <c r="L299" s="334">
        <v>1</v>
      </c>
      <c r="M299" s="334">
        <f>16/60</f>
        <v>0.26666666666666666</v>
      </c>
      <c r="N299" s="334"/>
      <c r="O299" s="334"/>
      <c r="P299" s="334"/>
      <c r="Q299" s="334"/>
      <c r="R299" s="334"/>
      <c r="S299" s="334"/>
      <c r="T299" s="334"/>
      <c r="U299" s="334"/>
      <c r="V299" s="334"/>
      <c r="W299" s="334"/>
      <c r="X299" s="334">
        <f>+X111+X186</f>
        <v>33.466666666666669</v>
      </c>
      <c r="Y299" s="296">
        <v>0.33333333333333331</v>
      </c>
      <c r="Z299" s="296">
        <v>0.70833333333333337</v>
      </c>
      <c r="AA299" s="293" t="s">
        <v>306</v>
      </c>
    </row>
    <row r="300" spans="1:27" s="277" customFormat="1" ht="22.5" customHeight="1">
      <c r="A300" s="297" t="s">
        <v>279</v>
      </c>
      <c r="B300" s="298">
        <v>0.24583333333333335</v>
      </c>
      <c r="C300" s="298">
        <v>0.69097222222222221</v>
      </c>
      <c r="D300" s="298">
        <v>0.24583333333333335</v>
      </c>
      <c r="E300" s="298">
        <v>0.69097222222222221</v>
      </c>
      <c r="F300" s="424" t="s">
        <v>294</v>
      </c>
      <c r="G300" s="357"/>
      <c r="H300" s="335"/>
      <c r="I300" s="335"/>
      <c r="J300" s="335"/>
      <c r="K300" s="335"/>
      <c r="L300" s="336">
        <v>1</v>
      </c>
      <c r="M300" s="336"/>
      <c r="N300" s="336"/>
      <c r="O300" s="336"/>
      <c r="P300" s="336"/>
      <c r="Q300" s="336"/>
      <c r="R300" s="336"/>
      <c r="S300" s="336"/>
      <c r="T300" s="336"/>
      <c r="U300" s="336"/>
      <c r="V300" s="336"/>
      <c r="W300" s="336"/>
      <c r="X300" s="336"/>
      <c r="Y300" s="300">
        <v>0.33333333333333331</v>
      </c>
      <c r="Z300" s="300">
        <v>0.70833333333333337</v>
      </c>
      <c r="AA300" s="297"/>
    </row>
    <row r="301" spans="1:27" s="277" customFormat="1" ht="22.5" customHeight="1">
      <c r="A301" s="293" t="s">
        <v>281</v>
      </c>
      <c r="B301" s="301"/>
      <c r="C301" s="301"/>
      <c r="D301" s="302"/>
      <c r="E301" s="302"/>
      <c r="F301" s="356" t="s">
        <v>228</v>
      </c>
      <c r="G301" s="356"/>
      <c r="H301" s="333"/>
      <c r="I301" s="333"/>
      <c r="J301" s="333"/>
      <c r="K301" s="333"/>
      <c r="L301" s="334">
        <v>1</v>
      </c>
      <c r="M301" s="334"/>
      <c r="N301" s="334"/>
      <c r="O301" s="334"/>
      <c r="P301" s="334"/>
      <c r="Q301" s="334"/>
      <c r="R301" s="334"/>
      <c r="S301" s="334"/>
      <c r="T301" s="334"/>
      <c r="U301" s="334"/>
      <c r="V301" s="334"/>
      <c r="W301" s="334"/>
      <c r="X301" s="334"/>
      <c r="Y301" s="303"/>
      <c r="Z301" s="303"/>
      <c r="AA301" s="293"/>
    </row>
    <row r="302" spans="1:27" s="277" customFormat="1" ht="22.5" customHeight="1">
      <c r="A302" s="297" t="s">
        <v>282</v>
      </c>
      <c r="B302" s="304"/>
      <c r="C302" s="304"/>
      <c r="D302" s="305"/>
      <c r="E302" s="305"/>
      <c r="F302" s="357" t="s">
        <v>188</v>
      </c>
      <c r="G302" s="357"/>
      <c r="H302" s="335"/>
      <c r="I302" s="335"/>
      <c r="J302" s="335"/>
      <c r="K302" s="335"/>
      <c r="L302" s="336"/>
      <c r="M302" s="336"/>
      <c r="N302" s="336"/>
      <c r="O302" s="336"/>
      <c r="P302" s="336"/>
      <c r="Q302" s="336"/>
      <c r="R302" s="336"/>
      <c r="S302" s="336"/>
      <c r="T302" s="336"/>
      <c r="U302" s="336"/>
      <c r="V302" s="336"/>
      <c r="W302" s="336"/>
      <c r="X302" s="336"/>
      <c r="Y302" s="306"/>
      <c r="Z302" s="306"/>
      <c r="AA302" s="297"/>
    </row>
    <row r="303" spans="1:27" s="277" customFormat="1" ht="22.5" customHeight="1">
      <c r="A303" s="307" t="s">
        <v>3</v>
      </c>
      <c r="B303" s="307"/>
      <c r="C303" s="307"/>
      <c r="D303" s="307"/>
      <c r="E303" s="307"/>
      <c r="F303" s="307"/>
      <c r="G303" s="307"/>
      <c r="H303" s="337">
        <f>SUM(H285:H302)</f>
        <v>0</v>
      </c>
      <c r="I303" s="337">
        <f t="shared" ref="I303:X303" si="10">SUM(I285:I302)</f>
        <v>0</v>
      </c>
      <c r="J303" s="337">
        <f t="shared" si="10"/>
        <v>0</v>
      </c>
      <c r="K303" s="337">
        <f t="shared" si="10"/>
        <v>0</v>
      </c>
      <c r="L303" s="337">
        <f t="shared" si="10"/>
        <v>12</v>
      </c>
      <c r="M303" s="337">
        <f t="shared" si="10"/>
        <v>0.26666666666666666</v>
      </c>
      <c r="N303" s="337">
        <f t="shared" si="10"/>
        <v>0</v>
      </c>
      <c r="O303" s="337">
        <f t="shared" si="10"/>
        <v>0</v>
      </c>
      <c r="P303" s="337">
        <f t="shared" si="10"/>
        <v>0</v>
      </c>
      <c r="Q303" s="337">
        <f t="shared" si="10"/>
        <v>0</v>
      </c>
      <c r="R303" s="337">
        <f t="shared" si="10"/>
        <v>0</v>
      </c>
      <c r="S303" s="337">
        <f t="shared" si="10"/>
        <v>7.5</v>
      </c>
      <c r="T303" s="337">
        <f t="shared" si="10"/>
        <v>0</v>
      </c>
      <c r="U303" s="337">
        <f t="shared" si="10"/>
        <v>0</v>
      </c>
      <c r="V303" s="337">
        <f t="shared" si="10"/>
        <v>0</v>
      </c>
      <c r="W303" s="337">
        <f t="shared" si="10"/>
        <v>0</v>
      </c>
      <c r="X303" s="337">
        <f t="shared" si="10"/>
        <v>33.466666666666669</v>
      </c>
      <c r="Y303" s="285"/>
      <c r="Z303" s="285"/>
      <c r="AA303" s="307" t="s">
        <v>307</v>
      </c>
    </row>
    <row r="304" spans="1:27" s="277" customFormat="1" ht="22.5" customHeight="1" thickBot="1">
      <c r="H304" s="338"/>
      <c r="I304" s="338"/>
      <c r="J304" s="338"/>
      <c r="K304" s="338"/>
      <c r="L304" s="339"/>
      <c r="M304" s="339"/>
      <c r="N304" s="339"/>
      <c r="O304" s="339"/>
      <c r="P304" s="339"/>
      <c r="Q304" s="339"/>
      <c r="R304" s="339"/>
      <c r="S304" s="339"/>
      <c r="T304" s="339"/>
      <c r="U304" s="339"/>
      <c r="V304" s="339"/>
      <c r="W304" s="339"/>
      <c r="X304" s="339"/>
      <c r="Y304" s="308"/>
      <c r="Z304" s="308"/>
    </row>
    <row r="305" spans="1:27" s="277" customFormat="1" ht="22.5" customHeight="1" thickBot="1">
      <c r="A305" s="290" t="s">
        <v>177</v>
      </c>
      <c r="B305" s="291" t="s">
        <v>259</v>
      </c>
      <c r="C305" s="291"/>
      <c r="D305" s="291"/>
      <c r="E305" s="291"/>
      <c r="F305" s="291"/>
      <c r="G305" s="291"/>
      <c r="H305" s="344" t="s">
        <v>91</v>
      </c>
      <c r="I305" s="345"/>
      <c r="J305" s="345"/>
      <c r="K305" s="346"/>
      <c r="L305" s="347" t="s">
        <v>90</v>
      </c>
      <c r="M305" s="349" t="s">
        <v>165</v>
      </c>
      <c r="N305" s="349" t="s">
        <v>166</v>
      </c>
      <c r="O305" s="351" t="s">
        <v>167</v>
      </c>
      <c r="P305" s="352"/>
      <c r="Q305" s="353"/>
      <c r="R305" s="349" t="s">
        <v>168</v>
      </c>
      <c r="S305" s="351" t="s">
        <v>19</v>
      </c>
      <c r="T305" s="352"/>
      <c r="U305" s="353"/>
      <c r="V305" s="349" t="s">
        <v>126</v>
      </c>
      <c r="W305" s="349" t="s">
        <v>127</v>
      </c>
      <c r="X305" s="354" t="s">
        <v>105</v>
      </c>
      <c r="Y305" s="285" t="s">
        <v>169</v>
      </c>
      <c r="Z305" s="285"/>
      <c r="AA305" s="307" t="s">
        <v>170</v>
      </c>
    </row>
    <row r="306" spans="1:27" s="277" customFormat="1" ht="22.5" customHeight="1" thickBot="1">
      <c r="A306" s="290" t="s">
        <v>179</v>
      </c>
      <c r="B306" s="291" t="s">
        <v>260</v>
      </c>
      <c r="C306" s="291"/>
      <c r="D306" s="291"/>
      <c r="E306" s="291"/>
      <c r="F306" s="291"/>
      <c r="G306" s="291"/>
      <c r="H306" s="286" t="s">
        <v>173</v>
      </c>
      <c r="I306" s="286" t="s">
        <v>93</v>
      </c>
      <c r="J306" s="286" t="s">
        <v>94</v>
      </c>
      <c r="K306" s="287" t="s">
        <v>174</v>
      </c>
      <c r="L306" s="348"/>
      <c r="M306" s="350"/>
      <c r="N306" s="350"/>
      <c r="O306" s="288" t="s">
        <v>175</v>
      </c>
      <c r="P306" s="288" t="s">
        <v>176</v>
      </c>
      <c r="Q306" s="330" t="s">
        <v>127</v>
      </c>
      <c r="R306" s="350"/>
      <c r="S306" s="288" t="s">
        <v>175</v>
      </c>
      <c r="T306" s="288" t="s">
        <v>176</v>
      </c>
      <c r="U306" s="330" t="s">
        <v>127</v>
      </c>
      <c r="V306" s="350"/>
      <c r="W306" s="350"/>
      <c r="X306" s="355"/>
      <c r="Y306" s="285" t="s">
        <v>171</v>
      </c>
      <c r="Z306" s="285" t="s">
        <v>172</v>
      </c>
      <c r="AA306" s="307"/>
    </row>
    <row r="307" spans="1:27" s="277" customFormat="1" ht="22.5" customHeight="1">
      <c r="A307" s="293" t="s">
        <v>265</v>
      </c>
      <c r="B307" s="301"/>
      <c r="C307" s="301"/>
      <c r="D307" s="302"/>
      <c r="E307" s="302"/>
      <c r="F307" s="356" t="s">
        <v>188</v>
      </c>
      <c r="G307" s="356"/>
      <c r="H307" s="333"/>
      <c r="I307" s="333"/>
      <c r="J307" s="333"/>
      <c r="K307" s="333"/>
      <c r="L307" s="334"/>
      <c r="M307" s="334"/>
      <c r="N307" s="334"/>
      <c r="O307" s="334"/>
      <c r="P307" s="334"/>
      <c r="Q307" s="334"/>
      <c r="R307" s="334"/>
      <c r="S307" s="334"/>
      <c r="T307" s="334"/>
      <c r="U307" s="334"/>
      <c r="V307" s="334"/>
      <c r="W307" s="334"/>
      <c r="X307" s="334"/>
      <c r="Y307" s="303"/>
      <c r="Z307" s="303"/>
      <c r="AA307" s="293"/>
    </row>
    <row r="308" spans="1:27" s="277" customFormat="1" ht="22.5" customHeight="1">
      <c r="A308" s="297" t="s">
        <v>266</v>
      </c>
      <c r="B308" s="298">
        <v>0.44861111111111113</v>
      </c>
      <c r="C308" s="298">
        <v>0.63402777777777775</v>
      </c>
      <c r="D308" s="298">
        <v>0.44861111111111113</v>
      </c>
      <c r="E308" s="298">
        <v>0.63402777777777775</v>
      </c>
      <c r="F308" s="299">
        <v>0.45833333333333331</v>
      </c>
      <c r="G308" s="299">
        <v>0.63402777777777775</v>
      </c>
      <c r="H308" s="335"/>
      <c r="I308" s="335"/>
      <c r="J308" s="335"/>
      <c r="K308" s="335"/>
      <c r="L308" s="336"/>
      <c r="M308" s="336"/>
      <c r="N308" s="336"/>
      <c r="O308" s="336"/>
      <c r="P308" s="336"/>
      <c r="Q308" s="336"/>
      <c r="R308" s="336"/>
      <c r="S308" s="336"/>
      <c r="T308" s="336"/>
      <c r="U308" s="336"/>
      <c r="V308" s="336"/>
      <c r="W308" s="336"/>
      <c r="X308" s="336"/>
      <c r="Y308" s="300">
        <v>0</v>
      </c>
      <c r="Z308" s="300">
        <v>0</v>
      </c>
      <c r="AA308" s="297"/>
    </row>
    <row r="309" spans="1:27" s="277" customFormat="1" ht="22.5" customHeight="1">
      <c r="A309" s="293" t="s">
        <v>266</v>
      </c>
      <c r="B309" s="294">
        <v>0.7319444444444444</v>
      </c>
      <c r="C309" s="294">
        <v>0.91666666666666663</v>
      </c>
      <c r="D309" s="294">
        <v>0.7319444444444444</v>
      </c>
      <c r="E309" s="294">
        <v>0.91666666666666663</v>
      </c>
      <c r="F309" s="295">
        <v>0.75902777777777775</v>
      </c>
      <c r="G309" s="295">
        <v>0.91666666666666663</v>
      </c>
      <c r="H309" s="333"/>
      <c r="I309" s="333"/>
      <c r="J309" s="333"/>
      <c r="K309" s="333"/>
      <c r="L309" s="334">
        <v>1</v>
      </c>
      <c r="M309" s="334"/>
      <c r="N309" s="334"/>
      <c r="O309" s="334"/>
      <c r="P309" s="334"/>
      <c r="Q309" s="334"/>
      <c r="R309" s="334"/>
      <c r="S309" s="334"/>
      <c r="T309" s="334"/>
      <c r="U309" s="334"/>
      <c r="V309" s="334"/>
      <c r="W309" s="334"/>
      <c r="X309" s="334"/>
      <c r="Y309" s="296">
        <v>0</v>
      </c>
      <c r="Z309" s="296">
        <v>0</v>
      </c>
      <c r="AA309" s="293"/>
    </row>
    <row r="310" spans="1:27" s="277" customFormat="1" ht="22.5" customHeight="1">
      <c r="A310" s="297" t="s">
        <v>267</v>
      </c>
      <c r="B310" s="298">
        <v>0.44375000000000003</v>
      </c>
      <c r="C310" s="298">
        <v>0.62361111111111112</v>
      </c>
      <c r="D310" s="298">
        <v>0.44375000000000003</v>
      </c>
      <c r="E310" s="298">
        <v>0.62361111111111112</v>
      </c>
      <c r="F310" s="299">
        <v>0.45833333333333331</v>
      </c>
      <c r="G310" s="299">
        <v>0.62361111111111112</v>
      </c>
      <c r="H310" s="335"/>
      <c r="I310" s="335"/>
      <c r="J310" s="335"/>
      <c r="K310" s="335"/>
      <c r="L310" s="336"/>
      <c r="M310" s="336"/>
      <c r="N310" s="336"/>
      <c r="O310" s="336"/>
      <c r="P310" s="336"/>
      <c r="Q310" s="336"/>
      <c r="R310" s="336"/>
      <c r="S310" s="336"/>
      <c r="T310" s="336"/>
      <c r="U310" s="336"/>
      <c r="V310" s="336"/>
      <c r="W310" s="336"/>
      <c r="X310" s="336"/>
      <c r="Y310" s="300">
        <v>0</v>
      </c>
      <c r="Z310" s="300">
        <v>0</v>
      </c>
      <c r="AA310" s="297"/>
    </row>
    <row r="311" spans="1:27" s="277" customFormat="1" ht="22.5" customHeight="1">
      <c r="A311" s="293" t="s">
        <v>267</v>
      </c>
      <c r="B311" s="294">
        <v>0.74652777777777779</v>
      </c>
      <c r="C311" s="294">
        <v>0.91805555555555562</v>
      </c>
      <c r="D311" s="294">
        <v>0.74652777777777779</v>
      </c>
      <c r="E311" s="294">
        <v>0.91805555555555562</v>
      </c>
      <c r="F311" s="295">
        <v>0.74861111111111101</v>
      </c>
      <c r="G311" s="295">
        <v>0.91666666666666663</v>
      </c>
      <c r="H311" s="333"/>
      <c r="I311" s="333"/>
      <c r="J311" s="333"/>
      <c r="K311" s="333"/>
      <c r="L311" s="334">
        <v>1</v>
      </c>
      <c r="M311" s="334"/>
      <c r="N311" s="334"/>
      <c r="O311" s="334"/>
      <c r="P311" s="334"/>
      <c r="Q311" s="334"/>
      <c r="R311" s="334"/>
      <c r="S311" s="334"/>
      <c r="T311" s="334"/>
      <c r="U311" s="334"/>
      <c r="V311" s="334"/>
      <c r="W311" s="334"/>
      <c r="X311" s="334"/>
      <c r="Y311" s="296">
        <v>0</v>
      </c>
      <c r="Z311" s="296">
        <v>0</v>
      </c>
      <c r="AA311" s="293"/>
    </row>
    <row r="312" spans="1:27" s="277" customFormat="1" ht="22.5" customHeight="1">
      <c r="A312" s="297" t="s">
        <v>269</v>
      </c>
      <c r="B312" s="298">
        <v>0.4458333333333333</v>
      </c>
      <c r="C312" s="298">
        <v>0.625</v>
      </c>
      <c r="D312" s="298">
        <v>0.4458333333333333</v>
      </c>
      <c r="E312" s="298">
        <v>0.625</v>
      </c>
      <c r="F312" s="299">
        <v>0.45833333333333331</v>
      </c>
      <c r="G312" s="299">
        <v>0.625</v>
      </c>
      <c r="H312" s="335"/>
      <c r="I312" s="335"/>
      <c r="J312" s="335"/>
      <c r="K312" s="335"/>
      <c r="L312" s="336"/>
      <c r="M312" s="336"/>
      <c r="N312" s="336"/>
      <c r="O312" s="336"/>
      <c r="P312" s="336"/>
      <c r="Q312" s="336"/>
      <c r="R312" s="336"/>
      <c r="S312" s="336"/>
      <c r="T312" s="336"/>
      <c r="U312" s="336"/>
      <c r="V312" s="336"/>
      <c r="W312" s="336"/>
      <c r="X312" s="336"/>
      <c r="Y312" s="300">
        <v>0</v>
      </c>
      <c r="Z312" s="300">
        <v>0</v>
      </c>
      <c r="AA312" s="297"/>
    </row>
    <row r="313" spans="1:27" s="277" customFormat="1" ht="22.5" customHeight="1">
      <c r="A313" s="293" t="s">
        <v>269</v>
      </c>
      <c r="B313" s="294">
        <v>0.73819444444444438</v>
      </c>
      <c r="C313" s="294">
        <v>0.9194444444444444</v>
      </c>
      <c r="D313" s="294">
        <v>0.73819444444444438</v>
      </c>
      <c r="E313" s="294">
        <v>0.9194444444444444</v>
      </c>
      <c r="F313" s="295">
        <v>0.75</v>
      </c>
      <c r="G313" s="295">
        <v>0.91666666666666663</v>
      </c>
      <c r="H313" s="333"/>
      <c r="I313" s="333"/>
      <c r="J313" s="333"/>
      <c r="K313" s="333"/>
      <c r="L313" s="334">
        <v>1</v>
      </c>
      <c r="M313" s="334"/>
      <c r="N313" s="334"/>
      <c r="O313" s="334"/>
      <c r="P313" s="334"/>
      <c r="Q313" s="334"/>
      <c r="R313" s="334"/>
      <c r="S313" s="334"/>
      <c r="T313" s="334"/>
      <c r="U313" s="334"/>
      <c r="V313" s="334"/>
      <c r="W313" s="334"/>
      <c r="X313" s="334"/>
      <c r="Y313" s="296">
        <v>0</v>
      </c>
      <c r="Z313" s="296">
        <v>0</v>
      </c>
      <c r="AA313" s="293"/>
    </row>
    <row r="314" spans="1:27" s="277" customFormat="1" ht="22.5" customHeight="1">
      <c r="A314" s="293" t="s">
        <v>270</v>
      </c>
      <c r="B314" s="294">
        <v>0.4381944444444445</v>
      </c>
      <c r="C314" s="294">
        <v>0.62708333333333333</v>
      </c>
      <c r="D314" s="294">
        <v>0.4381944444444445</v>
      </c>
      <c r="E314" s="294">
        <v>0.62708333333333333</v>
      </c>
      <c r="F314" s="295">
        <v>0.45833333333333331</v>
      </c>
      <c r="G314" s="295">
        <v>0.62708333333333333</v>
      </c>
      <c r="H314" s="333"/>
      <c r="I314" s="333"/>
      <c r="J314" s="333"/>
      <c r="K314" s="333"/>
      <c r="L314" s="334"/>
      <c r="M314" s="334"/>
      <c r="N314" s="334"/>
      <c r="O314" s="334"/>
      <c r="P314" s="334"/>
      <c r="Q314" s="334"/>
      <c r="R314" s="334"/>
      <c r="S314" s="334"/>
      <c r="T314" s="334"/>
      <c r="U314" s="334"/>
      <c r="V314" s="334"/>
      <c r="W314" s="334"/>
      <c r="X314" s="334"/>
      <c r="Y314" s="296">
        <v>0</v>
      </c>
      <c r="Z314" s="296">
        <v>0</v>
      </c>
      <c r="AA314" s="293"/>
    </row>
    <row r="315" spans="1:27" s="277" customFormat="1" ht="22.5" customHeight="1">
      <c r="A315" s="297" t="s">
        <v>270</v>
      </c>
      <c r="B315" s="298">
        <v>0.73749999999999993</v>
      </c>
      <c r="C315" s="298">
        <v>0.91736111111111107</v>
      </c>
      <c r="D315" s="298">
        <v>0.73749999999999993</v>
      </c>
      <c r="E315" s="298">
        <v>0.91736111111111107</v>
      </c>
      <c r="F315" s="299">
        <v>0.75208333333333333</v>
      </c>
      <c r="G315" s="299">
        <v>0.91666666666666663</v>
      </c>
      <c r="H315" s="335"/>
      <c r="I315" s="335"/>
      <c r="J315" s="335"/>
      <c r="K315" s="335"/>
      <c r="L315" s="336">
        <v>1</v>
      </c>
      <c r="M315" s="336"/>
      <c r="N315" s="336"/>
      <c r="O315" s="336"/>
      <c r="P315" s="336"/>
      <c r="Q315" s="336"/>
      <c r="R315" s="336"/>
      <c r="S315" s="336"/>
      <c r="T315" s="336"/>
      <c r="U315" s="336"/>
      <c r="V315" s="336"/>
      <c r="W315" s="336"/>
      <c r="X315" s="336"/>
      <c r="Y315" s="300">
        <v>0</v>
      </c>
      <c r="Z315" s="300">
        <v>0</v>
      </c>
      <c r="AA315" s="297"/>
    </row>
    <row r="316" spans="1:27" s="277" customFormat="1" ht="22.5" customHeight="1">
      <c r="A316" s="293" t="s">
        <v>271</v>
      </c>
      <c r="B316" s="294">
        <v>0.4375</v>
      </c>
      <c r="C316" s="294">
        <v>0.625</v>
      </c>
      <c r="D316" s="294">
        <v>0.4375</v>
      </c>
      <c r="E316" s="294">
        <v>0.625</v>
      </c>
      <c r="F316" s="295">
        <v>0.45833333333333331</v>
      </c>
      <c r="G316" s="295">
        <v>0.625</v>
      </c>
      <c r="H316" s="333"/>
      <c r="I316" s="333"/>
      <c r="J316" s="333"/>
      <c r="K316" s="333"/>
      <c r="L316" s="334"/>
      <c r="M316" s="334"/>
      <c r="N316" s="334"/>
      <c r="O316" s="334"/>
      <c r="P316" s="334"/>
      <c r="Q316" s="334"/>
      <c r="R316" s="334"/>
      <c r="S316" s="334"/>
      <c r="T316" s="334"/>
      <c r="U316" s="334"/>
      <c r="V316" s="334"/>
      <c r="W316" s="334"/>
      <c r="X316" s="334"/>
      <c r="Y316" s="296">
        <v>0</v>
      </c>
      <c r="Z316" s="296">
        <v>0</v>
      </c>
      <c r="AA316" s="293"/>
    </row>
    <row r="317" spans="1:27" s="277" customFormat="1" ht="22.5" customHeight="1">
      <c r="A317" s="297" t="s">
        <v>271</v>
      </c>
      <c r="B317" s="298">
        <v>0.73611111111111116</v>
      </c>
      <c r="C317" s="298">
        <v>0.91736111111111107</v>
      </c>
      <c r="D317" s="298">
        <v>0.73611111111111116</v>
      </c>
      <c r="E317" s="298">
        <v>0.91736111111111107</v>
      </c>
      <c r="F317" s="299">
        <v>0.75</v>
      </c>
      <c r="G317" s="299">
        <v>0.91666666666666663</v>
      </c>
      <c r="H317" s="335"/>
      <c r="I317" s="335"/>
      <c r="J317" s="335"/>
      <c r="K317" s="335"/>
      <c r="L317" s="336">
        <v>1</v>
      </c>
      <c r="M317" s="336"/>
      <c r="N317" s="336"/>
      <c r="O317" s="336"/>
      <c r="P317" s="336"/>
      <c r="Q317" s="336"/>
      <c r="R317" s="336"/>
      <c r="S317" s="336"/>
      <c r="T317" s="336"/>
      <c r="U317" s="336"/>
      <c r="V317" s="336"/>
      <c r="W317" s="336"/>
      <c r="X317" s="336"/>
      <c r="Y317" s="300">
        <v>0</v>
      </c>
      <c r="Z317" s="300">
        <v>0</v>
      </c>
      <c r="AA317" s="297"/>
    </row>
    <row r="318" spans="1:27" s="277" customFormat="1" ht="22.5" customHeight="1">
      <c r="A318" s="297" t="s">
        <v>273</v>
      </c>
      <c r="B318" s="304"/>
      <c r="C318" s="304"/>
      <c r="D318" s="305"/>
      <c r="E318" s="305"/>
      <c r="F318" s="357" t="s">
        <v>188</v>
      </c>
      <c r="G318" s="357"/>
      <c r="H318" s="335"/>
      <c r="I318" s="335"/>
      <c r="J318" s="335"/>
      <c r="K318" s="335"/>
      <c r="L318" s="336"/>
      <c r="M318" s="336"/>
      <c r="N318" s="336"/>
      <c r="O318" s="336"/>
      <c r="P318" s="336"/>
      <c r="Q318" s="336"/>
      <c r="R318" s="336"/>
      <c r="S318" s="336"/>
      <c r="T318" s="336"/>
      <c r="U318" s="336"/>
      <c r="V318" s="336"/>
      <c r="W318" s="336"/>
      <c r="X318" s="336"/>
      <c r="Y318" s="306"/>
      <c r="Z318" s="306"/>
      <c r="AA318" s="297"/>
    </row>
    <row r="319" spans="1:27" s="277" customFormat="1" ht="22.5" customHeight="1">
      <c r="A319" s="293" t="s">
        <v>274</v>
      </c>
      <c r="B319" s="301"/>
      <c r="C319" s="301"/>
      <c r="D319" s="302"/>
      <c r="E319" s="302"/>
      <c r="F319" s="356" t="s">
        <v>188</v>
      </c>
      <c r="G319" s="356"/>
      <c r="H319" s="333"/>
      <c r="I319" s="333"/>
      <c r="J319" s="333"/>
      <c r="K319" s="333"/>
      <c r="L319" s="334"/>
      <c r="M319" s="334"/>
      <c r="N319" s="334"/>
      <c r="O319" s="334"/>
      <c r="P319" s="334"/>
      <c r="Q319" s="334"/>
      <c r="R319" s="334"/>
      <c r="S319" s="334"/>
      <c r="T319" s="334"/>
      <c r="U319" s="334"/>
      <c r="V319" s="334"/>
      <c r="W319" s="334"/>
      <c r="X319" s="334"/>
      <c r="Y319" s="303"/>
      <c r="Z319" s="303"/>
      <c r="AA319" s="293"/>
    </row>
    <row r="320" spans="1:27" s="277" customFormat="1" ht="22.5" customHeight="1">
      <c r="A320" s="297" t="s">
        <v>275</v>
      </c>
      <c r="B320" s="298">
        <v>0.45277777777777778</v>
      </c>
      <c r="C320" s="298">
        <v>0.62986111111111109</v>
      </c>
      <c r="D320" s="298">
        <v>0.45277777777777778</v>
      </c>
      <c r="E320" s="298">
        <v>0.62986111111111109</v>
      </c>
      <c r="F320" s="299">
        <v>0.47916666666666669</v>
      </c>
      <c r="G320" s="299">
        <v>0.62986111111111109</v>
      </c>
      <c r="H320" s="335"/>
      <c r="I320" s="335"/>
      <c r="J320" s="335"/>
      <c r="K320" s="335"/>
      <c r="L320" s="336"/>
      <c r="M320" s="336"/>
      <c r="N320" s="336"/>
      <c r="O320" s="336"/>
      <c r="P320" s="336"/>
      <c r="Q320" s="336"/>
      <c r="R320" s="336"/>
      <c r="S320" s="336"/>
      <c r="T320" s="336"/>
      <c r="U320" s="336"/>
      <c r="V320" s="336"/>
      <c r="W320" s="336"/>
      <c r="X320" s="336"/>
      <c r="Y320" s="300">
        <v>0</v>
      </c>
      <c r="Z320" s="300">
        <v>0</v>
      </c>
      <c r="AA320" s="297"/>
    </row>
    <row r="321" spans="1:27" s="277" customFormat="1" ht="22.5" customHeight="1">
      <c r="A321" s="293" t="s">
        <v>275</v>
      </c>
      <c r="B321" s="294">
        <v>0.73819444444444438</v>
      </c>
      <c r="C321" s="294">
        <v>0.97986111111111107</v>
      </c>
      <c r="D321" s="294">
        <v>0.73819444444444438</v>
      </c>
      <c r="E321" s="294">
        <v>0.97986111111111107</v>
      </c>
      <c r="F321" s="295">
        <v>0.79652777777777783</v>
      </c>
      <c r="G321" s="295">
        <v>0.97916666666666663</v>
      </c>
      <c r="H321" s="333"/>
      <c r="I321" s="333"/>
      <c r="J321" s="333"/>
      <c r="K321" s="333"/>
      <c r="L321" s="334">
        <v>1</v>
      </c>
      <c r="M321" s="334"/>
      <c r="N321" s="334"/>
      <c r="O321" s="334"/>
      <c r="P321" s="334"/>
      <c r="Q321" s="334"/>
      <c r="R321" s="334"/>
      <c r="S321" s="334">
        <v>1.5</v>
      </c>
      <c r="T321" s="334"/>
      <c r="U321" s="334"/>
      <c r="V321" s="334"/>
      <c r="W321" s="334"/>
      <c r="X321" s="334"/>
      <c r="Y321" s="296">
        <v>0</v>
      </c>
      <c r="Z321" s="296">
        <v>0</v>
      </c>
      <c r="AA321" s="293"/>
    </row>
    <row r="322" spans="1:27" s="277" customFormat="1" ht="22.5" customHeight="1">
      <c r="A322" s="297" t="s">
        <v>276</v>
      </c>
      <c r="B322" s="298">
        <v>0.46666666666666662</v>
      </c>
      <c r="C322" s="298">
        <v>0.625</v>
      </c>
      <c r="D322" s="298">
        <v>0.46666666666666662</v>
      </c>
      <c r="E322" s="298">
        <v>0.625</v>
      </c>
      <c r="F322" s="299">
        <v>0.47916666666666669</v>
      </c>
      <c r="G322" s="299">
        <v>0.625</v>
      </c>
      <c r="H322" s="335"/>
      <c r="I322" s="335"/>
      <c r="J322" s="335"/>
      <c r="K322" s="335"/>
      <c r="L322" s="336"/>
      <c r="M322" s="336"/>
      <c r="N322" s="336"/>
      <c r="O322" s="336"/>
      <c r="P322" s="336"/>
      <c r="Q322" s="336"/>
      <c r="R322" s="336"/>
      <c r="S322" s="336"/>
      <c r="T322" s="336"/>
      <c r="U322" s="336"/>
      <c r="V322" s="336"/>
      <c r="W322" s="336"/>
      <c r="X322" s="336"/>
      <c r="Y322" s="300">
        <v>0</v>
      </c>
      <c r="Z322" s="300">
        <v>0</v>
      </c>
      <c r="AA322" s="297"/>
    </row>
    <row r="323" spans="1:27" s="277" customFormat="1" ht="22.5" customHeight="1">
      <c r="A323" s="293" t="s">
        <v>276</v>
      </c>
      <c r="B323" s="294">
        <v>0.73749999999999993</v>
      </c>
      <c r="C323" s="294">
        <v>0.97916666666666663</v>
      </c>
      <c r="D323" s="294">
        <v>0.73749999999999993</v>
      </c>
      <c r="E323" s="294">
        <v>0.97916666666666663</v>
      </c>
      <c r="F323" s="295">
        <v>0.79166666666666663</v>
      </c>
      <c r="G323" s="295">
        <v>0.97916666666666663</v>
      </c>
      <c r="H323" s="333"/>
      <c r="I323" s="333"/>
      <c r="J323" s="333"/>
      <c r="K323" s="333"/>
      <c r="L323" s="334">
        <v>1</v>
      </c>
      <c r="M323" s="334"/>
      <c r="N323" s="334"/>
      <c r="O323" s="334"/>
      <c r="P323" s="334"/>
      <c r="Q323" s="334"/>
      <c r="R323" s="334"/>
      <c r="S323" s="334">
        <v>1.5</v>
      </c>
      <c r="T323" s="334"/>
      <c r="U323" s="334"/>
      <c r="V323" s="334"/>
      <c r="W323" s="334"/>
      <c r="X323" s="334"/>
      <c r="Y323" s="296">
        <v>0</v>
      </c>
      <c r="Z323" s="296">
        <v>0</v>
      </c>
      <c r="AA323" s="293"/>
    </row>
    <row r="324" spans="1:27" s="277" customFormat="1" ht="22.5" customHeight="1">
      <c r="A324" s="293" t="s">
        <v>277</v>
      </c>
      <c r="B324" s="294">
        <v>0.45555555555555555</v>
      </c>
      <c r="C324" s="294">
        <v>0.625</v>
      </c>
      <c r="D324" s="294">
        <v>0.45555555555555555</v>
      </c>
      <c r="E324" s="294">
        <v>0.625</v>
      </c>
      <c r="F324" s="295">
        <v>0.45833333333333331</v>
      </c>
      <c r="G324" s="295">
        <v>0.625</v>
      </c>
      <c r="H324" s="333"/>
      <c r="I324" s="333"/>
      <c r="J324" s="333"/>
      <c r="K324" s="333"/>
      <c r="L324" s="334"/>
      <c r="M324" s="334"/>
      <c r="N324" s="334"/>
      <c r="O324" s="334"/>
      <c r="P324" s="334"/>
      <c r="Q324" s="334"/>
      <c r="R324" s="334"/>
      <c r="S324" s="334"/>
      <c r="T324" s="334"/>
      <c r="U324" s="334"/>
      <c r="V324" s="334"/>
      <c r="W324" s="334"/>
      <c r="X324" s="334"/>
      <c r="Y324" s="296">
        <v>0</v>
      </c>
      <c r="Z324" s="296">
        <v>0</v>
      </c>
      <c r="AA324" s="293"/>
    </row>
    <row r="325" spans="1:27" s="277" customFormat="1" ht="22.5" customHeight="1">
      <c r="A325" s="297" t="s">
        <v>277</v>
      </c>
      <c r="B325" s="298">
        <v>0.70763888888888893</v>
      </c>
      <c r="C325" s="298">
        <v>0.91736111111111107</v>
      </c>
      <c r="D325" s="298">
        <v>0.70763888888888893</v>
      </c>
      <c r="E325" s="298">
        <v>0.91736111111111107</v>
      </c>
      <c r="F325" s="299">
        <v>0.70833333333333337</v>
      </c>
      <c r="G325" s="299">
        <v>0.91666666666666663</v>
      </c>
      <c r="H325" s="335"/>
      <c r="I325" s="335"/>
      <c r="J325" s="335"/>
      <c r="K325" s="335"/>
      <c r="L325" s="336">
        <v>1</v>
      </c>
      <c r="M325" s="336"/>
      <c r="N325" s="336"/>
      <c r="O325" s="336"/>
      <c r="P325" s="336"/>
      <c r="Q325" s="336"/>
      <c r="R325" s="336"/>
      <c r="S325" s="336"/>
      <c r="T325" s="336"/>
      <c r="U325" s="336"/>
      <c r="V325" s="336"/>
      <c r="W325" s="336"/>
      <c r="X325" s="336"/>
      <c r="Y325" s="300">
        <v>0</v>
      </c>
      <c r="Z325" s="300">
        <v>0</v>
      </c>
      <c r="AA325" s="297"/>
    </row>
    <row r="326" spans="1:27" s="277" customFormat="1" ht="22.5" customHeight="1">
      <c r="A326" s="297" t="s">
        <v>278</v>
      </c>
      <c r="B326" s="298">
        <v>0.44791666666666669</v>
      </c>
      <c r="C326" s="298">
        <v>0.62916666666666665</v>
      </c>
      <c r="D326" s="298">
        <v>0.44791666666666669</v>
      </c>
      <c r="E326" s="298">
        <v>0.62916666666666665</v>
      </c>
      <c r="F326" s="299">
        <v>0.45833333333333331</v>
      </c>
      <c r="G326" s="299">
        <v>0.62916666666666665</v>
      </c>
      <c r="H326" s="335"/>
      <c r="I326" s="335"/>
      <c r="J326" s="335"/>
      <c r="K326" s="335"/>
      <c r="L326" s="336"/>
      <c r="M326" s="336"/>
      <c r="N326" s="336"/>
      <c r="O326" s="336"/>
      <c r="P326" s="336"/>
      <c r="Q326" s="336"/>
      <c r="R326" s="336"/>
      <c r="S326" s="336"/>
      <c r="T326" s="336"/>
      <c r="U326" s="336"/>
      <c r="V326" s="336"/>
      <c r="W326" s="336"/>
      <c r="X326" s="336"/>
      <c r="Y326" s="300">
        <v>0</v>
      </c>
      <c r="Z326" s="300">
        <v>0</v>
      </c>
      <c r="AA326" s="297"/>
    </row>
    <row r="327" spans="1:27" s="277" customFormat="1" ht="22.5" customHeight="1">
      <c r="A327" s="293" t="s">
        <v>278</v>
      </c>
      <c r="B327" s="294">
        <v>0.72152777777777777</v>
      </c>
      <c r="C327" s="294">
        <v>0.91805555555555562</v>
      </c>
      <c r="D327" s="294">
        <v>0.72152777777777777</v>
      </c>
      <c r="E327" s="294">
        <v>0.91805555555555562</v>
      </c>
      <c r="F327" s="295">
        <v>0.75416666666666676</v>
      </c>
      <c r="G327" s="295">
        <v>0.91666666666666663</v>
      </c>
      <c r="H327" s="333"/>
      <c r="I327" s="333"/>
      <c r="J327" s="333"/>
      <c r="K327" s="333"/>
      <c r="L327" s="334">
        <v>1</v>
      </c>
      <c r="M327" s="334"/>
      <c r="N327" s="334"/>
      <c r="O327" s="334"/>
      <c r="P327" s="334"/>
      <c r="Q327" s="334"/>
      <c r="R327" s="334"/>
      <c r="S327" s="334"/>
      <c r="T327" s="334"/>
      <c r="U327" s="334"/>
      <c r="V327" s="334"/>
      <c r="W327" s="334"/>
      <c r="X327" s="334"/>
      <c r="Y327" s="296">
        <v>0</v>
      </c>
      <c r="Z327" s="296">
        <v>0</v>
      </c>
      <c r="AA327" s="293"/>
    </row>
    <row r="328" spans="1:27" s="277" customFormat="1" ht="22.5" customHeight="1">
      <c r="A328" s="297" t="s">
        <v>279</v>
      </c>
      <c r="B328" s="298">
        <v>0.43333333333333335</v>
      </c>
      <c r="C328" s="298">
        <v>0.6333333333333333</v>
      </c>
      <c r="D328" s="298">
        <v>0.43333333333333335</v>
      </c>
      <c r="E328" s="298">
        <v>0.6333333333333333</v>
      </c>
      <c r="F328" s="357"/>
      <c r="G328" s="357"/>
      <c r="H328" s="335"/>
      <c r="I328" s="335"/>
      <c r="J328" s="335"/>
      <c r="K328" s="335"/>
      <c r="L328" s="336"/>
      <c r="M328" s="336"/>
      <c r="N328" s="336"/>
      <c r="O328" s="336"/>
      <c r="P328" s="336"/>
      <c r="Q328" s="336"/>
      <c r="R328" s="336"/>
      <c r="S328" s="336"/>
      <c r="T328" s="336"/>
      <c r="U328" s="336"/>
      <c r="V328" s="336"/>
      <c r="W328" s="336"/>
      <c r="X328" s="336"/>
      <c r="Y328" s="300">
        <v>0</v>
      </c>
      <c r="Z328" s="300">
        <v>0</v>
      </c>
      <c r="AA328" s="297"/>
    </row>
    <row r="329" spans="1:27" s="277" customFormat="1" ht="22.5" customHeight="1">
      <c r="A329" s="293" t="s">
        <v>279</v>
      </c>
      <c r="B329" s="294">
        <v>0.72291666666666676</v>
      </c>
      <c r="C329" s="294">
        <v>0.91875000000000007</v>
      </c>
      <c r="D329" s="294">
        <v>0.72291666666666676</v>
      </c>
      <c r="E329" s="294">
        <v>0.91875000000000007</v>
      </c>
      <c r="F329" s="356" t="s">
        <v>202</v>
      </c>
      <c r="G329" s="356"/>
      <c r="H329" s="333"/>
      <c r="I329" s="333"/>
      <c r="J329" s="333"/>
      <c r="K329" s="333"/>
      <c r="L329" s="334">
        <v>1</v>
      </c>
      <c r="M329" s="334"/>
      <c r="N329" s="334">
        <f>(57+30)/60</f>
        <v>1.45</v>
      </c>
      <c r="O329" s="334"/>
      <c r="P329" s="334"/>
      <c r="Q329" s="334"/>
      <c r="R329" s="334"/>
      <c r="S329" s="334"/>
      <c r="T329" s="334"/>
      <c r="U329" s="334"/>
      <c r="V329" s="334"/>
      <c r="W329" s="334"/>
      <c r="X329" s="334"/>
      <c r="Y329" s="296">
        <v>0</v>
      </c>
      <c r="Z329" s="296">
        <v>0</v>
      </c>
      <c r="AA329" s="293"/>
    </row>
    <row r="330" spans="1:27" s="277" customFormat="1" ht="22.5" customHeight="1">
      <c r="A330" s="293" t="s">
        <v>281</v>
      </c>
      <c r="B330" s="294">
        <v>0.40902777777777777</v>
      </c>
      <c r="C330" s="294">
        <v>0.6166666666666667</v>
      </c>
      <c r="D330" s="294">
        <v>0.40902777777777777</v>
      </c>
      <c r="E330" s="294">
        <v>0.6166666666666667</v>
      </c>
      <c r="F330" s="356"/>
      <c r="G330" s="356"/>
      <c r="H330" s="333"/>
      <c r="I330" s="333"/>
      <c r="J330" s="333"/>
      <c r="K330" s="333"/>
      <c r="L330" s="334"/>
      <c r="M330" s="334"/>
      <c r="N330" s="334"/>
      <c r="O330" s="334"/>
      <c r="P330" s="334"/>
      <c r="Q330" s="334"/>
      <c r="R330" s="334"/>
      <c r="S330" s="334"/>
      <c r="T330" s="334"/>
      <c r="U330" s="334"/>
      <c r="V330" s="334"/>
      <c r="W330" s="334"/>
      <c r="X330" s="334"/>
      <c r="Y330" s="296">
        <v>0</v>
      </c>
      <c r="Z330" s="296">
        <v>0</v>
      </c>
      <c r="AA330" s="293"/>
    </row>
    <row r="331" spans="1:27" s="277" customFormat="1" ht="22.5" customHeight="1">
      <c r="A331" s="297" t="s">
        <v>281</v>
      </c>
      <c r="B331" s="298">
        <v>0.65555555555555556</v>
      </c>
      <c r="C331" s="298">
        <v>0.79305555555555562</v>
      </c>
      <c r="D331" s="298">
        <v>0.65555555555555556</v>
      </c>
      <c r="E331" s="298">
        <v>0.79305555555555562</v>
      </c>
      <c r="F331" s="424" t="s">
        <v>213</v>
      </c>
      <c r="G331" s="357"/>
      <c r="H331" s="335"/>
      <c r="I331" s="335"/>
      <c r="J331" s="335"/>
      <c r="K331" s="335"/>
      <c r="L331" s="336">
        <v>1</v>
      </c>
      <c r="M331" s="336"/>
      <c r="N331" s="336"/>
      <c r="O331" s="336"/>
      <c r="P331" s="336"/>
      <c r="Q331" s="336"/>
      <c r="R331" s="336"/>
      <c r="S331" s="336"/>
      <c r="T331" s="336"/>
      <c r="U331" s="336"/>
      <c r="V331" s="336"/>
      <c r="W331" s="336"/>
      <c r="X331" s="336"/>
      <c r="Y331" s="300">
        <v>0</v>
      </c>
      <c r="Z331" s="300">
        <v>0</v>
      </c>
      <c r="AA331" s="297"/>
    </row>
    <row r="332" spans="1:27" s="277" customFormat="1" ht="22.5" customHeight="1">
      <c r="A332" s="297" t="s">
        <v>282</v>
      </c>
      <c r="B332" s="304"/>
      <c r="C332" s="304"/>
      <c r="D332" s="305"/>
      <c r="E332" s="305"/>
      <c r="F332" s="357" t="s">
        <v>188</v>
      </c>
      <c r="G332" s="357"/>
      <c r="H332" s="335"/>
      <c r="I332" s="335"/>
      <c r="J332" s="335"/>
      <c r="K332" s="335"/>
      <c r="L332" s="336"/>
      <c r="M332" s="336"/>
      <c r="N332" s="336"/>
      <c r="O332" s="336"/>
      <c r="P332" s="336"/>
      <c r="Q332" s="336"/>
      <c r="R332" s="336"/>
      <c r="S332" s="336"/>
      <c r="T332" s="336"/>
      <c r="U332" s="336"/>
      <c r="V332" s="336"/>
      <c r="W332" s="336"/>
      <c r="X332" s="336"/>
      <c r="Y332" s="306"/>
      <c r="Z332" s="306"/>
      <c r="AA332" s="297"/>
    </row>
    <row r="333" spans="1:27" s="277" customFormat="1" ht="22.5" customHeight="1">
      <c r="A333" s="307" t="s">
        <v>3</v>
      </c>
      <c r="B333" s="307"/>
      <c r="C333" s="307"/>
      <c r="D333" s="307"/>
      <c r="E333" s="307"/>
      <c r="F333" s="307"/>
      <c r="G333" s="307"/>
      <c r="H333" s="337">
        <f t="shared" ref="H333:X333" si="11">SUM(H306:H332)</f>
        <v>0</v>
      </c>
      <c r="I333" s="337">
        <f t="shared" si="11"/>
        <v>0</v>
      </c>
      <c r="J333" s="337">
        <f t="shared" si="11"/>
        <v>0</v>
      </c>
      <c r="K333" s="337">
        <f t="shared" si="11"/>
        <v>0</v>
      </c>
      <c r="L333" s="337">
        <f t="shared" si="11"/>
        <v>11</v>
      </c>
      <c r="M333" s="337">
        <f t="shared" si="11"/>
        <v>0</v>
      </c>
      <c r="N333" s="337">
        <f t="shared" si="11"/>
        <v>1.45</v>
      </c>
      <c r="O333" s="337">
        <f t="shared" si="11"/>
        <v>0</v>
      </c>
      <c r="P333" s="337">
        <f t="shared" si="11"/>
        <v>0</v>
      </c>
      <c r="Q333" s="337">
        <f t="shared" si="11"/>
        <v>0</v>
      </c>
      <c r="R333" s="337">
        <f t="shared" si="11"/>
        <v>0</v>
      </c>
      <c r="S333" s="337">
        <f t="shared" si="11"/>
        <v>3</v>
      </c>
      <c r="T333" s="337">
        <f t="shared" si="11"/>
        <v>0</v>
      </c>
      <c r="U333" s="337">
        <f t="shared" si="11"/>
        <v>0</v>
      </c>
      <c r="V333" s="337">
        <f t="shared" si="11"/>
        <v>0</v>
      </c>
      <c r="W333" s="337">
        <f t="shared" si="11"/>
        <v>0</v>
      </c>
      <c r="X333" s="337">
        <f t="shared" si="11"/>
        <v>0</v>
      </c>
      <c r="Y333" s="285"/>
      <c r="Z333" s="285"/>
      <c r="AA333" s="307"/>
    </row>
    <row r="334" spans="1:27" s="277" customFormat="1" ht="22.5" customHeight="1">
      <c r="H334" s="338"/>
      <c r="I334" s="338"/>
      <c r="J334" s="338"/>
      <c r="K334" s="338"/>
      <c r="L334" s="339"/>
      <c r="M334" s="339"/>
      <c r="N334" s="339"/>
      <c r="O334" s="339"/>
      <c r="P334" s="339"/>
      <c r="Q334" s="339"/>
      <c r="R334" s="339"/>
      <c r="S334" s="339"/>
      <c r="T334" s="339"/>
      <c r="U334" s="339"/>
      <c r="V334" s="339"/>
      <c r="W334" s="339"/>
      <c r="X334" s="339"/>
      <c r="Y334" s="308"/>
      <c r="Z334" s="308"/>
    </row>
    <row r="335" spans="1:27" s="277" customFormat="1" ht="22.5" customHeight="1">
      <c r="F335" s="309"/>
      <c r="G335" s="309"/>
      <c r="H335" s="338"/>
      <c r="I335" s="338"/>
      <c r="J335" s="338"/>
      <c r="K335" s="338"/>
      <c r="L335" s="339"/>
      <c r="M335" s="339"/>
      <c r="N335" s="339"/>
      <c r="O335" s="339"/>
      <c r="P335" s="339"/>
      <c r="Q335" s="339"/>
      <c r="R335" s="339"/>
      <c r="S335" s="339"/>
      <c r="T335" s="339"/>
      <c r="U335" s="339"/>
      <c r="V335" s="339"/>
      <c r="W335" s="339"/>
      <c r="X335" s="339"/>
      <c r="Y335" s="310" t="s">
        <v>261</v>
      </c>
      <c r="Z335" s="310"/>
    </row>
  </sheetData>
  <mergeCells count="206">
    <mergeCell ref="X5:X6"/>
    <mergeCell ref="F8:G8"/>
    <mergeCell ref="F9:G9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20:G20"/>
    <mergeCell ref="F21:G21"/>
    <mergeCell ref="F30:G30"/>
    <mergeCell ref="F31:G31"/>
    <mergeCell ref="F32:G32"/>
    <mergeCell ref="F33:G33"/>
    <mergeCell ref="S5:U5"/>
    <mergeCell ref="V5:V6"/>
    <mergeCell ref="W5:W6"/>
    <mergeCell ref="W37:W38"/>
    <mergeCell ref="X37:X38"/>
    <mergeCell ref="F39:G39"/>
    <mergeCell ref="F34:G34"/>
    <mergeCell ref="H37:K37"/>
    <mergeCell ref="L37:L38"/>
    <mergeCell ref="M37:M38"/>
    <mergeCell ref="N37:N38"/>
    <mergeCell ref="O37:Q37"/>
    <mergeCell ref="F52:G52"/>
    <mergeCell ref="F61:G61"/>
    <mergeCell ref="F62:G62"/>
    <mergeCell ref="F63:G63"/>
    <mergeCell ref="F64:G64"/>
    <mergeCell ref="H67:K67"/>
    <mergeCell ref="R37:R38"/>
    <mergeCell ref="S37:U37"/>
    <mergeCell ref="V37:V38"/>
    <mergeCell ref="F80:G80"/>
    <mergeCell ref="F82:G82"/>
    <mergeCell ref="F83:G83"/>
    <mergeCell ref="F84:G84"/>
    <mergeCell ref="H87:K87"/>
    <mergeCell ref="L87:L88"/>
    <mergeCell ref="V67:V68"/>
    <mergeCell ref="W67:W68"/>
    <mergeCell ref="X67:X68"/>
    <mergeCell ref="F69:G69"/>
    <mergeCell ref="F75:G75"/>
    <mergeCell ref="F76:G76"/>
    <mergeCell ref="L67:L68"/>
    <mergeCell ref="M67:M68"/>
    <mergeCell ref="N67:N68"/>
    <mergeCell ref="O67:Q67"/>
    <mergeCell ref="R67:R68"/>
    <mergeCell ref="S67:U67"/>
    <mergeCell ref="F113:G113"/>
    <mergeCell ref="F114:G114"/>
    <mergeCell ref="F115:G115"/>
    <mergeCell ref="H118:K118"/>
    <mergeCell ref="L118:L119"/>
    <mergeCell ref="M118:M119"/>
    <mergeCell ref="W87:W88"/>
    <mergeCell ref="X87:X88"/>
    <mergeCell ref="F89:G89"/>
    <mergeCell ref="F102:G102"/>
    <mergeCell ref="F107:G107"/>
    <mergeCell ref="F112:G112"/>
    <mergeCell ref="M87:M88"/>
    <mergeCell ref="N87:N88"/>
    <mergeCell ref="O87:Q87"/>
    <mergeCell ref="R87:R88"/>
    <mergeCell ref="S87:U87"/>
    <mergeCell ref="V87:V88"/>
    <mergeCell ref="X118:X119"/>
    <mergeCell ref="V118:V119"/>
    <mergeCell ref="W118:W119"/>
    <mergeCell ref="F120:G120"/>
    <mergeCell ref="F132:G132"/>
    <mergeCell ref="F141:G141"/>
    <mergeCell ref="F142:G142"/>
    <mergeCell ref="F143:G143"/>
    <mergeCell ref="N118:N119"/>
    <mergeCell ref="O118:Q118"/>
    <mergeCell ref="R118:R119"/>
    <mergeCell ref="S118:U118"/>
    <mergeCell ref="W147:W148"/>
    <mergeCell ref="X147:X148"/>
    <mergeCell ref="F149:G149"/>
    <mergeCell ref="F144:G144"/>
    <mergeCell ref="H147:K147"/>
    <mergeCell ref="L147:L148"/>
    <mergeCell ref="M147:M148"/>
    <mergeCell ref="N147:N148"/>
    <mergeCell ref="O147:Q147"/>
    <mergeCell ref="F155:G155"/>
    <mergeCell ref="F156:G156"/>
    <mergeCell ref="F162:G162"/>
    <mergeCell ref="F163:G163"/>
    <mergeCell ref="H166:K166"/>
    <mergeCell ref="L166:L167"/>
    <mergeCell ref="R147:R148"/>
    <mergeCell ref="S147:U147"/>
    <mergeCell ref="V147:V148"/>
    <mergeCell ref="W166:W167"/>
    <mergeCell ref="X166:X167"/>
    <mergeCell ref="F168:G168"/>
    <mergeCell ref="F181:G181"/>
    <mergeCell ref="F187:G187"/>
    <mergeCell ref="F188:G188"/>
    <mergeCell ref="M166:M167"/>
    <mergeCell ref="N166:N167"/>
    <mergeCell ref="O166:Q166"/>
    <mergeCell ref="R166:R167"/>
    <mergeCell ref="S166:U166"/>
    <mergeCell ref="V166:V167"/>
    <mergeCell ref="V193:V194"/>
    <mergeCell ref="W193:W194"/>
    <mergeCell ref="X193:X194"/>
    <mergeCell ref="F189:G189"/>
    <mergeCell ref="F190:G190"/>
    <mergeCell ref="H193:K193"/>
    <mergeCell ref="L193:L194"/>
    <mergeCell ref="M193:M194"/>
    <mergeCell ref="N193:N194"/>
    <mergeCell ref="F195:G195"/>
    <mergeCell ref="F206:G206"/>
    <mergeCell ref="F207:G207"/>
    <mergeCell ref="F216:G216"/>
    <mergeCell ref="F217:G217"/>
    <mergeCell ref="F218:G218"/>
    <mergeCell ref="O193:Q193"/>
    <mergeCell ref="R193:R194"/>
    <mergeCell ref="S193:U193"/>
    <mergeCell ref="V223:V224"/>
    <mergeCell ref="W223:W224"/>
    <mergeCell ref="X223:X224"/>
    <mergeCell ref="F219:G219"/>
    <mergeCell ref="F220:G220"/>
    <mergeCell ref="H223:K223"/>
    <mergeCell ref="L223:L224"/>
    <mergeCell ref="M223:M224"/>
    <mergeCell ref="N223:N224"/>
    <mergeCell ref="F225:G225"/>
    <mergeCell ref="F236:G236"/>
    <mergeCell ref="F237:G237"/>
    <mergeCell ref="F247:G247"/>
    <mergeCell ref="F248:G248"/>
    <mergeCell ref="F249:G249"/>
    <mergeCell ref="O223:Q223"/>
    <mergeCell ref="R223:R224"/>
    <mergeCell ref="S223:U223"/>
    <mergeCell ref="V254:V255"/>
    <mergeCell ref="W254:W255"/>
    <mergeCell ref="X254:X255"/>
    <mergeCell ref="F250:G250"/>
    <mergeCell ref="F251:G251"/>
    <mergeCell ref="H254:K254"/>
    <mergeCell ref="L254:L255"/>
    <mergeCell ref="M254:M255"/>
    <mergeCell ref="N254:N255"/>
    <mergeCell ref="F256:G256"/>
    <mergeCell ref="F269:G269"/>
    <mergeCell ref="F278:G278"/>
    <mergeCell ref="F279:G279"/>
    <mergeCell ref="F280:G280"/>
    <mergeCell ref="F281:G281"/>
    <mergeCell ref="O254:Q254"/>
    <mergeCell ref="R254:R255"/>
    <mergeCell ref="S254:U254"/>
    <mergeCell ref="W285:W286"/>
    <mergeCell ref="X285:X286"/>
    <mergeCell ref="F287:G287"/>
    <mergeCell ref="F282:G282"/>
    <mergeCell ref="H285:K285"/>
    <mergeCell ref="L285:L286"/>
    <mergeCell ref="M285:M286"/>
    <mergeCell ref="N285:N286"/>
    <mergeCell ref="O285:Q285"/>
    <mergeCell ref="F294:G294"/>
    <mergeCell ref="F300:G300"/>
    <mergeCell ref="F301:G301"/>
    <mergeCell ref="F302:G302"/>
    <mergeCell ref="H305:K305"/>
    <mergeCell ref="L305:L306"/>
    <mergeCell ref="R285:R286"/>
    <mergeCell ref="S285:U285"/>
    <mergeCell ref="V285:V286"/>
    <mergeCell ref="F329:G329"/>
    <mergeCell ref="F330:G330"/>
    <mergeCell ref="F331:G331"/>
    <mergeCell ref="F332:G332"/>
    <mergeCell ref="W305:W306"/>
    <mergeCell ref="X305:X306"/>
    <mergeCell ref="F307:G307"/>
    <mergeCell ref="F318:G318"/>
    <mergeCell ref="F319:G319"/>
    <mergeCell ref="F328:G328"/>
    <mergeCell ref="M305:M306"/>
    <mergeCell ref="N305:N306"/>
    <mergeCell ref="O305:Q305"/>
    <mergeCell ref="R305:R306"/>
    <mergeCell ref="S305:U305"/>
    <mergeCell ref="V305:V306"/>
  </mergeCells>
  <pageMargins left="0.13" right="0.7" top="0.25" bottom="0.38" header="0.3" footer="0.26"/>
  <pageSetup paperSize="5" scale="95" orientation="landscape" horizontalDpi="4294967293" verticalDpi="0" r:id="rId1"/>
  <colBreaks count="1" manualBreakCount="1">
    <brk id="28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Z67"/>
  <sheetViews>
    <sheetView tabSelected="1" topLeftCell="A19" zoomScaleSheetLayoutView="100" workbookViewId="0">
      <selection activeCell="O57" sqref="O57"/>
    </sheetView>
  </sheetViews>
  <sheetFormatPr defaultRowHeight="12.75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>
      <c r="A3" s="238" t="s">
        <v>11</v>
      </c>
      <c r="B3" s="238"/>
      <c r="C3" s="241"/>
      <c r="D3" s="125" t="s">
        <v>309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 customHeight="1">
      <c r="A5" s="365"/>
      <c r="B5" s="367" t="s">
        <v>0</v>
      </c>
      <c r="C5" s="369" t="s">
        <v>1</v>
      </c>
      <c r="D5" s="370" t="s">
        <v>13</v>
      </c>
      <c r="E5" s="369" t="s">
        <v>14</v>
      </c>
      <c r="F5" s="370" t="s">
        <v>15</v>
      </c>
      <c r="G5" s="369" t="s">
        <v>16</v>
      </c>
      <c r="H5" s="370" t="s">
        <v>44</v>
      </c>
      <c r="I5" s="403" t="s">
        <v>118</v>
      </c>
      <c r="J5" s="408" t="s">
        <v>91</v>
      </c>
      <c r="K5" s="409"/>
      <c r="L5" s="410"/>
      <c r="M5" s="392" t="s">
        <v>108</v>
      </c>
      <c r="N5" s="393"/>
      <c r="O5" s="393"/>
      <c r="P5" s="369" t="s">
        <v>2</v>
      </c>
      <c r="Q5" s="370" t="s">
        <v>17</v>
      </c>
      <c r="R5" s="369" t="s">
        <v>2</v>
      </c>
      <c r="S5" s="370" t="s">
        <v>18</v>
      </c>
      <c r="T5" s="369" t="s">
        <v>2</v>
      </c>
      <c r="U5" s="370" t="s">
        <v>19</v>
      </c>
      <c r="V5" s="369" t="s">
        <v>2</v>
      </c>
      <c r="W5" s="370" t="s">
        <v>20</v>
      </c>
      <c r="X5" s="397" t="s">
        <v>3</v>
      </c>
    </row>
    <row r="6" spans="1:26" s="138" customFormat="1" ht="27" customHeight="1" thickBot="1">
      <c r="A6" s="366"/>
      <c r="B6" s="368"/>
      <c r="C6" s="368"/>
      <c r="D6" s="371"/>
      <c r="E6" s="372"/>
      <c r="F6" s="371"/>
      <c r="G6" s="372"/>
      <c r="H6" s="396"/>
      <c r="I6" s="404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68"/>
      <c r="Q6" s="371"/>
      <c r="R6" s="368"/>
      <c r="S6" s="371"/>
      <c r="T6" s="368"/>
      <c r="U6" s="371"/>
      <c r="V6" s="368"/>
      <c r="W6" s="396"/>
      <c r="X6" s="398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 Purchaser</v>
      </c>
      <c r="D7" s="73">
        <f>5538+130+195+195+(15*13)+(21*13)</f>
        <v>6526</v>
      </c>
      <c r="E7" s="130">
        <f t="shared" ref="E7:E16" si="0">+D7/13</f>
        <v>502</v>
      </c>
      <c r="F7" s="131">
        <v>10</v>
      </c>
      <c r="G7" s="132">
        <f>+D7</f>
        <v>6526</v>
      </c>
      <c r="H7" s="20">
        <f>(F7+J7+K7+L7+Q7)*10</f>
        <v>110</v>
      </c>
      <c r="I7" s="20"/>
      <c r="J7" s="17">
        <v>1</v>
      </c>
      <c r="K7" s="17">
        <v>0</v>
      </c>
      <c r="L7" s="17">
        <f>+'3.11-25'!J85</f>
        <v>0</v>
      </c>
      <c r="M7" s="133">
        <f>+'3.11-25'!O85</f>
        <v>0</v>
      </c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>
        <v>7.5</v>
      </c>
      <c r="V7" s="21">
        <f t="shared" ref="V7:V16" si="1">(E7/8/10)*U7</f>
        <v>47.0625</v>
      </c>
      <c r="W7" s="136"/>
      <c r="X7" s="137">
        <f>+G7+H7+P7+R7+T7+V7+W7+I7</f>
        <v>6683.0625</v>
      </c>
      <c r="Y7" s="142"/>
      <c r="Z7" s="142"/>
    </row>
    <row r="8" spans="1:26" s="138" customFormat="1" ht="12" customHeight="1">
      <c r="A8" s="139">
        <v>2</v>
      </c>
      <c r="B8" s="22" t="s">
        <v>151</v>
      </c>
      <c r="C8" s="72" t="s">
        <v>152</v>
      </c>
      <c r="D8" s="73">
        <f>6253+(21*13)</f>
        <v>6526</v>
      </c>
      <c r="E8" s="130">
        <f t="shared" si="0"/>
        <v>502</v>
      </c>
      <c r="F8" s="140">
        <v>10</v>
      </c>
      <c r="G8" s="141">
        <f>+D8</f>
        <v>6526</v>
      </c>
      <c r="H8" s="21">
        <f>(F8+J8+K8+L8+Q8)*10</f>
        <v>110</v>
      </c>
      <c r="I8" s="21"/>
      <c r="J8" s="15">
        <v>1</v>
      </c>
      <c r="K8" s="15">
        <f>+'3.11-25'!I283</f>
        <v>0</v>
      </c>
      <c r="L8" s="15">
        <f>+'3.11-25'!J283</f>
        <v>0</v>
      </c>
      <c r="M8" s="73">
        <v>1</v>
      </c>
      <c r="N8" s="73"/>
      <c r="O8" s="73"/>
      <c r="P8" s="233">
        <f t="shared" ref="P8:P16" si="2">(((E8/8)*1.25)*M8)+((((E8/8)*N8)*200%)*130%)+((((E8/8)*130%)*130%)*O8)</f>
        <v>78.4375</v>
      </c>
      <c r="Q8" s="73"/>
      <c r="R8" s="21">
        <f t="shared" ref="R8:R13" si="3">+Q8*E8</f>
        <v>0</v>
      </c>
      <c r="S8" s="15"/>
      <c r="T8" s="21">
        <f t="shared" ref="T8:T16" si="4">(+S8*E8)*0.3</f>
        <v>0</v>
      </c>
      <c r="U8" s="15">
        <v>3</v>
      </c>
      <c r="V8" s="21">
        <f t="shared" si="1"/>
        <v>18.825000000000003</v>
      </c>
      <c r="W8" s="15"/>
      <c r="X8" s="137">
        <f t="shared" ref="X8:X16" si="5">+G8+H8+P8+R8+T8+V8+W8+I8</f>
        <v>6733.2624999999998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>
        <v>8.5</v>
      </c>
      <c r="G9" s="141">
        <f>D9</f>
        <v>10273</v>
      </c>
      <c r="H9" s="21">
        <f t="shared" ref="H9:H16" si="6">(F9+J9+K9+L9+Q9)*10</f>
        <v>105</v>
      </c>
      <c r="I9" s="21">
        <f>50</f>
        <v>50</v>
      </c>
      <c r="J9" s="15">
        <v>1</v>
      </c>
      <c r="K9" s="15">
        <v>1</v>
      </c>
      <c r="L9" s="15">
        <f>+'3.11-25'!J164</f>
        <v>0</v>
      </c>
      <c r="M9" s="73">
        <f>+'3.11-25'!O164</f>
        <v>0</v>
      </c>
      <c r="N9" s="73"/>
      <c r="O9" s="73"/>
      <c r="P9" s="233">
        <f t="shared" si="2"/>
        <v>0</v>
      </c>
      <c r="Q9" s="73"/>
      <c r="R9" s="21">
        <f t="shared" si="3"/>
        <v>0</v>
      </c>
      <c r="S9" s="15"/>
      <c r="T9" s="21">
        <f t="shared" si="4"/>
        <v>0</v>
      </c>
      <c r="U9" s="15">
        <v>3</v>
      </c>
      <c r="V9" s="21">
        <f t="shared" si="1"/>
        <v>29.633653846153848</v>
      </c>
      <c r="W9" s="15"/>
      <c r="X9" s="137">
        <f t="shared" si="5"/>
        <v>10457.633653846155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">
        <v>308</v>
      </c>
      <c r="D10" s="73">
        <f>5538+130+195+195+(15*13)+(21*13)</f>
        <v>6526</v>
      </c>
      <c r="E10" s="130">
        <f t="shared" si="0"/>
        <v>502</v>
      </c>
      <c r="F10" s="140">
        <v>11</v>
      </c>
      <c r="G10" s="141">
        <f t="shared" ref="G10:G16" si="7">+D10</f>
        <v>6526</v>
      </c>
      <c r="H10" s="21">
        <f t="shared" si="6"/>
        <v>110</v>
      </c>
      <c r="I10" s="21"/>
      <c r="J10" s="15">
        <v>0</v>
      </c>
      <c r="K10" s="15">
        <v>0</v>
      </c>
      <c r="L10" s="15">
        <f>+'3.11-25'!J303</f>
        <v>0</v>
      </c>
      <c r="M10" s="73">
        <f>+'3.11-25'!O303</f>
        <v>0</v>
      </c>
      <c r="N10" s="73"/>
      <c r="O10" s="73"/>
      <c r="P10" s="233">
        <f t="shared" si="2"/>
        <v>0</v>
      </c>
      <c r="Q10" s="73"/>
      <c r="R10" s="21">
        <f t="shared" si="3"/>
        <v>0</v>
      </c>
      <c r="S10" s="15"/>
      <c r="T10" s="21">
        <f t="shared" si="4"/>
        <v>0</v>
      </c>
      <c r="U10" s="15">
        <v>6</v>
      </c>
      <c r="V10" s="21">
        <f t="shared" si="1"/>
        <v>37.650000000000006</v>
      </c>
      <c r="W10" s="15"/>
      <c r="X10" s="137">
        <f t="shared" si="5"/>
        <v>6673.65</v>
      </c>
      <c r="Y10" s="142"/>
      <c r="Z10" s="142"/>
    </row>
    <row r="11" spans="1:26" s="138" customFormat="1" ht="12" customHeight="1">
      <c r="A11" s="139">
        <v>5</v>
      </c>
      <c r="B11" s="22" t="s">
        <v>154</v>
      </c>
      <c r="C11" s="72" t="s">
        <v>155</v>
      </c>
      <c r="D11" s="73">
        <f>6253+(21*13)</f>
        <v>6526</v>
      </c>
      <c r="E11" s="130">
        <f t="shared" si="0"/>
        <v>502</v>
      </c>
      <c r="F11" s="140">
        <v>10</v>
      </c>
      <c r="G11" s="141">
        <f t="shared" si="7"/>
        <v>6526</v>
      </c>
      <c r="H11" s="21">
        <f>(F11+J11+K11+L11+Q11)*10</f>
        <v>100</v>
      </c>
      <c r="I11" s="21"/>
      <c r="J11" s="15">
        <f>+'3.11-25'!H116</f>
        <v>0</v>
      </c>
      <c r="K11" s="15">
        <f>+'3.11-25'!I116</f>
        <v>0</v>
      </c>
      <c r="L11" s="15">
        <v>0</v>
      </c>
      <c r="M11" s="73">
        <f>+'3.11-25'!O116</f>
        <v>0</v>
      </c>
      <c r="N11" s="73"/>
      <c r="O11" s="73"/>
      <c r="P11" s="233">
        <f t="shared" si="2"/>
        <v>0</v>
      </c>
      <c r="Q11" s="73"/>
      <c r="R11" s="21">
        <f t="shared" si="3"/>
        <v>0</v>
      </c>
      <c r="S11" s="15"/>
      <c r="T11" s="21">
        <f t="shared" si="4"/>
        <v>0</v>
      </c>
      <c r="U11" s="15">
        <v>7.5</v>
      </c>
      <c r="V11" s="21">
        <f t="shared" si="1"/>
        <v>47.0625</v>
      </c>
      <c r="W11" s="15"/>
      <c r="X11" s="137">
        <f t="shared" si="5"/>
        <v>6673.0625</v>
      </c>
    </row>
    <row r="12" spans="1:26" s="138" customFormat="1" ht="12" customHeight="1">
      <c r="A12" s="139">
        <v>6</v>
      </c>
      <c r="B12" s="22" t="s">
        <v>311</v>
      </c>
      <c r="C12" s="72" t="s">
        <v>312</v>
      </c>
      <c r="D12" s="73">
        <f t="shared" ref="D12:D13" si="8">6253+(21*13)</f>
        <v>6526</v>
      </c>
      <c r="E12" s="130">
        <f t="shared" ref="E12:E13" si="9">+D12/13</f>
        <v>502</v>
      </c>
      <c r="F12" s="140">
        <v>9.5</v>
      </c>
      <c r="G12" s="141">
        <f t="shared" si="7"/>
        <v>6526</v>
      </c>
      <c r="H12" s="21">
        <f>(F12+J12+K12+L12+Q12)*10</f>
        <v>95</v>
      </c>
      <c r="I12" s="21"/>
      <c r="J12" s="15">
        <f>+'3.11-25'!H117</f>
        <v>0</v>
      </c>
      <c r="K12" s="15">
        <f>+'3.11-25'!I117</f>
        <v>0</v>
      </c>
      <c r="L12" s="15">
        <v>0</v>
      </c>
      <c r="M12" s="73">
        <f>+'3.11-25'!O117</f>
        <v>0</v>
      </c>
      <c r="N12" s="73"/>
      <c r="O12" s="73"/>
      <c r="P12" s="233">
        <f t="shared" si="2"/>
        <v>0</v>
      </c>
      <c r="Q12" s="73"/>
      <c r="R12" s="21">
        <f t="shared" si="3"/>
        <v>0</v>
      </c>
      <c r="S12" s="15"/>
      <c r="T12" s="21">
        <f t="shared" si="4"/>
        <v>0</v>
      </c>
      <c r="U12" s="15">
        <v>4.5</v>
      </c>
      <c r="V12" s="21">
        <f t="shared" si="1"/>
        <v>28.237500000000001</v>
      </c>
      <c r="W12" s="15"/>
      <c r="X12" s="137">
        <f t="shared" si="5"/>
        <v>6649.2375000000002</v>
      </c>
    </row>
    <row r="13" spans="1:26" s="138" customFormat="1" ht="12" customHeight="1">
      <c r="A13" s="139">
        <v>7</v>
      </c>
      <c r="B13" s="22" t="s">
        <v>313</v>
      </c>
      <c r="C13" s="72" t="s">
        <v>314</v>
      </c>
      <c r="D13" s="73">
        <f t="shared" si="8"/>
        <v>6526</v>
      </c>
      <c r="E13" s="130">
        <f t="shared" si="9"/>
        <v>502</v>
      </c>
      <c r="F13" s="140">
        <v>10</v>
      </c>
      <c r="G13" s="141">
        <f t="shared" si="7"/>
        <v>6526</v>
      </c>
      <c r="H13" s="21">
        <f t="shared" si="6"/>
        <v>100</v>
      </c>
      <c r="I13" s="21"/>
      <c r="J13" s="15">
        <v>0</v>
      </c>
      <c r="K13" s="15">
        <f>+'3.11-25'!I118</f>
        <v>0</v>
      </c>
      <c r="L13" s="15">
        <v>0</v>
      </c>
      <c r="M13" s="73">
        <v>0</v>
      </c>
      <c r="N13" s="73"/>
      <c r="O13" s="73"/>
      <c r="P13" s="233">
        <f t="shared" si="2"/>
        <v>0</v>
      </c>
      <c r="Q13" s="73"/>
      <c r="R13" s="21">
        <f t="shared" si="3"/>
        <v>0</v>
      </c>
      <c r="S13" s="15"/>
      <c r="T13" s="21">
        <f t="shared" si="4"/>
        <v>0</v>
      </c>
      <c r="U13" s="15">
        <v>10.5</v>
      </c>
      <c r="V13" s="21">
        <f t="shared" si="1"/>
        <v>65.887500000000003</v>
      </c>
      <c r="W13" s="15"/>
      <c r="X13" s="137">
        <f t="shared" si="5"/>
        <v>6691.8874999999998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2"/>
        <v>0</v>
      </c>
      <c r="Q14" s="73"/>
      <c r="R14" s="21">
        <f>+Q14*E14</f>
        <v>0</v>
      </c>
      <c r="S14" s="73"/>
      <c r="T14" s="21">
        <f t="shared" si="4"/>
        <v>0</v>
      </c>
      <c r="U14" s="73"/>
      <c r="V14" s="21">
        <f t="shared" si="1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2"/>
        <v>0</v>
      </c>
      <c r="Q15" s="73"/>
      <c r="R15" s="21">
        <f>+Q15*E15</f>
        <v>0</v>
      </c>
      <c r="S15" s="73"/>
      <c r="T15" s="21">
        <f t="shared" si="4"/>
        <v>0</v>
      </c>
      <c r="U15" s="73"/>
      <c r="V15" s="21">
        <f t="shared" si="1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2"/>
        <v>0</v>
      </c>
      <c r="Q16" s="73"/>
      <c r="R16" s="21">
        <f>+Q16*E16</f>
        <v>0</v>
      </c>
      <c r="S16" s="73"/>
      <c r="T16" s="21">
        <f t="shared" si="4"/>
        <v>0</v>
      </c>
      <c r="U16" s="73"/>
      <c r="V16" s="21">
        <f t="shared" si="1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49429</v>
      </c>
      <c r="E18" s="3">
        <f>SUM(E7:E17)</f>
        <v>3802.2307692307695</v>
      </c>
      <c r="F18" s="4"/>
      <c r="G18" s="3">
        <f>SUM(G7:G17)</f>
        <v>49429</v>
      </c>
      <c r="H18" s="3">
        <f>SUM(H7:H16)</f>
        <v>730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78.4375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274.35865384615386</v>
      </c>
      <c r="W18" s="4"/>
      <c r="X18" s="3">
        <f>SUM(X7:X16)</f>
        <v>50561.796153846153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73"/>
      <c r="B20" s="375" t="s">
        <v>0</v>
      </c>
      <c r="C20" s="377" t="s">
        <v>1</v>
      </c>
      <c r="D20" s="363" t="s">
        <v>3</v>
      </c>
      <c r="E20" s="399" t="s">
        <v>22</v>
      </c>
      <c r="F20" s="405" t="s">
        <v>2</v>
      </c>
      <c r="G20" s="377" t="s">
        <v>21</v>
      </c>
      <c r="H20" s="363" t="s">
        <v>2</v>
      </c>
      <c r="I20" s="401" t="s">
        <v>128</v>
      </c>
      <c r="J20" s="388" t="s">
        <v>4</v>
      </c>
      <c r="K20" s="390" t="s">
        <v>23</v>
      </c>
      <c r="L20" s="363" t="s">
        <v>5</v>
      </c>
      <c r="M20" s="363" t="s">
        <v>6</v>
      </c>
      <c r="N20" s="363" t="s">
        <v>24</v>
      </c>
      <c r="O20" s="363" t="s">
        <v>7</v>
      </c>
      <c r="P20" s="383" t="s">
        <v>3</v>
      </c>
      <c r="Q20" s="244"/>
      <c r="R20" s="152" t="s">
        <v>103</v>
      </c>
      <c r="S20" s="244"/>
    </row>
    <row r="21" spans="1:24" s="138" customFormat="1" ht="15" customHeight="1" thickBot="1">
      <c r="A21" s="374"/>
      <c r="B21" s="376"/>
      <c r="C21" s="378"/>
      <c r="D21" s="395"/>
      <c r="E21" s="400"/>
      <c r="F21" s="406"/>
      <c r="G21" s="407"/>
      <c r="H21" s="379"/>
      <c r="I21" s="402"/>
      <c r="J21" s="389"/>
      <c r="K21" s="391"/>
      <c r="L21" s="379"/>
      <c r="M21" s="379"/>
      <c r="N21" s="395"/>
      <c r="O21" s="379"/>
      <c r="P21" s="384"/>
      <c r="R21" s="250" t="str">
        <f>D3</f>
        <v>JUNE  11 - 25, 2018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 Purchaser</v>
      </c>
      <c r="D22" s="154">
        <f t="shared" ref="D22:D31" si="10">+X7</f>
        <v>6683.0625</v>
      </c>
      <c r="E22" s="17">
        <f>+'3.11-25'!R85</f>
        <v>0</v>
      </c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490.5</v>
      </c>
      <c r="K22" s="17">
        <f>1199.77-500</f>
        <v>699.77</v>
      </c>
      <c r="L22" s="15">
        <f>Contribution!I18*2.75%/2</f>
        <v>184.18056250000001</v>
      </c>
      <c r="M22" s="17"/>
      <c r="N22" s="17">
        <v>579.26</v>
      </c>
      <c r="O22" s="17"/>
      <c r="P22" s="158">
        <f>+D22-F22-H22-J22-K22-L22-M22-N22-O22-I22</f>
        <v>4729.3519374999996</v>
      </c>
      <c r="R22" s="71">
        <f t="shared" ref="R22:R31" si="11">G7+H7+P7+R7+T7+V7+W7-F22-H22</f>
        <v>6683.0625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10"/>
        <v>6733.2624999999998</v>
      </c>
      <c r="E23" s="15">
        <v>0</v>
      </c>
      <c r="F23" s="21">
        <f t="shared" ref="F23:F31" si="12">+E23*E8</f>
        <v>0</v>
      </c>
      <c r="G23" s="15"/>
      <c r="H23" s="21">
        <f t="shared" ref="H23:H31" si="13">(+E8/8)*G23</f>
        <v>0</v>
      </c>
      <c r="I23" s="73"/>
      <c r="J23" s="15">
        <f>'[1]summary of contribution'!$J$19</f>
        <v>490.5</v>
      </c>
      <c r="K23" s="15"/>
      <c r="L23" s="15">
        <f>Contribution!I19*2.75%/2</f>
        <v>184.00800000000001</v>
      </c>
      <c r="M23" s="15"/>
      <c r="N23" s="15"/>
      <c r="O23" s="15"/>
      <c r="P23" s="158">
        <f t="shared" ref="P23:P31" si="14">+D23-F23-H23-J23-K23-L23-M23-N23-O23-I23</f>
        <v>6058.7545</v>
      </c>
      <c r="R23" s="71">
        <f t="shared" si="11"/>
        <v>6733.2624999999998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0"/>
        <v>10457.633653846155</v>
      </c>
      <c r="E24" s="15">
        <v>0.5</v>
      </c>
      <c r="F24" s="21">
        <f t="shared" si="12"/>
        <v>395.11538461538464</v>
      </c>
      <c r="G24" s="15">
        <v>2.71</v>
      </c>
      <c r="H24" s="21">
        <f t="shared" si="13"/>
        <v>267.69067307692308</v>
      </c>
      <c r="I24" s="73"/>
      <c r="J24" s="15">
        <f>'[1]summary of contribution'!$J$20</f>
        <v>581.29999999999995</v>
      </c>
      <c r="K24" s="15">
        <v>1476.64</v>
      </c>
      <c r="L24" s="15">
        <f>Contribution!I20*2.75%/2</f>
        <v>269.42497920673077</v>
      </c>
      <c r="M24" s="15"/>
      <c r="N24" s="15"/>
      <c r="O24" s="15"/>
      <c r="P24" s="158">
        <f t="shared" si="14"/>
        <v>7467.4626169471176</v>
      </c>
      <c r="R24" s="71">
        <f t="shared" si="11"/>
        <v>9744.8275961538475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 Bookkeeper</v>
      </c>
      <c r="D25" s="141">
        <f t="shared" si="10"/>
        <v>6673.65</v>
      </c>
      <c r="E25" s="15">
        <f>+'3.11-25'!R303</f>
        <v>0</v>
      </c>
      <c r="F25" s="21">
        <f t="shared" si="12"/>
        <v>0</v>
      </c>
      <c r="G25" s="15">
        <v>0.12</v>
      </c>
      <c r="H25" s="21">
        <f t="shared" si="13"/>
        <v>7.5299999999999994</v>
      </c>
      <c r="I25" s="73">
        <v>0</v>
      </c>
      <c r="J25" s="15">
        <f>'[1]summary of contribution'!$J$21</f>
        <v>472.3</v>
      </c>
      <c r="K25" s="15">
        <v>600</v>
      </c>
      <c r="L25" s="15">
        <f>Contribution!I21*2.75%/2</f>
        <v>181.37354583333334</v>
      </c>
      <c r="M25" s="15"/>
      <c r="N25" s="15"/>
      <c r="O25" s="15"/>
      <c r="P25" s="158">
        <f t="shared" si="14"/>
        <v>5412.4464541666666</v>
      </c>
      <c r="R25" s="71">
        <f t="shared" si="11"/>
        <v>6666.12</v>
      </c>
    </row>
    <row r="26" spans="1:24" s="138" customFormat="1" ht="13.5" customHeight="1">
      <c r="A26" s="139">
        <v>5</v>
      </c>
      <c r="B26" s="22" t="str">
        <f t="shared" ref="B26:B31" si="15">+B11</f>
        <v>Briones, Christain Joy</v>
      </c>
      <c r="C26" s="248" t="str">
        <f t="shared" ref="C26:C31" si="16">C11</f>
        <v>Asst. Cook</v>
      </c>
      <c r="D26" s="141">
        <f t="shared" si="10"/>
        <v>6673.0625</v>
      </c>
      <c r="E26" s="15">
        <v>1</v>
      </c>
      <c r="F26" s="21">
        <f t="shared" si="12"/>
        <v>502</v>
      </c>
      <c r="G26" s="15"/>
      <c r="H26" s="21">
        <f t="shared" si="13"/>
        <v>0</v>
      </c>
      <c r="I26" s="122"/>
      <c r="J26" s="15">
        <f>'[1]summary of contribution'!$J$22</f>
        <v>472.3</v>
      </c>
      <c r="K26" s="15">
        <v>969.04</v>
      </c>
      <c r="L26" s="15">
        <f>Contribution!I22*2.75%/2</f>
        <v>172.09222135416667</v>
      </c>
      <c r="M26" s="15"/>
      <c r="N26" s="15"/>
      <c r="O26" s="15"/>
      <c r="P26" s="158">
        <f t="shared" si="14"/>
        <v>4557.6302786458327</v>
      </c>
      <c r="R26" s="71">
        <f t="shared" si="11"/>
        <v>6171.0625</v>
      </c>
    </row>
    <row r="27" spans="1:24" s="138" customFormat="1" ht="12" customHeight="1">
      <c r="A27" s="139">
        <v>6</v>
      </c>
      <c r="B27" s="22" t="str">
        <f t="shared" si="15"/>
        <v>Cahilig,Benzen</v>
      </c>
      <c r="C27" s="248" t="str">
        <f t="shared" si="16"/>
        <v>Cook</v>
      </c>
      <c r="D27" s="141">
        <f t="shared" si="10"/>
        <v>6649.2375000000002</v>
      </c>
      <c r="E27" s="15">
        <v>1.5</v>
      </c>
      <c r="F27" s="21">
        <f t="shared" si="12"/>
        <v>753</v>
      </c>
      <c r="G27" s="15">
        <v>1.93</v>
      </c>
      <c r="H27" s="21">
        <f>(+E12/8)*G27</f>
        <v>121.1075</v>
      </c>
      <c r="I27" s="122"/>
      <c r="J27" s="15">
        <f>'[1]summary of contribution'!$J$22</f>
        <v>472.3</v>
      </c>
      <c r="K27" s="341">
        <v>484.52</v>
      </c>
      <c r="L27" s="15">
        <v>148.4</v>
      </c>
      <c r="M27" s="15">
        <v>100</v>
      </c>
      <c r="N27" s="15">
        <v>428.48</v>
      </c>
      <c r="O27" s="15"/>
      <c r="P27" s="158">
        <f t="shared" si="14"/>
        <v>4141.43</v>
      </c>
      <c r="R27" s="71">
        <f t="shared" si="11"/>
        <v>5775.13</v>
      </c>
    </row>
    <row r="28" spans="1:24" s="138" customFormat="1" ht="12" customHeight="1">
      <c r="A28" s="139">
        <v>7</v>
      </c>
      <c r="B28" s="22" t="str">
        <f t="shared" si="15"/>
        <v>Pantoja,Nancy</v>
      </c>
      <c r="C28" s="248" t="str">
        <f t="shared" si="16"/>
        <v>Cashier</v>
      </c>
      <c r="D28" s="141">
        <f t="shared" si="10"/>
        <v>6691.8874999999998</v>
      </c>
      <c r="E28" s="15">
        <v>1</v>
      </c>
      <c r="F28" s="21">
        <f t="shared" si="12"/>
        <v>502</v>
      </c>
      <c r="G28" s="15">
        <v>0.59</v>
      </c>
      <c r="H28" s="21">
        <f t="shared" si="13"/>
        <v>37.022500000000001</v>
      </c>
      <c r="I28" s="122"/>
      <c r="J28" s="15">
        <f>'[1]summary of contribution'!$J$22</f>
        <v>472.3</v>
      </c>
      <c r="K28" s="15">
        <v>507.6</v>
      </c>
      <c r="L28" s="15">
        <v>151.86000000000001</v>
      </c>
      <c r="M28" s="15">
        <v>100</v>
      </c>
      <c r="N28" s="15">
        <v>149.55000000000001</v>
      </c>
      <c r="O28" s="15"/>
      <c r="P28" s="158">
        <f t="shared" si="14"/>
        <v>4771.5549999999994</v>
      </c>
      <c r="R28" s="71">
        <f t="shared" si="11"/>
        <v>6152.8649999999998</v>
      </c>
    </row>
    <row r="29" spans="1:24" s="138" customFormat="1" ht="12" customHeight="1">
      <c r="A29" s="139">
        <v>8</v>
      </c>
      <c r="B29" s="22">
        <f t="shared" si="15"/>
        <v>0</v>
      </c>
      <c r="C29" s="248">
        <f t="shared" si="16"/>
        <v>0</v>
      </c>
      <c r="D29" s="141">
        <f t="shared" si="10"/>
        <v>0</v>
      </c>
      <c r="E29" s="15"/>
      <c r="F29" s="21">
        <f t="shared" si="12"/>
        <v>0</v>
      </c>
      <c r="G29" s="159"/>
      <c r="H29" s="21">
        <f t="shared" si="13"/>
        <v>0</v>
      </c>
      <c r="I29" s="122"/>
      <c r="J29" s="15">
        <f>'[1]summary of contribution'!$J$25</f>
        <v>0</v>
      </c>
      <c r="K29" s="15"/>
      <c r="L29" s="15">
        <f>Contribution!I25*2.75%/2</f>
        <v>0</v>
      </c>
      <c r="M29" s="15"/>
      <c r="N29" s="15"/>
      <c r="O29" s="15"/>
      <c r="P29" s="158">
        <f t="shared" si="14"/>
        <v>0</v>
      </c>
      <c r="R29" s="71">
        <f t="shared" si="11"/>
        <v>0</v>
      </c>
    </row>
    <row r="30" spans="1:24" s="138" customFormat="1" ht="12" customHeight="1">
      <c r="A30" s="139">
        <v>9</v>
      </c>
      <c r="B30" s="22">
        <f t="shared" si="15"/>
        <v>0</v>
      </c>
      <c r="C30" s="248">
        <f t="shared" si="16"/>
        <v>0</v>
      </c>
      <c r="D30" s="141">
        <f t="shared" si="10"/>
        <v>0</v>
      </c>
      <c r="E30" s="15"/>
      <c r="F30" s="21">
        <f t="shared" si="12"/>
        <v>0</v>
      </c>
      <c r="G30" s="159"/>
      <c r="H30" s="21">
        <f t="shared" si="13"/>
        <v>0</v>
      </c>
      <c r="I30" s="122"/>
      <c r="J30" s="15">
        <f>'[1]summary of contribution'!$J$26</f>
        <v>0</v>
      </c>
      <c r="K30" s="15"/>
      <c r="L30" s="15">
        <f>Contribution!I26*2.75%/2</f>
        <v>0</v>
      </c>
      <c r="M30" s="15"/>
      <c r="N30" s="15"/>
      <c r="O30" s="15"/>
      <c r="P30" s="158">
        <f t="shared" si="14"/>
        <v>0</v>
      </c>
      <c r="R30" s="71">
        <f t="shared" si="11"/>
        <v>0</v>
      </c>
    </row>
    <row r="31" spans="1:24" s="138" customFormat="1" ht="12" customHeight="1">
      <c r="A31" s="139">
        <v>10</v>
      </c>
      <c r="B31" s="22">
        <f t="shared" si="15"/>
        <v>0</v>
      </c>
      <c r="C31" s="248">
        <f t="shared" si="16"/>
        <v>0</v>
      </c>
      <c r="D31" s="141">
        <f t="shared" si="10"/>
        <v>0</v>
      </c>
      <c r="E31" s="15"/>
      <c r="F31" s="21">
        <f t="shared" si="12"/>
        <v>0</v>
      </c>
      <c r="G31" s="159"/>
      <c r="H31" s="21">
        <f t="shared" si="13"/>
        <v>0</v>
      </c>
      <c r="I31" s="122"/>
      <c r="J31" s="15">
        <f>'[1]summary of contribution'!$J$27</f>
        <v>0</v>
      </c>
      <c r="K31" s="15"/>
      <c r="L31" s="15">
        <f>Contribution!I27*2.75%/2</f>
        <v>0</v>
      </c>
      <c r="M31" s="15"/>
      <c r="N31" s="15"/>
      <c r="O31" s="15"/>
      <c r="P31" s="158">
        <f t="shared" si="14"/>
        <v>0</v>
      </c>
      <c r="R31" s="71">
        <f t="shared" si="11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50561.796153846153</v>
      </c>
      <c r="E33" s="4">
        <f>+SUM(E22:E32)</f>
        <v>4</v>
      </c>
      <c r="F33" s="3">
        <f>SUM(F22:F32)</f>
        <v>2152.1153846153848</v>
      </c>
      <c r="G33" s="4"/>
      <c r="H33" s="3">
        <f>SUM(H22:H32)</f>
        <v>433.35067307692304</v>
      </c>
      <c r="I33" s="3">
        <f>+SUM(I22:I32)</f>
        <v>0</v>
      </c>
      <c r="J33" s="3">
        <f t="shared" ref="J33:O33" si="17">+SUM(J22:J32)</f>
        <v>3451.5000000000005</v>
      </c>
      <c r="K33" s="3">
        <f t="shared" si="17"/>
        <v>4737.57</v>
      </c>
      <c r="L33" s="3">
        <f>+SUM(L22:L32)</f>
        <v>1291.3393088942307</v>
      </c>
      <c r="M33" s="3">
        <f t="shared" si="17"/>
        <v>200</v>
      </c>
      <c r="N33" s="3">
        <f t="shared" si="17"/>
        <v>1157.29</v>
      </c>
      <c r="O33" s="3">
        <f t="shared" si="17"/>
        <v>0</v>
      </c>
      <c r="P33" s="5">
        <f>+SUM(P22:P32)</f>
        <v>37138.630787259615</v>
      </c>
      <c r="R33" s="51"/>
      <c r="S33" s="249" t="s">
        <v>102</v>
      </c>
      <c r="T33" s="163"/>
    </row>
    <row r="34" spans="1:20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8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9">+P22+(SUM(O35:Q35))</f>
        <v>5763.3519374999996</v>
      </c>
    </row>
    <row r="36" spans="1:20">
      <c r="M36" s="16" t="str">
        <f t="shared" si="18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9"/>
        <v>6558.7545</v>
      </c>
    </row>
    <row r="37" spans="1:20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8"/>
        <v>Dino, Joyce</v>
      </c>
      <c r="N37" s="165"/>
      <c r="O37" s="16">
        <f>500/2</f>
        <v>250</v>
      </c>
      <c r="P37" s="16">
        <v>1000</v>
      </c>
      <c r="Q37" s="16">
        <v>0</v>
      </c>
      <c r="S37" s="166">
        <f t="shared" si="19"/>
        <v>8717.4626169471176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8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9"/>
        <v>6446.4464541666666</v>
      </c>
    </row>
    <row r="39" spans="1:20">
      <c r="M39" s="16" t="str">
        <f t="shared" si="18"/>
        <v>Briones, Christain Joy</v>
      </c>
      <c r="O39" s="16">
        <v>0</v>
      </c>
      <c r="P39" s="16">
        <v>0</v>
      </c>
      <c r="Q39" s="16">
        <v>0</v>
      </c>
      <c r="S39" s="166">
        <f t="shared" si="19"/>
        <v>4557.6302786458327</v>
      </c>
    </row>
    <row r="40" spans="1:20">
      <c r="M40" s="16" t="str">
        <f t="shared" si="18"/>
        <v>Cahilig,Benzen</v>
      </c>
      <c r="O40" s="16">
        <v>0</v>
      </c>
      <c r="P40" s="16">
        <v>0</v>
      </c>
      <c r="Q40" s="16">
        <v>0</v>
      </c>
      <c r="S40" s="166">
        <f t="shared" si="19"/>
        <v>4141.43</v>
      </c>
    </row>
    <row r="41" spans="1:20">
      <c r="M41" s="16" t="str">
        <f t="shared" si="18"/>
        <v>Pantoja,Nancy</v>
      </c>
      <c r="O41" s="16">
        <v>0</v>
      </c>
      <c r="P41" s="16">
        <v>0</v>
      </c>
      <c r="Q41" s="16">
        <v>0</v>
      </c>
      <c r="S41" s="166">
        <f t="shared" si="19"/>
        <v>4771.5549999999994</v>
      </c>
    </row>
    <row r="42" spans="1:20">
      <c r="M42" s="16">
        <f t="shared" si="18"/>
        <v>0</v>
      </c>
      <c r="O42" s="16">
        <v>0</v>
      </c>
      <c r="P42" s="16">
        <v>0</v>
      </c>
      <c r="Q42" s="16">
        <v>0</v>
      </c>
      <c r="S42" s="166">
        <f t="shared" si="19"/>
        <v>0</v>
      </c>
    </row>
    <row r="43" spans="1:20">
      <c r="M43" s="16">
        <f t="shared" si="18"/>
        <v>0</v>
      </c>
      <c r="O43" s="16">
        <v>0</v>
      </c>
      <c r="P43" s="16">
        <v>0</v>
      </c>
      <c r="Q43" s="16">
        <v>0</v>
      </c>
      <c r="S43" s="166">
        <f t="shared" si="19"/>
        <v>0</v>
      </c>
    </row>
    <row r="44" spans="1:20">
      <c r="M44" s="16">
        <f t="shared" si="18"/>
        <v>0</v>
      </c>
      <c r="O44" s="16">
        <v>0</v>
      </c>
      <c r="P44" s="16">
        <v>0</v>
      </c>
      <c r="Q44" s="16">
        <v>0</v>
      </c>
      <c r="S44" s="166">
        <f t="shared" si="19"/>
        <v>0</v>
      </c>
    </row>
    <row r="46" spans="1:20">
      <c r="P46" s="169">
        <f>+P33+(SUM(O35:Q44))</f>
        <v>40956.630787259615</v>
      </c>
    </row>
    <row r="53" spans="1:15" ht="13.5" thickBot="1"/>
    <row r="54" spans="1:15" ht="13.5" customHeight="1" thickBot="1">
      <c r="A54" s="373"/>
      <c r="B54" s="375" t="s">
        <v>0</v>
      </c>
      <c r="C54" s="377" t="s">
        <v>1</v>
      </c>
      <c r="D54" s="363" t="s">
        <v>3</v>
      </c>
      <c r="E54" s="363" t="s">
        <v>45</v>
      </c>
      <c r="F54" s="361" t="s">
        <v>153</v>
      </c>
      <c r="G54" s="381" t="s">
        <v>112</v>
      </c>
      <c r="H54" s="382"/>
      <c r="I54" s="386" t="s">
        <v>310</v>
      </c>
      <c r="J54" s="383" t="s">
        <v>3</v>
      </c>
      <c r="K54" s="385" t="s">
        <v>114</v>
      </c>
      <c r="L54" s="380" t="s">
        <v>115</v>
      </c>
      <c r="M54" s="380" t="s">
        <v>116</v>
      </c>
      <c r="O54" s="394" t="s">
        <v>102</v>
      </c>
    </row>
    <row r="55" spans="1:15" ht="13.5" thickBot="1">
      <c r="A55" s="374"/>
      <c r="B55" s="376"/>
      <c r="C55" s="378"/>
      <c r="D55" s="395"/>
      <c r="E55" s="364"/>
      <c r="F55" s="362"/>
      <c r="G55" s="245" t="s">
        <v>113</v>
      </c>
      <c r="H55" s="246" t="s">
        <v>150</v>
      </c>
      <c r="I55" s="387"/>
      <c r="J55" s="384"/>
      <c r="K55" s="385"/>
      <c r="L55" s="380"/>
      <c r="M55" s="380"/>
      <c r="O55" s="394"/>
    </row>
    <row r="56" spans="1:15">
      <c r="A56" s="153">
        <v>1</v>
      </c>
      <c r="B56" s="49" t="str">
        <f t="shared" ref="B56:C65" si="20">B22</f>
        <v>Biarcal, Ronald Glenn</v>
      </c>
      <c r="C56" s="49" t="str">
        <f t="shared" si="20"/>
        <v>M.T. Purchaser</v>
      </c>
      <c r="D56" s="49">
        <f>+P22</f>
        <v>4729.3519374999996</v>
      </c>
      <c r="E56" s="49"/>
      <c r="F56" s="157"/>
      <c r="G56" s="236"/>
      <c r="H56" s="236">
        <f>2775/2</f>
        <v>1387.5</v>
      </c>
      <c r="I56" s="157">
        <v>365</v>
      </c>
      <c r="J56" s="158">
        <f t="shared" ref="J56:J65" si="21">+D22-F22-H22-E56-J22-K22-L22-M22-N22-O22-F56-I56-G56-H56-I22</f>
        <v>2976.8519374999996</v>
      </c>
      <c r="K56" s="274">
        <f t="shared" ref="K56:M60" si="22">+O35</f>
        <v>150</v>
      </c>
      <c r="L56" s="274">
        <f t="shared" si="22"/>
        <v>884</v>
      </c>
      <c r="M56" s="274">
        <f t="shared" si="22"/>
        <v>0</v>
      </c>
      <c r="O56" s="165">
        <f t="shared" ref="O56:O62" si="23">+J56+K56+L56</f>
        <v>4010.8519374999996</v>
      </c>
    </row>
    <row r="57" spans="1:15">
      <c r="A57" s="139">
        <v>2</v>
      </c>
      <c r="B57" s="22" t="str">
        <f t="shared" si="20"/>
        <v>Sanchez, Angelo</v>
      </c>
      <c r="C57" s="248" t="str">
        <f t="shared" si="20"/>
        <v>Head Cook</v>
      </c>
      <c r="D57" s="248">
        <f t="shared" ref="D57:D65" si="24">+P23</f>
        <v>6058.7545</v>
      </c>
      <c r="E57" s="22"/>
      <c r="F57" s="122"/>
      <c r="G57" s="122"/>
      <c r="H57" s="122"/>
      <c r="I57" s="122">
        <v>365</v>
      </c>
      <c r="J57" s="158">
        <f t="shared" si="21"/>
        <v>5693.7545</v>
      </c>
      <c r="K57" s="274">
        <f t="shared" si="22"/>
        <v>0</v>
      </c>
      <c r="L57" s="274">
        <f t="shared" si="22"/>
        <v>500</v>
      </c>
      <c r="M57" s="274">
        <f t="shared" si="22"/>
        <v>0</v>
      </c>
      <c r="O57" s="165">
        <f t="shared" si="23"/>
        <v>6193.7545</v>
      </c>
    </row>
    <row r="58" spans="1:15">
      <c r="A58" s="139">
        <v>3</v>
      </c>
      <c r="B58" s="22" t="str">
        <f t="shared" si="20"/>
        <v>Dino, Joyce</v>
      </c>
      <c r="C58" s="248" t="str">
        <f t="shared" si="20"/>
        <v>Store Manager</v>
      </c>
      <c r="D58" s="248">
        <f t="shared" si="24"/>
        <v>7467.4626169471176</v>
      </c>
      <c r="E58" s="22"/>
      <c r="F58" s="122"/>
      <c r="G58" s="18"/>
      <c r="H58" s="18">
        <f>3202.78/2</f>
        <v>1601.39</v>
      </c>
      <c r="I58" s="122">
        <v>365</v>
      </c>
      <c r="J58" s="158">
        <f t="shared" si="21"/>
        <v>5501.0726169471172</v>
      </c>
      <c r="K58" s="274">
        <f t="shared" si="22"/>
        <v>250</v>
      </c>
      <c r="L58" s="274">
        <f t="shared" si="22"/>
        <v>1000</v>
      </c>
      <c r="M58" s="274">
        <f t="shared" si="22"/>
        <v>0</v>
      </c>
      <c r="O58" s="165">
        <f t="shared" si="23"/>
        <v>6751.0726169471172</v>
      </c>
    </row>
    <row r="59" spans="1:15">
      <c r="A59" s="139">
        <v>4</v>
      </c>
      <c r="B59" s="22" t="str">
        <f t="shared" si="20"/>
        <v xml:space="preserve">Sosa, Anna Marie </v>
      </c>
      <c r="C59" s="248" t="str">
        <f t="shared" si="20"/>
        <v>M.T. Bookkeeper</v>
      </c>
      <c r="D59" s="248">
        <f t="shared" si="24"/>
        <v>5412.4464541666666</v>
      </c>
      <c r="E59" s="22"/>
      <c r="F59" s="122"/>
      <c r="G59" s="122"/>
      <c r="H59" s="122">
        <v>1537.34</v>
      </c>
      <c r="I59" s="122">
        <v>365</v>
      </c>
      <c r="J59" s="158">
        <f t="shared" si="21"/>
        <v>3510.1064541666665</v>
      </c>
      <c r="K59" s="274">
        <f t="shared" si="22"/>
        <v>150</v>
      </c>
      <c r="L59" s="274">
        <f t="shared" si="22"/>
        <v>884</v>
      </c>
      <c r="M59" s="274">
        <f t="shared" si="22"/>
        <v>0</v>
      </c>
      <c r="O59" s="165">
        <f t="shared" si="23"/>
        <v>4544.1064541666665</v>
      </c>
    </row>
    <row r="60" spans="1:15">
      <c r="A60" s="139">
        <v>5</v>
      </c>
      <c r="B60" s="22" t="str">
        <f t="shared" si="20"/>
        <v>Briones, Christain Joy</v>
      </c>
      <c r="C60" s="248" t="str">
        <f t="shared" si="20"/>
        <v>Asst. Cook</v>
      </c>
      <c r="D60" s="248">
        <f t="shared" si="24"/>
        <v>4557.6302786458327</v>
      </c>
      <c r="E60" s="22">
        <v>0</v>
      </c>
      <c r="F60" s="122"/>
      <c r="G60" s="122"/>
      <c r="H60" s="122"/>
      <c r="I60" s="122">
        <v>365</v>
      </c>
      <c r="J60" s="158">
        <f t="shared" si="21"/>
        <v>4192.6302786458327</v>
      </c>
      <c r="K60" s="274">
        <f t="shared" si="22"/>
        <v>0</v>
      </c>
      <c r="L60" s="274">
        <f t="shared" si="22"/>
        <v>0</v>
      </c>
      <c r="M60" s="274">
        <f t="shared" si="22"/>
        <v>0</v>
      </c>
      <c r="O60" s="165">
        <f t="shared" si="23"/>
        <v>4192.6302786458327</v>
      </c>
    </row>
    <row r="61" spans="1:15">
      <c r="A61" s="139">
        <v>6</v>
      </c>
      <c r="B61" s="22" t="str">
        <f t="shared" si="20"/>
        <v>Cahilig,Benzen</v>
      </c>
      <c r="C61" s="248" t="str">
        <f t="shared" si="20"/>
        <v>Cook</v>
      </c>
      <c r="D61" s="248">
        <f t="shared" si="24"/>
        <v>4141.43</v>
      </c>
      <c r="E61" s="22"/>
      <c r="F61" s="122"/>
      <c r="G61" s="122"/>
      <c r="H61" s="122"/>
      <c r="I61" s="122"/>
      <c r="J61" s="158">
        <f t="shared" si="21"/>
        <v>4141.43</v>
      </c>
      <c r="O61" s="165">
        <f t="shared" si="23"/>
        <v>4141.43</v>
      </c>
    </row>
    <row r="62" spans="1:15">
      <c r="A62" s="139">
        <v>7</v>
      </c>
      <c r="B62" s="22" t="str">
        <f t="shared" si="20"/>
        <v>Pantoja,Nancy</v>
      </c>
      <c r="C62" s="248" t="str">
        <f t="shared" si="20"/>
        <v>Cashier</v>
      </c>
      <c r="D62" s="248">
        <f t="shared" si="24"/>
        <v>4771.5549999999994</v>
      </c>
      <c r="E62" s="22"/>
      <c r="F62" s="122"/>
      <c r="G62" s="122"/>
      <c r="H62" s="122"/>
      <c r="I62" s="122"/>
      <c r="J62" s="158">
        <f t="shared" si="21"/>
        <v>4771.5549999999994</v>
      </c>
      <c r="O62" s="165">
        <f t="shared" si="23"/>
        <v>4771.5549999999994</v>
      </c>
    </row>
    <row r="63" spans="1:15">
      <c r="A63" s="139">
        <v>8</v>
      </c>
      <c r="B63" s="22">
        <f t="shared" si="20"/>
        <v>0</v>
      </c>
      <c r="C63" s="248">
        <f t="shared" si="20"/>
        <v>0</v>
      </c>
      <c r="D63" s="248">
        <f t="shared" si="24"/>
        <v>0</v>
      </c>
      <c r="E63" s="22"/>
      <c r="F63" s="122"/>
      <c r="G63" s="122"/>
      <c r="H63" s="122"/>
      <c r="I63" s="122"/>
      <c r="J63" s="158">
        <f t="shared" si="21"/>
        <v>0</v>
      </c>
    </row>
    <row r="64" spans="1:15">
      <c r="A64" s="139">
        <v>9</v>
      </c>
      <c r="B64" s="22">
        <f t="shared" si="20"/>
        <v>0</v>
      </c>
      <c r="C64" s="248">
        <f t="shared" si="20"/>
        <v>0</v>
      </c>
      <c r="D64" s="248">
        <f t="shared" si="24"/>
        <v>0</v>
      </c>
      <c r="E64" s="22"/>
      <c r="F64" s="122"/>
      <c r="G64" s="122"/>
      <c r="H64" s="122"/>
      <c r="I64" s="15">
        <v>0</v>
      </c>
      <c r="J64" s="158">
        <f t="shared" si="21"/>
        <v>0</v>
      </c>
    </row>
    <row r="65" spans="1:16">
      <c r="A65" s="139">
        <v>10</v>
      </c>
      <c r="B65" s="22">
        <f t="shared" si="20"/>
        <v>0</v>
      </c>
      <c r="C65" s="248">
        <f t="shared" si="20"/>
        <v>0</v>
      </c>
      <c r="D65" s="248">
        <f t="shared" si="24"/>
        <v>0</v>
      </c>
      <c r="E65" s="22"/>
      <c r="F65" s="122"/>
      <c r="G65" s="122"/>
      <c r="H65" s="122"/>
      <c r="I65" s="15">
        <v>0</v>
      </c>
      <c r="J65" s="158">
        <f t="shared" si="21"/>
        <v>0</v>
      </c>
    </row>
    <row r="66" spans="1:16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>
      <c r="A67" s="161"/>
      <c r="B67" s="147"/>
      <c r="C67" s="148"/>
      <c r="D67" s="276">
        <f>SUM(D56:D66)</f>
        <v>37138.630787259615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4526.2300000000005</v>
      </c>
      <c r="I67" s="3">
        <f>+SUM(I56:I66)</f>
        <v>1825</v>
      </c>
      <c r="J67" s="5">
        <f>+SUM(J56:J66)</f>
        <v>30787.400787259616</v>
      </c>
      <c r="O67" s="275">
        <f>SUM(O56:O66)</f>
        <v>34605.400787259612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22" workbookViewId="0">
      <selection activeCell="T37" sqref="T37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11" t="str">
        <f>'11-25 payroll'!A1</f>
        <v>THE OLD SPAGHETTI HOUSE</v>
      </c>
      <c r="C2" s="412"/>
      <c r="D2" s="412"/>
      <c r="E2" s="412"/>
      <c r="F2" s="412"/>
      <c r="G2" s="412"/>
      <c r="H2" s="413"/>
      <c r="I2" s="178"/>
      <c r="J2" s="411" t="str">
        <f>'11-25 payroll'!A1</f>
        <v>THE OLD SPAGHETTI HOUSE</v>
      </c>
      <c r="K2" s="412"/>
      <c r="L2" s="412"/>
      <c r="M2" s="412"/>
      <c r="N2" s="412"/>
      <c r="O2" s="412"/>
      <c r="P2" s="413"/>
    </row>
    <row r="3" spans="1:22" s="179" customFormat="1">
      <c r="A3" s="170"/>
      <c r="B3" s="414" t="str">
        <f>'11-25 payroll'!D2</f>
        <v>VALERO</v>
      </c>
      <c r="C3" s="415"/>
      <c r="D3" s="415"/>
      <c r="E3" s="415"/>
      <c r="F3" s="415"/>
      <c r="G3" s="415"/>
      <c r="H3" s="416"/>
      <c r="I3" s="178"/>
      <c r="J3" s="414" t="str">
        <f>'11-25 payroll'!D2</f>
        <v>VALERO</v>
      </c>
      <c r="K3" s="415"/>
      <c r="L3" s="415"/>
      <c r="M3" s="415"/>
      <c r="N3" s="415"/>
      <c r="O3" s="415"/>
      <c r="P3" s="416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17" t="s">
        <v>25</v>
      </c>
      <c r="C5" s="418"/>
      <c r="D5" s="418"/>
      <c r="E5" s="418"/>
      <c r="F5" s="418"/>
      <c r="G5" s="418"/>
      <c r="H5" s="419"/>
      <c r="I5" s="178"/>
      <c r="J5" s="417" t="s">
        <v>25</v>
      </c>
      <c r="K5" s="418"/>
      <c r="L5" s="418"/>
      <c r="M5" s="418"/>
      <c r="N5" s="418"/>
      <c r="O5" s="418"/>
      <c r="P5" s="419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20" t="str">
        <f>'11-25 payroll'!B7</f>
        <v>Biarcal, Ronald Glenn</v>
      </c>
      <c r="E7" s="420"/>
      <c r="F7" s="420"/>
      <c r="G7" s="55"/>
      <c r="H7" s="194"/>
      <c r="I7" s="195"/>
      <c r="J7" s="192" t="s">
        <v>26</v>
      </c>
      <c r="K7" s="193" t="s">
        <v>27</v>
      </c>
      <c r="L7" s="420" t="str">
        <f>'11-25 payroll'!B8</f>
        <v>Sanchez, Angelo</v>
      </c>
      <c r="M7" s="420"/>
      <c r="N7" s="420"/>
      <c r="O7" s="9"/>
      <c r="P7" s="194"/>
    </row>
    <row r="8" spans="1:22">
      <c r="B8" s="192" t="s">
        <v>28</v>
      </c>
      <c r="C8" s="193" t="s">
        <v>27</v>
      </c>
      <c r="D8" s="421">
        <f>'11-25 payroll'!E7</f>
        <v>502</v>
      </c>
      <c r="E8" s="421"/>
      <c r="F8" s="421"/>
      <c r="G8" s="55"/>
      <c r="H8" s="235"/>
      <c r="I8" s="195"/>
      <c r="J8" s="192" t="s">
        <v>28</v>
      </c>
      <c r="K8" s="193" t="s">
        <v>27</v>
      </c>
      <c r="L8" s="421">
        <f>'11-25 payroll'!E8</f>
        <v>502</v>
      </c>
      <c r="M8" s="421"/>
      <c r="N8" s="421"/>
      <c r="O8" s="9"/>
      <c r="P8" s="235"/>
    </row>
    <row r="9" spans="1:22" s="187" customFormat="1">
      <c r="A9" s="170"/>
      <c r="B9" s="192" t="s">
        <v>29</v>
      </c>
      <c r="C9" s="193" t="s">
        <v>27</v>
      </c>
      <c r="D9" s="422" t="str">
        <f>'11-25 payroll'!D3</f>
        <v>JUNE  11 - 25, 2018</v>
      </c>
      <c r="E9" s="422"/>
      <c r="F9" s="422"/>
      <c r="G9" s="55"/>
      <c r="H9" s="194"/>
      <c r="I9" s="195"/>
      <c r="J9" s="192" t="s">
        <v>29</v>
      </c>
      <c r="K9" s="193" t="s">
        <v>27</v>
      </c>
      <c r="L9" s="422" t="str">
        <f>'11-25 payroll'!D3</f>
        <v>JUNE  11 - 25, 2018</v>
      </c>
      <c r="M9" s="422"/>
      <c r="N9" s="422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10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10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78.4375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110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110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1081.0625</v>
      </c>
      <c r="G17" s="55"/>
      <c r="H17" s="56">
        <f>SUM(F13:F17)</f>
        <v>1191.0625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518.82500000000005</v>
      </c>
      <c r="O17" s="9"/>
      <c r="P17" s="10">
        <f>SUM(N13:N17)</f>
        <v>707.26250000000005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490.5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490.5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184.18056250000001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184.00800000000001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1752.5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365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-3706.2105625000004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-1039.508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4010.8519374999996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6193.7545</v>
      </c>
      <c r="R28" s="215"/>
      <c r="T28" s="216">
        <f>+H28-'11-25 payroll'!S35</f>
        <v>-1752.5</v>
      </c>
      <c r="U28" s="217"/>
      <c r="V28" s="218">
        <f>+P28-'11-25 payroll'!S36</f>
        <v>-365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11" t="str">
        <f>'11-25 payroll'!A1</f>
        <v>THE OLD SPAGHETTI HOUSE</v>
      </c>
      <c r="C35" s="412"/>
      <c r="D35" s="412"/>
      <c r="E35" s="412"/>
      <c r="F35" s="412"/>
      <c r="G35" s="412"/>
      <c r="H35" s="413"/>
      <c r="I35" s="178"/>
      <c r="J35" s="411" t="str">
        <f>'11-25 payroll'!A1</f>
        <v>THE OLD SPAGHETTI HOUSE</v>
      </c>
      <c r="K35" s="412"/>
      <c r="L35" s="412"/>
      <c r="M35" s="412"/>
      <c r="N35" s="412"/>
      <c r="O35" s="412"/>
      <c r="P35" s="413"/>
    </row>
    <row r="36" spans="2:17">
      <c r="B36" s="414" t="str">
        <f>'11-25 payroll'!D2</f>
        <v>VALERO</v>
      </c>
      <c r="C36" s="415"/>
      <c r="D36" s="415"/>
      <c r="E36" s="415"/>
      <c r="F36" s="415"/>
      <c r="G36" s="415"/>
      <c r="H36" s="416"/>
      <c r="I36" s="178"/>
      <c r="J36" s="414" t="str">
        <f>'11-25 payroll'!D2</f>
        <v>VALERO</v>
      </c>
      <c r="K36" s="415"/>
      <c r="L36" s="415"/>
      <c r="M36" s="415"/>
      <c r="N36" s="415"/>
      <c r="O36" s="415"/>
      <c r="P36" s="416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17" t="s">
        <v>25</v>
      </c>
      <c r="C38" s="418"/>
      <c r="D38" s="418"/>
      <c r="E38" s="418"/>
      <c r="F38" s="418"/>
      <c r="G38" s="418"/>
      <c r="H38" s="419"/>
      <c r="I38" s="178"/>
      <c r="J38" s="417" t="s">
        <v>25</v>
      </c>
      <c r="K38" s="418"/>
      <c r="L38" s="418"/>
      <c r="M38" s="418"/>
      <c r="N38" s="418"/>
      <c r="O38" s="418"/>
      <c r="P38" s="419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20" t="str">
        <f>'11-25 payroll'!B24</f>
        <v>Dino, Joyce</v>
      </c>
      <c r="E40" s="420"/>
      <c r="F40" s="420"/>
      <c r="G40" s="55"/>
      <c r="H40" s="194"/>
      <c r="I40" s="195"/>
      <c r="J40" s="192" t="s">
        <v>26</v>
      </c>
      <c r="K40" s="193" t="s">
        <v>27</v>
      </c>
      <c r="L40" s="423" t="str">
        <f>'11-25 payroll'!B10</f>
        <v xml:space="preserve">Sosa, Anna Marie </v>
      </c>
      <c r="M40" s="420"/>
      <c r="N40" s="420"/>
      <c r="O40" s="9"/>
      <c r="P40" s="194"/>
    </row>
    <row r="41" spans="2:17">
      <c r="B41" s="192" t="s">
        <v>28</v>
      </c>
      <c r="C41" s="193" t="s">
        <v>27</v>
      </c>
      <c r="D41" s="421">
        <f>'11-25 payroll'!E9</f>
        <v>790.23076923076928</v>
      </c>
      <c r="E41" s="421"/>
      <c r="F41" s="421"/>
      <c r="G41" s="55"/>
      <c r="H41" s="235"/>
      <c r="I41" s="195"/>
      <c r="J41" s="192" t="s">
        <v>28</v>
      </c>
      <c r="K41" s="193" t="s">
        <v>27</v>
      </c>
      <c r="L41" s="421">
        <f>'11-25 payroll'!E10</f>
        <v>502</v>
      </c>
      <c r="M41" s="421"/>
      <c r="N41" s="421"/>
      <c r="O41" s="9"/>
      <c r="P41" s="235"/>
    </row>
    <row r="42" spans="2:17">
      <c r="B42" s="192" t="s">
        <v>29</v>
      </c>
      <c r="C42" s="193" t="s">
        <v>27</v>
      </c>
      <c r="D42" s="422" t="str">
        <f>'11-25 payroll'!D3</f>
        <v>JUNE  11 - 25, 2018</v>
      </c>
      <c r="E42" s="422"/>
      <c r="F42" s="422"/>
      <c r="G42" s="55"/>
      <c r="H42" s="194"/>
      <c r="I42" s="195"/>
      <c r="J42" s="192" t="s">
        <v>29</v>
      </c>
      <c r="K42" s="193" t="s">
        <v>27</v>
      </c>
      <c r="L42" s="422" t="str">
        <f>'11-25 payroll'!D3</f>
        <v>JUNE  11 - 25, 2018</v>
      </c>
      <c r="M42" s="422"/>
      <c r="N42" s="422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>
      <c r="B44" s="192"/>
      <c r="C44" s="198"/>
      <c r="D44" s="200" t="s">
        <v>31</v>
      </c>
      <c r="E44" s="202">
        <f>'11-25 payroll'!F9</f>
        <v>8.5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11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'11-25 payroll'!H9</f>
        <v>105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110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1279.6336538461537</v>
      </c>
      <c r="G50" s="55"/>
      <c r="H50" s="56">
        <f>SUM(F46:F50)</f>
        <v>1384.6336538461537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1071.6500000000001</v>
      </c>
      <c r="O50" s="9"/>
      <c r="P50" s="10">
        <f>SUM(N46:N50)</f>
        <v>1181.6500000000001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472.3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269.42497920673077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181.37354583333334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+'11-25 payroll'!F58+'11-25 payroll'!G58+'11-25 payroll'!H58+'11-25 payroll'!I58</f>
        <v>1966.39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1902.34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662.80605769230772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7.5299999999999994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0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-4956.5610368990392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-3163.5435458333336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6701.0726169471154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4544.1064541666656</v>
      </c>
      <c r="Q61" s="174"/>
      <c r="T61" s="216">
        <f>+H61-'11-25 payroll'!S37</f>
        <v>-2016.3900000000021</v>
      </c>
      <c r="V61" s="237">
        <f>+P61-'11-25 payroll'!S38</f>
        <v>-1902.3400000000011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11" t="str">
        <f>'11-25 payroll'!A1</f>
        <v>THE OLD SPAGHETTI HOUSE</v>
      </c>
      <c r="C68" s="412"/>
      <c r="D68" s="412"/>
      <c r="E68" s="412"/>
      <c r="F68" s="412"/>
      <c r="G68" s="412"/>
      <c r="H68" s="413"/>
      <c r="I68" s="178"/>
      <c r="J68" s="411" t="str">
        <f>'11-25 payroll'!A1</f>
        <v>THE OLD SPAGHETTI HOUSE</v>
      </c>
      <c r="K68" s="412"/>
      <c r="L68" s="412"/>
      <c r="M68" s="412"/>
      <c r="N68" s="412"/>
      <c r="O68" s="412"/>
      <c r="P68" s="413"/>
    </row>
    <row r="69" spans="2:17">
      <c r="B69" s="414" t="str">
        <f>'11-25 payroll'!D2</f>
        <v>VALERO</v>
      </c>
      <c r="C69" s="415"/>
      <c r="D69" s="415"/>
      <c r="E69" s="415"/>
      <c r="F69" s="415"/>
      <c r="G69" s="415"/>
      <c r="H69" s="416"/>
      <c r="I69" s="178"/>
      <c r="J69" s="414" t="str">
        <f>'11-25 payroll'!D2</f>
        <v>VALERO</v>
      </c>
      <c r="K69" s="415"/>
      <c r="L69" s="415"/>
      <c r="M69" s="415"/>
      <c r="N69" s="415"/>
      <c r="O69" s="415"/>
      <c r="P69" s="416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17" t="s">
        <v>25</v>
      </c>
      <c r="C71" s="418"/>
      <c r="D71" s="418"/>
      <c r="E71" s="418"/>
      <c r="F71" s="418"/>
      <c r="G71" s="418"/>
      <c r="H71" s="419"/>
      <c r="I71" s="178"/>
      <c r="J71" s="417" t="s">
        <v>25</v>
      </c>
      <c r="K71" s="418"/>
      <c r="L71" s="418"/>
      <c r="M71" s="418"/>
      <c r="N71" s="418"/>
      <c r="O71" s="418"/>
      <c r="P71" s="419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23" t="str">
        <f>'11-25 payroll'!B11</f>
        <v>Briones, Christain Joy</v>
      </c>
      <c r="E73" s="420"/>
      <c r="F73" s="420"/>
      <c r="G73" s="55"/>
      <c r="H73" s="194"/>
      <c r="I73" s="195"/>
      <c r="J73" s="192" t="s">
        <v>26</v>
      </c>
      <c r="K73" s="193" t="s">
        <v>27</v>
      </c>
      <c r="L73" s="423" t="str">
        <f>'11-25 payroll'!B12</f>
        <v>Cahilig,Benzen</v>
      </c>
      <c r="M73" s="420"/>
      <c r="N73" s="420"/>
      <c r="O73" s="9"/>
      <c r="P73" s="194"/>
    </row>
    <row r="74" spans="2:17">
      <c r="B74" s="192" t="s">
        <v>28</v>
      </c>
      <c r="C74" s="193" t="s">
        <v>27</v>
      </c>
      <c r="D74" s="421">
        <f>'11-25 payroll'!E11</f>
        <v>502</v>
      </c>
      <c r="E74" s="421"/>
      <c r="F74" s="421"/>
      <c r="G74" s="55"/>
      <c r="H74" s="235"/>
      <c r="I74" s="195"/>
      <c r="J74" s="192" t="s">
        <v>28</v>
      </c>
      <c r="K74" s="193" t="s">
        <v>27</v>
      </c>
      <c r="L74" s="421">
        <f>'11-25 payroll'!E12</f>
        <v>502</v>
      </c>
      <c r="M74" s="421"/>
      <c r="N74" s="421"/>
      <c r="O74" s="9"/>
      <c r="P74" s="235"/>
    </row>
    <row r="75" spans="2:17">
      <c r="B75" s="192" t="s">
        <v>29</v>
      </c>
      <c r="C75" s="193" t="s">
        <v>27</v>
      </c>
      <c r="D75" s="422" t="str">
        <f>'11-25 payroll'!D3</f>
        <v>JUNE  11 - 25, 2018</v>
      </c>
      <c r="E75" s="422"/>
      <c r="F75" s="422"/>
      <c r="G75" s="55"/>
      <c r="H75" s="194"/>
      <c r="I75" s="195"/>
      <c r="J75" s="192" t="s">
        <v>29</v>
      </c>
      <c r="K75" s="193" t="s">
        <v>27</v>
      </c>
      <c r="L75" s="422" t="str">
        <f>'11-25 payroll'!D3</f>
        <v>JUNE  11 - 25, 2018</v>
      </c>
      <c r="M75" s="422"/>
      <c r="N75" s="422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6526</v>
      </c>
      <c r="Q76" s="174"/>
    </row>
    <row r="77" spans="2:17">
      <c r="B77" s="192"/>
      <c r="C77" s="198"/>
      <c r="D77" s="200" t="s">
        <v>31</v>
      </c>
      <c r="E77" s="202">
        <f>'11-25 payroll'!F11</f>
        <v>10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9.5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100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95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47.0625</v>
      </c>
      <c r="G83" s="55"/>
      <c r="H83" s="56">
        <f>SUM(F79:F83)</f>
        <v>147.0625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28.237500000000001</v>
      </c>
      <c r="O83" s="9"/>
      <c r="P83" s="10">
        <f>SUM(N79:N83)</f>
        <v>123.2375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472.3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484.52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172.09222135416667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148.4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365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502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874.10749999999996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428.48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-2480.4322213541664</v>
      </c>
      <c r="I93" s="195"/>
      <c r="J93" s="192"/>
      <c r="K93" s="198"/>
      <c r="L93" s="198" t="s">
        <v>6</v>
      </c>
      <c r="M93" s="205"/>
      <c r="N93" s="9">
        <f>'11-25 payroll'!M27</f>
        <v>100</v>
      </c>
      <c r="O93" s="9"/>
      <c r="P93" s="211">
        <f>-SUM(N85:N93)</f>
        <v>-2507.8074999999999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4192.6302786458336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4141.43</v>
      </c>
      <c r="Q94" s="174"/>
      <c r="T94" s="216">
        <f>+H94-'11-25 payroll'!S39</f>
        <v>-364.99999999999909</v>
      </c>
      <c r="V94" s="237">
        <f>+P94-'11-25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11" t="str">
        <f>'11-25 payroll'!A1</f>
        <v>THE OLD SPAGHETTI HOUSE</v>
      </c>
      <c r="C101" s="412"/>
      <c r="D101" s="412"/>
      <c r="E101" s="412"/>
      <c r="F101" s="412"/>
      <c r="G101" s="412"/>
      <c r="H101" s="413"/>
      <c r="I101" s="178"/>
      <c r="J101" s="411" t="str">
        <f>'11-25 payroll'!A1</f>
        <v>THE OLD SPAGHETTI HOUSE</v>
      </c>
      <c r="K101" s="412"/>
      <c r="L101" s="412"/>
      <c r="M101" s="412"/>
      <c r="N101" s="412"/>
      <c r="O101" s="412"/>
      <c r="P101" s="413"/>
    </row>
    <row r="102" spans="2:17">
      <c r="B102" s="414" t="str">
        <f>'11-25 payroll'!D2</f>
        <v>VALERO</v>
      </c>
      <c r="C102" s="415"/>
      <c r="D102" s="415"/>
      <c r="E102" s="415"/>
      <c r="F102" s="415"/>
      <c r="G102" s="415"/>
      <c r="H102" s="416"/>
      <c r="I102" s="178"/>
      <c r="J102" s="414" t="str">
        <f>'11-25 payroll'!D2</f>
        <v>VALERO</v>
      </c>
      <c r="K102" s="415"/>
      <c r="L102" s="415"/>
      <c r="M102" s="415"/>
      <c r="N102" s="415"/>
      <c r="O102" s="415"/>
      <c r="P102" s="416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17" t="s">
        <v>25</v>
      </c>
      <c r="C104" s="418"/>
      <c r="D104" s="418"/>
      <c r="E104" s="418"/>
      <c r="F104" s="418"/>
      <c r="G104" s="418"/>
      <c r="H104" s="419"/>
      <c r="I104" s="178"/>
      <c r="J104" s="417" t="s">
        <v>25</v>
      </c>
      <c r="K104" s="418"/>
      <c r="L104" s="418"/>
      <c r="M104" s="418"/>
      <c r="N104" s="418"/>
      <c r="O104" s="418"/>
      <c r="P104" s="419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23" t="str">
        <f>'11-25 payroll'!B13</f>
        <v>Pantoja,Nancy</v>
      </c>
      <c r="E106" s="420"/>
      <c r="F106" s="420"/>
      <c r="G106" s="55"/>
      <c r="H106" s="194"/>
      <c r="I106" s="195"/>
      <c r="J106" s="192" t="s">
        <v>26</v>
      </c>
      <c r="K106" s="193" t="s">
        <v>27</v>
      </c>
      <c r="L106" s="423">
        <f>'11-25 payroll'!B29</f>
        <v>0</v>
      </c>
      <c r="M106" s="420"/>
      <c r="N106" s="420"/>
      <c r="O106" s="9"/>
      <c r="P106" s="194"/>
    </row>
    <row r="107" spans="2:17">
      <c r="B107" s="192" t="s">
        <v>28</v>
      </c>
      <c r="C107" s="193" t="s">
        <v>27</v>
      </c>
      <c r="D107" s="421">
        <f>'11-25 payroll'!E13</f>
        <v>502</v>
      </c>
      <c r="E107" s="421"/>
      <c r="F107" s="421"/>
      <c r="G107" s="55"/>
      <c r="H107" s="235"/>
      <c r="I107" s="195"/>
      <c r="J107" s="192" t="s">
        <v>28</v>
      </c>
      <c r="K107" s="193" t="s">
        <v>27</v>
      </c>
      <c r="L107" s="421">
        <f>'11-25 payroll'!E14</f>
        <v>0</v>
      </c>
      <c r="M107" s="421"/>
      <c r="N107" s="421"/>
      <c r="O107" s="9"/>
      <c r="P107" s="235"/>
    </row>
    <row r="108" spans="2:17">
      <c r="B108" s="192" t="s">
        <v>29</v>
      </c>
      <c r="C108" s="193" t="s">
        <v>27</v>
      </c>
      <c r="D108" s="422" t="str">
        <f>'11-25 payroll'!D3</f>
        <v>JUNE  11 - 25, 2018</v>
      </c>
      <c r="E108" s="422"/>
      <c r="F108" s="422"/>
      <c r="G108" s="55"/>
      <c r="H108" s="194"/>
      <c r="I108" s="195"/>
      <c r="J108" s="192" t="s">
        <v>29</v>
      </c>
      <c r="K108" s="193" t="s">
        <v>27</v>
      </c>
      <c r="L108" s="422" t="str">
        <f>'11-25 payroll'!D3</f>
        <v>JUNE  11 - 25, 2018</v>
      </c>
      <c r="M108" s="422"/>
      <c r="N108" s="422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6526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100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65.887500000000003</v>
      </c>
      <c r="G116" s="55"/>
      <c r="H116" s="56">
        <f>SUM(F112:F116)</f>
        <v>165.88749999999999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472.3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507.6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151.86000000000001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539.02250000000004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149.55000000000001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100</v>
      </c>
      <c r="G126" s="55"/>
      <c r="H126" s="211">
        <f>-SUM(F118:F126)</f>
        <v>-1920.3325000000002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4771.5549999999994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11" t="str">
        <f>'11-25 payroll'!A1</f>
        <v>THE OLD SPAGHETTI HOUSE</v>
      </c>
      <c r="C134" s="412"/>
      <c r="D134" s="412"/>
      <c r="E134" s="412"/>
      <c r="F134" s="412"/>
      <c r="G134" s="412"/>
      <c r="H134" s="413"/>
      <c r="I134" s="178"/>
      <c r="J134" s="411" t="str">
        <f>'11-25 payroll'!A1</f>
        <v>THE OLD SPAGHETTI HOUSE</v>
      </c>
      <c r="K134" s="412"/>
      <c r="L134" s="412"/>
      <c r="M134" s="412"/>
      <c r="N134" s="412"/>
      <c r="O134" s="412"/>
      <c r="P134" s="413"/>
    </row>
    <row r="135" spans="2:17">
      <c r="B135" s="414" t="str">
        <f>'11-25 payroll'!D2</f>
        <v>VALERO</v>
      </c>
      <c r="C135" s="415"/>
      <c r="D135" s="415"/>
      <c r="E135" s="415"/>
      <c r="F135" s="415"/>
      <c r="G135" s="415"/>
      <c r="H135" s="416"/>
      <c r="I135" s="178"/>
      <c r="J135" s="414" t="str">
        <f>'11-25 payroll'!D2</f>
        <v>VALERO</v>
      </c>
      <c r="K135" s="415"/>
      <c r="L135" s="415"/>
      <c r="M135" s="415"/>
      <c r="N135" s="415"/>
      <c r="O135" s="415"/>
      <c r="P135" s="416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17" t="s">
        <v>25</v>
      </c>
      <c r="C137" s="418"/>
      <c r="D137" s="418"/>
      <c r="E137" s="418"/>
      <c r="F137" s="418"/>
      <c r="G137" s="418"/>
      <c r="H137" s="419"/>
      <c r="I137" s="178"/>
      <c r="J137" s="417" t="s">
        <v>25</v>
      </c>
      <c r="K137" s="418"/>
      <c r="L137" s="418"/>
      <c r="M137" s="418"/>
      <c r="N137" s="418"/>
      <c r="O137" s="418"/>
      <c r="P137" s="419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23">
        <f>'11-25 payroll'!B15</f>
        <v>0</v>
      </c>
      <c r="E139" s="420"/>
      <c r="F139" s="420"/>
      <c r="G139" s="55"/>
      <c r="H139" s="194"/>
      <c r="I139" s="195"/>
      <c r="J139" s="192" t="s">
        <v>26</v>
      </c>
      <c r="K139" s="193" t="s">
        <v>27</v>
      </c>
      <c r="L139" s="420">
        <f>'11-25 payroll'!C112</f>
        <v>0</v>
      </c>
      <c r="M139" s="420"/>
      <c r="N139" s="420"/>
      <c r="O139" s="9"/>
      <c r="P139" s="194"/>
    </row>
    <row r="140" spans="2:17">
      <c r="B140" s="192" t="s">
        <v>28</v>
      </c>
      <c r="C140" s="193" t="s">
        <v>27</v>
      </c>
      <c r="D140" s="421">
        <f>'11-25 payroll'!E15</f>
        <v>0</v>
      </c>
      <c r="E140" s="421"/>
      <c r="F140" s="421"/>
      <c r="G140" s="55"/>
      <c r="H140" s="235"/>
      <c r="I140" s="195"/>
      <c r="J140" s="192" t="s">
        <v>28</v>
      </c>
      <c r="K140" s="193" t="s">
        <v>27</v>
      </c>
      <c r="L140" s="421">
        <f>'11-25 payroll'!E112</f>
        <v>0</v>
      </c>
      <c r="M140" s="421"/>
      <c r="N140" s="421"/>
      <c r="O140" s="9"/>
      <c r="P140" s="235"/>
    </row>
    <row r="141" spans="2:17">
      <c r="B141" s="192" t="s">
        <v>29</v>
      </c>
      <c r="C141" s="193" t="s">
        <v>27</v>
      </c>
      <c r="D141" s="422" t="str">
        <f>'11-25 payroll'!D3</f>
        <v>JUNE  11 - 25, 2018</v>
      </c>
      <c r="E141" s="422"/>
      <c r="F141" s="422"/>
      <c r="G141" s="55"/>
      <c r="H141" s="194"/>
      <c r="I141" s="195"/>
      <c r="J141" s="192" t="s">
        <v>29</v>
      </c>
      <c r="K141" s="193" t="s">
        <v>27</v>
      </c>
      <c r="L141" s="422">
        <f>'11-25 payroll'!D105</f>
        <v>0</v>
      </c>
      <c r="M141" s="422"/>
      <c r="N141" s="422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indexed="10"/>
  </sheetPr>
  <dimension ref="A1:X57"/>
  <sheetViews>
    <sheetView topLeftCell="A11" zoomScale="85" workbookViewId="0">
      <selection activeCell="G23" sqref="G23"/>
    </sheetView>
  </sheetViews>
  <sheetFormatPr defaultRowHeight="12.75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7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>
      <c r="A14" s="74" t="str">
        <f>'26-10 payroll'!D3</f>
        <v>FEBRUARY 26 - MARCH 10, 2018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>
      <c r="A15" s="75" t="str">
        <f>'11-25 payroll'!D3</f>
        <v>JUNE  11 - 25, 2018</v>
      </c>
      <c r="G15" s="431" t="s">
        <v>65</v>
      </c>
      <c r="H15" s="431"/>
      <c r="J15" s="432" t="s">
        <v>66</v>
      </c>
      <c r="K15" s="432"/>
      <c r="L15" s="432"/>
      <c r="M15" s="432" t="s">
        <v>67</v>
      </c>
      <c r="N15" s="432"/>
      <c r="O15" s="431" t="s">
        <v>68</v>
      </c>
      <c r="P15" s="431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29" t="s">
        <v>70</v>
      </c>
      <c r="H16" s="429"/>
      <c r="I16" s="70" t="s">
        <v>71</v>
      </c>
      <c r="J16" s="433" t="s">
        <v>72</v>
      </c>
      <c r="K16" s="433"/>
      <c r="L16" s="433"/>
      <c r="M16" s="433" t="s">
        <v>73</v>
      </c>
      <c r="N16" s="433"/>
      <c r="O16" s="429" t="s">
        <v>74</v>
      </c>
      <c r="P16" s="429"/>
      <c r="Q16" s="251" t="s">
        <v>75</v>
      </c>
      <c r="R16" s="428" t="s">
        <v>117</v>
      </c>
      <c r="S16" s="429"/>
      <c r="T16" s="429"/>
      <c r="U16" s="430"/>
    </row>
    <row r="17" spans="1:24" ht="13.5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6711.8874999999998</v>
      </c>
      <c r="H18" s="80">
        <f>'11-25 payroll'!R22</f>
        <v>6683.0625</v>
      </c>
      <c r="I18" s="81">
        <f>G18+H18</f>
        <v>13394.95</v>
      </c>
      <c r="J18" s="82">
        <f>+'26-10 payroll'!J22+'11-25 payroll'!J22</f>
        <v>490.5</v>
      </c>
      <c r="K18" s="83">
        <f>'[1]summary of contribution'!$K$18</f>
        <v>994.5</v>
      </c>
      <c r="L18" s="83">
        <f>'[1]summary of contribution'!$L$18</f>
        <v>10</v>
      </c>
      <c r="M18" s="83">
        <f>+'26-10 payroll'!L22+'11-25 payroll'!L22</f>
        <v>184.18056250000001</v>
      </c>
      <c r="N18" s="83">
        <f>M18</f>
        <v>184.18056250000001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1199.77</v>
      </c>
      <c r="S18" s="234">
        <f>'26-10 payroll'!G56+'11-25 payroll'!H56</f>
        <v>2775</v>
      </c>
      <c r="T18" s="234">
        <f>+'26-10 payroll'!F56+'11-25 payroll'!G56</f>
        <v>0</v>
      </c>
      <c r="U18" s="256">
        <f>'26-10 payroll'!N22+'11-25 payroll'!N22</f>
        <v>1158.52</v>
      </c>
      <c r="W18" s="48"/>
      <c r="X18" s="48"/>
    </row>
    <row r="19" spans="1:24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6649.1375000000007</v>
      </c>
      <c r="H19" s="80">
        <f>'11-25 payroll'!R23</f>
        <v>6733.2624999999998</v>
      </c>
      <c r="I19" s="81">
        <f t="shared" ref="I19:I27" si="0">G19+H19</f>
        <v>13382.400000000001</v>
      </c>
      <c r="J19" s="82">
        <f>+'26-10 payroll'!J23+'11-25 payroll'!J23</f>
        <v>490.5</v>
      </c>
      <c r="K19" s="83">
        <f>'[1]summary of contribution'!$K$19</f>
        <v>994.5</v>
      </c>
      <c r="L19" s="83">
        <f>'[1]summary of contribution'!$L$19</f>
        <v>10</v>
      </c>
      <c r="M19" s="83">
        <f>+'26-10 payroll'!L23+'11-25 payroll'!L23</f>
        <v>184.00800000000001</v>
      </c>
      <c r="N19" s="83">
        <f t="shared" ref="N19:N27" si="1">M19</f>
        <v>184.00800000000001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9849.7163461538457</v>
      </c>
      <c r="H20" s="80">
        <f>'11-25 payroll'!R24</f>
        <v>9744.8275961538475</v>
      </c>
      <c r="I20" s="81">
        <f t="shared" si="0"/>
        <v>19594.543942307693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269.42497920673077</v>
      </c>
      <c r="N20" s="83">
        <f t="shared" si="1"/>
        <v>269.42497920673077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3202.78</v>
      </c>
      <c r="T20" s="234">
        <f>+'26-10 payroll'!F58+'11-25 payroll'!G58</f>
        <v>0</v>
      </c>
      <c r="U20" s="256">
        <f>'26-10 payroll'!N24+'11-25 payroll'!N24</f>
        <v>1878.89</v>
      </c>
      <c r="W20" s="48"/>
      <c r="X20" s="48"/>
    </row>
    <row r="21" spans="1:24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6524.6833333333334</v>
      </c>
      <c r="H21" s="80">
        <f>'11-25 payroll'!R25</f>
        <v>6666.12</v>
      </c>
      <c r="I21" s="81">
        <f t="shared" si="0"/>
        <v>13190.803333333333</v>
      </c>
      <c r="J21" s="82">
        <f>+'26-10 payroll'!J25+'11-25 payroll'!J25</f>
        <v>472.3</v>
      </c>
      <c r="K21" s="83">
        <f>'[1]summary of contribution'!$K$21</f>
        <v>957.7</v>
      </c>
      <c r="L21" s="83">
        <f>'[1]summary of contribution'!$L$21</f>
        <v>10</v>
      </c>
      <c r="M21" s="83">
        <f>+'26-10 payroll'!L25+'11-25 payroll'!L25</f>
        <v>181.37354583333334</v>
      </c>
      <c r="N21" s="83">
        <f>M21</f>
        <v>181.37354583333334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1200</v>
      </c>
      <c r="S21" s="234">
        <f>'26-10 payroll'!G59+'11-25 payroll'!H59</f>
        <v>1537.34</v>
      </c>
      <c r="T21" s="234">
        <f>+'26-10 payroll'!F59+'11-25 payroll'!G59</f>
        <v>0</v>
      </c>
      <c r="U21" s="256">
        <f>'26-10 payroll'!N25+'11-25 payroll'!N25</f>
        <v>500</v>
      </c>
    </row>
    <row r="22" spans="1:24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6344.7354166666664</v>
      </c>
      <c r="H22" s="80">
        <f>'11-25 payroll'!R26</f>
        <v>6171.0625</v>
      </c>
      <c r="I22" s="81">
        <f t="shared" si="0"/>
        <v>12515.797916666666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172.09222135416667</v>
      </c>
      <c r="N22" s="83">
        <f>M22</f>
        <v>172.09222135416667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986.7</v>
      </c>
    </row>
    <row r="23" spans="1:24">
      <c r="A23" s="76" t="str">
        <f>'11-25 payroll'!B12</f>
        <v>Cahilig,Benzen</v>
      </c>
      <c r="B23" s="77"/>
      <c r="C23" s="90"/>
      <c r="D23" s="91"/>
      <c r="E23" s="90"/>
      <c r="F23" s="92"/>
      <c r="G23" s="80">
        <f>'26-10 payroll'!R27</f>
        <v>0</v>
      </c>
      <c r="H23" s="80">
        <f>'11-25 payroll'!R27</f>
        <v>5775.13</v>
      </c>
      <c r="I23" s="93">
        <f t="shared" si="0"/>
        <v>5775.13</v>
      </c>
      <c r="J23" s="82">
        <f>+'26-10 payroll'!J27+'11-25 payroll'!J27</f>
        <v>472.3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148.4</v>
      </c>
      <c r="N23" s="83">
        <f>M23</f>
        <v>148.4</v>
      </c>
      <c r="O23" s="83">
        <f>+'26-10 payroll'!M27+'11-25 payroll'!M27</f>
        <v>100</v>
      </c>
      <c r="P23" s="83">
        <f>O23</f>
        <v>100</v>
      </c>
      <c r="Q23" s="253">
        <f>'26-10 payroll'!O27+'11-25 payroll'!O27</f>
        <v>0</v>
      </c>
      <c r="R23" s="255">
        <f>'26-10 payroll'!K27+'11-25 payroll'!K27</f>
        <v>484.52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428.48</v>
      </c>
    </row>
    <row r="24" spans="1:24">
      <c r="A24" s="76" t="str">
        <f>'11-25 payroll'!B13</f>
        <v>Pantoja,Nancy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6152.8649999999998</v>
      </c>
      <c r="I24" s="81">
        <f t="shared" si="0"/>
        <v>6152.8649999999998</v>
      </c>
      <c r="J24" s="82">
        <f>+'26-10 payroll'!J28+'11-25 payroll'!J28</f>
        <v>472.3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151.86000000000001</v>
      </c>
      <c r="N24" s="83">
        <f t="shared" si="1"/>
        <v>151.86000000000001</v>
      </c>
      <c r="O24" s="83">
        <f>+'26-10 payroll'!M28+'11-25 payroll'!M28</f>
        <v>100</v>
      </c>
      <c r="P24" s="83">
        <f t="shared" si="2"/>
        <v>100</v>
      </c>
      <c r="Q24" s="253">
        <f>'26-10 payroll'!O28+'11-25 payroll'!O28</f>
        <v>0</v>
      </c>
      <c r="R24" s="255">
        <f>'26-10 payroll'!K28+'11-25 payroll'!K28</f>
        <v>507.6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149.55000000000001</v>
      </c>
    </row>
    <row r="25" spans="1:24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>
      <c r="A29" s="100" t="s">
        <v>3</v>
      </c>
      <c r="B29" s="101"/>
      <c r="C29" s="102"/>
      <c r="D29" s="103"/>
      <c r="E29" s="102"/>
      <c r="F29" s="104"/>
      <c r="G29" s="103">
        <f>SUM(G18:G27)</f>
        <v>36080.16009615385</v>
      </c>
      <c r="H29" s="103">
        <f t="shared" ref="H29:O29" si="3">SUM(H18:H27)</f>
        <v>47926.330096153848</v>
      </c>
      <c r="I29" s="103">
        <f t="shared" si="3"/>
        <v>84006.490192307698</v>
      </c>
      <c r="J29" s="103">
        <f t="shared" si="3"/>
        <v>3451.5000000000005</v>
      </c>
      <c r="K29" s="103">
        <f t="shared" si="3"/>
        <v>5083.0999999999995</v>
      </c>
      <c r="L29" s="103">
        <f t="shared" si="3"/>
        <v>70</v>
      </c>
      <c r="M29" s="103">
        <f t="shared" si="3"/>
        <v>1291.3393088942307</v>
      </c>
      <c r="N29" s="103">
        <f t="shared" si="3"/>
        <v>1291.3393088942307</v>
      </c>
      <c r="O29" s="103">
        <f t="shared" si="3"/>
        <v>700</v>
      </c>
      <c r="P29" s="103">
        <f t="shared" ref="P29:U29" si="4">SUM(P18:P27)</f>
        <v>700</v>
      </c>
      <c r="Q29" s="259">
        <f t="shared" si="4"/>
        <v>0</v>
      </c>
      <c r="R29" s="100">
        <f t="shared" si="4"/>
        <v>5837.57</v>
      </c>
      <c r="S29" s="103">
        <f t="shared" si="4"/>
        <v>7515.1200000000008</v>
      </c>
      <c r="T29" s="103">
        <f t="shared" si="4"/>
        <v>0</v>
      </c>
      <c r="U29" s="260">
        <f t="shared" si="4"/>
        <v>5102.1400000000003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8604.6</v>
      </c>
      <c r="L31" s="115"/>
      <c r="M31" s="115">
        <f>M29+N29</f>
        <v>2582.6786177884615</v>
      </c>
      <c r="N31" s="115"/>
      <c r="O31" s="116">
        <f>O29+P29</f>
        <v>1400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>
      <c r="B33" s="261" t="s">
        <v>129</v>
      </c>
      <c r="G33" s="261" t="s">
        <v>130</v>
      </c>
      <c r="H33" s="261" t="s">
        <v>131</v>
      </c>
      <c r="I33" s="261" t="s">
        <v>132</v>
      </c>
      <c r="J33" s="262" t="s">
        <v>126</v>
      </c>
      <c r="K33" s="262" t="s">
        <v>127</v>
      </c>
      <c r="L33" s="262" t="s">
        <v>19</v>
      </c>
      <c r="M33" s="262" t="s">
        <v>20</v>
      </c>
      <c r="N33" s="262" t="s">
        <v>133</v>
      </c>
      <c r="O33" s="261" t="s">
        <v>105</v>
      </c>
      <c r="P33" s="262" t="s">
        <v>134</v>
      </c>
      <c r="R33" s="262"/>
      <c r="V33" s="262"/>
    </row>
    <row r="34" spans="1:22" s="105" customFormat="1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225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44.450480769230772</v>
      </c>
      <c r="M34" s="109">
        <f>+'26-10 payroll'!W9+'11-25 payroll'!W9</f>
        <v>0</v>
      </c>
      <c r="N34" s="109">
        <f>+'26-10 payroll'!F24+'26-10 payroll'!H24+'11-25 payroll'!F24+'11-25 payroll'!H24</f>
        <v>1220.9065384615385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225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44.450480769230772</v>
      </c>
      <c r="M36" s="264">
        <f t="shared" si="5"/>
        <v>0</v>
      </c>
      <c r="N36" s="264">
        <f t="shared" si="5"/>
        <v>1220.9065384615385</v>
      </c>
      <c r="O36" s="264">
        <f t="shared" si="5"/>
        <v>0</v>
      </c>
      <c r="P36" s="264">
        <f t="shared" si="5"/>
        <v>2500</v>
      </c>
      <c r="R36" s="110"/>
      <c r="V36" s="109"/>
    </row>
    <row r="37" spans="1:22" s="265" customFormat="1">
      <c r="A37" s="263" t="str">
        <f>+'26-10 payroll'!B7</f>
        <v>Biarcal, Ronald Glenn</v>
      </c>
      <c r="B37" s="263">
        <f>+'26-10 payroll'!G7+'11-25 payroll'!G7</f>
        <v>13052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230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112.95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>
      <c r="A38" s="263" t="str">
        <f>+'26-10 payroll'!B8</f>
        <v>Sanchez, Angelo</v>
      </c>
      <c r="B38" s="263">
        <f>+'26-10 payroll'!G8+'11-25 payroll'!G8</f>
        <v>13052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230</v>
      </c>
      <c r="I38" s="263">
        <f>+'26-10 payroll'!P8+'11-25 payroll'!P8</f>
        <v>78.4375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28.237500000000004</v>
      </c>
      <c r="M38" s="109">
        <f>+'26-10 payroll'!W8+'11-25 payroll'!W8</f>
        <v>0</v>
      </c>
      <c r="N38" s="109">
        <f>+'26-10 payroll'!F23+'26-10 payroll'!H23+'11-25 payroll'!F23+'11-25 payroll'!H23</f>
        <v>6.2750000000000004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>
      <c r="A39" s="263" t="str">
        <f>+'26-10 payroll'!B10</f>
        <v xml:space="preserve">Sosa, Anna Marie </v>
      </c>
      <c r="B39" s="263">
        <f>+'26-10 payroll'!G10+'11-25 payroll'!G10</f>
        <v>13052</v>
      </c>
      <c r="C39" s="106"/>
      <c r="E39" s="106"/>
      <c r="G39" s="263">
        <f>+'26-10 payroll'!I10+'11-25 payroll'!I10</f>
        <v>0</v>
      </c>
      <c r="H39" s="263">
        <f>+'26-10 payroll'!H10+'11-25 payroll'!H10</f>
        <v>230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65.887500000000003</v>
      </c>
      <c r="M39" s="109">
        <f>+'26-10 payroll'!W10+'11-25 payroll'!W10</f>
        <v>0</v>
      </c>
      <c r="N39" s="109">
        <f>+'26-10 payroll'!F25+'26-10 payroll'!H25+'11-25 payroll'!F25+'11-25 payroll'!H25</f>
        <v>157.08416666666668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3"/>
      <c r="B41" s="268">
        <f>SUM(B37:B40)</f>
        <v>39156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690</v>
      </c>
      <c r="I41" s="268">
        <f t="shared" si="6"/>
        <v>78.4375</v>
      </c>
      <c r="J41" s="268">
        <f t="shared" si="6"/>
        <v>0</v>
      </c>
      <c r="K41" s="268">
        <f t="shared" si="6"/>
        <v>0</v>
      </c>
      <c r="L41" s="268">
        <f t="shared" si="6"/>
        <v>207.07499999999999</v>
      </c>
      <c r="M41" s="268">
        <f t="shared" si="6"/>
        <v>0</v>
      </c>
      <c r="N41" s="268">
        <f t="shared" si="6"/>
        <v>163.35916666666668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3">
        <f>+B41+B36</f>
        <v>59702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915</v>
      </c>
      <c r="I44" s="263">
        <f t="shared" si="7"/>
        <v>78.4375</v>
      </c>
      <c r="J44" s="263">
        <f t="shared" si="7"/>
        <v>0</v>
      </c>
      <c r="K44" s="263">
        <f t="shared" si="7"/>
        <v>0</v>
      </c>
      <c r="L44" s="263">
        <f t="shared" si="7"/>
        <v>251.52548076923077</v>
      </c>
      <c r="M44" s="263">
        <f t="shared" si="7"/>
        <v>0</v>
      </c>
      <c r="N44" s="263">
        <f t="shared" si="7"/>
        <v>1384.2657051282051</v>
      </c>
      <c r="O44" s="263">
        <f t="shared" si="7"/>
        <v>0</v>
      </c>
      <c r="P44" s="263">
        <f t="shared" si="7"/>
        <v>7636</v>
      </c>
      <c r="Q44" s="263">
        <f>SUM(B44:P44)</f>
        <v>69967.22868589744</v>
      </c>
      <c r="R44" s="110"/>
      <c r="V44" s="109"/>
    </row>
    <row r="45" spans="1:22" s="105" customFormat="1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27" t="s">
        <v>135</v>
      </c>
      <c r="B46" s="427"/>
      <c r="C46" s="427"/>
      <c r="D46" s="427"/>
      <c r="E46" s="427"/>
      <c r="F46" s="427"/>
      <c r="G46" s="427"/>
      <c r="H46" s="427"/>
      <c r="I46" s="427"/>
      <c r="J46" s="427"/>
      <c r="K46" s="427"/>
      <c r="L46" s="427"/>
      <c r="M46" s="427"/>
      <c r="N46" s="427"/>
      <c r="O46" s="427"/>
      <c r="Q46" s="110"/>
      <c r="U46" s="109"/>
    </row>
    <row r="47" spans="1:22" s="105" customFormat="1">
      <c r="A47" s="427"/>
      <c r="B47" s="427"/>
      <c r="C47" s="427"/>
      <c r="D47" s="427"/>
      <c r="E47" s="427"/>
      <c r="F47" s="427"/>
      <c r="G47" s="427"/>
      <c r="H47" s="427"/>
      <c r="I47" s="427"/>
      <c r="J47" s="427"/>
      <c r="K47" s="427"/>
      <c r="L47" s="427"/>
      <c r="M47" s="427"/>
      <c r="N47" s="427"/>
      <c r="O47" s="427"/>
      <c r="Q47" s="110"/>
      <c r="U47" s="109"/>
    </row>
    <row r="48" spans="1:22" s="105" customFormat="1">
      <c r="C48" s="106"/>
      <c r="E48" s="106"/>
      <c r="I48" s="109"/>
      <c r="J48" s="109"/>
      <c r="K48" s="269" t="s">
        <v>136</v>
      </c>
      <c r="L48" s="270">
        <f>+L49+L50+L51+L52</f>
        <v>69487.949496995192</v>
      </c>
      <c r="M48" s="263">
        <f>+I29+P36+P41-(O36+O41)+G36</f>
        <v>91742.490192307698</v>
      </c>
      <c r="N48" s="109">
        <f>+L48-M48</f>
        <v>-22254.540695312506</v>
      </c>
      <c r="P48" s="263"/>
      <c r="Q48" s="110"/>
      <c r="R48" s="263"/>
      <c r="U48" s="109"/>
      <c r="V48" s="263"/>
    </row>
    <row r="49" spans="1:21" s="105" customFormat="1">
      <c r="C49" s="106"/>
      <c r="E49" s="106"/>
      <c r="I49" s="109"/>
      <c r="J49" s="109"/>
      <c r="K49" s="269" t="s">
        <v>137</v>
      </c>
      <c r="L49" s="270">
        <f>+SUM(I18:I19,I21)-L50-(SUM(J21,J18:J19,M21,M18:M19,O21,O18:O19))-H41-O41</f>
        <v>36689.778725000004</v>
      </c>
      <c r="M49" s="263">
        <f>+L49</f>
        <v>36689.778725000004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>
      <c r="A50" s="105" t="s">
        <v>138</v>
      </c>
      <c r="C50" s="106"/>
      <c r="E50" s="106"/>
      <c r="G50" s="105" t="s">
        <v>139</v>
      </c>
      <c r="I50" s="109"/>
      <c r="J50" s="109"/>
      <c r="K50" s="269" t="s">
        <v>140</v>
      </c>
      <c r="L50" s="270">
        <f>+J41+K41+I41+L41</f>
        <v>285.51249999999999</v>
      </c>
      <c r="M50" s="263">
        <f>+L50</f>
        <v>285.51249999999999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141</v>
      </c>
      <c r="I51" s="109"/>
      <c r="J51" s="109"/>
      <c r="K51" s="269" t="s">
        <v>142</v>
      </c>
      <c r="L51" s="270">
        <f>+H44+P44+J29+M29+O29</f>
        <v>13993.83930889423</v>
      </c>
      <c r="M51" s="263">
        <f>+L51</f>
        <v>13993.83930889423</v>
      </c>
      <c r="N51" s="109">
        <f>+L51-M51</f>
        <v>0</v>
      </c>
      <c r="P51" s="263"/>
      <c r="Q51" s="110"/>
      <c r="U51" s="109"/>
    </row>
    <row r="52" spans="1:21" s="105" customFormat="1">
      <c r="A52" s="105" t="s">
        <v>143</v>
      </c>
      <c r="C52" s="106"/>
      <c r="E52" s="106"/>
      <c r="G52" s="105" t="s">
        <v>144</v>
      </c>
      <c r="I52" s="109"/>
      <c r="J52" s="109"/>
      <c r="K52" s="269" t="s">
        <v>145</v>
      </c>
      <c r="L52" s="270">
        <f>(SUM(B34:M35))-(SUM(J20,M20,O20))-(SUM(H34:H35))-(SUM(N34:O35))</f>
        <v>18518.818963100963</v>
      </c>
      <c r="M52" s="263">
        <f>+M48-M49-M50-M51</f>
        <v>40773.359658413465</v>
      </c>
      <c r="N52" s="109">
        <f>+L52-M52</f>
        <v>-22254.540695312502</v>
      </c>
      <c r="P52" s="263"/>
      <c r="Q52" s="110"/>
      <c r="R52" s="263"/>
      <c r="S52" s="263"/>
      <c r="U52" s="109"/>
    </row>
    <row r="53" spans="1:21" s="105" customFormat="1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9" t="s">
        <v>146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147</v>
      </c>
      <c r="I55" s="109"/>
      <c r="J55" s="109"/>
      <c r="K55" s="269" t="s">
        <v>148</v>
      </c>
      <c r="L55" s="271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9" t="s">
        <v>149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2.26-3.10</vt:lpstr>
      <vt:lpstr>26-10 payroll</vt:lpstr>
      <vt:lpstr>26-10 payslip</vt:lpstr>
      <vt:lpstr>3.11-25</vt:lpstr>
      <vt:lpstr>11-25 payroll</vt:lpstr>
      <vt:lpstr>11-25 payslip</vt:lpstr>
      <vt:lpstr>Contribution</vt:lpstr>
      <vt:lpstr>'11-25 payroll'!Print_Area</vt:lpstr>
      <vt:lpstr>'11-25 payslip'!Print_Area</vt:lpstr>
      <vt:lpstr>'2.26-3.10'!Print_Area</vt:lpstr>
      <vt:lpstr>'26-10 payroll'!Print_Area</vt:lpstr>
      <vt:lpstr>'26-10 payslip'!Print_Area</vt:lpstr>
      <vt:lpstr>'3.11-25'!Print_Area</vt:lpstr>
      <vt:lpstr>Contribution!Print_Area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admin</cp:lastModifiedBy>
  <cp:lastPrinted>2018-05-04T07:51:08Z</cp:lastPrinted>
  <dcterms:created xsi:type="dcterms:W3CDTF">2010-01-04T12:18:59Z</dcterms:created>
  <dcterms:modified xsi:type="dcterms:W3CDTF">2018-06-28T09:11:10Z</dcterms:modified>
</cp:coreProperties>
</file>