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5" yWindow="1440" windowWidth="12510" windowHeight="8760" tabRatio="690" activeTab="4"/>
  </bookViews>
  <sheets>
    <sheet name="10.26-11.10" sheetId="76" r:id="rId1"/>
    <sheet name="10.26-11.10(SI)" sheetId="77" r:id="rId2"/>
    <sheet name="26-10 payroll" sheetId="20" r:id="rId3"/>
    <sheet name="26-10 payslip" sheetId="21" r:id="rId4"/>
    <sheet name="11-25 payroll" sheetId="63" r:id="rId5"/>
    <sheet name="11-25 payslip" sheetId="64" r:id="rId6"/>
    <sheet name="Contribution" sheetId="5" r:id="rId7"/>
    <sheet name="Sheet1" sheetId="78" r:id="rId8"/>
  </sheets>
  <externalReferences>
    <externalReference r:id="rId9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7">Sheet1!$B$34:$P$66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G58" i="20"/>
  <c r="O11"/>
  <c r="N60" i="78" l="1"/>
  <c r="N55"/>
  <c r="N54"/>
  <c r="N49"/>
  <c r="N48"/>
  <c r="N159"/>
  <c r="F159"/>
  <c r="N158"/>
  <c r="F158"/>
  <c r="N157"/>
  <c r="N156"/>
  <c r="F156"/>
  <c r="N155"/>
  <c r="F155"/>
  <c r="N154"/>
  <c r="N153"/>
  <c r="N152"/>
  <c r="F152"/>
  <c r="N151"/>
  <c r="N149"/>
  <c r="N148"/>
  <c r="N147"/>
  <c r="N146"/>
  <c r="N145"/>
  <c r="P149" s="1"/>
  <c r="M143"/>
  <c r="E143"/>
  <c r="P142"/>
  <c r="L142"/>
  <c r="L141"/>
  <c r="D141"/>
  <c r="L140"/>
  <c r="L139"/>
  <c r="D139"/>
  <c r="J134"/>
  <c r="B134"/>
  <c r="N126"/>
  <c r="F126"/>
  <c r="N125"/>
  <c r="F125"/>
  <c r="N123"/>
  <c r="F123"/>
  <c r="N122"/>
  <c r="F122"/>
  <c r="N119"/>
  <c r="F119"/>
  <c r="M110"/>
  <c r="E110"/>
  <c r="L108"/>
  <c r="D108"/>
  <c r="D106"/>
  <c r="J101"/>
  <c r="B101"/>
  <c r="N93"/>
  <c r="F93"/>
  <c r="N92"/>
  <c r="F92"/>
  <c r="N90"/>
  <c r="F90"/>
  <c r="N89"/>
  <c r="F89"/>
  <c r="F87"/>
  <c r="N86"/>
  <c r="F86"/>
  <c r="M77"/>
  <c r="E77"/>
  <c r="L75"/>
  <c r="D75"/>
  <c r="L73"/>
  <c r="D73"/>
  <c r="J68"/>
  <c r="B68"/>
  <c r="F59"/>
  <c r="F57"/>
  <c r="F54"/>
  <c r="E44"/>
  <c r="D42"/>
  <c r="B35"/>
  <c r="N27"/>
  <c r="F27"/>
  <c r="N26"/>
  <c r="F26"/>
  <c r="N24"/>
  <c r="F24"/>
  <c r="N23"/>
  <c r="N22"/>
  <c r="N21"/>
  <c r="F21"/>
  <c r="N20"/>
  <c r="M11"/>
  <c r="E11"/>
  <c r="L9"/>
  <c r="D9"/>
  <c r="L7"/>
  <c r="J2"/>
  <c r="B2"/>
  <c r="D9" i="63"/>
  <c r="X68" i="77"/>
  <c r="W68"/>
  <c r="V68"/>
  <c r="U68"/>
  <c r="T68"/>
  <c r="S68"/>
  <c r="R68"/>
  <c r="Q68"/>
  <c r="P68"/>
  <c r="O68"/>
  <c r="N68"/>
  <c r="L68"/>
  <c r="K68"/>
  <c r="J68"/>
  <c r="I68"/>
  <c r="H68"/>
  <c r="M59"/>
  <c r="M68"/>
  <c r="X48"/>
  <c r="W48"/>
  <c r="V48"/>
  <c r="U48"/>
  <c r="T48"/>
  <c r="S48"/>
  <c r="R48"/>
  <c r="Q48"/>
  <c r="P48"/>
  <c r="O48"/>
  <c r="N48"/>
  <c r="L48"/>
  <c r="K48"/>
  <c r="J48"/>
  <c r="I48"/>
  <c r="H48"/>
  <c r="M44"/>
  <c r="M43"/>
  <c r="M40"/>
  <c r="M39"/>
  <c r="M33"/>
  <c r="M32"/>
  <c r="M48" s="1"/>
  <c r="X28"/>
  <c r="W28"/>
  <c r="V28"/>
  <c r="U28"/>
  <c r="T28"/>
  <c r="S28"/>
  <c r="R28"/>
  <c r="Q28"/>
  <c r="P28"/>
  <c r="O28"/>
  <c r="N28"/>
  <c r="L28"/>
  <c r="K28"/>
  <c r="J28"/>
  <c r="I28"/>
  <c r="H28"/>
  <c r="M13"/>
  <c r="M11"/>
  <c r="M28" s="1"/>
  <c r="X304" i="76"/>
  <c r="W304"/>
  <c r="V304"/>
  <c r="U304"/>
  <c r="T304"/>
  <c r="S304"/>
  <c r="R304"/>
  <c r="Q304"/>
  <c r="P304"/>
  <c r="O304"/>
  <c r="N304"/>
  <c r="M304"/>
  <c r="L304"/>
  <c r="K304"/>
  <c r="J304"/>
  <c r="I304"/>
  <c r="H304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X250"/>
  <c r="W250"/>
  <c r="S10" i="20"/>
  <c r="V250" i="76"/>
  <c r="U250"/>
  <c r="T250"/>
  <c r="S250"/>
  <c r="R250"/>
  <c r="Q250"/>
  <c r="P250"/>
  <c r="O250"/>
  <c r="M10" i="20"/>
  <c r="N250" i="76"/>
  <c r="M250"/>
  <c r="L250"/>
  <c r="K250"/>
  <c r="J250"/>
  <c r="I250"/>
  <c r="H250"/>
  <c r="X229"/>
  <c r="W229"/>
  <c r="V229"/>
  <c r="U229"/>
  <c r="T229"/>
  <c r="S229"/>
  <c r="R229"/>
  <c r="Q229"/>
  <c r="P229"/>
  <c r="N8" i="20" s="1"/>
  <c r="O229" i="76"/>
  <c r="N229"/>
  <c r="M229"/>
  <c r="L229"/>
  <c r="K229"/>
  <c r="J229"/>
  <c r="I229"/>
  <c r="H229"/>
  <c r="X201"/>
  <c r="W201"/>
  <c r="V201"/>
  <c r="U201"/>
  <c r="T201"/>
  <c r="S201"/>
  <c r="R201"/>
  <c r="Q201"/>
  <c r="P201"/>
  <c r="O201"/>
  <c r="N201"/>
  <c r="L201"/>
  <c r="K201"/>
  <c r="J201"/>
  <c r="I201"/>
  <c r="H201"/>
  <c r="M197"/>
  <c r="M192"/>
  <c r="M201" s="1"/>
  <c r="X173"/>
  <c r="W173"/>
  <c r="V173"/>
  <c r="U173"/>
  <c r="T173"/>
  <c r="S173"/>
  <c r="R173"/>
  <c r="Q173"/>
  <c r="P173"/>
  <c r="O173"/>
  <c r="N173"/>
  <c r="L173"/>
  <c r="K173"/>
  <c r="J173"/>
  <c r="I173"/>
  <c r="H173"/>
  <c r="M169"/>
  <c r="M168"/>
  <c r="M156"/>
  <c r="M173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X119"/>
  <c r="W119"/>
  <c r="V119"/>
  <c r="U119"/>
  <c r="T119"/>
  <c r="S119"/>
  <c r="R119"/>
  <c r="Q119"/>
  <c r="P119"/>
  <c r="O119"/>
  <c r="N119"/>
  <c r="L119"/>
  <c r="K119"/>
  <c r="J119"/>
  <c r="I119"/>
  <c r="H119"/>
  <c r="M114"/>
  <c r="M111"/>
  <c r="M110"/>
  <c r="M103"/>
  <c r="M102"/>
  <c r="M119" s="1"/>
  <c r="X98"/>
  <c r="W98"/>
  <c r="V98"/>
  <c r="U98"/>
  <c r="T98"/>
  <c r="S98"/>
  <c r="R98"/>
  <c r="Q98"/>
  <c r="P98"/>
  <c r="O98"/>
  <c r="N98"/>
  <c r="L98"/>
  <c r="K98"/>
  <c r="J98"/>
  <c r="I98"/>
  <c r="H98"/>
  <c r="M90"/>
  <c r="M98"/>
  <c r="X71"/>
  <c r="W71"/>
  <c r="V71"/>
  <c r="U71"/>
  <c r="T71"/>
  <c r="S71"/>
  <c r="R71"/>
  <c r="Q71"/>
  <c r="O9" i="20" s="1"/>
  <c r="P71" i="76"/>
  <c r="O71"/>
  <c r="N71"/>
  <c r="M71"/>
  <c r="L71"/>
  <c r="K71"/>
  <c r="J71"/>
  <c r="I71"/>
  <c r="H71"/>
  <c r="X51"/>
  <c r="W51"/>
  <c r="V51"/>
  <c r="U51"/>
  <c r="T51"/>
  <c r="S51"/>
  <c r="R51"/>
  <c r="Q51"/>
  <c r="P51"/>
  <c r="O51"/>
  <c r="N51"/>
  <c r="L51"/>
  <c r="K51"/>
  <c r="J51"/>
  <c r="I51"/>
  <c r="H51"/>
  <c r="M46"/>
  <c r="M51" s="1"/>
  <c r="X25"/>
  <c r="W25"/>
  <c r="V25"/>
  <c r="U25"/>
  <c r="T25"/>
  <c r="S25"/>
  <c r="R25"/>
  <c r="Q25"/>
  <c r="P25"/>
  <c r="N7" i="20"/>
  <c r="O25" i="76"/>
  <c r="N25"/>
  <c r="M25"/>
  <c r="L25"/>
  <c r="K25"/>
  <c r="J25"/>
  <c r="I25"/>
  <c r="H25"/>
  <c r="M30" i="20"/>
  <c r="K27" i="5"/>
  <c r="J30" i="63"/>
  <c r="F151" i="78" s="1"/>
  <c r="M28" i="20"/>
  <c r="O24" i="5"/>
  <c r="P24" s="1"/>
  <c r="L31" i="63"/>
  <c r="M27" i="5" s="1"/>
  <c r="N27" s="1"/>
  <c r="K23"/>
  <c r="M31" i="20"/>
  <c r="O27" i="5"/>
  <c r="P27" s="1"/>
  <c r="M9" i="20"/>
  <c r="N10"/>
  <c r="L10"/>
  <c r="O7"/>
  <c r="S11"/>
  <c r="N11"/>
  <c r="L11"/>
  <c r="K11"/>
  <c r="E25"/>
  <c r="P38" s="1"/>
  <c r="O10"/>
  <c r="K10"/>
  <c r="S8"/>
  <c r="E23"/>
  <c r="O8"/>
  <c r="L8"/>
  <c r="K8"/>
  <c r="S9"/>
  <c r="N9"/>
  <c r="L9"/>
  <c r="S7"/>
  <c r="E22"/>
  <c r="M7"/>
  <c r="L7"/>
  <c r="K7"/>
  <c r="D11"/>
  <c r="D10"/>
  <c r="G10" s="1"/>
  <c r="D9"/>
  <c r="D8"/>
  <c r="D7"/>
  <c r="D11" i="63"/>
  <c r="D10"/>
  <c r="D8"/>
  <c r="D7"/>
  <c r="P39"/>
  <c r="L60"/>
  <c r="P38"/>
  <c r="H10"/>
  <c r="H8"/>
  <c r="N14" i="78"/>
  <c r="E44" i="64"/>
  <c r="P35" i="63"/>
  <c r="M34" i="5"/>
  <c r="M36" s="1"/>
  <c r="M39"/>
  <c r="M38"/>
  <c r="M37"/>
  <c r="G59" i="20"/>
  <c r="G56"/>
  <c r="K60"/>
  <c r="M44" i="21"/>
  <c r="H59" i="63"/>
  <c r="N56" i="64" s="1"/>
  <c r="H58" i="63"/>
  <c r="S20" i="5" s="1"/>
  <c r="H56" i="63"/>
  <c r="F23" i="78" s="1"/>
  <c r="E77" i="64"/>
  <c r="H11" i="63"/>
  <c r="F80" i="78" s="1"/>
  <c r="M11" i="64"/>
  <c r="N26" i="20"/>
  <c r="N122" i="64"/>
  <c r="M60" i="63"/>
  <c r="K60"/>
  <c r="M59"/>
  <c r="M58"/>
  <c r="N57" i="78" s="1"/>
  <c r="P60" s="1"/>
  <c r="M57" i="63"/>
  <c r="K57"/>
  <c r="M56"/>
  <c r="L60" i="20"/>
  <c r="J60"/>
  <c r="L59"/>
  <c r="L58"/>
  <c r="L57"/>
  <c r="J57"/>
  <c r="L56"/>
  <c r="K22" i="63"/>
  <c r="F20" i="78" s="1"/>
  <c r="F56" i="64"/>
  <c r="N23"/>
  <c r="I33" i="63"/>
  <c r="E8" i="20"/>
  <c r="V8" s="1"/>
  <c r="R8"/>
  <c r="N15" i="21" s="1"/>
  <c r="N27" i="64"/>
  <c r="A14" i="5"/>
  <c r="A15"/>
  <c r="T18"/>
  <c r="S19"/>
  <c r="T19"/>
  <c r="U19"/>
  <c r="R20"/>
  <c r="T20"/>
  <c r="T21"/>
  <c r="U21"/>
  <c r="A22"/>
  <c r="R22"/>
  <c r="S22"/>
  <c r="T22"/>
  <c r="U22"/>
  <c r="A23"/>
  <c r="R23"/>
  <c r="S23"/>
  <c r="T23"/>
  <c r="U23"/>
  <c r="A24"/>
  <c r="R24"/>
  <c r="S24"/>
  <c r="T24"/>
  <c r="U24"/>
  <c r="A25"/>
  <c r="R25"/>
  <c r="S25"/>
  <c r="T25"/>
  <c r="U25"/>
  <c r="A26"/>
  <c r="R26"/>
  <c r="S26"/>
  <c r="T26"/>
  <c r="U26"/>
  <c r="A27"/>
  <c r="R27"/>
  <c r="S27"/>
  <c r="T27"/>
  <c r="U27"/>
  <c r="A34"/>
  <c r="C36"/>
  <c r="D36"/>
  <c r="E36"/>
  <c r="F36"/>
  <c r="A37"/>
  <c r="G37"/>
  <c r="A38"/>
  <c r="G38"/>
  <c r="O38"/>
  <c r="A39"/>
  <c r="G39"/>
  <c r="O39"/>
  <c r="C41"/>
  <c r="C44" s="1"/>
  <c r="D41"/>
  <c r="D44" s="1"/>
  <c r="E41"/>
  <c r="E44" s="1"/>
  <c r="F41"/>
  <c r="F44" s="1"/>
  <c r="B2" i="64"/>
  <c r="J2"/>
  <c r="D9"/>
  <c r="L9"/>
  <c r="F24"/>
  <c r="N24"/>
  <c r="N26"/>
  <c r="F27"/>
  <c r="B35"/>
  <c r="J35"/>
  <c r="D42"/>
  <c r="L42"/>
  <c r="F53"/>
  <c r="F57"/>
  <c r="N57"/>
  <c r="F59"/>
  <c r="N59"/>
  <c r="F60"/>
  <c r="N60"/>
  <c r="B68"/>
  <c r="J68"/>
  <c r="D73"/>
  <c r="L73"/>
  <c r="D75"/>
  <c r="L75"/>
  <c r="M77"/>
  <c r="F86"/>
  <c r="N86"/>
  <c r="F89"/>
  <c r="N89"/>
  <c r="F90"/>
  <c r="N90"/>
  <c r="F92"/>
  <c r="N92"/>
  <c r="F93"/>
  <c r="N93"/>
  <c r="B101"/>
  <c r="J101"/>
  <c r="D106"/>
  <c r="D108"/>
  <c r="L108"/>
  <c r="E110"/>
  <c r="M110"/>
  <c r="F119"/>
  <c r="N119"/>
  <c r="F122"/>
  <c r="F123"/>
  <c r="N123"/>
  <c r="F125"/>
  <c r="N125"/>
  <c r="F126"/>
  <c r="N126"/>
  <c r="B134"/>
  <c r="J134"/>
  <c r="D139"/>
  <c r="L139"/>
  <c r="L140"/>
  <c r="D141"/>
  <c r="L141"/>
  <c r="L142"/>
  <c r="P142"/>
  <c r="E143"/>
  <c r="M143"/>
  <c r="N145"/>
  <c r="N146"/>
  <c r="N147"/>
  <c r="N148"/>
  <c r="N149"/>
  <c r="N151"/>
  <c r="F152"/>
  <c r="N152"/>
  <c r="N153"/>
  <c r="N154"/>
  <c r="F155"/>
  <c r="N155"/>
  <c r="F156"/>
  <c r="N156"/>
  <c r="N157"/>
  <c r="F158"/>
  <c r="N158"/>
  <c r="F159"/>
  <c r="N159"/>
  <c r="D2" i="63"/>
  <c r="J135" i="78" s="1"/>
  <c r="B7" i="63"/>
  <c r="D7" i="78" s="1"/>
  <c r="C7" i="63"/>
  <c r="C22" s="1"/>
  <c r="C56" s="1"/>
  <c r="L7" i="64"/>
  <c r="C23" i="63"/>
  <c r="C57" s="1"/>
  <c r="B9"/>
  <c r="C9"/>
  <c r="C24" s="1"/>
  <c r="C58" s="1"/>
  <c r="I9"/>
  <c r="I18" s="1"/>
  <c r="B10"/>
  <c r="C10"/>
  <c r="C25" s="1"/>
  <c r="C59" s="1"/>
  <c r="E11"/>
  <c r="D74" i="78" s="1"/>
  <c r="G11" i="63"/>
  <c r="H76" i="78" s="1"/>
  <c r="H76" i="64"/>
  <c r="E12" i="63"/>
  <c r="L74" i="78" s="1"/>
  <c r="G12" i="63"/>
  <c r="P76" i="78" s="1"/>
  <c r="H12" i="63"/>
  <c r="N80" i="78" s="1"/>
  <c r="E13" i="63"/>
  <c r="D107" i="78" s="1"/>
  <c r="G13" i="63"/>
  <c r="H109" i="78" s="1"/>
  <c r="H13" i="63"/>
  <c r="F113" i="78" s="1"/>
  <c r="F113" i="64"/>
  <c r="E14" i="63"/>
  <c r="L107" i="78" s="1"/>
  <c r="G14" i="63"/>
  <c r="P109" i="78" s="1"/>
  <c r="H14" i="63"/>
  <c r="N113" i="78" s="1"/>
  <c r="E15" i="63"/>
  <c r="D140" i="78" s="1"/>
  <c r="G15" i="63"/>
  <c r="H142" i="78" s="1"/>
  <c r="H142" i="64"/>
  <c r="H15" i="63"/>
  <c r="F146" i="78" s="1"/>
  <c r="E16" i="63"/>
  <c r="G16"/>
  <c r="H16"/>
  <c r="X17"/>
  <c r="R21"/>
  <c r="F26" i="64"/>
  <c r="R19" i="5"/>
  <c r="B26" i="63"/>
  <c r="C26"/>
  <c r="C60" s="1"/>
  <c r="B27"/>
  <c r="C27"/>
  <c r="C61"/>
  <c r="B28"/>
  <c r="C28"/>
  <c r="C62" s="1"/>
  <c r="B29"/>
  <c r="L106" i="78" s="1"/>
  <c r="C29" i="63"/>
  <c r="C63"/>
  <c r="B30"/>
  <c r="C30"/>
  <c r="C64" s="1"/>
  <c r="B31"/>
  <c r="M44" s="1"/>
  <c r="C31"/>
  <c r="C65" s="1"/>
  <c r="E67"/>
  <c r="F67"/>
  <c r="G67"/>
  <c r="H67"/>
  <c r="O35"/>
  <c r="K56" s="1"/>
  <c r="O37"/>
  <c r="K58" s="1"/>
  <c r="O38"/>
  <c r="K59" s="1"/>
  <c r="B2" i="21"/>
  <c r="J2"/>
  <c r="B3"/>
  <c r="J3"/>
  <c r="D7"/>
  <c r="L7"/>
  <c r="D9"/>
  <c r="L9"/>
  <c r="F19"/>
  <c r="N19"/>
  <c r="F20"/>
  <c r="N20"/>
  <c r="F21"/>
  <c r="N21"/>
  <c r="F22"/>
  <c r="N22"/>
  <c r="F23"/>
  <c r="F24"/>
  <c r="N24"/>
  <c r="N26"/>
  <c r="B35"/>
  <c r="J35"/>
  <c r="B36"/>
  <c r="J36"/>
  <c r="L40"/>
  <c r="D42"/>
  <c r="L42"/>
  <c r="F52"/>
  <c r="N52"/>
  <c r="F53"/>
  <c r="F54"/>
  <c r="N54"/>
  <c r="F55"/>
  <c r="N55"/>
  <c r="F57"/>
  <c r="N57"/>
  <c r="N59"/>
  <c r="B68"/>
  <c r="J68"/>
  <c r="B69"/>
  <c r="J69"/>
  <c r="D73"/>
  <c r="L73"/>
  <c r="D75"/>
  <c r="L75"/>
  <c r="M77"/>
  <c r="F85"/>
  <c r="N85"/>
  <c r="F86"/>
  <c r="N86"/>
  <c r="F87"/>
  <c r="N87"/>
  <c r="F88"/>
  <c r="N88"/>
  <c r="F89"/>
  <c r="N89"/>
  <c r="F90"/>
  <c r="N90"/>
  <c r="F92"/>
  <c r="N92"/>
  <c r="B101"/>
  <c r="J101"/>
  <c r="B102"/>
  <c r="J102"/>
  <c r="D106"/>
  <c r="D108"/>
  <c r="L108"/>
  <c r="E110"/>
  <c r="M110"/>
  <c r="F118"/>
  <c r="N118"/>
  <c r="F119"/>
  <c r="N119"/>
  <c r="F120"/>
  <c r="N120"/>
  <c r="F121"/>
  <c r="N121"/>
  <c r="F122"/>
  <c r="N122"/>
  <c r="F123"/>
  <c r="N123"/>
  <c r="F125"/>
  <c r="N125"/>
  <c r="B134"/>
  <c r="J134"/>
  <c r="B135"/>
  <c r="J135"/>
  <c r="D139"/>
  <c r="L139"/>
  <c r="L140"/>
  <c r="D141"/>
  <c r="L141"/>
  <c r="L142"/>
  <c r="P142"/>
  <c r="E143"/>
  <c r="M143"/>
  <c r="N145"/>
  <c r="N146"/>
  <c r="N147"/>
  <c r="N148"/>
  <c r="N149"/>
  <c r="F151"/>
  <c r="N151"/>
  <c r="F152"/>
  <c r="N152"/>
  <c r="F153"/>
  <c r="N153"/>
  <c r="F154"/>
  <c r="N154"/>
  <c r="F155"/>
  <c r="N155"/>
  <c r="F156"/>
  <c r="N156"/>
  <c r="N157"/>
  <c r="F158"/>
  <c r="N158"/>
  <c r="N159"/>
  <c r="E7" i="20"/>
  <c r="T7" s="1"/>
  <c r="D8" i="21"/>
  <c r="I9" i="20"/>
  <c r="E12"/>
  <c r="T12" s="1"/>
  <c r="G12"/>
  <c r="P76" i="21"/>
  <c r="H12" i="20"/>
  <c r="E13"/>
  <c r="P13" s="1"/>
  <c r="G13"/>
  <c r="H109" i="21" s="1"/>
  <c r="H13" i="20"/>
  <c r="E14"/>
  <c r="G14"/>
  <c r="H14"/>
  <c r="E15"/>
  <c r="T15" s="1"/>
  <c r="G15"/>
  <c r="H15"/>
  <c r="F146" i="21" s="1"/>
  <c r="E16" i="20"/>
  <c r="G16"/>
  <c r="H16"/>
  <c r="X17"/>
  <c r="R21"/>
  <c r="B22"/>
  <c r="M35"/>
  <c r="C22"/>
  <c r="C56"/>
  <c r="B23"/>
  <c r="B57"/>
  <c r="C23"/>
  <c r="C57"/>
  <c r="B24"/>
  <c r="D37"/>
  <c r="C24"/>
  <c r="C58"/>
  <c r="F59" i="21"/>
  <c r="B25" i="20"/>
  <c r="M38" s="1"/>
  <c r="C25"/>
  <c r="C59" s="1"/>
  <c r="K33"/>
  <c r="B26"/>
  <c r="M39"/>
  <c r="C26"/>
  <c r="C60"/>
  <c r="B27"/>
  <c r="C27"/>
  <c r="C61" s="1"/>
  <c r="B28"/>
  <c r="C28"/>
  <c r="C62"/>
  <c r="B29"/>
  <c r="C29"/>
  <c r="C63" s="1"/>
  <c r="B30"/>
  <c r="B64" s="1"/>
  <c r="C30"/>
  <c r="C64" s="1"/>
  <c r="B31"/>
  <c r="C31"/>
  <c r="C65"/>
  <c r="D67"/>
  <c r="J33"/>
  <c r="L33"/>
  <c r="O33"/>
  <c r="E67"/>
  <c r="F67"/>
  <c r="O35"/>
  <c r="O37"/>
  <c r="J58" s="1"/>
  <c r="O38"/>
  <c r="J59" s="1"/>
  <c r="A19" i="5"/>
  <c r="N20" i="64"/>
  <c r="Q19" i="5"/>
  <c r="N22" i="64"/>
  <c r="B23" i="63"/>
  <c r="M36" s="1"/>
  <c r="M33"/>
  <c r="U20" i="5"/>
  <c r="O34"/>
  <c r="O36" s="1"/>
  <c r="F23" i="64"/>
  <c r="N53" i="21"/>
  <c r="N33" i="20"/>
  <c r="F26" i="21"/>
  <c r="U18" i="5"/>
  <c r="U29" s="1"/>
  <c r="F56" i="21"/>
  <c r="N33" i="63"/>
  <c r="O37" i="5"/>
  <c r="O41" s="1"/>
  <c r="I33" i="20"/>
  <c r="F31" i="63"/>
  <c r="N23" i="21"/>
  <c r="H67" i="20"/>
  <c r="I67" i="63"/>
  <c r="D107" i="64"/>
  <c r="F28" i="63"/>
  <c r="F124" i="78" s="1"/>
  <c r="D74" i="64"/>
  <c r="R21" i="5"/>
  <c r="B60" i="20"/>
  <c r="B59"/>
  <c r="V16" i="63"/>
  <c r="V14" i="20"/>
  <c r="N116" i="21"/>
  <c r="D107"/>
  <c r="A18" i="5"/>
  <c r="N53" i="64"/>
  <c r="B65" i="20"/>
  <c r="M44"/>
  <c r="H30" i="63"/>
  <c r="P15"/>
  <c r="F145" i="78" s="1"/>
  <c r="F145" i="64"/>
  <c r="V15" i="63"/>
  <c r="F149" i="78" s="1"/>
  <c r="F149" i="64"/>
  <c r="H28" i="20"/>
  <c r="L107" i="21"/>
  <c r="F29" i="20"/>
  <c r="T14"/>
  <c r="N115" i="21" s="1"/>
  <c r="P13" i="63"/>
  <c r="F112" i="78" s="1"/>
  <c r="T13" i="63"/>
  <c r="F115" i="78" s="1"/>
  <c r="F146" i="64"/>
  <c r="R11" i="63"/>
  <c r="F81" i="78" s="1"/>
  <c r="F81" i="64"/>
  <c r="M44"/>
  <c r="N113" i="21"/>
  <c r="J56" i="20"/>
  <c r="G9"/>
  <c r="H43" i="21" s="1"/>
  <c r="E9" i="20"/>
  <c r="H24" s="1"/>
  <c r="I18"/>
  <c r="G34" i="5"/>
  <c r="G36" s="1"/>
  <c r="B56" i="20"/>
  <c r="H142" i="21"/>
  <c r="D40"/>
  <c r="H29" i="63"/>
  <c r="T14"/>
  <c r="N115" i="78" s="1"/>
  <c r="N115" i="64"/>
  <c r="P14" i="63"/>
  <c r="N112" i="78" s="1"/>
  <c r="V13" i="63"/>
  <c r="F116" i="78" s="1"/>
  <c r="R13" i="63"/>
  <c r="F114" i="78" s="1"/>
  <c r="H28" i="63"/>
  <c r="L74" i="64"/>
  <c r="H27" i="63"/>
  <c r="H31"/>
  <c r="R16"/>
  <c r="L106" i="21"/>
  <c r="M36" i="20"/>
  <c r="E8" i="63"/>
  <c r="L8" i="78" s="1"/>
  <c r="T8" i="63"/>
  <c r="N16" i="78" s="1"/>
  <c r="G8" i="63"/>
  <c r="P10" i="78" s="1"/>
  <c r="N112" i="64"/>
  <c r="F30" i="20"/>
  <c r="R15"/>
  <c r="H30"/>
  <c r="D140" i="21"/>
  <c r="V15" i="20"/>
  <c r="F149" i="21"/>
  <c r="F113"/>
  <c r="P15" i="20"/>
  <c r="P16"/>
  <c r="V16"/>
  <c r="R16"/>
  <c r="T16"/>
  <c r="H31"/>
  <c r="F31"/>
  <c r="L8" i="64"/>
  <c r="B58" i="20"/>
  <c r="M37"/>
  <c r="M40"/>
  <c r="B61"/>
  <c r="M43" i="63"/>
  <c r="B64"/>
  <c r="R14" i="20"/>
  <c r="N114" i="21" s="1"/>
  <c r="H29" i="20"/>
  <c r="N124" i="21" s="1"/>
  <c r="P14" i="20"/>
  <c r="B65" i="63"/>
  <c r="P149" i="64"/>
  <c r="T29" i="5"/>
  <c r="G9" i="63"/>
  <c r="H43" i="78" s="1"/>
  <c r="E9" i="63"/>
  <c r="D41" i="78" s="1"/>
  <c r="R9" i="63"/>
  <c r="F48" i="78" s="1"/>
  <c r="T9" i="63"/>
  <c r="F49" i="78" s="1"/>
  <c r="R7" i="20"/>
  <c r="F15" i="21" s="1"/>
  <c r="B69" i="64"/>
  <c r="J3"/>
  <c r="J102"/>
  <c r="T11" i="63"/>
  <c r="F82" i="78" s="1"/>
  <c r="F82" i="64"/>
  <c r="N112" i="21"/>
  <c r="H24" i="63"/>
  <c r="F145" i="21"/>
  <c r="F157"/>
  <c r="L8"/>
  <c r="T8" i="20"/>
  <c r="F28"/>
  <c r="F124" i="21"/>
  <c r="T13" i="20"/>
  <c r="F115" i="21"/>
  <c r="A37" i="20"/>
  <c r="G7"/>
  <c r="F26" i="63"/>
  <c r="F91" i="64" s="1"/>
  <c r="V11" i="63"/>
  <c r="V13" i="20"/>
  <c r="F116" i="21" s="1"/>
  <c r="R13" i="20"/>
  <c r="F114" i="21" s="1"/>
  <c r="P37" i="63"/>
  <c r="F24"/>
  <c r="F58" i="78" s="1"/>
  <c r="H26" i="63"/>
  <c r="D41" i="64"/>
  <c r="V9" i="63"/>
  <c r="F50" i="64"/>
  <c r="P8" i="63"/>
  <c r="N13" i="78"/>
  <c r="P36" i="63"/>
  <c r="L57"/>
  <c r="E33"/>
  <c r="F23"/>
  <c r="N25" i="78" s="1"/>
  <c r="R29" i="20"/>
  <c r="G25" i="5" s="1"/>
  <c r="B62" i="20"/>
  <c r="M41"/>
  <c r="P149" i="21"/>
  <c r="M40" i="63"/>
  <c r="B61"/>
  <c r="R14"/>
  <c r="N114" i="78" s="1"/>
  <c r="L107" i="64"/>
  <c r="F29" i="63"/>
  <c r="N124" i="78" s="1"/>
  <c r="N124" i="64"/>
  <c r="V14" i="63"/>
  <c r="N116" i="78" s="1"/>
  <c r="N116" i="64"/>
  <c r="E7" i="63"/>
  <c r="D8" i="78" s="1"/>
  <c r="G7" i="63"/>
  <c r="H10" i="78" s="1"/>
  <c r="B36" i="64"/>
  <c r="B135"/>
  <c r="E11"/>
  <c r="H7" i="63"/>
  <c r="F14" i="78" s="1"/>
  <c r="P16" i="63"/>
  <c r="R31" s="1"/>
  <c r="H27" i="5" s="1"/>
  <c r="T16" i="63"/>
  <c r="F30"/>
  <c r="F157" i="78" s="1"/>
  <c r="F157" i="64"/>
  <c r="T15" i="63"/>
  <c r="F148" i="78" s="1"/>
  <c r="F148" i="64"/>
  <c r="R15" i="63"/>
  <c r="F147" i="78" s="1"/>
  <c r="D140" i="64"/>
  <c r="B34" i="5"/>
  <c r="B36" s="1"/>
  <c r="R9" i="20"/>
  <c r="F48" i="21" s="1"/>
  <c r="B63" i="20"/>
  <c r="M42"/>
  <c r="P159" i="21"/>
  <c r="B60" i="63"/>
  <c r="M39"/>
  <c r="H109" i="64"/>
  <c r="R28" i="63"/>
  <c r="H24" i="5" s="1"/>
  <c r="H23" i="63"/>
  <c r="B57"/>
  <c r="A21" i="5"/>
  <c r="B25" i="63"/>
  <c r="M38" s="1"/>
  <c r="L40" i="64"/>
  <c r="B22" i="63"/>
  <c r="B56" s="1"/>
  <c r="D7" i="64"/>
  <c r="L58" i="63"/>
  <c r="N13" i="64"/>
  <c r="F147"/>
  <c r="X15" i="63"/>
  <c r="D30" s="1"/>
  <c r="R30"/>
  <c r="H26" i="5" s="1"/>
  <c r="B37"/>
  <c r="H10" i="64"/>
  <c r="V7" i="63"/>
  <c r="F17" i="78" s="1"/>
  <c r="R7" i="63"/>
  <c r="F15" i="78" s="1"/>
  <c r="X14" i="63"/>
  <c r="D29"/>
  <c r="N114" i="64"/>
  <c r="M35" i="63"/>
  <c r="A37"/>
  <c r="R29"/>
  <c r="H25" i="5"/>
  <c r="N47" i="64"/>
  <c r="M41" i="5"/>
  <c r="H23" i="20"/>
  <c r="E10"/>
  <c r="V10" s="1"/>
  <c r="T9"/>
  <c r="F49" i="21" s="1"/>
  <c r="D41"/>
  <c r="F25" i="20"/>
  <c r="L59" i="63"/>
  <c r="L56"/>
  <c r="F17" i="64"/>
  <c r="H9" i="63"/>
  <c r="F47" i="78" s="1"/>
  <c r="F47" i="64"/>
  <c r="L26" i="5"/>
  <c r="K26"/>
  <c r="L30" i="63"/>
  <c r="F153" i="78" s="1"/>
  <c r="J31" i="63"/>
  <c r="J27" i="5" s="1"/>
  <c r="F23" i="20"/>
  <c r="P36"/>
  <c r="P38" i="5" s="1"/>
  <c r="E33" i="20"/>
  <c r="M26" i="5"/>
  <c r="N26" s="1"/>
  <c r="F153" i="64"/>
  <c r="F159" i="21"/>
  <c r="H159" s="1"/>
  <c r="O26" i="5"/>
  <c r="P26" s="1"/>
  <c r="L27"/>
  <c r="K57" i="20"/>
  <c r="N25" i="21"/>
  <c r="H7" i="20"/>
  <c r="E11" i="21"/>
  <c r="P7" i="20"/>
  <c r="F13" i="21" s="1"/>
  <c r="F151" i="64"/>
  <c r="J26" i="5"/>
  <c r="O30" i="63"/>
  <c r="F154" i="78" s="1"/>
  <c r="L28" i="63"/>
  <c r="F120" i="78" s="1"/>
  <c r="K24" i="5"/>
  <c r="L23"/>
  <c r="M27" i="20"/>
  <c r="J27" i="63"/>
  <c r="N85" i="78" s="1"/>
  <c r="F20" i="64"/>
  <c r="R18" i="5"/>
  <c r="R29" s="1"/>
  <c r="O31" i="63"/>
  <c r="Q27" i="5"/>
  <c r="L27" i="63"/>
  <c r="N87" i="78" s="1"/>
  <c r="L24" i="5"/>
  <c r="J28" i="63"/>
  <c r="F118" i="78" s="1"/>
  <c r="K38" i="5"/>
  <c r="N16" i="21"/>
  <c r="F147"/>
  <c r="H149" i="64"/>
  <c r="N80" i="21"/>
  <c r="P37" i="20"/>
  <c r="F24"/>
  <c r="F126" i="21"/>
  <c r="H126" s="1"/>
  <c r="H25" i="20"/>
  <c r="N58" i="21" s="1"/>
  <c r="R10" i="20"/>
  <c r="L41" i="21"/>
  <c r="P10" i="20"/>
  <c r="F15" i="64"/>
  <c r="J37" i="5"/>
  <c r="F22" i="63"/>
  <c r="H22"/>
  <c r="F25" i="78" s="1"/>
  <c r="D8" i="64"/>
  <c r="P7" i="63"/>
  <c r="F13" i="78" s="1"/>
  <c r="X16" i="20"/>
  <c r="D31" s="1"/>
  <c r="R31"/>
  <c r="G27" i="5" s="1"/>
  <c r="I27" s="1"/>
  <c r="E44" i="21"/>
  <c r="H9" i="20"/>
  <c r="F47" i="21" s="1"/>
  <c r="E77"/>
  <c r="H11" i="20"/>
  <c r="F80" i="21" s="1"/>
  <c r="T7" i="63"/>
  <c r="F16" i="78" s="1"/>
  <c r="N25" i="64"/>
  <c r="H10" i="21"/>
  <c r="N80" i="64"/>
  <c r="G11" i="20"/>
  <c r="E11"/>
  <c r="P9" i="63"/>
  <c r="F46" i="78" s="1"/>
  <c r="V8" i="63"/>
  <c r="N17" i="78" s="1"/>
  <c r="R8" i="63"/>
  <c r="N15" i="78" s="1"/>
  <c r="M41" i="63"/>
  <c r="B62"/>
  <c r="X16"/>
  <c r="D31" s="1"/>
  <c r="D18" i="20"/>
  <c r="G8"/>
  <c r="P109" i="21"/>
  <c r="X14" i="20"/>
  <c r="D29"/>
  <c r="P29" s="1"/>
  <c r="S42" s="1"/>
  <c r="H27"/>
  <c r="F27"/>
  <c r="N91" i="21" s="1"/>
  <c r="L74"/>
  <c r="P12" i="20"/>
  <c r="R12"/>
  <c r="N81" i="21"/>
  <c r="V12" i="20"/>
  <c r="N83" i="21"/>
  <c r="L106" i="64"/>
  <c r="B63" i="63"/>
  <c r="M42"/>
  <c r="X13"/>
  <c r="D28" s="1"/>
  <c r="B24"/>
  <c r="A20" i="5"/>
  <c r="B102" i="64"/>
  <c r="J69"/>
  <c r="J135"/>
  <c r="J36"/>
  <c r="B3"/>
  <c r="A11" i="5"/>
  <c r="G10" i="63"/>
  <c r="D18"/>
  <c r="E10"/>
  <c r="E18" s="1"/>
  <c r="H10" i="20"/>
  <c r="H39" i="5" s="1"/>
  <c r="H8" i="20"/>
  <c r="H38" i="5" s="1"/>
  <c r="M11" i="21"/>
  <c r="F27" i="63"/>
  <c r="N91" i="78" s="1"/>
  <c r="N91" i="64"/>
  <c r="R12" i="63"/>
  <c r="N81" i="78" s="1"/>
  <c r="N81" i="64"/>
  <c r="V12" i="63"/>
  <c r="N83" i="78" s="1"/>
  <c r="N83" i="64"/>
  <c r="T12" i="63"/>
  <c r="N82" i="78" s="1"/>
  <c r="N82" i="64"/>
  <c r="P12" i="63"/>
  <c r="N79" i="78" s="1"/>
  <c r="P83" s="1"/>
  <c r="N79" i="64"/>
  <c r="P83" s="1"/>
  <c r="N56" i="21"/>
  <c r="S21" i="5"/>
  <c r="G67" i="20"/>
  <c r="P35"/>
  <c r="P37" i="5" s="1"/>
  <c r="F22" i="20"/>
  <c r="K33" i="63"/>
  <c r="V9" i="20"/>
  <c r="F50" i="21" s="1"/>
  <c r="M43" i="20"/>
  <c r="F14" i="21"/>
  <c r="N85" i="64"/>
  <c r="J23" i="5"/>
  <c r="Q26"/>
  <c r="F154" i="64"/>
  <c r="H159" s="1"/>
  <c r="H160" s="1"/>
  <c r="N87"/>
  <c r="M23" i="5"/>
  <c r="N23" s="1"/>
  <c r="O23"/>
  <c r="P23" s="1"/>
  <c r="N93" i="21"/>
  <c r="F120" i="64"/>
  <c r="M24" i="5"/>
  <c r="N24" s="1"/>
  <c r="J24"/>
  <c r="F118" i="64"/>
  <c r="K25" i="5"/>
  <c r="L25"/>
  <c r="J29" i="63"/>
  <c r="N118" i="78" s="1"/>
  <c r="M29" i="20"/>
  <c r="L29" i="63"/>
  <c r="N120" i="78" s="1"/>
  <c r="P10" i="21"/>
  <c r="B38" i="5"/>
  <c r="X12" i="63"/>
  <c r="D27" s="1"/>
  <c r="N48" i="21"/>
  <c r="H25" i="63"/>
  <c r="L41" i="64"/>
  <c r="R10" i="63"/>
  <c r="N48" i="64" s="1"/>
  <c r="V10" i="63"/>
  <c r="N50" i="64" s="1"/>
  <c r="H26" i="20"/>
  <c r="P11"/>
  <c r="F79" i="21" s="1"/>
  <c r="F26" i="20"/>
  <c r="T11"/>
  <c r="D74" i="21"/>
  <c r="R11" i="20"/>
  <c r="F81" i="21" s="1"/>
  <c r="E18" i="20"/>
  <c r="V11"/>
  <c r="F83" i="21" s="1"/>
  <c r="F13" i="64"/>
  <c r="I37" i="5"/>
  <c r="P34"/>
  <c r="P36" s="1"/>
  <c r="K58" i="20"/>
  <c r="N79" i="21"/>
  <c r="I63" i="20"/>
  <c r="F46" i="64"/>
  <c r="H76" i="21"/>
  <c r="F16" i="64"/>
  <c r="N46" i="21"/>
  <c r="K56" i="20"/>
  <c r="G18" i="63"/>
  <c r="P43" i="64"/>
  <c r="D37" i="63"/>
  <c r="D40" i="64"/>
  <c r="B58" i="63"/>
  <c r="M37"/>
  <c r="N15" i="64"/>
  <c r="J38" i="5"/>
  <c r="R18" i="63"/>
  <c r="R27"/>
  <c r="H23" i="5"/>
  <c r="F25" i="64"/>
  <c r="O25" i="5"/>
  <c r="P25" s="1"/>
  <c r="N126" i="21"/>
  <c r="O27" i="63"/>
  <c r="N88" i="78" s="1"/>
  <c r="M25" i="5"/>
  <c r="N25" s="1"/>
  <c r="J25"/>
  <c r="O28" i="63"/>
  <c r="F121" i="78" s="1"/>
  <c r="J39" i="5"/>
  <c r="F82" i="21"/>
  <c r="R18" i="20"/>
  <c r="L21" i="5"/>
  <c r="J25" i="63"/>
  <c r="N52" i="64" s="1"/>
  <c r="K21" i="5"/>
  <c r="L18"/>
  <c r="J22" i="63"/>
  <c r="F19" i="78" s="1"/>
  <c r="K18" i="5"/>
  <c r="K19"/>
  <c r="L19"/>
  <c r="J23" i="63"/>
  <c r="N19" i="78" s="1"/>
  <c r="P27" s="1"/>
  <c r="K20" i="5"/>
  <c r="L20"/>
  <c r="J24" i="63"/>
  <c r="F52" i="78" s="1"/>
  <c r="M23" i="20"/>
  <c r="M24"/>
  <c r="F60" i="21" s="1"/>
  <c r="M19" i="5"/>
  <c r="N21" i="64"/>
  <c r="Q24" i="5"/>
  <c r="N88" i="64"/>
  <c r="P93" s="1"/>
  <c r="O29" i="63"/>
  <c r="N121" i="78" s="1"/>
  <c r="N27" i="21"/>
  <c r="O19" i="5"/>
  <c r="P19" s="1"/>
  <c r="J19"/>
  <c r="N19" i="64"/>
  <c r="L22" i="5"/>
  <c r="K22"/>
  <c r="K29" s="1"/>
  <c r="J26" i="63"/>
  <c r="F85" i="78" s="1"/>
  <c r="O25" i="63"/>
  <c r="O22"/>
  <c r="F22" i="78" s="1"/>
  <c r="M22" i="20"/>
  <c r="F21" i="64"/>
  <c r="M18" i="5"/>
  <c r="N18" s="1"/>
  <c r="M21"/>
  <c r="N21" s="1"/>
  <c r="N54" i="64"/>
  <c r="L33" i="63"/>
  <c r="M25" i="20"/>
  <c r="O21" i="5" s="1"/>
  <c r="M26" i="20"/>
  <c r="M20" i="5"/>
  <c r="N20" s="1"/>
  <c r="F54" i="64"/>
  <c r="J18" i="5"/>
  <c r="F19" i="64"/>
  <c r="J21" i="5"/>
  <c r="O20"/>
  <c r="P20" s="1"/>
  <c r="J20"/>
  <c r="J33" i="63"/>
  <c r="N19" i="5"/>
  <c r="Q25"/>
  <c r="J63" i="63"/>
  <c r="O26"/>
  <c r="F88" i="78" s="1"/>
  <c r="F85" i="64"/>
  <c r="F87"/>
  <c r="M22" i="5"/>
  <c r="N22" s="1"/>
  <c r="F55" i="78"/>
  <c r="N60" i="21"/>
  <c r="Q18" i="5"/>
  <c r="F93" i="21"/>
  <c r="O22" i="5"/>
  <c r="P22" s="1"/>
  <c r="O18"/>
  <c r="F27" i="21"/>
  <c r="N55" i="64"/>
  <c r="Q21" i="5"/>
  <c r="O33" i="63"/>
  <c r="Q22" i="5"/>
  <c r="P18"/>
  <c r="Q20"/>
  <c r="F55" i="64"/>
  <c r="F83"/>
  <c r="R24" i="63"/>
  <c r="H20" i="5" s="1"/>
  <c r="R23" i="63"/>
  <c r="H19" i="5" s="1"/>
  <c r="F58" i="64"/>
  <c r="F91" i="78"/>
  <c r="F80" i="64"/>
  <c r="X8" i="63"/>
  <c r="D23" s="1"/>
  <c r="N17" i="64"/>
  <c r="V18" i="63"/>
  <c r="R22"/>
  <c r="H18" i="5" s="1"/>
  <c r="X7" i="63"/>
  <c r="D22" s="1"/>
  <c r="J56" s="1"/>
  <c r="F50" i="78"/>
  <c r="H33" i="63"/>
  <c r="F14" i="64"/>
  <c r="H17" s="1"/>
  <c r="N14"/>
  <c r="F83" i="78"/>
  <c r="F33" i="20" l="1"/>
  <c r="L34" i="5"/>
  <c r="L36" s="1"/>
  <c r="L29"/>
  <c r="P159" i="78"/>
  <c r="P50"/>
  <c r="X11" i="20"/>
  <c r="D26" s="1"/>
  <c r="P26" s="1"/>
  <c r="S39" s="1"/>
  <c r="P116" i="21"/>
  <c r="J41" i="5"/>
  <c r="P93" i="21"/>
  <c r="P17" i="78"/>
  <c r="P28" s="1"/>
  <c r="P27" i="21"/>
  <c r="B59" i="63"/>
  <c r="P9" i="20"/>
  <c r="N38" i="5"/>
  <c r="F91" i="21"/>
  <c r="H93" s="1"/>
  <c r="L39" i="5"/>
  <c r="X9" i="63"/>
  <c r="D24" s="1"/>
  <c r="P22"/>
  <c r="D56" s="1"/>
  <c r="H37" i="5"/>
  <c r="H41" s="1"/>
  <c r="H18" i="63"/>
  <c r="R26" i="20"/>
  <c r="G22" i="5" s="1"/>
  <c r="N47" i="21"/>
  <c r="H34" i="5"/>
  <c r="H36" s="1"/>
  <c r="H18" i="20"/>
  <c r="N14" i="21"/>
  <c r="O56" i="63"/>
  <c r="P23"/>
  <c r="J57"/>
  <c r="O57" s="1"/>
  <c r="J62"/>
  <c r="P28"/>
  <c r="F16" i="21"/>
  <c r="K37" i="5"/>
  <c r="O29"/>
  <c r="P21"/>
  <c r="J61" i="63"/>
  <c r="O61" s="1"/>
  <c r="P27"/>
  <c r="J65"/>
  <c r="P31"/>
  <c r="P31" i="20"/>
  <c r="S44" s="1"/>
  <c r="I65"/>
  <c r="J64" i="63"/>
  <c r="P30"/>
  <c r="N34" i="5"/>
  <c r="N36" s="1"/>
  <c r="F58" i="21"/>
  <c r="H60" s="1"/>
  <c r="F148"/>
  <c r="R30" i="20"/>
  <c r="G26" i="5" s="1"/>
  <c r="I26" s="1"/>
  <c r="X15" i="20"/>
  <c r="D30" s="1"/>
  <c r="X13"/>
  <c r="D28" s="1"/>
  <c r="R28"/>
  <c r="G24" i="5" s="1"/>
  <c r="I24" s="1"/>
  <c r="F112" i="21"/>
  <c r="H116" s="1"/>
  <c r="H127" s="1"/>
  <c r="N82"/>
  <c r="X12" i="20"/>
  <c r="D27" s="1"/>
  <c r="R27"/>
  <c r="G23" i="5" s="1"/>
  <c r="I23" s="1"/>
  <c r="N17" i="21"/>
  <c r="L38" i="5"/>
  <c r="P43" i="21"/>
  <c r="G18" i="20"/>
  <c r="B39" i="5"/>
  <c r="I34"/>
  <c r="R24" i="20"/>
  <c r="G20" i="5" s="1"/>
  <c r="I20" s="1"/>
  <c r="X9" i="20"/>
  <c r="D24" s="1"/>
  <c r="F46" i="21"/>
  <c r="H50" s="1"/>
  <c r="H60" i="78"/>
  <c r="B41" i="5"/>
  <c r="B44" s="1"/>
  <c r="P126" i="78"/>
  <c r="H17"/>
  <c r="H126"/>
  <c r="P116"/>
  <c r="P127" s="1"/>
  <c r="H116"/>
  <c r="H127" s="1"/>
  <c r="H149"/>
  <c r="H27"/>
  <c r="P83" i="21"/>
  <c r="P94" s="1"/>
  <c r="P93" i="78"/>
  <c r="P94" s="1"/>
  <c r="H149" i="21"/>
  <c r="H160" s="1"/>
  <c r="H159" i="78"/>
  <c r="H93"/>
  <c r="P24" i="63"/>
  <c r="J58"/>
  <c r="O58" s="1"/>
  <c r="M29" i="5"/>
  <c r="F88" i="64"/>
  <c r="H93" s="1"/>
  <c r="M33" i="20"/>
  <c r="F22" i="64"/>
  <c r="H27" s="1"/>
  <c r="H28" s="1"/>
  <c r="J22" i="5"/>
  <c r="P29" i="63"/>
  <c r="N121" i="64"/>
  <c r="F52"/>
  <c r="H60" s="1"/>
  <c r="J29" i="5"/>
  <c r="K31" s="1"/>
  <c r="P27" i="64"/>
  <c r="Q23" i="5"/>
  <c r="Q29" s="1"/>
  <c r="F121" i="64"/>
  <c r="N118"/>
  <c r="N120"/>
  <c r="P126" i="21"/>
  <c r="P127" s="1"/>
  <c r="V127" s="1"/>
  <c r="F25" i="63"/>
  <c r="T10"/>
  <c r="P10"/>
  <c r="K34" i="5"/>
  <c r="K36" s="1"/>
  <c r="J34"/>
  <c r="J36" s="1"/>
  <c r="J44" s="1"/>
  <c r="H43" i="64"/>
  <c r="F49"/>
  <c r="F48"/>
  <c r="P10"/>
  <c r="N16"/>
  <c r="P17" s="1"/>
  <c r="F114"/>
  <c r="F116"/>
  <c r="F115"/>
  <c r="F112"/>
  <c r="F124"/>
  <c r="O44" i="5"/>
  <c r="N113" i="64"/>
  <c r="P116" s="1"/>
  <c r="P109"/>
  <c r="P76"/>
  <c r="P94" s="1"/>
  <c r="P11" i="63"/>
  <c r="S18" i="5"/>
  <c r="S29" s="1"/>
  <c r="M44"/>
  <c r="H22" i="20"/>
  <c r="V7"/>
  <c r="P8"/>
  <c r="R23" s="1"/>
  <c r="G19" i="5" s="1"/>
  <c r="P61" i="78"/>
  <c r="H50"/>
  <c r="P60" i="21"/>
  <c r="H83"/>
  <c r="I25" i="5"/>
  <c r="P160" i="21"/>
  <c r="V160" s="1"/>
  <c r="P159" i="64"/>
  <c r="P160" s="1"/>
  <c r="G41" i="5"/>
  <c r="T10" i="20"/>
  <c r="X10" s="1"/>
  <c r="D25" s="1"/>
  <c r="P160" i="78"/>
  <c r="X8" i="20"/>
  <c r="P39" i="5"/>
  <c r="P41" s="1"/>
  <c r="P44" s="1"/>
  <c r="N50" i="21"/>
  <c r="K59" i="20"/>
  <c r="P29" i="5"/>
  <c r="O31" s="1"/>
  <c r="I60" i="20"/>
  <c r="N60" s="1"/>
  <c r="K39" i="5"/>
  <c r="K41" s="1"/>
  <c r="K44" s="1"/>
  <c r="N49" i="21"/>
  <c r="R25" i="20"/>
  <c r="G21" i="5" s="1"/>
  <c r="N29"/>
  <c r="M31" s="1"/>
  <c r="J3" i="78"/>
  <c r="B69"/>
  <c r="B102"/>
  <c r="B135"/>
  <c r="B3"/>
  <c r="B36"/>
  <c r="J69"/>
  <c r="J102"/>
  <c r="N13" i="21" l="1"/>
  <c r="I38" i="5"/>
  <c r="T18" i="20"/>
  <c r="P18"/>
  <c r="H116" i="64"/>
  <c r="P28"/>
  <c r="H50"/>
  <c r="H160" i="78"/>
  <c r="H94" i="21"/>
  <c r="T94" s="1"/>
  <c r="P17"/>
  <c r="P28" s="1"/>
  <c r="P50"/>
  <c r="P61" s="1"/>
  <c r="H126" i="64"/>
  <c r="S35" i="63"/>
  <c r="H44" i="5"/>
  <c r="L51" s="1"/>
  <c r="M51" s="1"/>
  <c r="N51" s="1"/>
  <c r="T28" i="64"/>
  <c r="H61" i="21"/>
  <c r="F17"/>
  <c r="L37" i="5"/>
  <c r="V18" i="20"/>
  <c r="F79" i="64"/>
  <c r="H83" s="1"/>
  <c r="H94" s="1"/>
  <c r="F79" i="78"/>
  <c r="H83" s="1"/>
  <c r="H94" s="1"/>
  <c r="R26" i="63"/>
  <c r="H22" i="5" s="1"/>
  <c r="I22" s="1"/>
  <c r="X11" i="63"/>
  <c r="D26" s="1"/>
  <c r="N46" i="64"/>
  <c r="I39" i="5"/>
  <c r="I41" s="1"/>
  <c r="I44" s="1"/>
  <c r="R25" i="63"/>
  <c r="H21" i="5" s="1"/>
  <c r="H29" s="1"/>
  <c r="P18" i="63"/>
  <c r="N58" i="64"/>
  <c r="P60" s="1"/>
  <c r="F33" i="63"/>
  <c r="N39" i="5"/>
  <c r="S42" i="63"/>
  <c r="D63"/>
  <c r="Q31" i="5"/>
  <c r="L54"/>
  <c r="L56" s="1"/>
  <c r="I58" i="20"/>
  <c r="N58" s="1"/>
  <c r="P24"/>
  <c r="S37" s="1"/>
  <c r="T61" i="21" s="1"/>
  <c r="I36" i="5"/>
  <c r="L52"/>
  <c r="P30" i="20"/>
  <c r="S43" s="1"/>
  <c r="I64"/>
  <c r="S36" i="63"/>
  <c r="V28" i="78" s="1"/>
  <c r="D57" i="63"/>
  <c r="N37" i="5"/>
  <c r="H33" i="20"/>
  <c r="F25" i="21"/>
  <c r="H27" s="1"/>
  <c r="T18" i="63"/>
  <c r="N49" i="64"/>
  <c r="S37" i="63"/>
  <c r="D58"/>
  <c r="I61" i="20"/>
  <c r="N61" s="1"/>
  <c r="P27"/>
  <c r="S40" s="1"/>
  <c r="P28"/>
  <c r="S41" s="1"/>
  <c r="I62"/>
  <c r="D64" i="63"/>
  <c r="S43"/>
  <c r="T160" i="64" s="1"/>
  <c r="S44" i="63"/>
  <c r="V160" i="78" s="1"/>
  <c r="D65" i="63"/>
  <c r="S40"/>
  <c r="V94" i="64" s="1"/>
  <c r="D61" i="63"/>
  <c r="S41"/>
  <c r="T127" i="78" s="1"/>
  <c r="D62" i="63"/>
  <c r="I21" i="5"/>
  <c r="H61" i="64"/>
  <c r="H127"/>
  <c r="T127" s="1"/>
  <c r="T160" i="21"/>
  <c r="X10" i="63"/>
  <c r="V94" i="21"/>
  <c r="L41" i="5"/>
  <c r="L44" s="1"/>
  <c r="H17" i="21"/>
  <c r="H28" s="1"/>
  <c r="H61" i="78"/>
  <c r="P126" i="64"/>
  <c r="P127" s="1"/>
  <c r="V127" s="1"/>
  <c r="V127" i="78"/>
  <c r="H28"/>
  <c r="T28" s="1"/>
  <c r="T127" i="21"/>
  <c r="X7" i="20"/>
  <c r="D22" s="1"/>
  <c r="R22"/>
  <c r="G18" i="5" s="1"/>
  <c r="I18" s="1"/>
  <c r="I19"/>
  <c r="P25" i="20"/>
  <c r="S38" s="1"/>
  <c r="I59"/>
  <c r="N59" s="1"/>
  <c r="D23"/>
  <c r="V61" i="21" l="1"/>
  <c r="T61" i="78"/>
  <c r="X18" i="20"/>
  <c r="N41" i="5"/>
  <c r="N44" s="1"/>
  <c r="Q44" s="1"/>
  <c r="D25" i="63"/>
  <c r="X18"/>
  <c r="P50" i="64"/>
  <c r="P61" s="1"/>
  <c r="V94" i="78"/>
  <c r="V28" i="64"/>
  <c r="P22" i="20"/>
  <c r="S35" s="1"/>
  <c r="T28" i="21" s="1"/>
  <c r="I56" i="20"/>
  <c r="N56" s="1"/>
  <c r="P26" i="63"/>
  <c r="J60"/>
  <c r="O60" s="1"/>
  <c r="I29" i="5"/>
  <c r="M48" s="1"/>
  <c r="L50"/>
  <c r="L49" s="1"/>
  <c r="G29"/>
  <c r="V160" i="64"/>
  <c r="T61"/>
  <c r="T160" i="78"/>
  <c r="I57" i="20"/>
  <c r="P23"/>
  <c r="D33"/>
  <c r="M50" i="5" l="1"/>
  <c r="N50" s="1"/>
  <c r="P25" i="63"/>
  <c r="J59"/>
  <c r="D33"/>
  <c r="D60"/>
  <c r="S39"/>
  <c r="S36" i="20"/>
  <c r="V28" i="21" s="1"/>
  <c r="P33" i="20"/>
  <c r="P46" s="1"/>
  <c r="L48" i="5"/>
  <c r="N48" s="1"/>
  <c r="M49"/>
  <c r="M52" s="1"/>
  <c r="N52" s="1"/>
  <c r="N57" i="20"/>
  <c r="N67" s="1"/>
  <c r="I67"/>
  <c r="T94" i="64" l="1"/>
  <c r="T94" i="78"/>
  <c r="D59" i="63"/>
  <c r="D67" s="1"/>
  <c r="S38"/>
  <c r="P33"/>
  <c r="P46" s="1"/>
  <c r="O59"/>
  <c r="O67" s="1"/>
  <c r="J67"/>
  <c r="N49" i="5"/>
  <c r="V61" i="78" l="1"/>
  <c r="V61" i="64"/>
</calcChain>
</file>

<file path=xl/comments1.xml><?xml version="1.0" encoding="utf-8"?>
<comments xmlns="http://schemas.openxmlformats.org/spreadsheetml/2006/main">
  <authors>
    <author>jovie</author>
  </authors>
  <commentList>
    <comment ref="B10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N25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mam, nag renew po ako ng loan,nung Friday po na approved sa july na po ako mag hulog.</t>
        </r>
      </text>
    </comment>
  </commentList>
</comments>
</file>

<file path=xl/sharedStrings.xml><?xml version="1.0" encoding="utf-8"?>
<sst xmlns="http://schemas.openxmlformats.org/spreadsheetml/2006/main" count="2061" uniqueCount="273">
  <si>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</si>
  <si>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</si>
  <si>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</si>
  <si>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</si>
  <si>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</si>
  <si>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</si>
  <si>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</si>
  <si>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</si>
  <si>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</si>
  <si>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</si>
  <si>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</si>
  <si>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</si>
  <si>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</si>
  <si>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</si>
  <si>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</si>
  <si>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</si>
  <si>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</si>
  <si>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</si>
  <si>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</si>
  <si>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</si>
  <si>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</si>
  <si>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</si>
  <si>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</si>
  <si>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</si>
  <si>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</si>
  <si>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</si>
  <si>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</si>
  <si>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</si>
  <si>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</si>
  <si>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</si>
  <si>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</si>
  <si>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</si>
  <si>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</si>
  <si>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</si>
  <si>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</si>
  <si>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</si>
  <si>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</si>
  <si>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</si>
  <si>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</si>
  <si>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</si>
  <si>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</si>
  <si>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</si>
  <si>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</si>
  <si>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</si>
  <si>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</si>
  <si>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</si>
  <si>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</si>
  <si>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</si>
  <si>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</si>
  <si>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</si>
  <si>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</si>
  <si>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</si>
  <si>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</si>
  <si>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</si>
  <si>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</si>
  <si>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</si>
  <si>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</si>
  <si>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</si>
  <si>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</si>
  <si>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</si>
  <si>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</si>
  <si>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</si>
  <si>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</si>
  <si>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</si>
  <si>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</si>
  <si>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</si>
  <si>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</si>
  <si>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</si>
  <si>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</si>
  <si>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</si>
  <si>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</si>
  <si>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</si>
  <si>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</si>
  <si>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</si>
  <si>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</si>
  <si>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</si>
  <si>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</si>
  <si>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</si>
  <si>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</si>
  <si>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</si>
  <si>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</si>
  <si>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</si>
  <si>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</si>
  <si>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</si>
  <si>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</si>
  <si>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</si>
  <si>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</si>
  <si>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</si>
  <si>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</si>
  <si>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</si>
  <si>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</si>
  <si>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</si>
  <si>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</si>
  <si>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</si>
  <si>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</si>
  <si>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</si>
  <si>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</si>
  <si>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</si>
  <si>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</si>
  <si>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</si>
  <si>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</si>
  <si>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</si>
  <si>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</si>
  <si>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</si>
  <si>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</si>
  <si>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</si>
  <si>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</si>
  <si>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</si>
  <si>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</si>
  <si>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</si>
  <si>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</si>
  <si>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</si>
  <si>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</si>
  <si>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</si>
  <si>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</si>
  <si>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</si>
  <si>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</si>
  <si>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</si>
  <si>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</si>
  <si>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</si>
  <si>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</si>
  <si>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</si>
  <si>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</si>
  <si>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</si>
  <si>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</si>
  <si>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</si>
  <si>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</si>
  <si>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</si>
  <si>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</si>
  <si>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</si>
  <si>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</si>
  <si>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</si>
  <si>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</si>
  <si>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</si>
  <si>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</si>
  <si>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</si>
  <si>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</si>
  <si>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</si>
  <si>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</si>
  <si>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</si>
  <si>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</si>
  <si>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</si>
  <si>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</si>
  <si>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</si>
  <si>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</si>
  <si>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</si>
  <si>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</si>
  <si>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</si>
  <si>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</si>
  <si>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</si>
  <si>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</si>
  <si>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</si>
  <si>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</si>
  <si>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</si>
  <si>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</si>
  <si>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</si>
  <si>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</si>
  <si>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</si>
  <si>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</si>
  <si>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</si>
  <si>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</si>
  <si>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</si>
  <si>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</si>
  <si>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</si>
  <si>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</si>
  <si>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</si>
  <si>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</si>
  <si>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</si>
  <si>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</si>
  <si>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</si>
  <si>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</si>
  <si>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</si>
  <si>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</si>
  <si>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</si>
  <si>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</si>
  <si>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</si>
  <si>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</si>
  <si>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</si>
  <si>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</si>
  <si>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</si>
  <si>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</si>
  <si>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</si>
  <si>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</si>
  <si>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</si>
  <si>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</si>
  <si>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</si>
  <si>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</si>
  <si>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</si>
  <si>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</si>
  <si>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</si>
  <si>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</si>
  <si>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</si>
  <si>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</si>
  <si>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</si>
  <si>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</si>
  <si>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</si>
  <si>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</si>
  <si>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</si>
  <si>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</si>
  <si>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</si>
  <si>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</si>
  <si>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</si>
  <si>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</si>
  <si>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</si>
  <si>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</si>
  <si>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</si>
  <si>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</si>
  <si>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</si>
  <si>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</si>
  <si>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</si>
  <si>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</si>
  <si>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</si>
  <si>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</si>
  <si>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</si>
  <si>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</si>
  <si>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</si>
  <si>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</si>
  <si>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</si>
  <si>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</si>
  <si>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</si>
  <si>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</si>
  <si>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</si>
  <si>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</si>
  <si>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</si>
  <si>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</si>
  <si>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</si>
  <si>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</si>
  <si>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</si>
  <si>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</si>
  <si>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</si>
  <si>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</si>
  <si>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</si>
  <si>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</si>
  <si>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</si>
  <si>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</si>
  <si>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</si>
  <si>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</si>
  <si>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</si>
  <si>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</si>
  <si>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</si>
  <si>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</si>
  <si>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</si>
  <si>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</si>
  <si>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</si>
  <si>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</si>
  <si>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</si>
  <si>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</si>
  <si>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</si>
  <si>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</si>
  <si>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</si>
  <si>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</si>
  <si>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</si>
  <si>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</si>
  <si>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</si>
  <si>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</si>
  <si>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</si>
  <si>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</si>
  <si>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</si>
  <si>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</si>
  <si>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</si>
  <si>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</si>
  <si>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</si>
  <si>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</si>
  <si>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</si>
  <si>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</si>
  <si>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Dino, Joyce F.</t>
  </si>
  <si>
    <t>OCTOBER 26- NOVEMBER 10, 2017</t>
  </si>
  <si>
    <t>February 11-25,2018</t>
  </si>
  <si>
    <t>M.T.Bookkeeper</t>
  </si>
  <si>
    <t>Note: as per vcc no more allowance in replacement of service charge</t>
  </si>
  <si>
    <t>M.T.Purchaser</t>
  </si>
  <si>
    <t>May 26-June 10,2018</t>
  </si>
  <si>
    <t>GTS 6 of 7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</si>
</sst>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9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28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0" fillId="8" borderId="5" xfId="59" applyFont="1" applyFill="1" applyBorder="1" applyAlignment="1">
      <alignment horizontal="center"/>
    </xf>
    <xf numFmtId="0" fontId="1" fillId="13" borderId="0" xfId="59" applyFont="1" applyFill="1" applyProtection="1">
      <protection locked="0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0" fontId="1" fillId="0" borderId="56" xfId="59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5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9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9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9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2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6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>
        <row r="18">
          <cell r="J18">
            <v>472.3</v>
          </cell>
          <cell r="K18">
            <v>957.7</v>
          </cell>
          <cell r="L18">
            <v>10</v>
          </cell>
          <cell r="O18">
            <v>100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  <cell r="O19">
            <v>100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  <cell r="O20">
            <v>100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O21">
            <v>100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O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xSplit="7" ySplit="6" topLeftCell="H7" activePane="bottomRight" state="frozen"/>
      <selection activeCell="A26" sqref="A26:IV48"/>
      <selection pane="topRight" activeCell="A26" sqref="A26:IV48"/>
      <selection pane="bottomLeft" activeCell="A26" sqref="A26:IV48"/>
      <selection pane="bottomRight" activeCell="D19" sqref="D19"/>
    </sheetView>
  </sheetViews>
  <sheetFormatPr defaultRowHeight="15" customHeight="1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>
      <c r="A1" s="340" t="s">
        <v>152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40"/>
      <c r="V1" s="340"/>
      <c r="W1" s="340"/>
      <c r="X1" s="340"/>
      <c r="Y1" s="340"/>
      <c r="Z1" s="340"/>
      <c r="AA1" s="340"/>
    </row>
    <row r="2" spans="1:27" s="277" customFormat="1" ht="26.25">
      <c r="A2" s="340" t="s">
        <v>214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  <c r="Z2" s="340"/>
      <c r="AA2" s="340"/>
    </row>
    <row r="3" spans="1:27" s="277" customFormat="1" ht="26.25">
      <c r="A3" s="340" t="s">
        <v>215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340"/>
      <c r="Q3" s="340"/>
      <c r="R3" s="340"/>
      <c r="S3" s="340"/>
      <c r="T3" s="340"/>
      <c r="U3" s="340"/>
      <c r="V3" s="340"/>
      <c r="W3" s="340"/>
      <c r="X3" s="340"/>
      <c r="Y3" s="340"/>
      <c r="Z3" s="340"/>
      <c r="AA3" s="340"/>
    </row>
    <row r="4" spans="1:27" s="279" customFormat="1" ht="21.75" customHeight="1" thickBot="1">
      <c r="A4" s="278"/>
      <c r="B4" s="280"/>
      <c r="C4" s="280"/>
      <c r="D4" s="280"/>
      <c r="E4" s="280"/>
      <c r="F4" s="280"/>
      <c r="G4" s="280"/>
      <c r="H4" s="341" t="s">
        <v>153</v>
      </c>
      <c r="I4" s="341"/>
      <c r="J4" s="341"/>
      <c r="K4" s="341"/>
      <c r="L4" s="341"/>
      <c r="M4" s="341"/>
      <c r="N4" s="341"/>
      <c r="O4" s="341"/>
      <c r="P4" s="341"/>
      <c r="Q4" s="341"/>
      <c r="R4" s="341"/>
      <c r="S4" s="341"/>
      <c r="T4" s="341"/>
      <c r="U4" s="341"/>
      <c r="V4" s="341"/>
      <c r="W4" s="341"/>
      <c r="X4" s="341"/>
      <c r="Y4" s="296"/>
      <c r="Z4" s="296"/>
    </row>
    <row r="5" spans="1:27" s="279" customFormat="1" ht="21.75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42" t="s">
        <v>91</v>
      </c>
      <c r="I5" s="343"/>
      <c r="J5" s="343"/>
      <c r="K5" s="344"/>
      <c r="L5" s="345" t="s">
        <v>90</v>
      </c>
      <c r="M5" s="347" t="s">
        <v>157</v>
      </c>
      <c r="N5" s="347" t="s">
        <v>158</v>
      </c>
      <c r="O5" s="349" t="s">
        <v>159</v>
      </c>
      <c r="P5" s="350"/>
      <c r="Q5" s="351"/>
      <c r="R5" s="347" t="s">
        <v>160</v>
      </c>
      <c r="S5" s="349" t="s">
        <v>19</v>
      </c>
      <c r="T5" s="350"/>
      <c r="U5" s="351"/>
      <c r="V5" s="347" t="s">
        <v>124</v>
      </c>
      <c r="W5" s="347" t="s">
        <v>125</v>
      </c>
      <c r="X5" s="336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46"/>
      <c r="M6" s="348"/>
      <c r="N6" s="348"/>
      <c r="O6" s="285" t="s">
        <v>167</v>
      </c>
      <c r="P6" s="285" t="s">
        <v>168</v>
      </c>
      <c r="Q6" s="316" t="s">
        <v>125</v>
      </c>
      <c r="R6" s="348"/>
      <c r="S6" s="285" t="s">
        <v>167</v>
      </c>
      <c r="T6" s="285" t="s">
        <v>168</v>
      </c>
      <c r="U6" s="316" t="s">
        <v>125</v>
      </c>
      <c r="V6" s="348"/>
      <c r="W6" s="348"/>
      <c r="X6" s="337"/>
      <c r="Y6" s="297" t="s">
        <v>163</v>
      </c>
      <c r="Z6" s="297" t="s">
        <v>164</v>
      </c>
      <c r="AA6" s="282"/>
    </row>
    <row r="7" spans="1:27" s="277" customFormat="1" ht="21.75" customHeight="1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>
      <c r="A11" s="294" t="s">
        <v>219</v>
      </c>
      <c r="B11" s="301"/>
      <c r="C11" s="301"/>
      <c r="D11" s="302"/>
      <c r="E11" s="302"/>
      <c r="F11" s="338" t="s">
        <v>174</v>
      </c>
      <c r="G11" s="338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>
      <c r="A12" s="295" t="s">
        <v>220</v>
      </c>
      <c r="B12" s="290"/>
      <c r="C12" s="290"/>
      <c r="D12" s="291"/>
      <c r="E12" s="291"/>
      <c r="F12" s="339" t="s">
        <v>221</v>
      </c>
      <c r="G12" s="339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>
      <c r="A14" s="295" t="s">
        <v>223</v>
      </c>
      <c r="B14" s="290"/>
      <c r="C14" s="290"/>
      <c r="D14" s="291"/>
      <c r="E14" s="291"/>
      <c r="F14" s="339" t="s">
        <v>224</v>
      </c>
      <c r="G14" s="339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>
      <c r="A15" s="294" t="s">
        <v>225</v>
      </c>
      <c r="B15" s="301"/>
      <c r="C15" s="301"/>
      <c r="D15" s="302"/>
      <c r="E15" s="302"/>
      <c r="F15" s="338" t="s">
        <v>224</v>
      </c>
      <c r="G15" s="338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>
      <c r="A19" s="294" t="s">
        <v>231</v>
      </c>
      <c r="B19" s="301"/>
      <c r="C19" s="301"/>
      <c r="D19" s="302"/>
      <c r="E19" s="302"/>
      <c r="F19" s="338" t="s">
        <v>173</v>
      </c>
      <c r="G19" s="338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>
      <c r="A22" s="295" t="s">
        <v>234</v>
      </c>
      <c r="B22" s="290"/>
      <c r="C22" s="290"/>
      <c r="D22" s="291"/>
      <c r="E22" s="291"/>
      <c r="F22" s="339" t="s">
        <v>235</v>
      </c>
      <c r="G22" s="339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>
      <c r="A23" s="294" t="s">
        <v>236</v>
      </c>
      <c r="B23" s="301"/>
      <c r="C23" s="301"/>
      <c r="D23" s="302"/>
      <c r="E23" s="302"/>
      <c r="F23" s="338" t="s">
        <v>235</v>
      </c>
      <c r="G23" s="338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>
      <c r="A24" s="295" t="s">
        <v>237</v>
      </c>
      <c r="B24" s="290"/>
      <c r="C24" s="290"/>
      <c r="D24" s="291"/>
      <c r="E24" s="291"/>
      <c r="F24" s="339" t="s">
        <v>235</v>
      </c>
      <c r="G24" s="339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42" t="s">
        <v>91</v>
      </c>
      <c r="I27" s="343"/>
      <c r="J27" s="343"/>
      <c r="K27" s="344"/>
      <c r="L27" s="345" t="s">
        <v>90</v>
      </c>
      <c r="M27" s="347" t="s">
        <v>157</v>
      </c>
      <c r="N27" s="347" t="s">
        <v>158</v>
      </c>
      <c r="O27" s="349" t="s">
        <v>159</v>
      </c>
      <c r="P27" s="350"/>
      <c r="Q27" s="351"/>
      <c r="R27" s="347" t="s">
        <v>160</v>
      </c>
      <c r="S27" s="349" t="s">
        <v>19</v>
      </c>
      <c r="T27" s="350"/>
      <c r="U27" s="351"/>
      <c r="V27" s="347" t="s">
        <v>124</v>
      </c>
      <c r="W27" s="347" t="s">
        <v>125</v>
      </c>
      <c r="X27" s="336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46"/>
      <c r="M28" s="348"/>
      <c r="N28" s="348"/>
      <c r="O28" s="285" t="s">
        <v>167</v>
      </c>
      <c r="P28" s="285" t="s">
        <v>168</v>
      </c>
      <c r="Q28" s="316" t="s">
        <v>125</v>
      </c>
      <c r="R28" s="348"/>
      <c r="S28" s="285" t="s">
        <v>167</v>
      </c>
      <c r="T28" s="285" t="s">
        <v>168</v>
      </c>
      <c r="U28" s="316" t="s">
        <v>125</v>
      </c>
      <c r="V28" s="348"/>
      <c r="W28" s="348"/>
      <c r="X28" s="337"/>
      <c r="Y28" s="297" t="s">
        <v>163</v>
      </c>
      <c r="Z28" s="297" t="s">
        <v>164</v>
      </c>
      <c r="AA28" s="282"/>
    </row>
    <row r="29" spans="1:27" s="277" customFormat="1" ht="21.75" customHeight="1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>
      <c r="A33" s="294" t="s">
        <v>219</v>
      </c>
      <c r="B33" s="301"/>
      <c r="C33" s="301"/>
      <c r="D33" s="302"/>
      <c r="E33" s="302"/>
      <c r="F33" s="338" t="s">
        <v>173</v>
      </c>
      <c r="G33" s="338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>
      <c r="A34" s="295" t="s">
        <v>220</v>
      </c>
      <c r="B34" s="290"/>
      <c r="C34" s="290"/>
      <c r="D34" s="291"/>
      <c r="E34" s="291"/>
      <c r="F34" s="339" t="s">
        <v>173</v>
      </c>
      <c r="G34" s="339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>
      <c r="A37" s="294" t="s">
        <v>223</v>
      </c>
      <c r="B37" s="301"/>
      <c r="C37" s="301"/>
      <c r="D37" s="302"/>
      <c r="E37" s="302"/>
      <c r="F37" s="338" t="s">
        <v>224</v>
      </c>
      <c r="G37" s="338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>
      <c r="A38" s="295" t="s">
        <v>225</v>
      </c>
      <c r="B38" s="290"/>
      <c r="C38" s="290"/>
      <c r="D38" s="291"/>
      <c r="E38" s="291"/>
      <c r="F38" s="339" t="s">
        <v>224</v>
      </c>
      <c r="G38" s="339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>
      <c r="A43" s="294" t="s">
        <v>229</v>
      </c>
      <c r="B43" s="301"/>
      <c r="C43" s="301"/>
      <c r="D43" s="302"/>
      <c r="E43" s="302"/>
      <c r="F43" s="338" t="s">
        <v>173</v>
      </c>
      <c r="G43" s="338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>
      <c r="A44" s="295" t="s">
        <v>231</v>
      </c>
      <c r="B44" s="290"/>
      <c r="C44" s="290"/>
      <c r="D44" s="291"/>
      <c r="E44" s="291"/>
      <c r="F44" s="339" t="s">
        <v>173</v>
      </c>
      <c r="G44" s="339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52" t="s">
        <v>238</v>
      </c>
      <c r="G47" s="352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>
      <c r="A48" s="295" t="s">
        <v>234</v>
      </c>
      <c r="B48" s="290"/>
      <c r="C48" s="290"/>
      <c r="D48" s="291"/>
      <c r="E48" s="291"/>
      <c r="F48" s="339" t="s">
        <v>239</v>
      </c>
      <c r="G48" s="339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>
      <c r="A49" s="294" t="s">
        <v>236</v>
      </c>
      <c r="B49" s="301"/>
      <c r="C49" s="301"/>
      <c r="D49" s="302"/>
      <c r="E49" s="302"/>
      <c r="F49" s="338" t="s">
        <v>239</v>
      </c>
      <c r="G49" s="338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>
      <c r="A50" s="295" t="s">
        <v>237</v>
      </c>
      <c r="B50" s="290"/>
      <c r="C50" s="290"/>
      <c r="D50" s="291"/>
      <c r="E50" s="291"/>
      <c r="F50" s="339" t="s">
        <v>239</v>
      </c>
      <c r="G50" s="339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42" t="s">
        <v>91</v>
      </c>
      <c r="I53" s="343"/>
      <c r="J53" s="343"/>
      <c r="K53" s="344"/>
      <c r="L53" s="345" t="s">
        <v>90</v>
      </c>
      <c r="M53" s="347" t="s">
        <v>157</v>
      </c>
      <c r="N53" s="347" t="s">
        <v>158</v>
      </c>
      <c r="O53" s="349" t="s">
        <v>159</v>
      </c>
      <c r="P53" s="350"/>
      <c r="Q53" s="351"/>
      <c r="R53" s="347" t="s">
        <v>160</v>
      </c>
      <c r="S53" s="349" t="s">
        <v>19</v>
      </c>
      <c r="T53" s="350"/>
      <c r="U53" s="351"/>
      <c r="V53" s="347" t="s">
        <v>124</v>
      </c>
      <c r="W53" s="347" t="s">
        <v>125</v>
      </c>
      <c r="X53" s="336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46"/>
      <c r="M54" s="348"/>
      <c r="N54" s="348"/>
      <c r="O54" s="285" t="s">
        <v>167</v>
      </c>
      <c r="P54" s="285" t="s">
        <v>168</v>
      </c>
      <c r="Q54" s="316" t="s">
        <v>125</v>
      </c>
      <c r="R54" s="348"/>
      <c r="S54" s="285" t="s">
        <v>167</v>
      </c>
      <c r="T54" s="285" t="s">
        <v>168</v>
      </c>
      <c r="U54" s="316" t="s">
        <v>125</v>
      </c>
      <c r="V54" s="348"/>
      <c r="W54" s="348"/>
      <c r="X54" s="337"/>
      <c r="Y54" s="297" t="s">
        <v>163</v>
      </c>
      <c r="Z54" s="297" t="s">
        <v>164</v>
      </c>
      <c r="AA54" s="282"/>
    </row>
    <row r="55" spans="1:27" s="277" customFormat="1" ht="21.75" customHeight="1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>
      <c r="A56" s="295" t="s">
        <v>218</v>
      </c>
      <c r="B56" s="290"/>
      <c r="C56" s="290"/>
      <c r="D56" s="291"/>
      <c r="E56" s="291"/>
      <c r="F56" s="353" t="s">
        <v>177</v>
      </c>
      <c r="G56" s="339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>
      <c r="A57" s="294" t="s">
        <v>219</v>
      </c>
      <c r="B57" s="301"/>
      <c r="C57" s="301"/>
      <c r="D57" s="302"/>
      <c r="E57" s="302"/>
      <c r="F57" s="338" t="s">
        <v>173</v>
      </c>
      <c r="G57" s="338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>
      <c r="A60" s="295" t="s">
        <v>223</v>
      </c>
      <c r="B60" s="290"/>
      <c r="C60" s="290"/>
      <c r="D60" s="291"/>
      <c r="E60" s="291"/>
      <c r="F60" s="339" t="s">
        <v>224</v>
      </c>
      <c r="G60" s="339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>
      <c r="A61" s="294" t="s">
        <v>225</v>
      </c>
      <c r="B61" s="301"/>
      <c r="C61" s="301"/>
      <c r="D61" s="302"/>
      <c r="E61" s="302"/>
      <c r="F61" s="338" t="s">
        <v>224</v>
      </c>
      <c r="G61" s="338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>
      <c r="A64" s="295" t="s">
        <v>229</v>
      </c>
      <c r="B64" s="290"/>
      <c r="C64" s="290"/>
      <c r="D64" s="291"/>
      <c r="E64" s="291"/>
      <c r="F64" s="339" t="s">
        <v>174</v>
      </c>
      <c r="G64" s="339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>
      <c r="A65" s="294" t="s">
        <v>231</v>
      </c>
      <c r="B65" s="301"/>
      <c r="C65" s="301"/>
      <c r="D65" s="302"/>
      <c r="E65" s="302"/>
      <c r="F65" s="338" t="s">
        <v>173</v>
      </c>
      <c r="G65" s="338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>
      <c r="A67" s="294" t="s">
        <v>233</v>
      </c>
      <c r="B67" s="301"/>
      <c r="C67" s="301"/>
      <c r="D67" s="302"/>
      <c r="E67" s="302"/>
      <c r="F67" s="338" t="s">
        <v>165</v>
      </c>
      <c r="G67" s="338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>
      <c r="A68" s="295" t="s">
        <v>234</v>
      </c>
      <c r="B68" s="290"/>
      <c r="C68" s="290"/>
      <c r="D68" s="291"/>
      <c r="E68" s="291"/>
      <c r="F68" s="339" t="s">
        <v>244</v>
      </c>
      <c r="G68" s="339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>
      <c r="A69" s="294" t="s">
        <v>236</v>
      </c>
      <c r="B69" s="301"/>
      <c r="C69" s="301"/>
      <c r="D69" s="302"/>
      <c r="E69" s="302"/>
      <c r="F69" s="338" t="s">
        <v>244</v>
      </c>
      <c r="G69" s="338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>
      <c r="A70" s="295" t="s">
        <v>237</v>
      </c>
      <c r="B70" s="290"/>
      <c r="C70" s="290"/>
      <c r="D70" s="291"/>
      <c r="E70" s="291"/>
      <c r="F70" s="339" t="s">
        <v>244</v>
      </c>
      <c r="G70" s="339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42" t="s">
        <v>91</v>
      </c>
      <c r="I73" s="343"/>
      <c r="J73" s="343"/>
      <c r="K73" s="344"/>
      <c r="L73" s="345" t="s">
        <v>90</v>
      </c>
      <c r="M73" s="347" t="s">
        <v>157</v>
      </c>
      <c r="N73" s="347" t="s">
        <v>158</v>
      </c>
      <c r="O73" s="349" t="s">
        <v>159</v>
      </c>
      <c r="P73" s="350"/>
      <c r="Q73" s="351"/>
      <c r="R73" s="347" t="s">
        <v>160</v>
      </c>
      <c r="S73" s="349" t="s">
        <v>19</v>
      </c>
      <c r="T73" s="350"/>
      <c r="U73" s="351"/>
      <c r="V73" s="347" t="s">
        <v>124</v>
      </c>
      <c r="W73" s="347" t="s">
        <v>125</v>
      </c>
      <c r="X73" s="336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46"/>
      <c r="M74" s="348"/>
      <c r="N74" s="348"/>
      <c r="O74" s="285" t="s">
        <v>167</v>
      </c>
      <c r="P74" s="285" t="s">
        <v>168</v>
      </c>
      <c r="Q74" s="316" t="s">
        <v>125</v>
      </c>
      <c r="R74" s="348"/>
      <c r="S74" s="285" t="s">
        <v>167</v>
      </c>
      <c r="T74" s="285" t="s">
        <v>168</v>
      </c>
      <c r="U74" s="316" t="s">
        <v>125</v>
      </c>
      <c r="V74" s="348"/>
      <c r="W74" s="348"/>
      <c r="X74" s="337"/>
      <c r="Y74" s="297" t="s">
        <v>163</v>
      </c>
      <c r="Z74" s="297" t="s">
        <v>164</v>
      </c>
      <c r="AA74" s="282"/>
    </row>
    <row r="75" spans="1:27" s="277" customFormat="1" ht="21.75" customHeight="1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>
      <c r="A79" s="294" t="s">
        <v>219</v>
      </c>
      <c r="B79" s="301"/>
      <c r="C79" s="301"/>
      <c r="D79" s="302"/>
      <c r="E79" s="302"/>
      <c r="F79" s="338" t="s">
        <v>173</v>
      </c>
      <c r="G79" s="338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>
      <c r="A80" s="295" t="s">
        <v>220</v>
      </c>
      <c r="B80" s="290"/>
      <c r="C80" s="290"/>
      <c r="D80" s="291"/>
      <c r="E80" s="291"/>
      <c r="F80" s="339" t="s">
        <v>173</v>
      </c>
      <c r="G80" s="339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>
      <c r="A83" s="294" t="s">
        <v>223</v>
      </c>
      <c r="B83" s="301"/>
      <c r="C83" s="301"/>
      <c r="D83" s="302"/>
      <c r="E83" s="302"/>
      <c r="F83" s="338" t="s">
        <v>224</v>
      </c>
      <c r="G83" s="338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>
      <c r="A84" s="295" t="s">
        <v>225</v>
      </c>
      <c r="B84" s="290"/>
      <c r="C84" s="290"/>
      <c r="D84" s="291"/>
      <c r="E84" s="291"/>
      <c r="F84" s="339" t="s">
        <v>224</v>
      </c>
      <c r="G84" s="339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>
      <c r="A91" s="294" t="s">
        <v>231</v>
      </c>
      <c r="B91" s="301"/>
      <c r="C91" s="301"/>
      <c r="D91" s="302"/>
      <c r="E91" s="302"/>
      <c r="F91" s="338"/>
      <c r="G91" s="338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>
      <c r="A95" s="294" t="s">
        <v>234</v>
      </c>
      <c r="B95" s="301"/>
      <c r="C95" s="301"/>
      <c r="D95" s="302"/>
      <c r="E95" s="302"/>
      <c r="F95" s="338" t="s">
        <v>239</v>
      </c>
      <c r="G95" s="338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>
      <c r="A96" s="295" t="s">
        <v>236</v>
      </c>
      <c r="B96" s="290"/>
      <c r="C96" s="290"/>
      <c r="D96" s="291"/>
      <c r="E96" s="291"/>
      <c r="F96" s="338" t="s">
        <v>239</v>
      </c>
      <c r="G96" s="338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>
      <c r="A97" s="294" t="s">
        <v>237</v>
      </c>
      <c r="B97" s="301"/>
      <c r="C97" s="301"/>
      <c r="D97" s="302"/>
      <c r="E97" s="302"/>
      <c r="F97" s="338" t="s">
        <v>239</v>
      </c>
      <c r="G97" s="338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42" t="s">
        <v>91</v>
      </c>
      <c r="I100" s="343"/>
      <c r="J100" s="343"/>
      <c r="K100" s="344"/>
      <c r="L100" s="345" t="s">
        <v>90</v>
      </c>
      <c r="M100" s="347" t="s">
        <v>157</v>
      </c>
      <c r="N100" s="347" t="s">
        <v>158</v>
      </c>
      <c r="O100" s="349" t="s">
        <v>159</v>
      </c>
      <c r="P100" s="350"/>
      <c r="Q100" s="351"/>
      <c r="R100" s="347" t="s">
        <v>160</v>
      </c>
      <c r="S100" s="349" t="s">
        <v>19</v>
      </c>
      <c r="T100" s="350"/>
      <c r="U100" s="351"/>
      <c r="V100" s="347" t="s">
        <v>124</v>
      </c>
      <c r="W100" s="347" t="s">
        <v>125</v>
      </c>
      <c r="X100" s="336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46"/>
      <c r="M101" s="348"/>
      <c r="N101" s="348"/>
      <c r="O101" s="285" t="s">
        <v>167</v>
      </c>
      <c r="P101" s="285" t="s">
        <v>168</v>
      </c>
      <c r="Q101" s="316" t="s">
        <v>125</v>
      </c>
      <c r="R101" s="348"/>
      <c r="S101" s="285" t="s">
        <v>167</v>
      </c>
      <c r="T101" s="285" t="s">
        <v>168</v>
      </c>
      <c r="U101" s="316" t="s">
        <v>125</v>
      </c>
      <c r="V101" s="348"/>
      <c r="W101" s="348"/>
      <c r="X101" s="337"/>
      <c r="Y101" s="297" t="s">
        <v>163</v>
      </c>
      <c r="Z101" s="297" t="s">
        <v>164</v>
      </c>
      <c r="AA101" s="282"/>
    </row>
    <row r="102" spans="1:27" s="277" customFormat="1" ht="21.75" customHeight="1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>
      <c r="A105" s="295" t="s">
        <v>219</v>
      </c>
      <c r="B105" s="290"/>
      <c r="C105" s="290"/>
      <c r="D105" s="291"/>
      <c r="E105" s="291"/>
      <c r="F105" s="339" t="s">
        <v>173</v>
      </c>
      <c r="G105" s="339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>
      <c r="A106" s="294" t="s">
        <v>220</v>
      </c>
      <c r="B106" s="301"/>
      <c r="C106" s="301"/>
      <c r="D106" s="302"/>
      <c r="E106" s="302"/>
      <c r="F106" s="338" t="s">
        <v>173</v>
      </c>
      <c r="G106" s="338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>
      <c r="A108" s="294" t="s">
        <v>223</v>
      </c>
      <c r="B108" s="301"/>
      <c r="C108" s="301"/>
      <c r="D108" s="302"/>
      <c r="E108" s="302"/>
      <c r="F108" s="338" t="s">
        <v>224</v>
      </c>
      <c r="G108" s="338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>
      <c r="A109" s="295" t="s">
        <v>225</v>
      </c>
      <c r="B109" s="290"/>
      <c r="C109" s="290"/>
      <c r="D109" s="291"/>
      <c r="E109" s="291"/>
      <c r="F109" s="339" t="s">
        <v>224</v>
      </c>
      <c r="G109" s="339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>
      <c r="A112" s="294" t="s">
        <v>229</v>
      </c>
      <c r="B112" s="301"/>
      <c r="C112" s="301"/>
      <c r="D112" s="302"/>
      <c r="E112" s="302"/>
      <c r="F112" s="338" t="s">
        <v>173</v>
      </c>
      <c r="G112" s="338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>
      <c r="A113" s="295" t="s">
        <v>231</v>
      </c>
      <c r="B113" s="290"/>
      <c r="C113" s="290"/>
      <c r="D113" s="291"/>
      <c r="E113" s="291"/>
      <c r="F113" s="339" t="s">
        <v>173</v>
      </c>
      <c r="G113" s="339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54" t="s">
        <v>235</v>
      </c>
      <c r="G115" s="354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>
      <c r="A116" s="294" t="s">
        <v>234</v>
      </c>
      <c r="B116" s="301"/>
      <c r="C116" s="301"/>
      <c r="D116" s="302"/>
      <c r="E116" s="302"/>
      <c r="F116" s="338" t="s">
        <v>248</v>
      </c>
      <c r="G116" s="338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>
      <c r="A117" s="295" t="s">
        <v>236</v>
      </c>
      <c r="B117" s="290"/>
      <c r="C117" s="290"/>
      <c r="D117" s="291"/>
      <c r="E117" s="291"/>
      <c r="F117" s="354" t="s">
        <v>235</v>
      </c>
      <c r="G117" s="354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>
      <c r="A118" s="294" t="s">
        <v>237</v>
      </c>
      <c r="B118" s="301"/>
      <c r="C118" s="301"/>
      <c r="D118" s="302"/>
      <c r="E118" s="302"/>
      <c r="F118" s="338" t="s">
        <v>248</v>
      </c>
      <c r="G118" s="338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42" t="s">
        <v>91</v>
      </c>
      <c r="I121" s="343"/>
      <c r="J121" s="343"/>
      <c r="K121" s="344"/>
      <c r="L121" s="345" t="s">
        <v>90</v>
      </c>
      <c r="M121" s="347" t="s">
        <v>157</v>
      </c>
      <c r="N121" s="347" t="s">
        <v>158</v>
      </c>
      <c r="O121" s="349" t="s">
        <v>159</v>
      </c>
      <c r="P121" s="350"/>
      <c r="Q121" s="351"/>
      <c r="R121" s="347" t="s">
        <v>160</v>
      </c>
      <c r="S121" s="349" t="s">
        <v>19</v>
      </c>
      <c r="T121" s="350"/>
      <c r="U121" s="351"/>
      <c r="V121" s="347" t="s">
        <v>124</v>
      </c>
      <c r="W121" s="347" t="s">
        <v>125</v>
      </c>
      <c r="X121" s="336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46"/>
      <c r="M122" s="348"/>
      <c r="N122" s="348"/>
      <c r="O122" s="285" t="s">
        <v>167</v>
      </c>
      <c r="P122" s="285" t="s">
        <v>168</v>
      </c>
      <c r="Q122" s="316" t="s">
        <v>125</v>
      </c>
      <c r="R122" s="348"/>
      <c r="S122" s="285" t="s">
        <v>167</v>
      </c>
      <c r="T122" s="285" t="s">
        <v>168</v>
      </c>
      <c r="U122" s="316" t="s">
        <v>125</v>
      </c>
      <c r="V122" s="348"/>
      <c r="W122" s="348"/>
      <c r="X122" s="337"/>
      <c r="Y122" s="297" t="s">
        <v>163</v>
      </c>
      <c r="Z122" s="297" t="s">
        <v>164</v>
      </c>
      <c r="AA122" s="282"/>
    </row>
    <row r="123" spans="1:27" s="277" customFormat="1" ht="21.75" customHeight="1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>
      <c r="A129" s="294" t="s">
        <v>220</v>
      </c>
      <c r="B129" s="301"/>
      <c r="C129" s="301"/>
      <c r="D129" s="302"/>
      <c r="E129" s="302"/>
      <c r="F129" s="338" t="s">
        <v>173</v>
      </c>
      <c r="G129" s="338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>
      <c r="A132" s="295" t="s">
        <v>223</v>
      </c>
      <c r="B132" s="290"/>
      <c r="C132" s="290"/>
      <c r="D132" s="291"/>
      <c r="E132" s="291"/>
      <c r="F132" s="338" t="s">
        <v>224</v>
      </c>
      <c r="G132" s="338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>
      <c r="A133" s="294" t="s">
        <v>225</v>
      </c>
      <c r="B133" s="301"/>
      <c r="C133" s="301"/>
      <c r="D133" s="302"/>
      <c r="E133" s="302"/>
      <c r="F133" s="339" t="s">
        <v>224</v>
      </c>
      <c r="G133" s="339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>
      <c r="A138" s="295" t="s">
        <v>229</v>
      </c>
      <c r="B138" s="290"/>
      <c r="C138" s="290"/>
      <c r="D138" s="291"/>
      <c r="E138" s="291"/>
      <c r="F138" s="339" t="s">
        <v>173</v>
      </c>
      <c r="G138" s="339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>
      <c r="A139" s="294" t="s">
        <v>231</v>
      </c>
      <c r="B139" s="301"/>
      <c r="C139" s="301"/>
      <c r="D139" s="302"/>
      <c r="E139" s="302"/>
      <c r="F139" s="338" t="s">
        <v>173</v>
      </c>
      <c r="G139" s="338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39" t="s">
        <v>239</v>
      </c>
      <c r="G142" s="339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>
      <c r="A143" s="294" t="s">
        <v>234</v>
      </c>
      <c r="B143" s="301"/>
      <c r="C143" s="301"/>
      <c r="D143" s="302"/>
      <c r="E143" s="302"/>
      <c r="F143" s="338" t="s">
        <v>249</v>
      </c>
      <c r="G143" s="338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>
      <c r="A144" s="295" t="s">
        <v>236</v>
      </c>
      <c r="B144" s="290"/>
      <c r="C144" s="290"/>
      <c r="D144" s="291"/>
      <c r="E144" s="291"/>
      <c r="F144" s="339" t="s">
        <v>239</v>
      </c>
      <c r="G144" s="339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>
      <c r="A145" s="294" t="s">
        <v>237</v>
      </c>
      <c r="B145" s="301"/>
      <c r="C145" s="301"/>
      <c r="D145" s="302"/>
      <c r="E145" s="302"/>
      <c r="F145" s="338" t="s">
        <v>249</v>
      </c>
      <c r="G145" s="338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42" t="s">
        <v>91</v>
      </c>
      <c r="I148" s="343"/>
      <c r="J148" s="343"/>
      <c r="K148" s="344"/>
      <c r="L148" s="345" t="s">
        <v>90</v>
      </c>
      <c r="M148" s="347" t="s">
        <v>157</v>
      </c>
      <c r="N148" s="347" t="s">
        <v>158</v>
      </c>
      <c r="O148" s="349" t="s">
        <v>159</v>
      </c>
      <c r="P148" s="350"/>
      <c r="Q148" s="351"/>
      <c r="R148" s="347" t="s">
        <v>160</v>
      </c>
      <c r="S148" s="349" t="s">
        <v>19</v>
      </c>
      <c r="T148" s="350"/>
      <c r="U148" s="351"/>
      <c r="V148" s="347" t="s">
        <v>124</v>
      </c>
      <c r="W148" s="347" t="s">
        <v>125</v>
      </c>
      <c r="X148" s="336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46"/>
      <c r="M149" s="348"/>
      <c r="N149" s="348"/>
      <c r="O149" s="285" t="s">
        <v>167</v>
      </c>
      <c r="P149" s="285" t="s">
        <v>168</v>
      </c>
      <c r="Q149" s="316" t="s">
        <v>125</v>
      </c>
      <c r="R149" s="348"/>
      <c r="S149" s="285" t="s">
        <v>167</v>
      </c>
      <c r="T149" s="285" t="s">
        <v>168</v>
      </c>
      <c r="U149" s="316" t="s">
        <v>125</v>
      </c>
      <c r="V149" s="348"/>
      <c r="W149" s="348"/>
      <c r="X149" s="337"/>
      <c r="Y149" s="297" t="s">
        <v>163</v>
      </c>
      <c r="Z149" s="297" t="s">
        <v>164</v>
      </c>
      <c r="AA149" s="282"/>
    </row>
    <row r="150" spans="1:27" s="277" customFormat="1" ht="21.75" customHeight="1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>
      <c r="A157" s="295" t="s">
        <v>220</v>
      </c>
      <c r="B157" s="290"/>
      <c r="C157" s="290"/>
      <c r="D157" s="291"/>
      <c r="E157" s="291"/>
      <c r="F157" s="339" t="s">
        <v>173</v>
      </c>
      <c r="G157" s="339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>
      <c r="A160" s="294" t="s">
        <v>223</v>
      </c>
      <c r="B160" s="301"/>
      <c r="C160" s="301"/>
      <c r="D160" s="302"/>
      <c r="E160" s="302"/>
      <c r="F160" s="338" t="s">
        <v>224</v>
      </c>
      <c r="G160" s="338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>
      <c r="A161" s="295" t="s">
        <v>225</v>
      </c>
      <c r="B161" s="290"/>
      <c r="C161" s="290"/>
      <c r="D161" s="291"/>
      <c r="E161" s="291"/>
      <c r="F161" s="339" t="s">
        <v>224</v>
      </c>
      <c r="G161" s="339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>
      <c r="A164" s="294" t="s">
        <v>228</v>
      </c>
      <c r="B164" s="301"/>
      <c r="C164" s="301"/>
      <c r="D164" s="302"/>
      <c r="E164" s="302"/>
      <c r="F164" s="338" t="s">
        <v>22</v>
      </c>
      <c r="G164" s="338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>
      <c r="A165" s="295" t="s">
        <v>229</v>
      </c>
      <c r="B165" s="290"/>
      <c r="C165" s="290"/>
      <c r="D165" s="291"/>
      <c r="E165" s="291"/>
      <c r="F165" s="339" t="s">
        <v>173</v>
      </c>
      <c r="G165" s="339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>
      <c r="A166" s="294" t="s">
        <v>231</v>
      </c>
      <c r="B166" s="301"/>
      <c r="C166" s="301"/>
      <c r="D166" s="302"/>
      <c r="E166" s="302"/>
      <c r="F166" s="338" t="s">
        <v>173</v>
      </c>
      <c r="G166" s="338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54" t="s">
        <v>239</v>
      </c>
      <c r="G169" s="354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>
      <c r="A170" s="294" t="s">
        <v>234</v>
      </c>
      <c r="B170" s="301"/>
      <c r="C170" s="301"/>
      <c r="D170" s="302"/>
      <c r="E170" s="302"/>
      <c r="F170" s="338" t="s">
        <v>239</v>
      </c>
      <c r="G170" s="338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>
      <c r="A171" s="295" t="s">
        <v>236</v>
      </c>
      <c r="B171" s="290"/>
      <c r="C171" s="290"/>
      <c r="D171" s="291"/>
      <c r="E171" s="291"/>
      <c r="F171" s="354" t="s">
        <v>239</v>
      </c>
      <c r="G171" s="354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>
      <c r="A172" s="294" t="s">
        <v>237</v>
      </c>
      <c r="B172" s="301"/>
      <c r="C172" s="301"/>
      <c r="D172" s="302"/>
      <c r="E172" s="302"/>
      <c r="F172" s="338" t="s">
        <v>239</v>
      </c>
      <c r="G172" s="338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42" t="s">
        <v>91</v>
      </c>
      <c r="I175" s="343"/>
      <c r="J175" s="343"/>
      <c r="K175" s="344"/>
      <c r="L175" s="345" t="s">
        <v>90</v>
      </c>
      <c r="M175" s="347" t="s">
        <v>157</v>
      </c>
      <c r="N175" s="347" t="s">
        <v>158</v>
      </c>
      <c r="O175" s="349" t="s">
        <v>159</v>
      </c>
      <c r="P175" s="350"/>
      <c r="Q175" s="351"/>
      <c r="R175" s="347" t="s">
        <v>160</v>
      </c>
      <c r="S175" s="349" t="s">
        <v>19</v>
      </c>
      <c r="T175" s="350"/>
      <c r="U175" s="351"/>
      <c r="V175" s="347" t="s">
        <v>124</v>
      </c>
      <c r="W175" s="347" t="s">
        <v>125</v>
      </c>
      <c r="X175" s="336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46"/>
      <c r="M176" s="348"/>
      <c r="N176" s="348"/>
      <c r="O176" s="285" t="s">
        <v>167</v>
      </c>
      <c r="P176" s="285" t="s">
        <v>168</v>
      </c>
      <c r="Q176" s="316" t="s">
        <v>125</v>
      </c>
      <c r="R176" s="348"/>
      <c r="S176" s="285" t="s">
        <v>167</v>
      </c>
      <c r="T176" s="285" t="s">
        <v>168</v>
      </c>
      <c r="U176" s="316" t="s">
        <v>125</v>
      </c>
      <c r="V176" s="348"/>
      <c r="W176" s="348"/>
      <c r="X176" s="337"/>
      <c r="Y176" s="297" t="s">
        <v>163</v>
      </c>
      <c r="Z176" s="297" t="s">
        <v>164</v>
      </c>
      <c r="AA176" s="282"/>
    </row>
    <row r="177" spans="1:27" s="277" customFormat="1" ht="21.75" customHeight="1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>
      <c r="A182" s="295" t="s">
        <v>220</v>
      </c>
      <c r="B182" s="290"/>
      <c r="C182" s="290"/>
      <c r="D182" s="291"/>
      <c r="E182" s="291"/>
      <c r="F182" s="339" t="s">
        <v>173</v>
      </c>
      <c r="G182" s="339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>
      <c r="A185" s="294" t="s">
        <v>223</v>
      </c>
      <c r="B185" s="301"/>
      <c r="C185" s="301"/>
      <c r="D185" s="302"/>
      <c r="E185" s="302"/>
      <c r="F185" s="338" t="s">
        <v>224</v>
      </c>
      <c r="G185" s="338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>
      <c r="A186" s="295" t="s">
        <v>225</v>
      </c>
      <c r="B186" s="290"/>
      <c r="C186" s="290"/>
      <c r="D186" s="291"/>
      <c r="E186" s="291"/>
      <c r="F186" s="339" t="s">
        <v>224</v>
      </c>
      <c r="G186" s="339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>
      <c r="A193" s="294" t="s">
        <v>231</v>
      </c>
      <c r="B193" s="301"/>
      <c r="C193" s="301"/>
      <c r="D193" s="302"/>
      <c r="E193" s="302"/>
      <c r="F193" s="338" t="s">
        <v>173</v>
      </c>
      <c r="G193" s="338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52"/>
      <c r="G196" s="352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55" t="s">
        <v>251</v>
      </c>
      <c r="G197" s="354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>
      <c r="A198" s="295" t="s">
        <v>234</v>
      </c>
      <c r="B198" s="290"/>
      <c r="C198" s="290"/>
      <c r="D198" s="291"/>
      <c r="E198" s="291"/>
      <c r="F198" s="353" t="s">
        <v>251</v>
      </c>
      <c r="G198" s="339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>
      <c r="A199" s="294" t="s">
        <v>236</v>
      </c>
      <c r="B199" s="301"/>
      <c r="C199" s="301"/>
      <c r="D199" s="302"/>
      <c r="E199" s="302"/>
      <c r="F199" s="356" t="s">
        <v>251</v>
      </c>
      <c r="G199" s="338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>
      <c r="A200" s="295" t="s">
        <v>237</v>
      </c>
      <c r="B200" s="290"/>
      <c r="C200" s="290"/>
      <c r="D200" s="291"/>
      <c r="E200" s="291"/>
      <c r="F200" s="353" t="s">
        <v>251</v>
      </c>
      <c r="G200" s="339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42" t="s">
        <v>91</v>
      </c>
      <c r="I203" s="343"/>
      <c r="J203" s="343"/>
      <c r="K203" s="344"/>
      <c r="L203" s="345" t="s">
        <v>90</v>
      </c>
      <c r="M203" s="347" t="s">
        <v>157</v>
      </c>
      <c r="N203" s="347" t="s">
        <v>158</v>
      </c>
      <c r="O203" s="349" t="s">
        <v>159</v>
      </c>
      <c r="P203" s="350"/>
      <c r="Q203" s="351"/>
      <c r="R203" s="347" t="s">
        <v>160</v>
      </c>
      <c r="S203" s="349" t="s">
        <v>19</v>
      </c>
      <c r="T203" s="350"/>
      <c r="U203" s="351"/>
      <c r="V203" s="347" t="s">
        <v>124</v>
      </c>
      <c r="W203" s="347" t="s">
        <v>125</v>
      </c>
      <c r="X203" s="336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46"/>
      <c r="M204" s="348"/>
      <c r="N204" s="348"/>
      <c r="O204" s="285" t="s">
        <v>167</v>
      </c>
      <c r="P204" s="285" t="s">
        <v>168</v>
      </c>
      <c r="Q204" s="316" t="s">
        <v>125</v>
      </c>
      <c r="R204" s="348"/>
      <c r="S204" s="285" t="s">
        <v>167</v>
      </c>
      <c r="T204" s="285" t="s">
        <v>168</v>
      </c>
      <c r="U204" s="316" t="s">
        <v>125</v>
      </c>
      <c r="V204" s="348"/>
      <c r="W204" s="348"/>
      <c r="X204" s="337"/>
      <c r="Y204" s="297" t="s">
        <v>163</v>
      </c>
      <c r="Z204" s="297" t="s">
        <v>164</v>
      </c>
      <c r="AA204" s="282"/>
    </row>
    <row r="205" spans="1:27" s="277" customFormat="1" ht="21.75" customHeight="1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>
      <c r="A210" s="295" t="s">
        <v>220</v>
      </c>
      <c r="B210" s="290"/>
      <c r="C210" s="290"/>
      <c r="D210" s="291"/>
      <c r="E210" s="291"/>
      <c r="F210" s="339" t="s">
        <v>173</v>
      </c>
      <c r="G210" s="339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>
      <c r="A213" s="294" t="s">
        <v>223</v>
      </c>
      <c r="B213" s="301"/>
      <c r="C213" s="301"/>
      <c r="D213" s="302"/>
      <c r="E213" s="302"/>
      <c r="F213" s="338" t="s">
        <v>224</v>
      </c>
      <c r="G213" s="338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>
      <c r="A214" s="295" t="s">
        <v>225</v>
      </c>
      <c r="B214" s="290"/>
      <c r="C214" s="290"/>
      <c r="D214" s="291"/>
      <c r="E214" s="291"/>
      <c r="F214" s="339" t="s">
        <v>224</v>
      </c>
      <c r="G214" s="339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>
      <c r="A221" s="294" t="s">
        <v>231</v>
      </c>
      <c r="B221" s="301"/>
      <c r="C221" s="301"/>
      <c r="D221" s="302"/>
      <c r="E221" s="302"/>
      <c r="F221" s="338" t="s">
        <v>173</v>
      </c>
      <c r="G221" s="338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52"/>
      <c r="G224" s="352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55" t="s">
        <v>177</v>
      </c>
      <c r="G225" s="354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>
      <c r="A226" s="295" t="s">
        <v>234</v>
      </c>
      <c r="B226" s="290"/>
      <c r="C226" s="290"/>
      <c r="D226" s="291"/>
      <c r="E226" s="291"/>
      <c r="F226" s="353" t="s">
        <v>177</v>
      </c>
      <c r="G226" s="339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>
      <c r="A227" s="294" t="s">
        <v>236</v>
      </c>
      <c r="B227" s="301"/>
      <c r="C227" s="301"/>
      <c r="D227" s="302"/>
      <c r="E227" s="302"/>
      <c r="F227" s="356" t="s">
        <v>177</v>
      </c>
      <c r="G227" s="338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>
      <c r="A228" s="295" t="s">
        <v>237</v>
      </c>
      <c r="B228" s="290"/>
      <c r="C228" s="290"/>
      <c r="D228" s="291"/>
      <c r="E228" s="291"/>
      <c r="F228" s="353" t="s">
        <v>177</v>
      </c>
      <c r="G228" s="339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42" t="s">
        <v>91</v>
      </c>
      <c r="I231" s="343"/>
      <c r="J231" s="343"/>
      <c r="K231" s="344"/>
      <c r="L231" s="345" t="s">
        <v>90</v>
      </c>
      <c r="M231" s="347" t="s">
        <v>157</v>
      </c>
      <c r="N231" s="347" t="s">
        <v>158</v>
      </c>
      <c r="O231" s="349" t="s">
        <v>159</v>
      </c>
      <c r="P231" s="350"/>
      <c r="Q231" s="351"/>
      <c r="R231" s="347" t="s">
        <v>160</v>
      </c>
      <c r="S231" s="349" t="s">
        <v>19</v>
      </c>
      <c r="T231" s="350"/>
      <c r="U231" s="351"/>
      <c r="V231" s="347" t="s">
        <v>124</v>
      </c>
      <c r="W231" s="347" t="s">
        <v>125</v>
      </c>
      <c r="X231" s="336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46"/>
      <c r="M232" s="348"/>
      <c r="N232" s="348"/>
      <c r="O232" s="285" t="s">
        <v>167</v>
      </c>
      <c r="P232" s="285" t="s">
        <v>168</v>
      </c>
      <c r="Q232" s="316" t="s">
        <v>125</v>
      </c>
      <c r="R232" s="348"/>
      <c r="S232" s="285" t="s">
        <v>167</v>
      </c>
      <c r="T232" s="285" t="s">
        <v>168</v>
      </c>
      <c r="U232" s="316" t="s">
        <v>125</v>
      </c>
      <c r="V232" s="348"/>
      <c r="W232" s="348"/>
      <c r="X232" s="337"/>
      <c r="Y232" s="297" t="s">
        <v>163</v>
      </c>
      <c r="Z232" s="297" t="s">
        <v>164</v>
      </c>
      <c r="AA232" s="282"/>
    </row>
    <row r="233" spans="1:27" s="277" customFormat="1" ht="21.75" customHeight="1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>
      <c r="A237" s="294" t="s">
        <v>220</v>
      </c>
      <c r="B237" s="301"/>
      <c r="C237" s="301"/>
      <c r="D237" s="302"/>
      <c r="E237" s="302"/>
      <c r="F237" s="338" t="s">
        <v>173</v>
      </c>
      <c r="G237" s="338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>
      <c r="A239" s="294" t="s">
        <v>223</v>
      </c>
      <c r="B239" s="301"/>
      <c r="C239" s="301"/>
      <c r="D239" s="302"/>
      <c r="E239" s="302"/>
      <c r="F239" s="338" t="s">
        <v>224</v>
      </c>
      <c r="G239" s="338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>
      <c r="A240" s="295" t="s">
        <v>225</v>
      </c>
      <c r="B240" s="290"/>
      <c r="C240" s="290"/>
      <c r="D240" s="291"/>
      <c r="E240" s="291"/>
      <c r="F240" s="339" t="s">
        <v>224</v>
      </c>
      <c r="G240" s="339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>
      <c r="A241" s="294" t="s">
        <v>226</v>
      </c>
      <c r="B241" s="301"/>
      <c r="C241" s="301"/>
      <c r="D241" s="302"/>
      <c r="E241" s="302"/>
      <c r="F241" s="338" t="s">
        <v>165</v>
      </c>
      <c r="G241" s="338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>
      <c r="A243" s="294" t="s">
        <v>229</v>
      </c>
      <c r="B243" s="301"/>
      <c r="C243" s="301"/>
      <c r="D243" s="302"/>
      <c r="E243" s="302"/>
      <c r="F243" s="338" t="s">
        <v>174</v>
      </c>
      <c r="G243" s="338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>
      <c r="A244" s="295" t="s">
        <v>231</v>
      </c>
      <c r="B244" s="290"/>
      <c r="C244" s="290"/>
      <c r="D244" s="291"/>
      <c r="E244" s="291"/>
      <c r="F244" s="339" t="s">
        <v>173</v>
      </c>
      <c r="G244" s="339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52" t="s">
        <v>255</v>
      </c>
      <c r="G245" s="352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54" t="s">
        <v>255</v>
      </c>
      <c r="G246" s="354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>
      <c r="A247" s="294" t="s">
        <v>234</v>
      </c>
      <c r="B247" s="301"/>
      <c r="C247" s="301"/>
      <c r="D247" s="302"/>
      <c r="E247" s="302"/>
      <c r="F247" s="352" t="s">
        <v>255</v>
      </c>
      <c r="G247" s="352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>
      <c r="A248" s="295" t="s">
        <v>236</v>
      </c>
      <c r="B248" s="290"/>
      <c r="C248" s="290"/>
      <c r="D248" s="291"/>
      <c r="E248" s="291"/>
      <c r="F248" s="354" t="s">
        <v>255</v>
      </c>
      <c r="G248" s="354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>
      <c r="A249" s="294" t="s">
        <v>237</v>
      </c>
      <c r="B249" s="301"/>
      <c r="C249" s="301"/>
      <c r="D249" s="302"/>
      <c r="E249" s="302"/>
      <c r="F249" s="352" t="s">
        <v>255</v>
      </c>
      <c r="G249" s="352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42" t="s">
        <v>91</v>
      </c>
      <c r="I252" s="343"/>
      <c r="J252" s="343"/>
      <c r="K252" s="344"/>
      <c r="L252" s="345" t="s">
        <v>90</v>
      </c>
      <c r="M252" s="347" t="s">
        <v>157</v>
      </c>
      <c r="N252" s="347" t="s">
        <v>158</v>
      </c>
      <c r="O252" s="349" t="s">
        <v>159</v>
      </c>
      <c r="P252" s="350"/>
      <c r="Q252" s="351"/>
      <c r="R252" s="347" t="s">
        <v>160</v>
      </c>
      <c r="S252" s="349" t="s">
        <v>19</v>
      </c>
      <c r="T252" s="350"/>
      <c r="U252" s="351"/>
      <c r="V252" s="347" t="s">
        <v>124</v>
      </c>
      <c r="W252" s="347" t="s">
        <v>125</v>
      </c>
      <c r="X252" s="336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46"/>
      <c r="M253" s="348"/>
      <c r="N253" s="348"/>
      <c r="O253" s="285" t="s">
        <v>167</v>
      </c>
      <c r="P253" s="285" t="s">
        <v>168</v>
      </c>
      <c r="Q253" s="316" t="s">
        <v>125</v>
      </c>
      <c r="R253" s="348"/>
      <c r="S253" s="285" t="s">
        <v>167</v>
      </c>
      <c r="T253" s="285" t="s">
        <v>168</v>
      </c>
      <c r="U253" s="316" t="s">
        <v>125</v>
      </c>
      <c r="V253" s="348"/>
      <c r="W253" s="348"/>
      <c r="X253" s="337"/>
      <c r="Y253" s="297" t="s">
        <v>163</v>
      </c>
      <c r="Z253" s="297" t="s">
        <v>164</v>
      </c>
      <c r="AA253" s="282"/>
    </row>
    <row r="254" spans="1:27" s="277" customFormat="1" ht="21.75" customHeight="1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>
      <c r="A258" s="294" t="s">
        <v>219</v>
      </c>
      <c r="B258" s="301"/>
      <c r="C258" s="301"/>
      <c r="D258" s="302"/>
      <c r="E258" s="302"/>
      <c r="F258" s="338" t="s">
        <v>173</v>
      </c>
      <c r="G258" s="338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>
      <c r="A259" s="295" t="s">
        <v>220</v>
      </c>
      <c r="B259" s="290"/>
      <c r="C259" s="290"/>
      <c r="D259" s="291"/>
      <c r="E259" s="291"/>
      <c r="F259" s="339" t="s">
        <v>173</v>
      </c>
      <c r="G259" s="339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>
      <c r="A262" s="294" t="s">
        <v>223</v>
      </c>
      <c r="B262" s="301"/>
      <c r="C262" s="301"/>
      <c r="D262" s="302"/>
      <c r="E262" s="302"/>
      <c r="F262" s="338" t="s">
        <v>224</v>
      </c>
      <c r="G262" s="338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>
      <c r="A263" s="295" t="s">
        <v>225</v>
      </c>
      <c r="B263" s="290"/>
      <c r="C263" s="290"/>
      <c r="D263" s="291"/>
      <c r="E263" s="291"/>
      <c r="F263" s="339" t="s">
        <v>224</v>
      </c>
      <c r="G263" s="339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>
      <c r="A268" s="294" t="s">
        <v>229</v>
      </c>
      <c r="B268" s="301"/>
      <c r="C268" s="301"/>
      <c r="D268" s="302"/>
      <c r="E268" s="302"/>
      <c r="F268" s="338" t="s">
        <v>173</v>
      </c>
      <c r="G268" s="338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>
      <c r="A269" s="295" t="s">
        <v>231</v>
      </c>
      <c r="B269" s="290"/>
      <c r="C269" s="290"/>
      <c r="D269" s="291"/>
      <c r="E269" s="291"/>
      <c r="F269" s="339" t="s">
        <v>173</v>
      </c>
      <c r="G269" s="339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54"/>
      <c r="G272" s="354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57" t="s">
        <v>177</v>
      </c>
      <c r="G273" s="352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>
      <c r="A274" s="294" t="s">
        <v>234</v>
      </c>
      <c r="B274" s="301"/>
      <c r="C274" s="301"/>
      <c r="D274" s="302"/>
      <c r="E274" s="302"/>
      <c r="F274" s="356" t="s">
        <v>177</v>
      </c>
      <c r="G274" s="338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>
      <c r="A275" s="295" t="s">
        <v>236</v>
      </c>
      <c r="B275" s="290"/>
      <c r="C275" s="290"/>
      <c r="D275" s="291"/>
      <c r="E275" s="291"/>
      <c r="F275" s="353" t="s">
        <v>177</v>
      </c>
      <c r="G275" s="339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>
      <c r="A276" s="294" t="s">
        <v>237</v>
      </c>
      <c r="B276" s="301"/>
      <c r="C276" s="301"/>
      <c r="D276" s="302"/>
      <c r="E276" s="302"/>
      <c r="F276" s="356" t="s">
        <v>177</v>
      </c>
      <c r="G276" s="338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42" t="s">
        <v>91</v>
      </c>
      <c r="I279" s="343"/>
      <c r="J279" s="343"/>
      <c r="K279" s="344"/>
      <c r="L279" s="345" t="s">
        <v>90</v>
      </c>
      <c r="M279" s="347" t="s">
        <v>157</v>
      </c>
      <c r="N279" s="347" t="s">
        <v>158</v>
      </c>
      <c r="O279" s="349" t="s">
        <v>159</v>
      </c>
      <c r="P279" s="350"/>
      <c r="Q279" s="351"/>
      <c r="R279" s="347" t="s">
        <v>160</v>
      </c>
      <c r="S279" s="349" t="s">
        <v>19</v>
      </c>
      <c r="T279" s="350"/>
      <c r="U279" s="351"/>
      <c r="V279" s="347" t="s">
        <v>124</v>
      </c>
      <c r="W279" s="347" t="s">
        <v>125</v>
      </c>
      <c r="X279" s="336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46"/>
      <c r="M280" s="348"/>
      <c r="N280" s="348"/>
      <c r="O280" s="285" t="s">
        <v>167</v>
      </c>
      <c r="P280" s="285" t="s">
        <v>168</v>
      </c>
      <c r="Q280" s="316" t="s">
        <v>125</v>
      </c>
      <c r="R280" s="348"/>
      <c r="S280" s="285" t="s">
        <v>167</v>
      </c>
      <c r="T280" s="285" t="s">
        <v>168</v>
      </c>
      <c r="U280" s="316" t="s">
        <v>125</v>
      </c>
      <c r="V280" s="348"/>
      <c r="W280" s="348"/>
      <c r="X280" s="337"/>
      <c r="Y280" s="297" t="s">
        <v>163</v>
      </c>
      <c r="Z280" s="297" t="s">
        <v>164</v>
      </c>
      <c r="AA280" s="282"/>
    </row>
    <row r="281" spans="1:27" s="277" customFormat="1" ht="21.75" customHeight="1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>
      <c r="A284" s="295" t="s">
        <v>219</v>
      </c>
      <c r="B284" s="290"/>
      <c r="C284" s="290"/>
      <c r="D284" s="291"/>
      <c r="E284" s="291"/>
      <c r="F284" s="339" t="s">
        <v>173</v>
      </c>
      <c r="G284" s="339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>
      <c r="A285" s="294" t="s">
        <v>220</v>
      </c>
      <c r="B285" s="301"/>
      <c r="C285" s="301"/>
      <c r="D285" s="302"/>
      <c r="E285" s="302"/>
      <c r="F285" s="338" t="s">
        <v>173</v>
      </c>
      <c r="G285" s="338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52"/>
      <c r="G288" s="352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>
      <c r="A289" s="294" t="s">
        <v>223</v>
      </c>
      <c r="B289" s="301"/>
      <c r="C289" s="301"/>
      <c r="D289" s="302"/>
      <c r="E289" s="302"/>
      <c r="F289" s="338" t="s">
        <v>224</v>
      </c>
      <c r="G289" s="338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>
      <c r="A290" s="295" t="s">
        <v>225</v>
      </c>
      <c r="B290" s="290"/>
      <c r="C290" s="290"/>
      <c r="D290" s="291"/>
      <c r="E290" s="291"/>
      <c r="F290" s="339" t="s">
        <v>224</v>
      </c>
      <c r="G290" s="339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>
      <c r="A297" s="294" t="s">
        <v>231</v>
      </c>
      <c r="B297" s="301"/>
      <c r="C297" s="301"/>
      <c r="D297" s="302"/>
      <c r="E297" s="302"/>
      <c r="F297" s="338" t="s">
        <v>173</v>
      </c>
      <c r="G297" s="338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52"/>
      <c r="G298" s="352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55" t="s">
        <v>257</v>
      </c>
      <c r="G299" s="354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55" t="s">
        <v>257</v>
      </c>
      <c r="G300" s="354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>
      <c r="A301" s="294" t="s">
        <v>234</v>
      </c>
      <c r="B301" s="301"/>
      <c r="C301" s="301"/>
      <c r="D301" s="302"/>
      <c r="E301" s="302"/>
      <c r="F301" s="356" t="s">
        <v>257</v>
      </c>
      <c r="G301" s="338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>
      <c r="A302" s="295" t="s">
        <v>236</v>
      </c>
      <c r="B302" s="290"/>
      <c r="C302" s="290"/>
      <c r="D302" s="291"/>
      <c r="E302" s="291"/>
      <c r="F302" s="355" t="s">
        <v>257</v>
      </c>
      <c r="G302" s="354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>
      <c r="A303" s="294" t="s">
        <v>237</v>
      </c>
      <c r="B303" s="301"/>
      <c r="C303" s="301"/>
      <c r="D303" s="302"/>
      <c r="E303" s="302"/>
      <c r="F303" s="356" t="s">
        <v>257</v>
      </c>
      <c r="G303" s="338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pane xSplit="7" ySplit="6" topLeftCell="H7" activePane="bottomRight" state="frozen"/>
      <selection activeCell="A26" sqref="A26:IV48"/>
      <selection pane="topRight" activeCell="A26" sqref="A26:IV48"/>
      <selection pane="bottomLeft" activeCell="A26" sqref="A26:IV48"/>
      <selection pane="bottomRight" sqref="A1:IV65536"/>
    </sheetView>
  </sheetViews>
  <sheetFormatPr defaultRowHeight="15" customHeight="1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>
      <c r="A1" s="340" t="s">
        <v>258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40"/>
      <c r="V1" s="340"/>
      <c r="W1" s="340"/>
      <c r="X1" s="340"/>
      <c r="Y1" s="340"/>
      <c r="Z1" s="340"/>
      <c r="AA1" s="340"/>
    </row>
    <row r="2" spans="1:27" s="277" customFormat="1" ht="26.25">
      <c r="A2" s="340" t="s">
        <v>214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  <c r="Z2" s="340"/>
      <c r="AA2" s="340"/>
    </row>
    <row r="3" spans="1:27" s="277" customFormat="1" ht="26.25">
      <c r="A3" s="340" t="s">
        <v>215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340"/>
      <c r="Q3" s="340"/>
      <c r="R3" s="340"/>
      <c r="S3" s="340"/>
      <c r="T3" s="340"/>
      <c r="U3" s="340"/>
      <c r="V3" s="340"/>
      <c r="W3" s="340"/>
      <c r="X3" s="340"/>
      <c r="Y3" s="340"/>
      <c r="Z3" s="340"/>
      <c r="AA3" s="340"/>
    </row>
    <row r="4" spans="1:27" s="279" customFormat="1" ht="27" customHeight="1" thickBot="1">
      <c r="A4" s="278"/>
      <c r="B4" s="280"/>
      <c r="C4" s="280"/>
      <c r="D4" s="280"/>
      <c r="E4" s="280"/>
      <c r="F4" s="280"/>
      <c r="G4" s="280"/>
      <c r="H4" s="341" t="s">
        <v>153</v>
      </c>
      <c r="I4" s="341"/>
      <c r="J4" s="341"/>
      <c r="K4" s="341"/>
      <c r="L4" s="341"/>
      <c r="M4" s="341"/>
      <c r="N4" s="341"/>
      <c r="O4" s="341"/>
      <c r="P4" s="341"/>
      <c r="Q4" s="341"/>
      <c r="R4" s="341"/>
      <c r="S4" s="341"/>
      <c r="T4" s="341"/>
      <c r="U4" s="341"/>
      <c r="V4" s="341"/>
      <c r="W4" s="341"/>
      <c r="X4" s="341"/>
      <c r="Y4" s="296"/>
      <c r="Z4" s="296"/>
      <c r="AA4" s="296"/>
    </row>
    <row r="5" spans="1:27" s="279" customFormat="1" ht="27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42" t="s">
        <v>91</v>
      </c>
      <c r="I5" s="343"/>
      <c r="J5" s="343"/>
      <c r="K5" s="344"/>
      <c r="L5" s="345" t="s">
        <v>90</v>
      </c>
      <c r="M5" s="347" t="s">
        <v>157</v>
      </c>
      <c r="N5" s="347" t="s">
        <v>158</v>
      </c>
      <c r="O5" s="349" t="s">
        <v>159</v>
      </c>
      <c r="P5" s="350"/>
      <c r="Q5" s="351"/>
      <c r="R5" s="347" t="s">
        <v>160</v>
      </c>
      <c r="S5" s="349" t="s">
        <v>19</v>
      </c>
      <c r="T5" s="350"/>
      <c r="U5" s="351"/>
      <c r="V5" s="347" t="s">
        <v>124</v>
      </c>
      <c r="W5" s="347" t="s">
        <v>125</v>
      </c>
      <c r="X5" s="336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46"/>
      <c r="M6" s="348"/>
      <c r="N6" s="348"/>
      <c r="O6" s="285" t="s">
        <v>167</v>
      </c>
      <c r="P6" s="285" t="s">
        <v>168</v>
      </c>
      <c r="Q6" s="316" t="s">
        <v>125</v>
      </c>
      <c r="R6" s="348"/>
      <c r="S6" s="285" t="s">
        <v>167</v>
      </c>
      <c r="T6" s="285" t="s">
        <v>168</v>
      </c>
      <c r="U6" s="316" t="s">
        <v>125</v>
      </c>
      <c r="V6" s="348"/>
      <c r="W6" s="348"/>
      <c r="X6" s="337"/>
      <c r="Y6" s="297" t="s">
        <v>163</v>
      </c>
      <c r="Z6" s="297" t="s">
        <v>164</v>
      </c>
      <c r="AA6" s="297"/>
    </row>
    <row r="7" spans="1:27" s="277" customFormat="1" ht="27" customHeight="1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>
      <c r="A14" s="295" t="s">
        <v>220</v>
      </c>
      <c r="B14" s="290"/>
      <c r="C14" s="290"/>
      <c r="D14" s="291"/>
      <c r="E14" s="291"/>
      <c r="F14" s="339"/>
      <c r="G14" s="339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>
      <c r="A16" s="295" t="s">
        <v>223</v>
      </c>
      <c r="B16" s="290"/>
      <c r="C16" s="290"/>
      <c r="D16" s="291"/>
      <c r="E16" s="291"/>
      <c r="F16" s="339" t="s">
        <v>224</v>
      </c>
      <c r="G16" s="339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>
      <c r="A17" s="294" t="s">
        <v>225</v>
      </c>
      <c r="B17" s="301"/>
      <c r="C17" s="301"/>
      <c r="D17" s="302"/>
      <c r="E17" s="302"/>
      <c r="F17" s="338" t="s">
        <v>224</v>
      </c>
      <c r="G17" s="338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>
      <c r="A22" s="295" t="s">
        <v>231</v>
      </c>
      <c r="B22" s="290"/>
      <c r="C22" s="290"/>
      <c r="D22" s="291"/>
      <c r="E22" s="291"/>
      <c r="F22" s="339" t="s">
        <v>173</v>
      </c>
      <c r="G22" s="339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>
      <c r="A25" s="294" t="s">
        <v>234</v>
      </c>
      <c r="B25" s="301"/>
      <c r="C25" s="301"/>
      <c r="D25" s="302"/>
      <c r="E25" s="302"/>
      <c r="F25" s="338" t="s">
        <v>235</v>
      </c>
      <c r="G25" s="338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>
      <c r="A26" s="295" t="s">
        <v>236</v>
      </c>
      <c r="B26" s="290"/>
      <c r="C26" s="290"/>
      <c r="D26" s="291"/>
      <c r="E26" s="291"/>
      <c r="F26" s="339" t="s">
        <v>235</v>
      </c>
      <c r="G26" s="339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>
      <c r="A27" s="294" t="s">
        <v>237</v>
      </c>
      <c r="B27" s="301"/>
      <c r="C27" s="301"/>
      <c r="D27" s="302"/>
      <c r="E27" s="302"/>
      <c r="F27" s="338" t="s">
        <v>235</v>
      </c>
      <c r="G27" s="338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>
      <c r="A30" s="298" t="s">
        <v>169</v>
      </c>
      <c r="B30" s="286"/>
      <c r="C30" s="286"/>
      <c r="D30" s="286"/>
      <c r="E30" s="286"/>
      <c r="F30" s="286"/>
      <c r="G30" s="286"/>
      <c r="H30" s="342" t="s">
        <v>91</v>
      </c>
      <c r="I30" s="343"/>
      <c r="J30" s="343"/>
      <c r="K30" s="344"/>
      <c r="L30" s="345" t="s">
        <v>90</v>
      </c>
      <c r="M30" s="347" t="s">
        <v>157</v>
      </c>
      <c r="N30" s="347" t="s">
        <v>158</v>
      </c>
      <c r="O30" s="349" t="s">
        <v>159</v>
      </c>
      <c r="P30" s="350"/>
      <c r="Q30" s="351"/>
      <c r="R30" s="347" t="s">
        <v>160</v>
      </c>
      <c r="S30" s="349" t="s">
        <v>19</v>
      </c>
      <c r="T30" s="350"/>
      <c r="U30" s="351"/>
      <c r="V30" s="347" t="s">
        <v>124</v>
      </c>
      <c r="W30" s="347" t="s">
        <v>125</v>
      </c>
      <c r="X30" s="336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46"/>
      <c r="M31" s="348"/>
      <c r="N31" s="348"/>
      <c r="O31" s="285" t="s">
        <v>167</v>
      </c>
      <c r="P31" s="285" t="s">
        <v>168</v>
      </c>
      <c r="Q31" s="316" t="s">
        <v>125</v>
      </c>
      <c r="R31" s="348"/>
      <c r="S31" s="285" t="s">
        <v>167</v>
      </c>
      <c r="T31" s="285" t="s">
        <v>168</v>
      </c>
      <c r="U31" s="316" t="s">
        <v>125</v>
      </c>
      <c r="V31" s="348"/>
      <c r="W31" s="348"/>
      <c r="X31" s="337"/>
      <c r="Y31" s="297" t="s">
        <v>163</v>
      </c>
      <c r="Z31" s="297" t="s">
        <v>164</v>
      </c>
      <c r="AA31" s="297"/>
    </row>
    <row r="32" spans="1:27" s="277" customFormat="1" ht="27" customHeight="1">
      <c r="A32" s="294" t="s">
        <v>216</v>
      </c>
      <c r="B32" s="315">
        <v>0.3</v>
      </c>
      <c r="C32" s="315">
        <v>0.68194444444444446</v>
      </c>
      <c r="D32" s="315"/>
      <c r="E32" s="315"/>
      <c r="F32" s="338" t="s">
        <v>263</v>
      </c>
      <c r="G32" s="338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53" t="s">
        <v>207</v>
      </c>
      <c r="G33" s="353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>
      <c r="A34" s="294" t="s">
        <v>219</v>
      </c>
      <c r="B34" s="313"/>
      <c r="C34" s="313"/>
      <c r="D34" s="313"/>
      <c r="E34" s="313"/>
      <c r="F34" s="338" t="s">
        <v>173</v>
      </c>
      <c r="G34" s="338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>
      <c r="A35" s="295" t="s">
        <v>220</v>
      </c>
      <c r="B35" s="314"/>
      <c r="C35" s="314"/>
      <c r="D35" s="314"/>
      <c r="E35" s="314"/>
      <c r="F35" s="339" t="s">
        <v>173</v>
      </c>
      <c r="G35" s="339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56" t="s">
        <v>201</v>
      </c>
      <c r="G36" s="338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>
      <c r="A37" s="295" t="s">
        <v>223</v>
      </c>
      <c r="B37" s="312"/>
      <c r="C37" s="312"/>
      <c r="D37" s="312"/>
      <c r="E37" s="312"/>
      <c r="F37" s="339" t="s">
        <v>224</v>
      </c>
      <c r="G37" s="339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>
      <c r="A38" s="294" t="s">
        <v>225</v>
      </c>
      <c r="B38" s="313"/>
      <c r="C38" s="313"/>
      <c r="D38" s="313"/>
      <c r="E38" s="313"/>
      <c r="F38" s="339" t="s">
        <v>224</v>
      </c>
      <c r="G38" s="339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53" t="s">
        <v>201</v>
      </c>
      <c r="G39" s="339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>
      <c r="A40" s="294" t="s">
        <v>228</v>
      </c>
      <c r="B40" s="315">
        <v>0.33958333333333335</v>
      </c>
      <c r="C40" s="315">
        <v>0.71875</v>
      </c>
      <c r="D40" s="315"/>
      <c r="E40" s="315"/>
      <c r="F40" s="356" t="s">
        <v>201</v>
      </c>
      <c r="G40" s="338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>
      <c r="A41" s="295" t="s">
        <v>229</v>
      </c>
      <c r="B41" s="312"/>
      <c r="C41" s="312"/>
      <c r="D41" s="312"/>
      <c r="E41" s="312"/>
      <c r="F41" s="339" t="s">
        <v>173</v>
      </c>
      <c r="G41" s="339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>
      <c r="A42" s="294" t="s">
        <v>231</v>
      </c>
      <c r="B42" s="313"/>
      <c r="C42" s="313"/>
      <c r="D42" s="313"/>
      <c r="E42" s="313"/>
      <c r="F42" s="338" t="s">
        <v>173</v>
      </c>
      <c r="G42" s="338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53" t="s">
        <v>201</v>
      </c>
      <c r="G43" s="339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>
      <c r="A44" s="294" t="s">
        <v>233</v>
      </c>
      <c r="B44" s="315">
        <v>0.35000000000000003</v>
      </c>
      <c r="C44" s="313"/>
      <c r="D44" s="313"/>
      <c r="E44" s="313"/>
      <c r="F44" s="356" t="s">
        <v>201</v>
      </c>
      <c r="G44" s="338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>
      <c r="A45" s="295" t="s">
        <v>234</v>
      </c>
      <c r="B45" s="312"/>
      <c r="C45" s="312"/>
      <c r="D45" s="312"/>
      <c r="E45" s="312"/>
      <c r="F45" s="353" t="s">
        <v>201</v>
      </c>
      <c r="G45" s="339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>
      <c r="A46" s="294" t="s">
        <v>236</v>
      </c>
      <c r="B46" s="313"/>
      <c r="C46" s="313"/>
      <c r="D46" s="313"/>
      <c r="E46" s="313"/>
      <c r="F46" s="356" t="s">
        <v>201</v>
      </c>
      <c r="G46" s="338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>
      <c r="A47" s="295" t="s">
        <v>237</v>
      </c>
      <c r="B47" s="312"/>
      <c r="C47" s="312"/>
      <c r="D47" s="312"/>
      <c r="E47" s="312"/>
      <c r="F47" s="353" t="s">
        <v>201</v>
      </c>
      <c r="G47" s="339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>
      <c r="A50" s="298" t="s">
        <v>169</v>
      </c>
      <c r="B50" s="286"/>
      <c r="C50" s="286"/>
      <c r="D50" s="286"/>
      <c r="E50" s="286"/>
      <c r="F50" s="286"/>
      <c r="G50" s="286"/>
      <c r="H50" s="342" t="s">
        <v>91</v>
      </c>
      <c r="I50" s="343"/>
      <c r="J50" s="343"/>
      <c r="K50" s="344"/>
      <c r="L50" s="345" t="s">
        <v>90</v>
      </c>
      <c r="M50" s="347" t="s">
        <v>157</v>
      </c>
      <c r="N50" s="347" t="s">
        <v>158</v>
      </c>
      <c r="O50" s="349" t="s">
        <v>159</v>
      </c>
      <c r="P50" s="350"/>
      <c r="Q50" s="351"/>
      <c r="R50" s="347" t="s">
        <v>160</v>
      </c>
      <c r="S50" s="349" t="s">
        <v>19</v>
      </c>
      <c r="T50" s="350"/>
      <c r="U50" s="351"/>
      <c r="V50" s="347" t="s">
        <v>124</v>
      </c>
      <c r="W50" s="347" t="s">
        <v>125</v>
      </c>
      <c r="X50" s="336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46"/>
      <c r="M51" s="348"/>
      <c r="N51" s="348"/>
      <c r="O51" s="285" t="s">
        <v>167</v>
      </c>
      <c r="P51" s="285" t="s">
        <v>168</v>
      </c>
      <c r="Q51" s="316" t="s">
        <v>125</v>
      </c>
      <c r="R51" s="348"/>
      <c r="S51" s="285" t="s">
        <v>167</v>
      </c>
      <c r="T51" s="285" t="s">
        <v>168</v>
      </c>
      <c r="U51" s="316" t="s">
        <v>125</v>
      </c>
      <c r="V51" s="348"/>
      <c r="W51" s="348"/>
      <c r="X51" s="337"/>
      <c r="Y51" s="297" t="s">
        <v>163</v>
      </c>
      <c r="Z51" s="297" t="s">
        <v>164</v>
      </c>
      <c r="AA51" s="297"/>
    </row>
    <row r="52" spans="1:27" s="277" customFormat="1" ht="27" customHeight="1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56" t="s">
        <v>201</v>
      </c>
      <c r="G52" s="338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53" t="s">
        <v>201</v>
      </c>
      <c r="G53" s="353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>
      <c r="A54" s="294" t="s">
        <v>219</v>
      </c>
      <c r="B54" s="313"/>
      <c r="C54" s="313"/>
      <c r="D54" s="313"/>
      <c r="E54" s="313"/>
      <c r="F54" s="338" t="s">
        <v>173</v>
      </c>
      <c r="G54" s="338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>
      <c r="A55" s="295" t="s">
        <v>220</v>
      </c>
      <c r="B55" s="314"/>
      <c r="C55" s="314"/>
      <c r="D55" s="314"/>
      <c r="E55" s="314"/>
      <c r="F55" s="339" t="s">
        <v>173</v>
      </c>
      <c r="G55" s="339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56" t="s">
        <v>201</v>
      </c>
      <c r="G56" s="338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>
      <c r="A57" s="295" t="s">
        <v>223</v>
      </c>
      <c r="B57" s="312"/>
      <c r="C57" s="312"/>
      <c r="D57" s="312"/>
      <c r="E57" s="312"/>
      <c r="F57" s="339" t="s">
        <v>224</v>
      </c>
      <c r="G57" s="339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>
      <c r="A58" s="294" t="s">
        <v>225</v>
      </c>
      <c r="B58" s="313"/>
      <c r="C58" s="313"/>
      <c r="D58" s="313"/>
      <c r="E58" s="313"/>
      <c r="F58" s="338" t="s">
        <v>224</v>
      </c>
      <c r="G58" s="338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53" t="s">
        <v>201</v>
      </c>
      <c r="G59" s="339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56" t="s">
        <v>201</v>
      </c>
      <c r="G60" s="338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>
      <c r="A61" s="295" t="s">
        <v>229</v>
      </c>
      <c r="B61" s="312"/>
      <c r="C61" s="312"/>
      <c r="D61" s="312"/>
      <c r="E61" s="312"/>
      <c r="F61" s="339" t="s">
        <v>173</v>
      </c>
      <c r="G61" s="339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>
      <c r="A62" s="294" t="s">
        <v>231</v>
      </c>
      <c r="B62" s="313"/>
      <c r="C62" s="313"/>
      <c r="D62" s="313"/>
      <c r="E62" s="313"/>
      <c r="F62" s="338" t="s">
        <v>173</v>
      </c>
      <c r="G62" s="338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53" t="s">
        <v>201</v>
      </c>
      <c r="G63" s="339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>
      <c r="A64" s="294" t="s">
        <v>233</v>
      </c>
      <c r="B64" s="315">
        <v>0.3354166666666667</v>
      </c>
      <c r="C64" s="313"/>
      <c r="D64" s="313"/>
      <c r="E64" s="313"/>
      <c r="F64" s="356" t="s">
        <v>201</v>
      </c>
      <c r="G64" s="338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>
      <c r="A65" s="295" t="s">
        <v>234</v>
      </c>
      <c r="B65" s="312"/>
      <c r="C65" s="312"/>
      <c r="D65" s="312"/>
      <c r="E65" s="312"/>
      <c r="F65" s="353" t="s">
        <v>201</v>
      </c>
      <c r="G65" s="339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>
      <c r="A66" s="294" t="s">
        <v>236</v>
      </c>
      <c r="B66" s="313"/>
      <c r="C66" s="313"/>
      <c r="D66" s="313"/>
      <c r="E66" s="313"/>
      <c r="F66" s="356" t="s">
        <v>201</v>
      </c>
      <c r="G66" s="338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>
      <c r="A67" s="295" t="s">
        <v>237</v>
      </c>
      <c r="B67" s="312"/>
      <c r="C67" s="312"/>
      <c r="D67" s="312"/>
      <c r="E67" s="312"/>
      <c r="F67" s="353" t="s">
        <v>201</v>
      </c>
      <c r="G67" s="339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/>
    <row r="70" spans="1:27" ht="27" customHeight="1"/>
    <row r="71" spans="1:27" ht="27" customHeight="1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workbookViewId="0">
      <selection activeCell="N24" sqref="N24"/>
    </sheetView>
  </sheetViews>
  <sheetFormatPr defaultRowHeight="12.75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>
      <c r="A5" s="405"/>
      <c r="B5" s="407" t="s">
        <v>0</v>
      </c>
      <c r="C5" s="379" t="s">
        <v>1</v>
      </c>
      <c r="D5" s="358" t="s">
        <v>13</v>
      </c>
      <c r="E5" s="379" t="s">
        <v>14</v>
      </c>
      <c r="F5" s="358" t="s">
        <v>15</v>
      </c>
      <c r="G5" s="379" t="s">
        <v>16</v>
      </c>
      <c r="H5" s="358" t="s">
        <v>44</v>
      </c>
      <c r="I5" s="375" t="s">
        <v>118</v>
      </c>
      <c r="J5" s="382" t="s">
        <v>91</v>
      </c>
      <c r="K5" s="383"/>
      <c r="L5" s="384"/>
      <c r="M5" s="394" t="s">
        <v>108</v>
      </c>
      <c r="N5" s="395"/>
      <c r="O5" s="395"/>
      <c r="P5" s="379" t="s">
        <v>2</v>
      </c>
      <c r="Q5" s="358" t="s">
        <v>17</v>
      </c>
      <c r="R5" s="379" t="s">
        <v>2</v>
      </c>
      <c r="S5" s="358" t="s">
        <v>18</v>
      </c>
      <c r="T5" s="379" t="s">
        <v>2</v>
      </c>
      <c r="U5" s="358" t="s">
        <v>19</v>
      </c>
      <c r="V5" s="379" t="s">
        <v>2</v>
      </c>
      <c r="W5" s="358" t="s">
        <v>20</v>
      </c>
      <c r="X5" s="360" t="s">
        <v>3</v>
      </c>
    </row>
    <row r="6" spans="1:26" s="138" customFormat="1" ht="27" customHeight="1" thickBot="1">
      <c r="A6" s="406"/>
      <c r="B6" s="380"/>
      <c r="C6" s="380"/>
      <c r="D6" s="393"/>
      <c r="E6" s="398"/>
      <c r="F6" s="393"/>
      <c r="G6" s="398"/>
      <c r="H6" s="359"/>
      <c r="I6" s="37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80"/>
      <c r="Q6" s="393"/>
      <c r="R6" s="380"/>
      <c r="S6" s="393"/>
      <c r="T6" s="380"/>
      <c r="U6" s="393"/>
      <c r="V6" s="380"/>
      <c r="W6" s="359"/>
      <c r="X6" s="361"/>
    </row>
    <row r="7" spans="1:26" s="138" customFormat="1" ht="12" customHeight="1">
      <c r="A7" s="129">
        <v>1</v>
      </c>
      <c r="B7" s="22" t="s">
        <v>120</v>
      </c>
      <c r="C7" s="123" t="s">
        <v>270</v>
      </c>
      <c r="D7" s="73">
        <f>5538+130+195+195+(15*13)+(21*13)</f>
        <v>6526</v>
      </c>
      <c r="E7" s="130">
        <f>+D7/13</f>
        <v>502</v>
      </c>
      <c r="F7" s="134">
        <v>13</v>
      </c>
      <c r="G7" s="132">
        <f>+D7</f>
        <v>6526</v>
      </c>
      <c r="H7" s="20">
        <f>(F7+J7+K7+L7+Q7)*10</f>
        <v>130</v>
      </c>
      <c r="I7" s="20"/>
      <c r="J7" s="133">
        <v>0</v>
      </c>
      <c r="K7" s="133">
        <f>+'10.26-11.10'!I25</f>
        <v>0</v>
      </c>
      <c r="L7" s="133">
        <f>+'10.26-11.10'!J25</f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133">
        <v>7.5</v>
      </c>
      <c r="V7" s="21">
        <f>(E7/8/10)*U7</f>
        <v>47.0625</v>
      </c>
      <c r="W7" s="136"/>
      <c r="X7" s="137">
        <f>+G7+H7+P7+R7+T7+V7+W7+I7</f>
        <v>6703.0625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>+D8/13</f>
        <v>502</v>
      </c>
      <c r="F8" s="73">
        <v>13</v>
      </c>
      <c r="G8" s="141">
        <f>+D8</f>
        <v>6526</v>
      </c>
      <c r="H8" s="21">
        <f>(F8+J8+K8+L8+Q8)*10</f>
        <v>130</v>
      </c>
      <c r="I8" s="21"/>
      <c r="J8" s="7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f>+'10.26-11.10'!P229</f>
        <v>0</v>
      </c>
      <c r="O8" s="73">
        <f>+'10.26-11.10'!Q229</f>
        <v>0</v>
      </c>
      <c r="P8" s="233">
        <f t="shared" ref="P8:P16" si="0">(((E8/8)*1.25)*M8)+((((E8/8)*N8)*200%)*130%)+((((E8/8)*130%)*130%)*O8)</f>
        <v>0</v>
      </c>
      <c r="Q8" s="73"/>
      <c r="R8" s="21">
        <f t="shared" ref="R8:R16" si="1">+Q8*E8</f>
        <v>0</v>
      </c>
      <c r="S8" s="73">
        <f>+'10.26-11.10'!W229</f>
        <v>0</v>
      </c>
      <c r="T8" s="21">
        <f t="shared" ref="T8:T16" si="2">(+S8*E8)*0.3</f>
        <v>0</v>
      </c>
      <c r="U8" s="73">
        <v>7.5</v>
      </c>
      <c r="V8" s="21">
        <f t="shared" ref="V8:V16" si="3">(E8/8/10)*U8</f>
        <v>47.0625</v>
      </c>
      <c r="W8" s="15"/>
      <c r="X8" s="137">
        <f t="shared" ref="X8:X16" si="4">+G8+H8+P8+R8+T8+V8+W8+I8</f>
        <v>6703.0625</v>
      </c>
      <c r="Y8" s="142"/>
      <c r="Z8" s="142"/>
    </row>
    <row r="9" spans="1:26" s="138" customFormat="1" ht="12" customHeight="1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73">
        <v>7.5</v>
      </c>
      <c r="G9" s="141">
        <f>D9</f>
        <v>10273</v>
      </c>
      <c r="H9" s="21">
        <f t="shared" ref="H9:H16" si="5">(F9+J9+K9+L9+Q9)*10</f>
        <v>105</v>
      </c>
      <c r="I9" s="21">
        <f>50</f>
        <v>50</v>
      </c>
      <c r="J9" s="73">
        <v>2</v>
      </c>
      <c r="K9" s="73">
        <v>1</v>
      </c>
      <c r="L9" s="73">
        <f>+'10.26-11.10'!J71</f>
        <v>0</v>
      </c>
      <c r="M9" s="73">
        <f>+'10.26-11.10'!O71</f>
        <v>0</v>
      </c>
      <c r="N9" s="73">
        <f>+'10.26-11.10'!P71</f>
        <v>0</v>
      </c>
      <c r="O9" s="73">
        <f>+'10.26-11.10'!Q71</f>
        <v>0</v>
      </c>
      <c r="P9" s="233">
        <f t="shared" si="0"/>
        <v>0</v>
      </c>
      <c r="Q9" s="73"/>
      <c r="R9" s="21">
        <f t="shared" si="1"/>
        <v>0</v>
      </c>
      <c r="S9" s="73">
        <f>+'10.26-11.10'!W71</f>
        <v>0</v>
      </c>
      <c r="T9" s="21">
        <f t="shared" si="2"/>
        <v>0</v>
      </c>
      <c r="U9" s="73"/>
      <c r="V9" s="21">
        <f t="shared" si="3"/>
        <v>0</v>
      </c>
      <c r="W9" s="15"/>
      <c r="X9" s="137">
        <f t="shared" si="4"/>
        <v>10428</v>
      </c>
      <c r="Y9" s="142"/>
      <c r="Z9" s="142"/>
    </row>
    <row r="10" spans="1:26" s="138" customFormat="1" ht="12" customHeight="1">
      <c r="A10" s="139">
        <v>4</v>
      </c>
      <c r="B10" s="22" t="s">
        <v>123</v>
      </c>
      <c r="C10" s="72" t="s">
        <v>268</v>
      </c>
      <c r="D10" s="73">
        <f>5538+130+195+195+(15*13)+(21*13)</f>
        <v>6526</v>
      </c>
      <c r="E10" s="130">
        <f>+D10/13</f>
        <v>502</v>
      </c>
      <c r="F10" s="73">
        <v>13</v>
      </c>
      <c r="G10" s="141">
        <f t="shared" ref="G10:G16" si="6">+D10</f>
        <v>6526</v>
      </c>
      <c r="H10" s="21">
        <f t="shared" si="5"/>
        <v>130</v>
      </c>
      <c r="I10" s="21"/>
      <c r="J10" s="73">
        <v>0</v>
      </c>
      <c r="K10" s="73">
        <f>+'10.26-11.10'!I250</f>
        <v>0</v>
      </c>
      <c r="L10" s="73">
        <f>+'10.26-11.10'!J250</f>
        <v>0</v>
      </c>
      <c r="M10" s="73">
        <f>+'10.26-11.10'!O250</f>
        <v>0</v>
      </c>
      <c r="N10" s="73">
        <f>+'10.26-11.10'!P250</f>
        <v>0</v>
      </c>
      <c r="O10" s="73">
        <f>+'10.26-11.10'!Q250</f>
        <v>0</v>
      </c>
      <c r="P10" s="233">
        <f t="shared" si="0"/>
        <v>0</v>
      </c>
      <c r="Q10" s="73"/>
      <c r="R10" s="21">
        <f t="shared" si="1"/>
        <v>0</v>
      </c>
      <c r="S10" s="73">
        <f>+'10.26-11.10'!W250</f>
        <v>0</v>
      </c>
      <c r="T10" s="21">
        <f t="shared" si="2"/>
        <v>0</v>
      </c>
      <c r="U10" s="73">
        <v>7.5</v>
      </c>
      <c r="V10" s="21">
        <f t="shared" si="3"/>
        <v>47.0625</v>
      </c>
      <c r="W10" s="15"/>
      <c r="X10" s="137">
        <f t="shared" si="4"/>
        <v>6703.0625</v>
      </c>
      <c r="Y10" s="142"/>
      <c r="Z10" s="142"/>
    </row>
    <row r="11" spans="1:26" s="138" customFormat="1" ht="12" customHeight="1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ref="E11:E16" si="7">+D11/13</f>
        <v>502</v>
      </c>
      <c r="F11" s="73">
        <v>12</v>
      </c>
      <c r="G11" s="141">
        <f t="shared" si="6"/>
        <v>6526</v>
      </c>
      <c r="H11" s="21">
        <f t="shared" si="5"/>
        <v>120</v>
      </c>
      <c r="I11" s="21"/>
      <c r="J11" s="73">
        <v>0</v>
      </c>
      <c r="K11" s="73">
        <f>+'10.26-11.10(SI)'!I28</f>
        <v>0</v>
      </c>
      <c r="L11" s="73">
        <f>+'10.26-11.10(SI)'!J28</f>
        <v>0</v>
      </c>
      <c r="M11" s="73">
        <v>0</v>
      </c>
      <c r="N11" s="73">
        <f>+'10.26-11.10(SI)'!P28</f>
        <v>0</v>
      </c>
      <c r="O11" s="73">
        <f>+'10.26-11.10(SI)'!Q28</f>
        <v>0</v>
      </c>
      <c r="P11" s="233">
        <f t="shared" si="0"/>
        <v>0</v>
      </c>
      <c r="Q11" s="73"/>
      <c r="R11" s="21">
        <f t="shared" si="1"/>
        <v>0</v>
      </c>
      <c r="S11" s="73">
        <f>+'10.26-11.10(SI)'!W28</f>
        <v>0</v>
      </c>
      <c r="T11" s="21">
        <f t="shared" si="2"/>
        <v>0</v>
      </c>
      <c r="U11" s="73">
        <v>7.5</v>
      </c>
      <c r="V11" s="21">
        <f t="shared" si="3"/>
        <v>47.0625</v>
      </c>
      <c r="W11" s="15"/>
      <c r="X11" s="137">
        <f t="shared" si="4"/>
        <v>6693.0625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7"/>
        <v>0</v>
      </c>
      <c r="F12" s="73"/>
      <c r="G12" s="141">
        <f t="shared" si="6"/>
        <v>0</v>
      </c>
      <c r="H12" s="21">
        <f t="shared" si="5"/>
        <v>0</v>
      </c>
      <c r="I12" s="21"/>
      <c r="J12" s="73"/>
      <c r="K12" s="73"/>
      <c r="L12" s="73"/>
      <c r="M12" s="73"/>
      <c r="N12" s="73"/>
      <c r="O12" s="73"/>
      <c r="P12" s="233">
        <f t="shared" si="0"/>
        <v>0</v>
      </c>
      <c r="Q12" s="73"/>
      <c r="R12" s="21">
        <f t="shared" si="1"/>
        <v>0</v>
      </c>
      <c r="S12" s="73"/>
      <c r="T12" s="21">
        <f t="shared" si="2"/>
        <v>0</v>
      </c>
      <c r="U12" s="73"/>
      <c r="V12" s="21">
        <f t="shared" si="3"/>
        <v>0</v>
      </c>
      <c r="W12" s="15"/>
      <c r="X12" s="137">
        <f t="shared" si="4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7"/>
        <v>0</v>
      </c>
      <c r="F13" s="140"/>
      <c r="G13" s="141">
        <f t="shared" si="6"/>
        <v>0</v>
      </c>
      <c r="H13" s="21">
        <f t="shared" si="5"/>
        <v>0</v>
      </c>
      <c r="I13" s="21"/>
      <c r="J13" s="73"/>
      <c r="K13" s="73"/>
      <c r="L13" s="73"/>
      <c r="M13" s="73"/>
      <c r="N13" s="73"/>
      <c r="O13" s="73"/>
      <c r="P13" s="233">
        <f t="shared" si="0"/>
        <v>0</v>
      </c>
      <c r="Q13" s="73"/>
      <c r="R13" s="21">
        <f t="shared" si="1"/>
        <v>0</v>
      </c>
      <c r="S13" s="73"/>
      <c r="T13" s="21">
        <f t="shared" si="2"/>
        <v>0</v>
      </c>
      <c r="U13" s="73"/>
      <c r="V13" s="21">
        <f t="shared" si="3"/>
        <v>0</v>
      </c>
      <c r="W13" s="15"/>
      <c r="X13" s="137">
        <f t="shared" si="4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1">
        <f t="shared" si="5"/>
        <v>0</v>
      </c>
      <c r="I14" s="1"/>
      <c r="J14" s="73"/>
      <c r="K14" s="73"/>
      <c r="L14" s="73"/>
      <c r="M14" s="73"/>
      <c r="N14" s="73"/>
      <c r="O14" s="73"/>
      <c r="P14" s="233">
        <f t="shared" si="0"/>
        <v>0</v>
      </c>
      <c r="Q14" s="73"/>
      <c r="R14" s="21">
        <f t="shared" si="1"/>
        <v>0</v>
      </c>
      <c r="S14" s="73"/>
      <c r="T14" s="21">
        <f t="shared" si="2"/>
        <v>0</v>
      </c>
      <c r="U14" s="73"/>
      <c r="V14" s="21">
        <f t="shared" si="3"/>
        <v>0</v>
      </c>
      <c r="W14" s="15"/>
      <c r="X14" s="137">
        <f t="shared" si="4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si="5"/>
        <v>0</v>
      </c>
      <c r="I15" s="1"/>
      <c r="J15" s="73"/>
      <c r="K15" s="73"/>
      <c r="L15" s="73"/>
      <c r="M15" s="73"/>
      <c r="N15" s="73"/>
      <c r="O15" s="73"/>
      <c r="P15" s="233">
        <f t="shared" si="0"/>
        <v>0</v>
      </c>
      <c r="Q15" s="73"/>
      <c r="R15" s="21">
        <f t="shared" si="1"/>
        <v>0</v>
      </c>
      <c r="S15" s="73"/>
      <c r="T15" s="21">
        <f t="shared" si="2"/>
        <v>0</v>
      </c>
      <c r="U15" s="73"/>
      <c r="V15" s="21">
        <f t="shared" si="3"/>
        <v>0</v>
      </c>
      <c r="W15" s="15"/>
      <c r="X15" s="137">
        <f t="shared" si="4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5"/>
        <v>0</v>
      </c>
      <c r="I16" s="1"/>
      <c r="J16" s="15"/>
      <c r="K16" s="15"/>
      <c r="L16" s="15"/>
      <c r="M16" s="73"/>
      <c r="N16" s="73"/>
      <c r="O16" s="73"/>
      <c r="P16" s="233">
        <f t="shared" si="0"/>
        <v>0</v>
      </c>
      <c r="Q16" s="73"/>
      <c r="R16" s="21">
        <f t="shared" si="1"/>
        <v>0</v>
      </c>
      <c r="S16" s="73"/>
      <c r="T16" s="21">
        <f t="shared" si="2"/>
        <v>0</v>
      </c>
      <c r="U16" s="73"/>
      <c r="V16" s="21">
        <f t="shared" si="3"/>
        <v>0</v>
      </c>
      <c r="W16" s="15"/>
      <c r="X16" s="137">
        <f t="shared" si="4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615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188.25</v>
      </c>
      <c r="W18" s="4"/>
      <c r="X18" s="3">
        <f>SUM(X7:X16)</f>
        <v>37230.25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62"/>
      <c r="B20" s="364" t="s">
        <v>0</v>
      </c>
      <c r="C20" s="366" t="s">
        <v>1</v>
      </c>
      <c r="D20" s="368" t="s">
        <v>3</v>
      </c>
      <c r="E20" s="370" t="s">
        <v>22</v>
      </c>
      <c r="F20" s="377" t="s">
        <v>2</v>
      </c>
      <c r="G20" s="366" t="s">
        <v>21</v>
      </c>
      <c r="H20" s="368" t="s">
        <v>2</v>
      </c>
      <c r="I20" s="373" t="s">
        <v>126</v>
      </c>
      <c r="J20" s="389" t="s">
        <v>4</v>
      </c>
      <c r="K20" s="391" t="s">
        <v>23</v>
      </c>
      <c r="L20" s="368" t="s">
        <v>5</v>
      </c>
      <c r="M20" s="368" t="s">
        <v>6</v>
      </c>
      <c r="N20" s="368" t="s">
        <v>24</v>
      </c>
      <c r="O20" s="368" t="s">
        <v>7</v>
      </c>
      <c r="P20" s="387" t="s">
        <v>3</v>
      </c>
      <c r="Q20" s="244"/>
      <c r="R20" s="152" t="s">
        <v>103</v>
      </c>
      <c r="S20" s="244"/>
    </row>
    <row r="21" spans="1:24" s="138" customFormat="1" ht="15" customHeight="1" thickBot="1">
      <c r="A21" s="363"/>
      <c r="B21" s="365"/>
      <c r="C21" s="367"/>
      <c r="D21" s="369"/>
      <c r="E21" s="371"/>
      <c r="F21" s="378"/>
      <c r="G21" s="381"/>
      <c r="H21" s="372"/>
      <c r="I21" s="374"/>
      <c r="J21" s="390"/>
      <c r="K21" s="392"/>
      <c r="L21" s="372"/>
      <c r="M21" s="372"/>
      <c r="N21" s="369"/>
      <c r="O21" s="372"/>
      <c r="P21" s="388"/>
      <c r="R21" s="250" t="str">
        <f>D3</f>
        <v>May 26-June 10,2018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6703.0625</v>
      </c>
      <c r="E22" s="133">
        <f>+'10.26-11.10'!R25</f>
        <v>0</v>
      </c>
      <c r="F22" s="20">
        <f>+E22*E7</f>
        <v>0</v>
      </c>
      <c r="G22" s="133"/>
      <c r="H22" s="20">
        <f>(+E7/8)*G22</f>
        <v>0</v>
      </c>
      <c r="I22" s="133"/>
      <c r="J22" s="155"/>
      <c r="K22" s="17">
        <v>500</v>
      </c>
      <c r="L22" s="15"/>
      <c r="M22" s="156">
        <f>'[1]summary of contribution'!$O$18</f>
        <v>100</v>
      </c>
      <c r="N22" s="17">
        <v>579.26</v>
      </c>
      <c r="O22" s="156"/>
      <c r="P22" s="158">
        <f>+D22-F22-H22-J22-K22-L22-M22-N22-O22-I22</f>
        <v>5523.8024999999998</v>
      </c>
      <c r="R22" s="71">
        <f t="shared" ref="R22:R31" si="9">G7+H7+P7+R7+T7+V7+W7-F22-H22</f>
        <v>6703.0625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6703.0625</v>
      </c>
      <c r="E23" s="73">
        <f>+'10.26-11.10'!R229</f>
        <v>0</v>
      </c>
      <c r="F23" s="21">
        <f t="shared" ref="F23:F31" si="10">+E23*E8</f>
        <v>0</v>
      </c>
      <c r="G23" s="73">
        <v>0.74</v>
      </c>
      <c r="H23" s="21">
        <f t="shared" ref="H23:H31" si="11">(+E8/8)*G23</f>
        <v>46.435000000000002</v>
      </c>
      <c r="I23" s="73"/>
      <c r="J23" s="15"/>
      <c r="K23" s="15"/>
      <c r="L23" s="15"/>
      <c r="M23" s="18">
        <f>'[1]summary of contribution'!$O$19</f>
        <v>100</v>
      </c>
      <c r="N23" s="15"/>
      <c r="O23" s="18"/>
      <c r="P23" s="158">
        <f t="shared" ref="P23:P31" si="12">+D23-F23-H23-J23-K23-L23-M23-N23-O23-I23</f>
        <v>6556.6274999999996</v>
      </c>
      <c r="R23" s="71">
        <f t="shared" si="9"/>
        <v>6656.6274999999996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10428</v>
      </c>
      <c r="E24" s="73">
        <v>2.5</v>
      </c>
      <c r="F24" s="21">
        <f t="shared" si="10"/>
        <v>1975.5769230769233</v>
      </c>
      <c r="G24" s="73">
        <v>0.21</v>
      </c>
      <c r="H24" s="21">
        <f t="shared" si="11"/>
        <v>20.743557692307693</v>
      </c>
      <c r="I24" s="73"/>
      <c r="J24" s="15"/>
      <c r="K24" s="15">
        <v>0</v>
      </c>
      <c r="L24" s="15"/>
      <c r="M24" s="18">
        <f>'[1]summary of contribution'!$O$20</f>
        <v>100</v>
      </c>
      <c r="N24" s="15">
        <v>1878.89</v>
      </c>
      <c r="O24" s="18"/>
      <c r="P24" s="158">
        <f t="shared" si="12"/>
        <v>6452.7895192307687</v>
      </c>
      <c r="R24" s="71">
        <f t="shared" si="9"/>
        <v>8381.6795192307691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6703.0625</v>
      </c>
      <c r="E25" s="73">
        <f>+'10.26-11.10'!R250</f>
        <v>0</v>
      </c>
      <c r="F25" s="21">
        <f t="shared" si="10"/>
        <v>0</v>
      </c>
      <c r="G25" s="73"/>
      <c r="H25" s="21">
        <f t="shared" si="11"/>
        <v>0</v>
      </c>
      <c r="I25" s="73"/>
      <c r="J25" s="15"/>
      <c r="K25" s="15">
        <v>600</v>
      </c>
      <c r="L25" s="15"/>
      <c r="M25" s="18">
        <f>'[1]summary of contribution'!$O$21</f>
        <v>100</v>
      </c>
      <c r="N25" s="15">
        <v>0</v>
      </c>
      <c r="O25" s="18"/>
      <c r="P25" s="158">
        <f t="shared" si="12"/>
        <v>6003.0625</v>
      </c>
      <c r="R25" s="71">
        <f t="shared" si="9"/>
        <v>6703.0625</v>
      </c>
    </row>
    <row r="26" spans="1:24" s="138" customFormat="1" ht="12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6693.0625</v>
      </c>
      <c r="E26" s="73">
        <v>1</v>
      </c>
      <c r="F26" s="21">
        <f t="shared" si="10"/>
        <v>502</v>
      </c>
      <c r="G26" s="73">
        <v>0</v>
      </c>
      <c r="H26" s="21">
        <f t="shared" si="11"/>
        <v>0</v>
      </c>
      <c r="I26" s="73"/>
      <c r="J26" s="15"/>
      <c r="K26" s="15"/>
      <c r="L26" s="15"/>
      <c r="M26" s="18">
        <f>'[1]summary of contribution'!$O$21</f>
        <v>100</v>
      </c>
      <c r="N26" s="15">
        <f>986.7</f>
        <v>986.7</v>
      </c>
      <c r="O26" s="18"/>
      <c r="P26" s="158">
        <f t="shared" si="12"/>
        <v>5104.3625000000002</v>
      </c>
      <c r="R26" s="71">
        <f t="shared" si="9"/>
        <v>6191.0625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73"/>
      <c r="F27" s="21">
        <f t="shared" si="10"/>
        <v>0</v>
      </c>
      <c r="G27" s="73"/>
      <c r="H27" s="21">
        <f t="shared" si="11"/>
        <v>0</v>
      </c>
      <c r="I27" s="73"/>
      <c r="J27" s="15"/>
      <c r="K27" s="15"/>
      <c r="L27" s="15"/>
      <c r="M27" s="18">
        <f>'[1]summary of contribution'!$O$23</f>
        <v>0</v>
      </c>
      <c r="N27" s="15"/>
      <c r="O27" s="18"/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73"/>
      <c r="F28" s="21">
        <f t="shared" si="10"/>
        <v>0</v>
      </c>
      <c r="G28" s="73"/>
      <c r="H28" s="21">
        <f t="shared" si="11"/>
        <v>0</v>
      </c>
      <c r="I28" s="73"/>
      <c r="J28" s="15"/>
      <c r="K28" s="15"/>
      <c r="L28" s="15"/>
      <c r="M28" s="18">
        <f>'[1]summary of contribution'!$O$24</f>
        <v>0</v>
      </c>
      <c r="N28" s="15"/>
      <c r="O28" s="18"/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73"/>
      <c r="F29" s="21">
        <f t="shared" si="10"/>
        <v>0</v>
      </c>
      <c r="G29" s="73"/>
      <c r="H29" s="21">
        <f t="shared" si="11"/>
        <v>0</v>
      </c>
      <c r="I29" s="73"/>
      <c r="J29" s="15"/>
      <c r="K29" s="15"/>
      <c r="L29" s="15"/>
      <c r="M29" s="18">
        <f>'[1]summary of contribution'!$O$25</f>
        <v>0</v>
      </c>
      <c r="N29" s="15"/>
      <c r="O29" s="18"/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73"/>
      <c r="F30" s="21">
        <f t="shared" si="10"/>
        <v>0</v>
      </c>
      <c r="G30" s="73"/>
      <c r="H30" s="21">
        <f t="shared" si="11"/>
        <v>0</v>
      </c>
      <c r="I30" s="73"/>
      <c r="J30" s="15"/>
      <c r="K30" s="15"/>
      <c r="L30" s="15"/>
      <c r="M30" s="18">
        <f>'[1]summary of contribution'!$O$26</f>
        <v>0</v>
      </c>
      <c r="N30" s="15"/>
      <c r="O30" s="18"/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/>
      <c r="K31" s="15"/>
      <c r="L31" s="15"/>
      <c r="M31" s="18">
        <f>'[1]summary of contribution'!$O$27</f>
        <v>0</v>
      </c>
      <c r="N31" s="15"/>
      <c r="O31" s="18"/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>
      <c r="A33" s="161"/>
      <c r="B33" s="147"/>
      <c r="C33" s="148"/>
      <c r="D33" s="3">
        <f>SUM(D22:D32)</f>
        <v>37230.25</v>
      </c>
      <c r="E33" s="4">
        <f>+SUM(E22:E32)</f>
        <v>3.5</v>
      </c>
      <c r="F33" s="3">
        <f>SUM(F22:F32)</f>
        <v>2477.5769230769233</v>
      </c>
      <c r="G33" s="4"/>
      <c r="H33" s="3">
        <f>SUM(H22:H32)</f>
        <v>67.178557692307692</v>
      </c>
      <c r="I33" s="3">
        <f>+SUM(I22:I32)</f>
        <v>0</v>
      </c>
      <c r="J33" s="3">
        <f t="shared" ref="J33:O33" si="15">+SUM(J22:J32)</f>
        <v>0</v>
      </c>
      <c r="K33" s="3">
        <f t="shared" si="15"/>
        <v>1100</v>
      </c>
      <c r="L33" s="3">
        <f t="shared" si="15"/>
        <v>0</v>
      </c>
      <c r="M33" s="3">
        <f t="shared" si="15"/>
        <v>500</v>
      </c>
      <c r="N33" s="3">
        <f t="shared" si="15"/>
        <v>3444.8500000000004</v>
      </c>
      <c r="O33" s="3">
        <f t="shared" si="15"/>
        <v>0</v>
      </c>
      <c r="P33" s="5">
        <f>+SUM(P22:P32)</f>
        <v>29640.644519230769</v>
      </c>
      <c r="R33" s="51"/>
      <c r="S33" s="249" t="s">
        <v>102</v>
      </c>
      <c r="T33" s="163"/>
    </row>
    <row r="34" spans="1:25">
      <c r="O34" s="19" t="s">
        <v>114</v>
      </c>
      <c r="P34" s="19" t="s">
        <v>115</v>
      </c>
      <c r="Q34" s="19" t="s">
        <v>116</v>
      </c>
      <c r="R34" s="164"/>
      <c r="S34" s="168"/>
    </row>
    <row r="35" spans="1:25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6557.8024999999998</v>
      </c>
    </row>
    <row r="36" spans="1:25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17"/>
        <v>7056.6274999999996</v>
      </c>
    </row>
    <row r="37" spans="1:25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807.69230769230762</v>
      </c>
      <c r="Q37" s="16">
        <v>0</v>
      </c>
      <c r="S37" s="166">
        <f t="shared" si="17"/>
        <v>7510.4818269230764</v>
      </c>
    </row>
    <row r="38" spans="1:25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7037.0625</v>
      </c>
    </row>
    <row r="39" spans="1:25">
      <c r="M39" s="16" t="str">
        <f t="shared" si="16"/>
        <v>Briones, Christain Joy</v>
      </c>
      <c r="O39" s="16">
        <v>0</v>
      </c>
      <c r="P39" s="16">
        <v>0</v>
      </c>
      <c r="Q39" s="16">
        <v>0</v>
      </c>
      <c r="S39" s="166">
        <f t="shared" si="17"/>
        <v>5104.3625000000002</v>
      </c>
      <c r="T39" s="335" t="s">
        <v>269</v>
      </c>
      <c r="U39" s="335"/>
      <c r="V39" s="335"/>
      <c r="W39" s="335"/>
      <c r="X39" s="335"/>
      <c r="Y39" s="335"/>
    </row>
    <row r="40" spans="1:25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5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5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5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5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5">
      <c r="P46" s="169">
        <f>+P33+(SUM(O35:Q44))</f>
        <v>33266.336826923078</v>
      </c>
    </row>
    <row r="53" spans="1:14" ht="13.5" thickBot="1"/>
    <row r="54" spans="1:14" ht="13.5" thickBot="1">
      <c r="A54" s="362"/>
      <c r="B54" s="364" t="s">
        <v>0</v>
      </c>
      <c r="C54" s="366" t="s">
        <v>1</v>
      </c>
      <c r="D54" s="368" t="s">
        <v>45</v>
      </c>
      <c r="E54" s="402" t="s">
        <v>151</v>
      </c>
      <c r="F54" s="399" t="s">
        <v>112</v>
      </c>
      <c r="G54" s="400"/>
      <c r="H54" s="385" t="s">
        <v>272</v>
      </c>
      <c r="I54" s="387" t="s">
        <v>3</v>
      </c>
      <c r="J54" s="401" t="s">
        <v>114</v>
      </c>
      <c r="K54" s="397" t="s">
        <v>115</v>
      </c>
      <c r="L54" s="397" t="s">
        <v>116</v>
      </c>
      <c r="N54" s="396" t="s">
        <v>102</v>
      </c>
    </row>
    <row r="55" spans="1:14" ht="13.5" thickBot="1">
      <c r="A55" s="363"/>
      <c r="B55" s="365"/>
      <c r="C55" s="367"/>
      <c r="D55" s="404"/>
      <c r="E55" s="403"/>
      <c r="F55" s="245" t="s">
        <v>113</v>
      </c>
      <c r="G55" s="246" t="s">
        <v>148</v>
      </c>
      <c r="H55" s="386"/>
      <c r="I55" s="388"/>
      <c r="J55" s="401"/>
      <c r="K55" s="397"/>
      <c r="L55" s="397"/>
      <c r="N55" s="396"/>
    </row>
    <row r="56" spans="1:14" ht="13.5" thickBot="1">
      <c r="A56" s="153">
        <v>1</v>
      </c>
      <c r="B56" s="49" t="str">
        <f t="shared" ref="B56:C65" si="18">+B22</f>
        <v>Biarcal, Ronald Glenn</v>
      </c>
      <c r="C56" s="49" t="str">
        <f t="shared" si="18"/>
        <v>M.T.Purchaser</v>
      </c>
      <c r="D56" s="133"/>
      <c r="E56" s="157"/>
      <c r="F56" s="236"/>
      <c r="G56" s="236">
        <f>2775/2</f>
        <v>1387.5</v>
      </c>
      <c r="H56" s="157">
        <v>365</v>
      </c>
      <c r="I56" s="158">
        <f>+D22-F22-H22-D56-J22-K22-L22-M22-N22-O22-E56-H56-F56-G56-I22</f>
        <v>3771.3024999999998</v>
      </c>
      <c r="J56" s="274">
        <f>+O35</f>
        <v>150</v>
      </c>
      <c r="K56" s="274">
        <f t="shared" ref="K56:L60" si="19">+P35</f>
        <v>884</v>
      </c>
      <c r="L56" s="274">
        <f t="shared" si="19"/>
        <v>0</v>
      </c>
      <c r="N56" s="165">
        <f t="shared" ref="N56:N61" si="20">+I56+J56+K56</f>
        <v>4805.3024999999998</v>
      </c>
    </row>
    <row r="57" spans="1:14" ht="13.5" thickBot="1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73">
        <v>9</v>
      </c>
      <c r="E57" s="122"/>
      <c r="F57" s="122"/>
      <c r="G57" s="122"/>
      <c r="H57" s="157">
        <v>365</v>
      </c>
      <c r="I57" s="158">
        <f t="shared" ref="I57:I65" si="21">+D23-F23-H23-D57-J23-K23-L23-M23-N23-O23-E57-H57-F57-G57-I23</f>
        <v>6182.6274999999996</v>
      </c>
      <c r="J57" s="274">
        <f>+O36</f>
        <v>0</v>
      </c>
      <c r="K57" s="274">
        <f t="shared" si="19"/>
        <v>500</v>
      </c>
      <c r="L57" s="274">
        <f t="shared" si="19"/>
        <v>0</v>
      </c>
      <c r="N57" s="165">
        <f t="shared" si="20"/>
        <v>6682.6274999999996</v>
      </c>
    </row>
    <row r="58" spans="1:14" ht="13.5" thickBot="1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73"/>
      <c r="E58" s="122"/>
      <c r="F58" s="18"/>
      <c r="G58" s="18">
        <f>3202.78/2</f>
        <v>1601.39</v>
      </c>
      <c r="H58" s="157">
        <v>365</v>
      </c>
      <c r="I58" s="158">
        <f t="shared" si="21"/>
        <v>4486.3995192307684</v>
      </c>
      <c r="J58" s="274">
        <f>+O37</f>
        <v>250</v>
      </c>
      <c r="K58" s="274">
        <f t="shared" si="19"/>
        <v>807.69230769230762</v>
      </c>
      <c r="L58" s="274">
        <f t="shared" si="19"/>
        <v>0</v>
      </c>
      <c r="N58" s="165">
        <f t="shared" si="20"/>
        <v>5544.091826923076</v>
      </c>
    </row>
    <row r="59" spans="1:14" ht="13.5" thickBot="1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73">
        <v>11.7</v>
      </c>
      <c r="E59" s="122"/>
      <c r="F59" s="122"/>
      <c r="G59" s="122">
        <f>3074.67/2</f>
        <v>1537.335</v>
      </c>
      <c r="H59" s="157">
        <v>365</v>
      </c>
      <c r="I59" s="158">
        <f t="shared" si="21"/>
        <v>4089.0275000000001</v>
      </c>
      <c r="J59" s="274">
        <f>+O38</f>
        <v>150</v>
      </c>
      <c r="K59" s="274">
        <f t="shared" si="19"/>
        <v>884</v>
      </c>
      <c r="L59" s="274">
        <f t="shared" si="19"/>
        <v>0</v>
      </c>
      <c r="N59" s="165">
        <f t="shared" si="20"/>
        <v>5123.0275000000001</v>
      </c>
    </row>
    <row r="60" spans="1:14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73"/>
      <c r="E60" s="122"/>
      <c r="F60" s="122"/>
      <c r="G60" s="122"/>
      <c r="H60" s="157">
        <v>365</v>
      </c>
      <c r="I60" s="158">
        <f t="shared" si="21"/>
        <v>4739.3625000000002</v>
      </c>
      <c r="J60" s="274">
        <f>+O39</f>
        <v>0</v>
      </c>
      <c r="K60" s="274">
        <f t="shared" si="19"/>
        <v>0</v>
      </c>
      <c r="L60" s="274">
        <f t="shared" si="19"/>
        <v>0</v>
      </c>
      <c r="N60" s="165">
        <f t="shared" si="20"/>
        <v>4739.3625000000002</v>
      </c>
    </row>
    <row r="61" spans="1:14">
      <c r="A61" s="139">
        <v>6</v>
      </c>
      <c r="B61" s="22">
        <f t="shared" si="18"/>
        <v>0</v>
      </c>
      <c r="C61" s="248">
        <f t="shared" si="18"/>
        <v>0</v>
      </c>
      <c r="D61" s="73"/>
      <c r="E61" s="122"/>
      <c r="F61" s="122"/>
      <c r="G61" s="122"/>
      <c r="H61" s="122"/>
      <c r="I61" s="158">
        <f t="shared" si="21"/>
        <v>0</v>
      </c>
      <c r="N61" s="165">
        <f t="shared" si="20"/>
        <v>0</v>
      </c>
    </row>
    <row r="62" spans="1:14">
      <c r="A62" s="139">
        <v>7</v>
      </c>
      <c r="B62" s="22">
        <f t="shared" si="18"/>
        <v>0</v>
      </c>
      <c r="C62" s="248">
        <f t="shared" si="18"/>
        <v>0</v>
      </c>
      <c r="D62" s="73"/>
      <c r="E62" s="122"/>
      <c r="F62" s="122"/>
      <c r="G62" s="122"/>
      <c r="H62" s="122"/>
      <c r="I62" s="158">
        <f t="shared" si="21"/>
        <v>0</v>
      </c>
    </row>
    <row r="63" spans="1:14">
      <c r="A63" s="139">
        <v>8</v>
      </c>
      <c r="B63" s="22">
        <f t="shared" si="18"/>
        <v>0</v>
      </c>
      <c r="C63" s="248">
        <f t="shared" si="18"/>
        <v>0</v>
      </c>
      <c r="D63" s="73"/>
      <c r="E63" s="122"/>
      <c r="F63" s="122"/>
      <c r="G63" s="122"/>
      <c r="H63" s="15">
        <v>0</v>
      </c>
      <c r="I63" s="158">
        <f t="shared" si="21"/>
        <v>0</v>
      </c>
    </row>
    <row r="64" spans="1:14">
      <c r="A64" s="139">
        <v>9</v>
      </c>
      <c r="B64" s="22">
        <f t="shared" si="18"/>
        <v>0</v>
      </c>
      <c r="C64" s="248">
        <f t="shared" si="18"/>
        <v>0</v>
      </c>
      <c r="D64" s="73"/>
      <c r="E64" s="122"/>
      <c r="F64" s="122"/>
      <c r="G64" s="122"/>
      <c r="H64" s="15">
        <v>0</v>
      </c>
      <c r="I64" s="158">
        <f t="shared" si="21"/>
        <v>0</v>
      </c>
    </row>
    <row r="65" spans="1:14">
      <c r="A65" s="139">
        <v>10</v>
      </c>
      <c r="B65" s="22">
        <f t="shared" si="18"/>
        <v>0</v>
      </c>
      <c r="C65" s="248">
        <f t="shared" si="18"/>
        <v>0</v>
      </c>
      <c r="D65" s="22"/>
      <c r="E65" s="122"/>
      <c r="F65" s="122"/>
      <c r="G65" s="122"/>
      <c r="H65" s="15">
        <v>0</v>
      </c>
      <c r="I65" s="158">
        <f t="shared" si="21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>
      <c r="A67" s="161"/>
      <c r="B67" s="147"/>
      <c r="C67" s="148"/>
      <c r="D67" s="3">
        <f>SUM(D56:D66)</f>
        <v>20.7</v>
      </c>
      <c r="E67" s="3">
        <f>+SUM(E56:E66)</f>
        <v>0</v>
      </c>
      <c r="F67" s="3">
        <f>+SUM(F56:F66)</f>
        <v>0</v>
      </c>
      <c r="G67" s="3">
        <f>+SUM(G56:G66)</f>
        <v>4526.2250000000004</v>
      </c>
      <c r="H67" s="3">
        <f>+SUM(H56:H66)</f>
        <v>1825</v>
      </c>
      <c r="I67" s="5">
        <f>+SUM(I56:I66)</f>
        <v>23268.719519230766</v>
      </c>
      <c r="N67" s="275">
        <f>SUM(N56:N66)</f>
        <v>26894.411826923075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12" t="str">
        <f>'26-10 payroll'!A1</f>
        <v>THE OLD SPAGHETTI HOUSE</v>
      </c>
      <c r="C2" s="413"/>
      <c r="D2" s="413"/>
      <c r="E2" s="413"/>
      <c r="F2" s="413"/>
      <c r="G2" s="413"/>
      <c r="H2" s="414"/>
      <c r="I2" s="178"/>
      <c r="J2" s="412" t="str">
        <f>'26-10 payroll'!A1</f>
        <v>THE OLD SPAGHETTI HOUSE</v>
      </c>
      <c r="K2" s="413"/>
      <c r="L2" s="413"/>
      <c r="M2" s="413"/>
      <c r="N2" s="413"/>
      <c r="O2" s="413"/>
      <c r="P2" s="414"/>
    </row>
    <row r="3" spans="1:22" s="179" customFormat="1">
      <c r="A3" s="170"/>
      <c r="B3" s="415" t="str">
        <f>'26-10 payroll'!D2</f>
        <v>VALERO</v>
      </c>
      <c r="C3" s="416"/>
      <c r="D3" s="416"/>
      <c r="E3" s="416"/>
      <c r="F3" s="416"/>
      <c r="G3" s="416"/>
      <c r="H3" s="417"/>
      <c r="I3" s="178"/>
      <c r="J3" s="415" t="str">
        <f>'26-10 payroll'!D2</f>
        <v>VALERO</v>
      </c>
      <c r="K3" s="416"/>
      <c r="L3" s="416"/>
      <c r="M3" s="416"/>
      <c r="N3" s="416"/>
      <c r="O3" s="416"/>
      <c r="P3" s="417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18" t="s">
        <v>25</v>
      </c>
      <c r="C5" s="419"/>
      <c r="D5" s="419"/>
      <c r="E5" s="419"/>
      <c r="F5" s="419"/>
      <c r="G5" s="419"/>
      <c r="H5" s="420"/>
      <c r="I5" s="178"/>
      <c r="J5" s="418" t="s">
        <v>25</v>
      </c>
      <c r="K5" s="419"/>
      <c r="L5" s="419"/>
      <c r="M5" s="419"/>
      <c r="N5" s="419"/>
      <c r="O5" s="419"/>
      <c r="P5" s="420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09" t="str">
        <f>'26-10 payroll'!B7</f>
        <v>Biarcal, Ronald Glenn</v>
      </c>
      <c r="E7" s="409"/>
      <c r="F7" s="409"/>
      <c r="G7" s="55"/>
      <c r="H7" s="194"/>
      <c r="I7" s="195"/>
      <c r="J7" s="192" t="s">
        <v>26</v>
      </c>
      <c r="K7" s="193" t="s">
        <v>27</v>
      </c>
      <c r="L7" s="409" t="str">
        <f>'26-10 payroll'!B8</f>
        <v>Sanchez, Angelo</v>
      </c>
      <c r="M7" s="409"/>
      <c r="N7" s="409"/>
      <c r="O7" s="9"/>
      <c r="P7" s="194"/>
    </row>
    <row r="8" spans="1:22">
      <c r="B8" s="192" t="s">
        <v>28</v>
      </c>
      <c r="C8" s="193" t="s">
        <v>27</v>
      </c>
      <c r="D8" s="410">
        <f>'26-10 payroll'!E7</f>
        <v>502</v>
      </c>
      <c r="E8" s="410"/>
      <c r="F8" s="410"/>
      <c r="G8" s="55"/>
      <c r="H8" s="196"/>
      <c r="I8" s="195"/>
      <c r="J8" s="192" t="s">
        <v>28</v>
      </c>
      <c r="K8" s="193" t="s">
        <v>27</v>
      </c>
      <c r="L8" s="410">
        <f>'26-10 payroll'!E8</f>
        <v>502</v>
      </c>
      <c r="M8" s="410"/>
      <c r="N8" s="410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11" t="str">
        <f>'26-10 payroll'!D3</f>
        <v>May 26-June 10,2018</v>
      </c>
      <c r="E9" s="411"/>
      <c r="F9" s="411"/>
      <c r="G9" s="55"/>
      <c r="H9" s="194"/>
      <c r="I9" s="195"/>
      <c r="J9" s="192" t="s">
        <v>29</v>
      </c>
      <c r="K9" s="193" t="s">
        <v>27</v>
      </c>
      <c r="L9" s="411" t="str">
        <f>'26-10 payroll'!D3</f>
        <v>May 26-June 10,2018</v>
      </c>
      <c r="M9" s="411"/>
      <c r="N9" s="411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13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13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130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130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1081.0625</v>
      </c>
      <c r="G17" s="55"/>
      <c r="H17" s="56">
        <f>SUM(F13:F17)</f>
        <v>1211.0625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547.0625</v>
      </c>
      <c r="O17" s="9"/>
      <c r="P17" s="10">
        <f>SUM(N13:N17)</f>
        <v>677.0625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500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1752.5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365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9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46.435000000000002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-2931.76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-520.43499999999995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4805.3024999999998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6682.6275000000005</v>
      </c>
      <c r="R28" s="215"/>
      <c r="T28" s="216">
        <f>+H28-'26-10 payroll'!S35</f>
        <v>-1752.5</v>
      </c>
      <c r="U28" s="217"/>
      <c r="V28" s="218">
        <f>+P28-'26-10 payroll'!S36</f>
        <v>-373.99999999999909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12" t="str">
        <f>'26-10 payroll'!A1</f>
        <v>THE OLD SPAGHETTI HOUSE</v>
      </c>
      <c r="C35" s="413"/>
      <c r="D35" s="413"/>
      <c r="E35" s="413"/>
      <c r="F35" s="413"/>
      <c r="G35" s="413"/>
      <c r="H35" s="414"/>
      <c r="I35" s="178"/>
      <c r="J35" s="412" t="str">
        <f>'26-10 payroll'!A1</f>
        <v>THE OLD SPAGHETTI HOUSE</v>
      </c>
      <c r="K35" s="413"/>
      <c r="L35" s="413"/>
      <c r="M35" s="413"/>
      <c r="N35" s="413"/>
      <c r="O35" s="413"/>
      <c r="P35" s="414"/>
    </row>
    <row r="36" spans="2:17">
      <c r="B36" s="415" t="str">
        <f>'26-10 payroll'!D2</f>
        <v>VALERO</v>
      </c>
      <c r="C36" s="416"/>
      <c r="D36" s="416"/>
      <c r="E36" s="416"/>
      <c r="F36" s="416"/>
      <c r="G36" s="416"/>
      <c r="H36" s="417"/>
      <c r="I36" s="178"/>
      <c r="J36" s="415" t="str">
        <f>'26-10 payroll'!D2</f>
        <v>VALERO</v>
      </c>
      <c r="K36" s="416"/>
      <c r="L36" s="416"/>
      <c r="M36" s="416"/>
      <c r="N36" s="416"/>
      <c r="O36" s="416"/>
      <c r="P36" s="417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18" t="s">
        <v>25</v>
      </c>
      <c r="C38" s="419"/>
      <c r="D38" s="419"/>
      <c r="E38" s="419"/>
      <c r="F38" s="419"/>
      <c r="G38" s="419"/>
      <c r="H38" s="420"/>
      <c r="I38" s="178"/>
      <c r="J38" s="418" t="s">
        <v>25</v>
      </c>
      <c r="K38" s="419"/>
      <c r="L38" s="419"/>
      <c r="M38" s="419"/>
      <c r="N38" s="419"/>
      <c r="O38" s="419"/>
      <c r="P38" s="420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09" t="str">
        <f>'26-10 payroll'!B24</f>
        <v>Dino, Joyce</v>
      </c>
      <c r="E40" s="409"/>
      <c r="F40" s="409"/>
      <c r="G40" s="55"/>
      <c r="H40" s="194"/>
      <c r="I40" s="195"/>
      <c r="J40" s="192" t="s">
        <v>26</v>
      </c>
      <c r="K40" s="193" t="s">
        <v>27</v>
      </c>
      <c r="L40" s="408" t="str">
        <f>'26-10 payroll'!B10</f>
        <v xml:space="preserve">Sosa, Anna Marie </v>
      </c>
      <c r="M40" s="409"/>
      <c r="N40" s="409"/>
      <c r="O40" s="9"/>
      <c r="P40" s="194"/>
    </row>
    <row r="41" spans="2:17">
      <c r="B41" s="192" t="s">
        <v>28</v>
      </c>
      <c r="C41" s="193" t="s">
        <v>27</v>
      </c>
      <c r="D41" s="410">
        <f>'26-10 payroll'!E9</f>
        <v>790.23076923076928</v>
      </c>
      <c r="E41" s="410"/>
      <c r="F41" s="410"/>
      <c r="G41" s="55"/>
      <c r="H41" s="196"/>
      <c r="I41" s="195"/>
      <c r="J41" s="192" t="s">
        <v>28</v>
      </c>
      <c r="K41" s="193" t="s">
        <v>27</v>
      </c>
      <c r="L41" s="410">
        <f>'26-10 payroll'!E10</f>
        <v>502</v>
      </c>
      <c r="M41" s="410"/>
      <c r="N41" s="410"/>
      <c r="O41" s="9"/>
      <c r="P41" s="196"/>
    </row>
    <row r="42" spans="2:17">
      <c r="B42" s="192" t="s">
        <v>29</v>
      </c>
      <c r="C42" s="193" t="s">
        <v>27</v>
      </c>
      <c r="D42" s="411" t="str">
        <f>'26-10 payroll'!D3</f>
        <v>May 26-June 10,2018</v>
      </c>
      <c r="E42" s="411"/>
      <c r="F42" s="411"/>
      <c r="G42" s="55"/>
      <c r="H42" s="194"/>
      <c r="I42" s="195"/>
      <c r="J42" s="192" t="s">
        <v>29</v>
      </c>
      <c r="K42" s="193" t="s">
        <v>27</v>
      </c>
      <c r="L42" s="411" t="str">
        <f>'26-10 payroll'!D3</f>
        <v>May 26-June 10,2018</v>
      </c>
      <c r="M42" s="411"/>
      <c r="N42" s="411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6526</v>
      </c>
      <c r="Q43" s="174"/>
    </row>
    <row r="44" spans="2:17">
      <c r="B44" s="192"/>
      <c r="C44" s="198"/>
      <c r="D44" s="200" t="s">
        <v>31</v>
      </c>
      <c r="E44" s="202">
        <f>'26-10 payroll'!F9</f>
        <v>7.5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13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105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130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1057.6923076923076</v>
      </c>
      <c r="G50" s="55"/>
      <c r="H50" s="56">
        <f>SUM(F46:F50)</f>
        <v>1162.6923076923076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1081.0625</v>
      </c>
      <c r="O50" s="9"/>
      <c r="P50" s="10">
        <f>SUM(N46:N50)</f>
        <v>1211.0625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1966.39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1902.335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11.7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1996.3204807692309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1878.89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-5941.6004807692316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-2614.0349999999999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5494.091826923077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5123.0275000000001</v>
      </c>
      <c r="Q61" s="174"/>
      <c r="T61" s="216">
        <f>+H61-'26-10 payroll'!S37</f>
        <v>-2016.3899999999994</v>
      </c>
      <c r="V61" s="237">
        <f>+P61-'26-10 payroll'!S38</f>
        <v>-1914.0349999999999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12" t="str">
        <f>'26-10 payroll'!A1</f>
        <v>THE OLD SPAGHETTI HOUSE</v>
      </c>
      <c r="C68" s="413"/>
      <c r="D68" s="413"/>
      <c r="E68" s="413"/>
      <c r="F68" s="413"/>
      <c r="G68" s="413"/>
      <c r="H68" s="414"/>
      <c r="I68" s="178"/>
      <c r="J68" s="412" t="str">
        <f>'26-10 payroll'!A1</f>
        <v>THE OLD SPAGHETTI HOUSE</v>
      </c>
      <c r="K68" s="413"/>
      <c r="L68" s="413"/>
      <c r="M68" s="413"/>
      <c r="N68" s="413"/>
      <c r="O68" s="413"/>
      <c r="P68" s="414"/>
    </row>
    <row r="69" spans="2:17">
      <c r="B69" s="415" t="str">
        <f>'26-10 payroll'!D2</f>
        <v>VALERO</v>
      </c>
      <c r="C69" s="416"/>
      <c r="D69" s="416"/>
      <c r="E69" s="416"/>
      <c r="F69" s="416"/>
      <c r="G69" s="416"/>
      <c r="H69" s="417"/>
      <c r="I69" s="178"/>
      <c r="J69" s="415" t="str">
        <f>'26-10 payroll'!D2</f>
        <v>VALERO</v>
      </c>
      <c r="K69" s="416"/>
      <c r="L69" s="416"/>
      <c r="M69" s="416"/>
      <c r="N69" s="416"/>
      <c r="O69" s="416"/>
      <c r="P69" s="417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18" t="s">
        <v>25</v>
      </c>
      <c r="C71" s="419"/>
      <c r="D71" s="419"/>
      <c r="E71" s="419"/>
      <c r="F71" s="419"/>
      <c r="G71" s="419"/>
      <c r="H71" s="420"/>
      <c r="I71" s="178"/>
      <c r="J71" s="418" t="s">
        <v>25</v>
      </c>
      <c r="K71" s="419"/>
      <c r="L71" s="419"/>
      <c r="M71" s="419"/>
      <c r="N71" s="419"/>
      <c r="O71" s="419"/>
      <c r="P71" s="420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08" t="str">
        <f>'26-10 payroll'!B11</f>
        <v>Briones, Christain Joy</v>
      </c>
      <c r="E73" s="409"/>
      <c r="F73" s="409"/>
      <c r="G73" s="55"/>
      <c r="H73" s="194"/>
      <c r="I73" s="195"/>
      <c r="J73" s="192" t="s">
        <v>26</v>
      </c>
      <c r="K73" s="193" t="s">
        <v>27</v>
      </c>
      <c r="L73" s="408">
        <f>'26-10 payroll'!B12</f>
        <v>0</v>
      </c>
      <c r="M73" s="409"/>
      <c r="N73" s="409"/>
      <c r="O73" s="9"/>
      <c r="P73" s="194"/>
    </row>
    <row r="74" spans="2:17">
      <c r="B74" s="192" t="s">
        <v>28</v>
      </c>
      <c r="C74" s="193" t="s">
        <v>27</v>
      </c>
      <c r="D74" s="410">
        <f>'26-10 payroll'!E11</f>
        <v>502</v>
      </c>
      <c r="E74" s="410"/>
      <c r="F74" s="410"/>
      <c r="G74" s="55"/>
      <c r="H74" s="196"/>
      <c r="I74" s="195"/>
      <c r="J74" s="192" t="s">
        <v>28</v>
      </c>
      <c r="K74" s="193" t="s">
        <v>27</v>
      </c>
      <c r="L74" s="410">
        <f>'26-10 payroll'!E12</f>
        <v>0</v>
      </c>
      <c r="M74" s="410"/>
      <c r="N74" s="410"/>
      <c r="O74" s="9"/>
      <c r="P74" s="196"/>
    </row>
    <row r="75" spans="2:17">
      <c r="B75" s="192" t="s">
        <v>29</v>
      </c>
      <c r="C75" s="193" t="s">
        <v>27</v>
      </c>
      <c r="D75" s="411" t="str">
        <f>'26-10 payroll'!D3</f>
        <v>May 26-June 10,2018</v>
      </c>
      <c r="E75" s="411"/>
      <c r="F75" s="411"/>
      <c r="G75" s="55"/>
      <c r="H75" s="194"/>
      <c r="I75" s="195"/>
      <c r="J75" s="192" t="s">
        <v>29</v>
      </c>
      <c r="K75" s="193" t="s">
        <v>27</v>
      </c>
      <c r="L75" s="411" t="str">
        <f>'26-10 payroll'!D3</f>
        <v>May 26-June 10,2018</v>
      </c>
      <c r="M75" s="411"/>
      <c r="N75" s="411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0</v>
      </c>
      <c r="Q76" s="174"/>
    </row>
    <row r="77" spans="2:17">
      <c r="B77" s="192"/>
      <c r="C77" s="198"/>
      <c r="D77" s="200" t="s">
        <v>31</v>
      </c>
      <c r="E77" s="202">
        <f>'26-10 payroll'!F11</f>
        <v>12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47.0625</v>
      </c>
      <c r="G83" s="55"/>
      <c r="H83" s="56">
        <f>SUM(F79:F83)</f>
        <v>167.0625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365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502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-1953.7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4739.3625000000002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+H94-'26-10 payroll'!S39</f>
        <v>-365</v>
      </c>
      <c r="V94" s="237">
        <f>+P94-'26-10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12" t="str">
        <f>'26-10 payroll'!A1</f>
        <v>THE OLD SPAGHETTI HOUSE</v>
      </c>
      <c r="C101" s="413"/>
      <c r="D101" s="413"/>
      <c r="E101" s="413"/>
      <c r="F101" s="413"/>
      <c r="G101" s="413"/>
      <c r="H101" s="414"/>
      <c r="I101" s="178"/>
      <c r="J101" s="412" t="str">
        <f>'26-10 payroll'!A1</f>
        <v>THE OLD SPAGHETTI HOUSE</v>
      </c>
      <c r="K101" s="413"/>
      <c r="L101" s="413"/>
      <c r="M101" s="413"/>
      <c r="N101" s="413"/>
      <c r="O101" s="413"/>
      <c r="P101" s="414"/>
    </row>
    <row r="102" spans="2:17">
      <c r="B102" s="415" t="str">
        <f>'26-10 payroll'!D2</f>
        <v>VALERO</v>
      </c>
      <c r="C102" s="416"/>
      <c r="D102" s="416"/>
      <c r="E102" s="416"/>
      <c r="F102" s="416"/>
      <c r="G102" s="416"/>
      <c r="H102" s="417"/>
      <c r="I102" s="178"/>
      <c r="J102" s="415" t="str">
        <f>'26-10 payroll'!D2</f>
        <v>VALERO</v>
      </c>
      <c r="K102" s="416"/>
      <c r="L102" s="416"/>
      <c r="M102" s="416"/>
      <c r="N102" s="416"/>
      <c r="O102" s="416"/>
      <c r="P102" s="417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18" t="s">
        <v>25</v>
      </c>
      <c r="C104" s="419"/>
      <c r="D104" s="419"/>
      <c r="E104" s="419"/>
      <c r="F104" s="419"/>
      <c r="G104" s="419"/>
      <c r="H104" s="420"/>
      <c r="I104" s="178"/>
      <c r="J104" s="418" t="s">
        <v>25</v>
      </c>
      <c r="K104" s="419"/>
      <c r="L104" s="419"/>
      <c r="M104" s="419"/>
      <c r="N104" s="419"/>
      <c r="O104" s="419"/>
      <c r="P104" s="420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08">
        <f>'26-10 payroll'!B13</f>
        <v>0</v>
      </c>
      <c r="E106" s="409"/>
      <c r="F106" s="409"/>
      <c r="G106" s="55"/>
      <c r="H106" s="194"/>
      <c r="I106" s="195"/>
      <c r="J106" s="192" t="s">
        <v>26</v>
      </c>
      <c r="K106" s="193" t="s">
        <v>27</v>
      </c>
      <c r="L106" s="408">
        <f>'26-10 payroll'!B29</f>
        <v>0</v>
      </c>
      <c r="M106" s="409"/>
      <c r="N106" s="409"/>
      <c r="O106" s="9"/>
      <c r="P106" s="194"/>
    </row>
    <row r="107" spans="2:17">
      <c r="B107" s="192" t="s">
        <v>28</v>
      </c>
      <c r="C107" s="193" t="s">
        <v>27</v>
      </c>
      <c r="D107" s="410">
        <f>'26-10 payroll'!E13</f>
        <v>0</v>
      </c>
      <c r="E107" s="410"/>
      <c r="F107" s="410"/>
      <c r="G107" s="55"/>
      <c r="H107" s="196"/>
      <c r="I107" s="195"/>
      <c r="J107" s="192" t="s">
        <v>28</v>
      </c>
      <c r="K107" s="193" t="s">
        <v>27</v>
      </c>
      <c r="L107" s="410">
        <f>'26-10 payroll'!E14</f>
        <v>0</v>
      </c>
      <c r="M107" s="410"/>
      <c r="N107" s="410"/>
      <c r="O107" s="9"/>
      <c r="P107" s="196"/>
    </row>
    <row r="108" spans="2:17">
      <c r="B108" s="192" t="s">
        <v>29</v>
      </c>
      <c r="C108" s="193" t="s">
        <v>27</v>
      </c>
      <c r="D108" s="411" t="str">
        <f>'26-10 payroll'!D3</f>
        <v>May 26-June 10,2018</v>
      </c>
      <c r="E108" s="411"/>
      <c r="F108" s="411"/>
      <c r="G108" s="55"/>
      <c r="H108" s="194"/>
      <c r="I108" s="195"/>
      <c r="J108" s="192" t="s">
        <v>29</v>
      </c>
      <c r="K108" s="193" t="s">
        <v>27</v>
      </c>
      <c r="L108" s="411" t="str">
        <f>'26-10 payroll'!D3</f>
        <v>May 26-June 10,2018</v>
      </c>
      <c r="M108" s="411"/>
      <c r="N108" s="411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12" t="str">
        <f>'26-10 payroll'!A1</f>
        <v>THE OLD SPAGHETTI HOUSE</v>
      </c>
      <c r="C134" s="413"/>
      <c r="D134" s="413"/>
      <c r="E134" s="413"/>
      <c r="F134" s="413"/>
      <c r="G134" s="413"/>
      <c r="H134" s="414"/>
      <c r="I134" s="178"/>
      <c r="J134" s="412" t="str">
        <f>'26-10 payroll'!A1</f>
        <v>THE OLD SPAGHETTI HOUSE</v>
      </c>
      <c r="K134" s="413"/>
      <c r="L134" s="413"/>
      <c r="M134" s="413"/>
      <c r="N134" s="413"/>
      <c r="O134" s="413"/>
      <c r="P134" s="414"/>
    </row>
    <row r="135" spans="2:17">
      <c r="B135" s="415" t="str">
        <f>'26-10 payroll'!D2</f>
        <v>VALERO</v>
      </c>
      <c r="C135" s="416"/>
      <c r="D135" s="416"/>
      <c r="E135" s="416"/>
      <c r="F135" s="416"/>
      <c r="G135" s="416"/>
      <c r="H135" s="417"/>
      <c r="I135" s="178"/>
      <c r="J135" s="415" t="str">
        <f>'26-10 payroll'!D2</f>
        <v>VALERO</v>
      </c>
      <c r="K135" s="416"/>
      <c r="L135" s="416"/>
      <c r="M135" s="416"/>
      <c r="N135" s="416"/>
      <c r="O135" s="416"/>
      <c r="P135" s="417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18" t="s">
        <v>25</v>
      </c>
      <c r="C137" s="419"/>
      <c r="D137" s="419"/>
      <c r="E137" s="419"/>
      <c r="F137" s="419"/>
      <c r="G137" s="419"/>
      <c r="H137" s="420"/>
      <c r="I137" s="178"/>
      <c r="J137" s="418" t="s">
        <v>25</v>
      </c>
      <c r="K137" s="419"/>
      <c r="L137" s="419"/>
      <c r="M137" s="419"/>
      <c r="N137" s="419"/>
      <c r="O137" s="419"/>
      <c r="P137" s="420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08">
        <f>'26-10 payroll'!B15</f>
        <v>0</v>
      </c>
      <c r="E139" s="409"/>
      <c r="F139" s="409"/>
      <c r="G139" s="55"/>
      <c r="H139" s="194"/>
      <c r="I139" s="195"/>
      <c r="J139" s="192" t="s">
        <v>26</v>
      </c>
      <c r="K139" s="193" t="s">
        <v>27</v>
      </c>
      <c r="L139" s="409">
        <f>'26-10 payroll'!C112</f>
        <v>0</v>
      </c>
      <c r="M139" s="409"/>
      <c r="N139" s="409"/>
      <c r="O139" s="9"/>
      <c r="P139" s="194"/>
    </row>
    <row r="140" spans="2:17">
      <c r="B140" s="192" t="s">
        <v>28</v>
      </c>
      <c r="C140" s="193" t="s">
        <v>27</v>
      </c>
      <c r="D140" s="410">
        <f>'26-10 payroll'!E15</f>
        <v>0</v>
      </c>
      <c r="E140" s="410"/>
      <c r="F140" s="410"/>
      <c r="G140" s="55"/>
      <c r="H140" s="196"/>
      <c r="I140" s="195"/>
      <c r="J140" s="192" t="s">
        <v>28</v>
      </c>
      <c r="K140" s="193" t="s">
        <v>27</v>
      </c>
      <c r="L140" s="410">
        <f>'26-10 payroll'!E112</f>
        <v>0</v>
      </c>
      <c r="M140" s="410"/>
      <c r="N140" s="410"/>
      <c r="O140" s="9"/>
      <c r="P140" s="196"/>
    </row>
    <row r="141" spans="2:17">
      <c r="B141" s="192" t="s">
        <v>29</v>
      </c>
      <c r="C141" s="193" t="s">
        <v>27</v>
      </c>
      <c r="D141" s="411" t="str">
        <f>'26-10 payroll'!D3</f>
        <v>May 26-June 10,2018</v>
      </c>
      <c r="E141" s="411"/>
      <c r="F141" s="411"/>
      <c r="G141" s="55"/>
      <c r="H141" s="194"/>
      <c r="I141" s="195"/>
      <c r="J141" s="192" t="s">
        <v>29</v>
      </c>
      <c r="K141" s="193" t="s">
        <v>27</v>
      </c>
      <c r="L141" s="411">
        <f>'26-10 payroll'!D105</f>
        <v>0</v>
      </c>
      <c r="M141" s="411"/>
      <c r="N141" s="411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tabSelected="1" topLeftCell="A40" zoomScaleSheetLayoutView="100" workbookViewId="0">
      <selection activeCell="N27" sqref="N27"/>
    </sheetView>
  </sheetViews>
  <sheetFormatPr defaultRowHeight="12.75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>
      <c r="A3" s="238" t="s">
        <v>11</v>
      </c>
      <c r="B3" s="238"/>
      <c r="C3" s="241"/>
      <c r="D3" s="125" t="s">
        <v>267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 customHeight="1">
      <c r="A5" s="405"/>
      <c r="B5" s="407" t="s">
        <v>0</v>
      </c>
      <c r="C5" s="379" t="s">
        <v>1</v>
      </c>
      <c r="D5" s="358" t="s">
        <v>13</v>
      </c>
      <c r="E5" s="379" t="s">
        <v>14</v>
      </c>
      <c r="F5" s="358" t="s">
        <v>15</v>
      </c>
      <c r="G5" s="379" t="s">
        <v>16</v>
      </c>
      <c r="H5" s="358" t="s">
        <v>44</v>
      </c>
      <c r="I5" s="375" t="s">
        <v>118</v>
      </c>
      <c r="J5" s="382" t="s">
        <v>91</v>
      </c>
      <c r="K5" s="383"/>
      <c r="L5" s="384"/>
      <c r="M5" s="394" t="s">
        <v>108</v>
      </c>
      <c r="N5" s="395"/>
      <c r="O5" s="395"/>
      <c r="P5" s="379" t="s">
        <v>2</v>
      </c>
      <c r="Q5" s="358" t="s">
        <v>17</v>
      </c>
      <c r="R5" s="379" t="s">
        <v>2</v>
      </c>
      <c r="S5" s="358" t="s">
        <v>18</v>
      </c>
      <c r="T5" s="379" t="s">
        <v>2</v>
      </c>
      <c r="U5" s="358" t="s">
        <v>19</v>
      </c>
      <c r="V5" s="379" t="s">
        <v>2</v>
      </c>
      <c r="W5" s="358" t="s">
        <v>20</v>
      </c>
      <c r="X5" s="360" t="s">
        <v>3</v>
      </c>
    </row>
    <row r="6" spans="1:26" s="138" customFormat="1" ht="27" customHeight="1" thickBot="1">
      <c r="A6" s="406"/>
      <c r="B6" s="380"/>
      <c r="C6" s="380"/>
      <c r="D6" s="393"/>
      <c r="E6" s="398"/>
      <c r="F6" s="393"/>
      <c r="G6" s="398"/>
      <c r="H6" s="359"/>
      <c r="I6" s="37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80"/>
      <c r="Q6" s="393"/>
      <c r="R6" s="380"/>
      <c r="S6" s="393"/>
      <c r="T6" s="380"/>
      <c r="U6" s="393"/>
      <c r="V6" s="380"/>
      <c r="W6" s="359"/>
      <c r="X6" s="361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62"/>
      <c r="B20" s="364" t="s">
        <v>0</v>
      </c>
      <c r="C20" s="366" t="s">
        <v>1</v>
      </c>
      <c r="D20" s="368" t="s">
        <v>3</v>
      </c>
      <c r="E20" s="370" t="s">
        <v>22</v>
      </c>
      <c r="F20" s="377" t="s">
        <v>2</v>
      </c>
      <c r="G20" s="366" t="s">
        <v>21</v>
      </c>
      <c r="H20" s="368" t="s">
        <v>2</v>
      </c>
      <c r="I20" s="373" t="s">
        <v>126</v>
      </c>
      <c r="J20" s="389" t="s">
        <v>4</v>
      </c>
      <c r="K20" s="391" t="s">
        <v>23</v>
      </c>
      <c r="L20" s="368" t="s">
        <v>5</v>
      </c>
      <c r="M20" s="368" t="s">
        <v>6</v>
      </c>
      <c r="N20" s="368" t="s">
        <v>24</v>
      </c>
      <c r="O20" s="368" t="s">
        <v>7</v>
      </c>
      <c r="P20" s="387" t="s">
        <v>3</v>
      </c>
      <c r="Q20" s="244"/>
      <c r="R20" s="152" t="s">
        <v>103</v>
      </c>
      <c r="S20" s="244"/>
    </row>
    <row r="21" spans="1:24" s="138" customFormat="1" ht="15" customHeight="1" thickBot="1">
      <c r="A21" s="363"/>
      <c r="B21" s="365"/>
      <c r="C21" s="367"/>
      <c r="D21" s="369"/>
      <c r="E21" s="371"/>
      <c r="F21" s="378"/>
      <c r="G21" s="381"/>
      <c r="H21" s="372"/>
      <c r="I21" s="374"/>
      <c r="J21" s="390"/>
      <c r="K21" s="392"/>
      <c r="L21" s="372"/>
      <c r="M21" s="372"/>
      <c r="N21" s="369"/>
      <c r="O21" s="372"/>
      <c r="P21" s="388"/>
      <c r="R21" s="250" t="str">
        <f>D3</f>
        <v>February 11-25,2018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34282.86</v>
      </c>
    </row>
    <row r="53" spans="1:15" ht="13.5" thickBot="1"/>
    <row r="54" spans="1:15" ht="13.5" customHeight="1" thickBot="1">
      <c r="A54" s="362"/>
      <c r="B54" s="364" t="s">
        <v>0</v>
      </c>
      <c r="C54" s="366" t="s">
        <v>1</v>
      </c>
      <c r="D54" s="368" t="s">
        <v>3</v>
      </c>
      <c r="E54" s="368" t="s">
        <v>45</v>
      </c>
      <c r="F54" s="402" t="s">
        <v>151</v>
      </c>
      <c r="G54" s="399" t="s">
        <v>112</v>
      </c>
      <c r="H54" s="400"/>
      <c r="I54" s="385"/>
      <c r="J54" s="387" t="s">
        <v>3</v>
      </c>
      <c r="K54" s="401" t="s">
        <v>114</v>
      </c>
      <c r="L54" s="397" t="s">
        <v>115</v>
      </c>
      <c r="M54" s="397" t="s">
        <v>116</v>
      </c>
      <c r="O54" s="396" t="s">
        <v>102</v>
      </c>
    </row>
    <row r="55" spans="1:15" ht="13.5" thickBot="1">
      <c r="A55" s="363"/>
      <c r="B55" s="365"/>
      <c r="C55" s="367"/>
      <c r="D55" s="369"/>
      <c r="E55" s="404"/>
      <c r="F55" s="403"/>
      <c r="G55" s="245" t="s">
        <v>113</v>
      </c>
      <c r="H55" s="246" t="s">
        <v>148</v>
      </c>
      <c r="I55" s="386"/>
      <c r="J55" s="388"/>
      <c r="K55" s="401"/>
      <c r="L55" s="397"/>
      <c r="M55" s="397"/>
      <c r="O55" s="396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7" workbookViewId="0">
      <selection activeCell="T24" sqref="T24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12" t="str">
        <f>'11-25 payroll'!A1</f>
        <v>THE OLD SPAGHETTI HOUSE</v>
      </c>
      <c r="C2" s="413"/>
      <c r="D2" s="413"/>
      <c r="E2" s="413"/>
      <c r="F2" s="413"/>
      <c r="G2" s="413"/>
      <c r="H2" s="414"/>
      <c r="I2" s="178"/>
      <c r="J2" s="412" t="str">
        <f>'11-25 payroll'!A1</f>
        <v>THE OLD SPAGHETTI HOUSE</v>
      </c>
      <c r="K2" s="413"/>
      <c r="L2" s="413"/>
      <c r="M2" s="413"/>
      <c r="N2" s="413"/>
      <c r="O2" s="413"/>
      <c r="P2" s="414"/>
    </row>
    <row r="3" spans="1:22" s="179" customFormat="1">
      <c r="A3" s="170"/>
      <c r="B3" s="415" t="str">
        <f>'11-25 payroll'!D2</f>
        <v>VALERO</v>
      </c>
      <c r="C3" s="416"/>
      <c r="D3" s="416"/>
      <c r="E3" s="416"/>
      <c r="F3" s="416"/>
      <c r="G3" s="416"/>
      <c r="H3" s="417"/>
      <c r="I3" s="178"/>
      <c r="J3" s="415" t="str">
        <f>'11-25 payroll'!D2</f>
        <v>VALERO</v>
      </c>
      <c r="K3" s="416"/>
      <c r="L3" s="416"/>
      <c r="M3" s="416"/>
      <c r="N3" s="416"/>
      <c r="O3" s="416"/>
      <c r="P3" s="417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18" t="s">
        <v>25</v>
      </c>
      <c r="C5" s="419"/>
      <c r="D5" s="419"/>
      <c r="E5" s="419"/>
      <c r="F5" s="419"/>
      <c r="G5" s="419"/>
      <c r="H5" s="420"/>
      <c r="I5" s="178"/>
      <c r="J5" s="418" t="s">
        <v>25</v>
      </c>
      <c r="K5" s="419"/>
      <c r="L5" s="419"/>
      <c r="M5" s="419"/>
      <c r="N5" s="419"/>
      <c r="O5" s="419"/>
      <c r="P5" s="420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09" t="str">
        <f>'11-25 payroll'!B7</f>
        <v>Biarcal, Ronald Glenn</v>
      </c>
      <c r="E7" s="409"/>
      <c r="F7" s="409"/>
      <c r="G7" s="55"/>
      <c r="H7" s="194"/>
      <c r="I7" s="195"/>
      <c r="J7" s="192" t="s">
        <v>26</v>
      </c>
      <c r="K7" s="193" t="s">
        <v>27</v>
      </c>
      <c r="L7" s="409" t="str">
        <f>'11-25 payroll'!B8</f>
        <v>Sanchez, Angelo</v>
      </c>
      <c r="M7" s="409"/>
      <c r="N7" s="409"/>
      <c r="O7" s="9"/>
      <c r="P7" s="194"/>
    </row>
    <row r="8" spans="1:22">
      <c r="B8" s="192" t="s">
        <v>28</v>
      </c>
      <c r="C8" s="193" t="s">
        <v>27</v>
      </c>
      <c r="D8" s="410">
        <f>'11-25 payroll'!E7</f>
        <v>502</v>
      </c>
      <c r="E8" s="410"/>
      <c r="F8" s="410"/>
      <c r="G8" s="55"/>
      <c r="H8" s="235"/>
      <c r="I8" s="195"/>
      <c r="J8" s="192" t="s">
        <v>28</v>
      </c>
      <c r="K8" s="193" t="s">
        <v>27</v>
      </c>
      <c r="L8" s="410">
        <f>'11-25 payroll'!E8</f>
        <v>502</v>
      </c>
      <c r="M8" s="410"/>
      <c r="N8" s="410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11" t="str">
        <f>'11-25 payroll'!D3</f>
        <v>February 11-25,2018</v>
      </c>
      <c r="E9" s="411"/>
      <c r="F9" s="411"/>
      <c r="G9" s="55"/>
      <c r="H9" s="194"/>
      <c r="I9" s="195"/>
      <c r="J9" s="192" t="s">
        <v>29</v>
      </c>
      <c r="K9" s="193" t="s">
        <v>27</v>
      </c>
      <c r="L9" s="411" t="str">
        <f>'11-25 payroll'!D3</f>
        <v>February 11-25,2018</v>
      </c>
      <c r="M9" s="411"/>
      <c r="N9" s="411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12" t="str">
        <f>'11-25 payroll'!A1</f>
        <v>THE OLD SPAGHETTI HOUSE</v>
      </c>
      <c r="C35" s="413"/>
      <c r="D35" s="413"/>
      <c r="E35" s="413"/>
      <c r="F35" s="413"/>
      <c r="G35" s="413"/>
      <c r="H35" s="414"/>
      <c r="I35" s="178"/>
      <c r="J35" s="412" t="str">
        <f>'11-25 payroll'!A1</f>
        <v>THE OLD SPAGHETTI HOUSE</v>
      </c>
      <c r="K35" s="413"/>
      <c r="L35" s="413"/>
      <c r="M35" s="413"/>
      <c r="N35" s="413"/>
      <c r="O35" s="413"/>
      <c r="P35" s="414"/>
    </row>
    <row r="36" spans="2:17">
      <c r="B36" s="415" t="str">
        <f>'11-25 payroll'!D2</f>
        <v>VALERO</v>
      </c>
      <c r="C36" s="416"/>
      <c r="D36" s="416"/>
      <c r="E36" s="416"/>
      <c r="F36" s="416"/>
      <c r="G36" s="416"/>
      <c r="H36" s="417"/>
      <c r="I36" s="178"/>
      <c r="J36" s="415" t="str">
        <f>'11-25 payroll'!D2</f>
        <v>VALERO</v>
      </c>
      <c r="K36" s="416"/>
      <c r="L36" s="416"/>
      <c r="M36" s="416"/>
      <c r="N36" s="416"/>
      <c r="O36" s="416"/>
      <c r="P36" s="417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18" t="s">
        <v>25</v>
      </c>
      <c r="C38" s="419"/>
      <c r="D38" s="419"/>
      <c r="E38" s="419"/>
      <c r="F38" s="419"/>
      <c r="G38" s="419"/>
      <c r="H38" s="420"/>
      <c r="I38" s="178"/>
      <c r="J38" s="418" t="s">
        <v>25</v>
      </c>
      <c r="K38" s="419"/>
      <c r="L38" s="419"/>
      <c r="M38" s="419"/>
      <c r="N38" s="419"/>
      <c r="O38" s="419"/>
      <c r="P38" s="420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09" t="str">
        <f>'11-25 payroll'!B24</f>
        <v>Dino, Joyce</v>
      </c>
      <c r="E40" s="409"/>
      <c r="F40" s="409"/>
      <c r="G40" s="55"/>
      <c r="H40" s="194"/>
      <c r="I40" s="195"/>
      <c r="J40" s="192" t="s">
        <v>26</v>
      </c>
      <c r="K40" s="193" t="s">
        <v>27</v>
      </c>
      <c r="L40" s="408" t="str">
        <f>'11-25 payroll'!B10</f>
        <v xml:space="preserve">Sosa, Anna Marie </v>
      </c>
      <c r="M40" s="409"/>
      <c r="N40" s="409"/>
      <c r="O40" s="9"/>
      <c r="P40" s="194"/>
    </row>
    <row r="41" spans="2:17">
      <c r="B41" s="192" t="s">
        <v>28</v>
      </c>
      <c r="C41" s="193" t="s">
        <v>27</v>
      </c>
      <c r="D41" s="410">
        <f>'11-25 payroll'!E9</f>
        <v>790.23076923076928</v>
      </c>
      <c r="E41" s="410"/>
      <c r="F41" s="410"/>
      <c r="G41" s="55"/>
      <c r="H41" s="235"/>
      <c r="I41" s="195"/>
      <c r="J41" s="192" t="s">
        <v>28</v>
      </c>
      <c r="K41" s="193" t="s">
        <v>27</v>
      </c>
      <c r="L41" s="410">
        <f>'11-25 payroll'!E10</f>
        <v>502</v>
      </c>
      <c r="M41" s="410"/>
      <c r="N41" s="410"/>
      <c r="O41" s="9"/>
      <c r="P41" s="235"/>
    </row>
    <row r="42" spans="2:17">
      <c r="B42" s="192" t="s">
        <v>29</v>
      </c>
      <c r="C42" s="193" t="s">
        <v>27</v>
      </c>
      <c r="D42" s="411" t="str">
        <f>'11-25 payroll'!D3</f>
        <v>February 11-25,2018</v>
      </c>
      <c r="E42" s="411"/>
      <c r="F42" s="411"/>
      <c r="G42" s="55"/>
      <c r="H42" s="194"/>
      <c r="I42" s="195"/>
      <c r="J42" s="192" t="s">
        <v>29</v>
      </c>
      <c r="K42" s="193" t="s">
        <v>27</v>
      </c>
      <c r="L42" s="411" t="str">
        <f>'11-25 payroll'!D3</f>
        <v>February 11-25,2018</v>
      </c>
      <c r="M42" s="411"/>
      <c r="N42" s="411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12" t="str">
        <f>'11-25 payroll'!A1</f>
        <v>THE OLD SPAGHETTI HOUSE</v>
      </c>
      <c r="C68" s="413"/>
      <c r="D68" s="413"/>
      <c r="E68" s="413"/>
      <c r="F68" s="413"/>
      <c r="G68" s="413"/>
      <c r="H68" s="414"/>
      <c r="I68" s="178"/>
      <c r="J68" s="412" t="str">
        <f>'11-25 payroll'!A1</f>
        <v>THE OLD SPAGHETTI HOUSE</v>
      </c>
      <c r="K68" s="413"/>
      <c r="L68" s="413"/>
      <c r="M68" s="413"/>
      <c r="N68" s="413"/>
      <c r="O68" s="413"/>
      <c r="P68" s="414"/>
    </row>
    <row r="69" spans="2:17">
      <c r="B69" s="415" t="str">
        <f>'11-25 payroll'!D2</f>
        <v>VALERO</v>
      </c>
      <c r="C69" s="416"/>
      <c r="D69" s="416"/>
      <c r="E69" s="416"/>
      <c r="F69" s="416"/>
      <c r="G69" s="416"/>
      <c r="H69" s="417"/>
      <c r="I69" s="178"/>
      <c r="J69" s="415" t="str">
        <f>'11-25 payroll'!D2</f>
        <v>VALERO</v>
      </c>
      <c r="K69" s="416"/>
      <c r="L69" s="416"/>
      <c r="M69" s="416"/>
      <c r="N69" s="416"/>
      <c r="O69" s="416"/>
      <c r="P69" s="417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18" t="s">
        <v>25</v>
      </c>
      <c r="C71" s="419"/>
      <c r="D71" s="419"/>
      <c r="E71" s="419"/>
      <c r="F71" s="419"/>
      <c r="G71" s="419"/>
      <c r="H71" s="420"/>
      <c r="I71" s="178"/>
      <c r="J71" s="418" t="s">
        <v>25</v>
      </c>
      <c r="K71" s="419"/>
      <c r="L71" s="419"/>
      <c r="M71" s="419"/>
      <c r="N71" s="419"/>
      <c r="O71" s="419"/>
      <c r="P71" s="420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08" t="str">
        <f>'11-25 payroll'!B11</f>
        <v>Briones, Christain Joy</v>
      </c>
      <c r="E73" s="409"/>
      <c r="F73" s="409"/>
      <c r="G73" s="55"/>
      <c r="H73" s="194"/>
      <c r="I73" s="195"/>
      <c r="J73" s="192" t="s">
        <v>26</v>
      </c>
      <c r="K73" s="193" t="s">
        <v>27</v>
      </c>
      <c r="L73" s="408">
        <f>'11-25 payroll'!B12</f>
        <v>0</v>
      </c>
      <c r="M73" s="409"/>
      <c r="N73" s="409"/>
      <c r="O73" s="9"/>
      <c r="P73" s="194"/>
    </row>
    <row r="74" spans="2:17">
      <c r="B74" s="192" t="s">
        <v>28</v>
      </c>
      <c r="C74" s="193" t="s">
        <v>27</v>
      </c>
      <c r="D74" s="410">
        <f>'11-25 payroll'!E11</f>
        <v>502</v>
      </c>
      <c r="E74" s="410"/>
      <c r="F74" s="410"/>
      <c r="G74" s="55"/>
      <c r="H74" s="235"/>
      <c r="I74" s="195"/>
      <c r="J74" s="192" t="s">
        <v>28</v>
      </c>
      <c r="K74" s="193" t="s">
        <v>27</v>
      </c>
      <c r="L74" s="410">
        <f>'11-25 payroll'!E12</f>
        <v>0</v>
      </c>
      <c r="M74" s="410"/>
      <c r="N74" s="410"/>
      <c r="O74" s="9"/>
      <c r="P74" s="235"/>
    </row>
    <row r="75" spans="2:17">
      <c r="B75" s="192" t="s">
        <v>29</v>
      </c>
      <c r="C75" s="193" t="s">
        <v>27</v>
      </c>
      <c r="D75" s="411" t="str">
        <f>'11-25 payroll'!D3</f>
        <v>February 11-25,2018</v>
      </c>
      <c r="E75" s="411"/>
      <c r="F75" s="411"/>
      <c r="G75" s="55"/>
      <c r="H75" s="194"/>
      <c r="I75" s="195"/>
      <c r="J75" s="192" t="s">
        <v>29</v>
      </c>
      <c r="K75" s="193" t="s">
        <v>27</v>
      </c>
      <c r="L75" s="411" t="str">
        <f>'11-25 payroll'!D3</f>
        <v>February 11-25,2018</v>
      </c>
      <c r="M75" s="411"/>
      <c r="N75" s="411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12" t="str">
        <f>'11-25 payroll'!A1</f>
        <v>THE OLD SPAGHETTI HOUSE</v>
      </c>
      <c r="C101" s="413"/>
      <c r="D101" s="413"/>
      <c r="E101" s="413"/>
      <c r="F101" s="413"/>
      <c r="G101" s="413"/>
      <c r="H101" s="414"/>
      <c r="I101" s="178"/>
      <c r="J101" s="412" t="str">
        <f>'11-25 payroll'!A1</f>
        <v>THE OLD SPAGHETTI HOUSE</v>
      </c>
      <c r="K101" s="413"/>
      <c r="L101" s="413"/>
      <c r="M101" s="413"/>
      <c r="N101" s="413"/>
      <c r="O101" s="413"/>
      <c r="P101" s="414"/>
    </row>
    <row r="102" spans="2:17">
      <c r="B102" s="415" t="str">
        <f>'11-25 payroll'!D2</f>
        <v>VALERO</v>
      </c>
      <c r="C102" s="416"/>
      <c r="D102" s="416"/>
      <c r="E102" s="416"/>
      <c r="F102" s="416"/>
      <c r="G102" s="416"/>
      <c r="H102" s="417"/>
      <c r="I102" s="178"/>
      <c r="J102" s="415" t="str">
        <f>'11-25 payroll'!D2</f>
        <v>VALERO</v>
      </c>
      <c r="K102" s="416"/>
      <c r="L102" s="416"/>
      <c r="M102" s="416"/>
      <c r="N102" s="416"/>
      <c r="O102" s="416"/>
      <c r="P102" s="417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18" t="s">
        <v>25</v>
      </c>
      <c r="C104" s="419"/>
      <c r="D104" s="419"/>
      <c r="E104" s="419"/>
      <c r="F104" s="419"/>
      <c r="G104" s="419"/>
      <c r="H104" s="420"/>
      <c r="I104" s="178"/>
      <c r="J104" s="418" t="s">
        <v>25</v>
      </c>
      <c r="K104" s="419"/>
      <c r="L104" s="419"/>
      <c r="M104" s="419"/>
      <c r="N104" s="419"/>
      <c r="O104" s="419"/>
      <c r="P104" s="420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08">
        <f>'11-25 payroll'!B13</f>
        <v>0</v>
      </c>
      <c r="E106" s="409"/>
      <c r="F106" s="409"/>
      <c r="G106" s="55"/>
      <c r="H106" s="194"/>
      <c r="I106" s="195"/>
      <c r="J106" s="192" t="s">
        <v>26</v>
      </c>
      <c r="K106" s="193" t="s">
        <v>27</v>
      </c>
      <c r="L106" s="408">
        <f>'11-25 payroll'!B29</f>
        <v>0</v>
      </c>
      <c r="M106" s="409"/>
      <c r="N106" s="409"/>
      <c r="O106" s="9"/>
      <c r="P106" s="194"/>
    </row>
    <row r="107" spans="2:17">
      <c r="B107" s="192" t="s">
        <v>28</v>
      </c>
      <c r="C107" s="193" t="s">
        <v>27</v>
      </c>
      <c r="D107" s="410">
        <f>'11-25 payroll'!E13</f>
        <v>0</v>
      </c>
      <c r="E107" s="410"/>
      <c r="F107" s="410"/>
      <c r="G107" s="55"/>
      <c r="H107" s="235"/>
      <c r="I107" s="195"/>
      <c r="J107" s="192" t="s">
        <v>28</v>
      </c>
      <c r="K107" s="193" t="s">
        <v>27</v>
      </c>
      <c r="L107" s="410">
        <f>'11-25 payroll'!E14</f>
        <v>0</v>
      </c>
      <c r="M107" s="410"/>
      <c r="N107" s="410"/>
      <c r="O107" s="9"/>
      <c r="P107" s="235"/>
    </row>
    <row r="108" spans="2:17">
      <c r="B108" s="192" t="s">
        <v>29</v>
      </c>
      <c r="C108" s="193" t="s">
        <v>27</v>
      </c>
      <c r="D108" s="411" t="str">
        <f>'11-25 payroll'!D3</f>
        <v>February 11-25,2018</v>
      </c>
      <c r="E108" s="411"/>
      <c r="F108" s="411"/>
      <c r="G108" s="55"/>
      <c r="H108" s="194"/>
      <c r="I108" s="195"/>
      <c r="J108" s="192" t="s">
        <v>29</v>
      </c>
      <c r="K108" s="193" t="s">
        <v>27</v>
      </c>
      <c r="L108" s="411" t="str">
        <f>'11-25 payroll'!D3</f>
        <v>February 11-25,2018</v>
      </c>
      <c r="M108" s="411"/>
      <c r="N108" s="411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12" t="str">
        <f>'11-25 payroll'!A1</f>
        <v>THE OLD SPAGHETTI HOUSE</v>
      </c>
      <c r="C134" s="413"/>
      <c r="D134" s="413"/>
      <c r="E134" s="413"/>
      <c r="F134" s="413"/>
      <c r="G134" s="413"/>
      <c r="H134" s="414"/>
      <c r="I134" s="178"/>
      <c r="J134" s="412" t="str">
        <f>'11-25 payroll'!A1</f>
        <v>THE OLD SPAGHETTI HOUSE</v>
      </c>
      <c r="K134" s="413"/>
      <c r="L134" s="413"/>
      <c r="M134" s="413"/>
      <c r="N134" s="413"/>
      <c r="O134" s="413"/>
      <c r="P134" s="414"/>
    </row>
    <row r="135" spans="2:17">
      <c r="B135" s="415" t="str">
        <f>'11-25 payroll'!D2</f>
        <v>VALERO</v>
      </c>
      <c r="C135" s="416"/>
      <c r="D135" s="416"/>
      <c r="E135" s="416"/>
      <c r="F135" s="416"/>
      <c r="G135" s="416"/>
      <c r="H135" s="417"/>
      <c r="I135" s="178"/>
      <c r="J135" s="415" t="str">
        <f>'11-25 payroll'!D2</f>
        <v>VALERO</v>
      </c>
      <c r="K135" s="416"/>
      <c r="L135" s="416"/>
      <c r="M135" s="416"/>
      <c r="N135" s="416"/>
      <c r="O135" s="416"/>
      <c r="P135" s="417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18" t="s">
        <v>25</v>
      </c>
      <c r="C137" s="419"/>
      <c r="D137" s="419"/>
      <c r="E137" s="419"/>
      <c r="F137" s="419"/>
      <c r="G137" s="419"/>
      <c r="H137" s="420"/>
      <c r="I137" s="178"/>
      <c r="J137" s="418" t="s">
        <v>25</v>
      </c>
      <c r="K137" s="419"/>
      <c r="L137" s="419"/>
      <c r="M137" s="419"/>
      <c r="N137" s="419"/>
      <c r="O137" s="419"/>
      <c r="P137" s="420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08">
        <f>'11-25 payroll'!B15</f>
        <v>0</v>
      </c>
      <c r="E139" s="409"/>
      <c r="F139" s="409"/>
      <c r="G139" s="55"/>
      <c r="H139" s="194"/>
      <c r="I139" s="195"/>
      <c r="J139" s="192" t="s">
        <v>26</v>
      </c>
      <c r="K139" s="193" t="s">
        <v>27</v>
      </c>
      <c r="L139" s="409">
        <f>'11-25 payroll'!C112</f>
        <v>0</v>
      </c>
      <c r="M139" s="409"/>
      <c r="N139" s="409"/>
      <c r="O139" s="9"/>
      <c r="P139" s="194"/>
    </row>
    <row r="140" spans="2:17">
      <c r="B140" s="192" t="s">
        <v>28</v>
      </c>
      <c r="C140" s="193" t="s">
        <v>27</v>
      </c>
      <c r="D140" s="410">
        <f>'11-25 payroll'!E15</f>
        <v>0</v>
      </c>
      <c r="E140" s="410"/>
      <c r="F140" s="410"/>
      <c r="G140" s="55"/>
      <c r="H140" s="235"/>
      <c r="I140" s="195"/>
      <c r="J140" s="192" t="s">
        <v>28</v>
      </c>
      <c r="K140" s="193" t="s">
        <v>27</v>
      </c>
      <c r="L140" s="410">
        <f>'11-25 payroll'!E112</f>
        <v>0</v>
      </c>
      <c r="M140" s="410"/>
      <c r="N140" s="410"/>
      <c r="O140" s="9"/>
      <c r="P140" s="235"/>
    </row>
    <row r="141" spans="2:17">
      <c r="B141" s="192" t="s">
        <v>29</v>
      </c>
      <c r="C141" s="193" t="s">
        <v>27</v>
      </c>
      <c r="D141" s="411" t="str">
        <f>'11-25 payroll'!D3</f>
        <v>February 11-25,2018</v>
      </c>
      <c r="E141" s="411"/>
      <c r="F141" s="411"/>
      <c r="G141" s="55"/>
      <c r="H141" s="194"/>
      <c r="I141" s="195"/>
      <c r="J141" s="192" t="s">
        <v>29</v>
      </c>
      <c r="K141" s="193" t="s">
        <v>27</v>
      </c>
      <c r="L141" s="411">
        <f>'11-25 payroll'!D105</f>
        <v>0</v>
      </c>
      <c r="M141" s="411"/>
      <c r="N141" s="411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opLeftCell="A23" zoomScale="85" workbookViewId="0">
      <selection activeCell="B19" sqref="B19"/>
    </sheetView>
  </sheetViews>
  <sheetFormatPr defaultRowHeight="12.75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7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>
      <c r="A14" s="74" t="str">
        <f>'26-10 payroll'!D3</f>
        <v>May 26-June 10,2018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>
      <c r="A15" s="75" t="str">
        <f>'11-25 payroll'!D3</f>
        <v>February 11-25,2018</v>
      </c>
      <c r="G15" s="425" t="s">
        <v>65</v>
      </c>
      <c r="H15" s="425"/>
      <c r="J15" s="426" t="s">
        <v>66</v>
      </c>
      <c r="K15" s="426"/>
      <c r="L15" s="426"/>
      <c r="M15" s="426" t="s">
        <v>67</v>
      </c>
      <c r="N15" s="426"/>
      <c r="O15" s="425" t="s">
        <v>68</v>
      </c>
      <c r="P15" s="425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23" t="s">
        <v>70</v>
      </c>
      <c r="H16" s="423"/>
      <c r="I16" s="70" t="s">
        <v>71</v>
      </c>
      <c r="J16" s="427" t="s">
        <v>72</v>
      </c>
      <c r="K16" s="427"/>
      <c r="L16" s="427"/>
      <c r="M16" s="427" t="s">
        <v>73</v>
      </c>
      <c r="N16" s="427"/>
      <c r="O16" s="423" t="s">
        <v>74</v>
      </c>
      <c r="P16" s="423"/>
      <c r="Q16" s="251" t="s">
        <v>75</v>
      </c>
      <c r="R16" s="422" t="s">
        <v>117</v>
      </c>
      <c r="S16" s="423"/>
      <c r="T16" s="423"/>
      <c r="U16" s="424"/>
    </row>
    <row r="17" spans="1:24" ht="13.5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6703.0625</v>
      </c>
      <c r="H18" s="80">
        <f>'11-25 payroll'!R22</f>
        <v>6526</v>
      </c>
      <c r="I18" s="81">
        <f>G18+H18</f>
        <v>13229.0625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1199.77</v>
      </c>
      <c r="S18" s="234">
        <f>'26-10 payroll'!G56+'11-25 payroll'!H56</f>
        <v>2775</v>
      </c>
      <c r="T18" s="234">
        <f>+'26-10 payroll'!F56+'11-25 payroll'!G56</f>
        <v>0</v>
      </c>
      <c r="U18" s="256">
        <f>'26-10 payroll'!N22+'11-25 payroll'!N22</f>
        <v>1158.52</v>
      </c>
      <c r="W18" s="48"/>
      <c r="X18" s="48"/>
    </row>
    <row r="19" spans="1:24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6656.6274999999996</v>
      </c>
      <c r="H19" s="80">
        <f>'11-25 payroll'!R23</f>
        <v>6526</v>
      </c>
      <c r="I19" s="81">
        <f t="shared" ref="I19:I27" si="0">G19+H19</f>
        <v>13182.627499999999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8381.6795192307691</v>
      </c>
      <c r="H20" s="80">
        <f>'11-25 payroll'!R24</f>
        <v>10273</v>
      </c>
      <c r="I20" s="81">
        <f t="shared" si="0"/>
        <v>18654.679519230769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1878.89</v>
      </c>
      <c r="W20" s="48"/>
      <c r="X20" s="48"/>
    </row>
    <row r="21" spans="1:24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6703.0625</v>
      </c>
      <c r="H21" s="80">
        <f>'11-25 payroll'!R25</f>
        <v>6526</v>
      </c>
      <c r="I21" s="81">
        <f t="shared" si="0"/>
        <v>13229.0625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600</v>
      </c>
      <c r="S21" s="234">
        <f>'26-10 payroll'!G59+'11-25 payroll'!H59</f>
        <v>3074.67</v>
      </c>
      <c r="T21" s="234">
        <f>+'26-10 payroll'!F59+'11-25 payroll'!G59</f>
        <v>0</v>
      </c>
      <c r="U21" s="256">
        <f>'26-10 payroll'!N25+'11-25 payroll'!N25</f>
        <v>448.73</v>
      </c>
    </row>
    <row r="22" spans="1:24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6191.0625</v>
      </c>
      <c r="H22" s="80">
        <f>'11-25 payroll'!R26</f>
        <v>6526</v>
      </c>
      <c r="I22" s="81">
        <f t="shared" si="0"/>
        <v>12717.0625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986.7</v>
      </c>
    </row>
    <row r="23" spans="1:24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0</v>
      </c>
      <c r="H23" s="80">
        <f>'11-25 payroll'!R27</f>
        <v>0</v>
      </c>
      <c r="I23" s="93">
        <f t="shared" si="0"/>
        <v>0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>
      <c r="A29" s="100" t="s">
        <v>3</v>
      </c>
      <c r="B29" s="101"/>
      <c r="C29" s="102"/>
      <c r="D29" s="103"/>
      <c r="E29" s="102"/>
      <c r="F29" s="104"/>
      <c r="G29" s="103">
        <f>SUM(G18:G27)</f>
        <v>34635.494519230764</v>
      </c>
      <c r="H29" s="103">
        <f t="shared" ref="H29:O29" si="3">SUM(H18:H27)</f>
        <v>36377</v>
      </c>
      <c r="I29" s="103">
        <f t="shared" si="3"/>
        <v>71012.494519230764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500</v>
      </c>
      <c r="P29" s="103">
        <f t="shared" ref="P29:U29" si="4">SUM(P18:P27)</f>
        <v>500</v>
      </c>
      <c r="Q29" s="259">
        <f t="shared" si="4"/>
        <v>0</v>
      </c>
      <c r="R29" s="100">
        <f t="shared" si="4"/>
        <v>4245.45</v>
      </c>
      <c r="S29" s="103">
        <f t="shared" si="4"/>
        <v>9052.4500000000007</v>
      </c>
      <c r="T29" s="103">
        <f t="shared" si="4"/>
        <v>0</v>
      </c>
      <c r="U29" s="260">
        <f t="shared" si="4"/>
        <v>4472.84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1000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105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1996.3204807692309</v>
      </c>
      <c r="O34" s="109">
        <f>+'26-10 payroll'!I24+'11-25 payroll'!I24</f>
        <v>0</v>
      </c>
      <c r="P34" s="109">
        <f>SUM('26-10 payroll'!O37:Q37,'11-25 payroll'!O37:Q37)</f>
        <v>2307.6923076923076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105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1996.3204807692309</v>
      </c>
      <c r="O36" s="264">
        <f t="shared" si="5"/>
        <v>0</v>
      </c>
      <c r="P36" s="264">
        <f t="shared" si="5"/>
        <v>2307.6923076923076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13052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130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47.0625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13052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130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47.0625</v>
      </c>
      <c r="M38" s="109">
        <f>+'26-10 payroll'!W8+'11-25 payroll'!W8</f>
        <v>0</v>
      </c>
      <c r="N38" s="109">
        <f>+'26-10 payroll'!F23+'26-10 payroll'!H23+'11-25 payroll'!F23+'11-25 payroll'!H23</f>
        <v>46.435000000000002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13052</v>
      </c>
      <c r="C39" s="106"/>
      <c r="E39" s="106"/>
      <c r="G39" s="263">
        <f>+'26-10 payroll'!I10+'11-25 payroll'!I10</f>
        <v>0</v>
      </c>
      <c r="H39" s="263">
        <f>+'26-10 payroll'!H10+'11-25 payroll'!H10</f>
        <v>130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47.0625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39156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390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141.1875</v>
      </c>
      <c r="M41" s="268">
        <f t="shared" si="6"/>
        <v>0</v>
      </c>
      <c r="N41" s="268">
        <f t="shared" si="6"/>
        <v>46.435000000000002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59702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495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141.1875</v>
      </c>
      <c r="M44" s="263">
        <f t="shared" si="7"/>
        <v>0</v>
      </c>
      <c r="N44" s="263">
        <f t="shared" si="7"/>
        <v>2042.7554807692309</v>
      </c>
      <c r="O44" s="263">
        <f t="shared" si="7"/>
        <v>0</v>
      </c>
      <c r="P44" s="263">
        <f t="shared" si="7"/>
        <v>7443.6923076923076</v>
      </c>
      <c r="Q44" s="263">
        <f>SUM(B44:P44)</f>
        <v>69824.635288461533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21" t="s">
        <v>133</v>
      </c>
      <c r="B46" s="421"/>
      <c r="C46" s="421"/>
      <c r="D46" s="421"/>
      <c r="E46" s="421"/>
      <c r="F46" s="421"/>
      <c r="G46" s="421"/>
      <c r="H46" s="421"/>
      <c r="I46" s="421"/>
      <c r="J46" s="421"/>
      <c r="K46" s="421"/>
      <c r="L46" s="421"/>
      <c r="M46" s="421"/>
      <c r="N46" s="421"/>
      <c r="O46" s="421"/>
      <c r="Q46" s="110"/>
      <c r="U46" s="109"/>
    </row>
    <row r="47" spans="1:22" s="105" customFormat="1">
      <c r="A47" s="421"/>
      <c r="B47" s="421"/>
      <c r="C47" s="421"/>
      <c r="D47" s="421"/>
      <c r="E47" s="421"/>
      <c r="F47" s="421"/>
      <c r="G47" s="421"/>
      <c r="H47" s="421"/>
      <c r="I47" s="421"/>
      <c r="J47" s="421"/>
      <c r="K47" s="421"/>
      <c r="L47" s="421"/>
      <c r="M47" s="421"/>
      <c r="N47" s="421"/>
      <c r="O47" s="421"/>
      <c r="Q47" s="110"/>
      <c r="U47" s="109"/>
    </row>
    <row r="48" spans="1:22" s="105" customFormat="1">
      <c r="C48" s="106"/>
      <c r="E48" s="106"/>
      <c r="I48" s="109"/>
      <c r="J48" s="109"/>
      <c r="K48" s="269" t="s">
        <v>134</v>
      </c>
      <c r="L48" s="270">
        <f>+L49+L50+L51+L52</f>
        <v>66561.424326923079</v>
      </c>
      <c r="M48" s="263">
        <f>+I29+P36+P41-(O36+O41)+G36</f>
        <v>78556.186826923076</v>
      </c>
      <c r="N48" s="109">
        <f>+L48-M48</f>
        <v>-11994.762499999997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36924.465000000004</v>
      </c>
      <c r="M49" s="263">
        <f>+L49</f>
        <v>36924.465000000004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141.1875</v>
      </c>
      <c r="M50" s="263">
        <f>+L50</f>
        <v>141.1875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11727.392307692307</v>
      </c>
      <c r="M51" s="263">
        <f>+L51</f>
        <v>11727.392307692307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17768.37951923077</v>
      </c>
      <c r="M52" s="263">
        <f>+M48-M49-M50-M51</f>
        <v>29763.142019230763</v>
      </c>
      <c r="N52" s="109">
        <f>+L52-M52</f>
        <v>-11994.762499999993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65"/>
  <sheetViews>
    <sheetView topLeftCell="A21" workbookViewId="0">
      <selection activeCell="R34" sqref="R34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12" t="str">
        <f>'11-25 payroll'!A1</f>
        <v>THE OLD SPAGHETTI HOUSE</v>
      </c>
      <c r="C2" s="413"/>
      <c r="D2" s="413"/>
      <c r="E2" s="413"/>
      <c r="F2" s="413"/>
      <c r="G2" s="413"/>
      <c r="H2" s="414"/>
      <c r="I2" s="178"/>
      <c r="J2" s="412" t="str">
        <f>'11-25 payroll'!A1</f>
        <v>THE OLD SPAGHETTI HOUSE</v>
      </c>
      <c r="K2" s="413"/>
      <c r="L2" s="413"/>
      <c r="M2" s="413"/>
      <c r="N2" s="413"/>
      <c r="O2" s="413"/>
      <c r="P2" s="414"/>
    </row>
    <row r="3" spans="1:22" s="179" customFormat="1">
      <c r="A3" s="170"/>
      <c r="B3" s="415" t="str">
        <f>'11-25 payroll'!D2</f>
        <v>VALERO</v>
      </c>
      <c r="C3" s="416"/>
      <c r="D3" s="416"/>
      <c r="E3" s="416"/>
      <c r="F3" s="416"/>
      <c r="G3" s="416"/>
      <c r="H3" s="417"/>
      <c r="I3" s="178"/>
      <c r="J3" s="415" t="str">
        <f>'11-25 payroll'!D2</f>
        <v>VALERO</v>
      </c>
      <c r="K3" s="416"/>
      <c r="L3" s="416"/>
      <c r="M3" s="416"/>
      <c r="N3" s="416"/>
      <c r="O3" s="416"/>
      <c r="P3" s="417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18" t="s">
        <v>25</v>
      </c>
      <c r="C5" s="419"/>
      <c r="D5" s="419"/>
      <c r="E5" s="419"/>
      <c r="F5" s="419"/>
      <c r="G5" s="419"/>
      <c r="H5" s="420"/>
      <c r="I5" s="178"/>
      <c r="J5" s="418" t="s">
        <v>25</v>
      </c>
      <c r="K5" s="419"/>
      <c r="L5" s="419"/>
      <c r="M5" s="419"/>
      <c r="N5" s="419"/>
      <c r="O5" s="419"/>
      <c r="P5" s="420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09" t="str">
        <f>'11-25 payroll'!B7</f>
        <v>Biarcal, Ronald Glenn</v>
      </c>
      <c r="E7" s="409"/>
      <c r="F7" s="409"/>
      <c r="G7" s="55"/>
      <c r="H7" s="194"/>
      <c r="I7" s="195"/>
      <c r="J7" s="192" t="s">
        <v>26</v>
      </c>
      <c r="K7" s="193" t="s">
        <v>27</v>
      </c>
      <c r="L7" s="409" t="str">
        <f>'11-25 payroll'!B8</f>
        <v>Sanchez, Angelo</v>
      </c>
      <c r="M7" s="409"/>
      <c r="N7" s="409"/>
      <c r="O7" s="9"/>
      <c r="P7" s="194"/>
    </row>
    <row r="8" spans="1:22">
      <c r="B8" s="192" t="s">
        <v>28</v>
      </c>
      <c r="C8" s="193" t="s">
        <v>27</v>
      </c>
      <c r="D8" s="410">
        <f>'11-25 payroll'!E7</f>
        <v>502</v>
      </c>
      <c r="E8" s="410"/>
      <c r="F8" s="410"/>
      <c r="G8" s="55"/>
      <c r="H8" s="334"/>
      <c r="I8" s="195"/>
      <c r="J8" s="192" t="s">
        <v>28</v>
      </c>
      <c r="K8" s="193" t="s">
        <v>27</v>
      </c>
      <c r="L8" s="410">
        <f>'11-25 payroll'!E8</f>
        <v>502</v>
      </c>
      <c r="M8" s="410"/>
      <c r="N8" s="410"/>
      <c r="O8" s="9"/>
      <c r="P8" s="334"/>
    </row>
    <row r="9" spans="1:22" s="187" customFormat="1">
      <c r="A9" s="170"/>
      <c r="B9" s="192" t="s">
        <v>29</v>
      </c>
      <c r="C9" s="193" t="s">
        <v>27</v>
      </c>
      <c r="D9" s="411" t="str">
        <f>'11-25 payroll'!D3</f>
        <v>February 11-25,2018</v>
      </c>
      <c r="E9" s="411"/>
      <c r="F9" s="411"/>
      <c r="G9" s="55"/>
      <c r="H9" s="194"/>
      <c r="I9" s="195"/>
      <c r="J9" s="192" t="s">
        <v>29</v>
      </c>
      <c r="K9" s="193" t="s">
        <v>27</v>
      </c>
      <c r="L9" s="411" t="str">
        <f>'11-25 payroll'!D3</f>
        <v>February 11-25,2018</v>
      </c>
      <c r="M9" s="411"/>
      <c r="N9" s="411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12" t="str">
        <f>'11-25 payroll'!A1</f>
        <v>THE OLD SPAGHETTI HOUSE</v>
      </c>
      <c r="C35" s="413"/>
      <c r="D35" s="413"/>
      <c r="E35" s="413"/>
      <c r="F35" s="413"/>
      <c r="G35" s="413"/>
      <c r="H35" s="414"/>
      <c r="I35" s="178"/>
      <c r="J35" s="412" t="s">
        <v>106</v>
      </c>
      <c r="K35" s="413"/>
      <c r="L35" s="413"/>
      <c r="M35" s="413"/>
      <c r="N35" s="413"/>
      <c r="O35" s="413"/>
      <c r="P35" s="414"/>
    </row>
    <row r="36" spans="2:17">
      <c r="B36" s="415" t="str">
        <f>'11-25 payroll'!D2</f>
        <v>VALERO</v>
      </c>
      <c r="C36" s="416"/>
      <c r="D36" s="416"/>
      <c r="E36" s="416"/>
      <c r="F36" s="416"/>
      <c r="G36" s="416"/>
      <c r="H36" s="417"/>
      <c r="I36" s="178"/>
      <c r="J36" s="415" t="s">
        <v>119</v>
      </c>
      <c r="K36" s="416"/>
      <c r="L36" s="416"/>
      <c r="M36" s="416"/>
      <c r="N36" s="416"/>
      <c r="O36" s="416"/>
      <c r="P36" s="417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54"/>
      <c r="O37" s="54"/>
      <c r="P37" s="185"/>
      <c r="Q37" s="187"/>
    </row>
    <row r="38" spans="2:17">
      <c r="B38" s="418" t="s">
        <v>25</v>
      </c>
      <c r="C38" s="419"/>
      <c r="D38" s="419"/>
      <c r="E38" s="419"/>
      <c r="F38" s="419"/>
      <c r="G38" s="419"/>
      <c r="H38" s="420"/>
      <c r="I38" s="178"/>
      <c r="J38" s="418" t="s">
        <v>25</v>
      </c>
      <c r="K38" s="419"/>
      <c r="L38" s="419"/>
      <c r="M38" s="419"/>
      <c r="N38" s="419"/>
      <c r="O38" s="419"/>
      <c r="P38" s="420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54"/>
      <c r="O39" s="54"/>
      <c r="P39" s="185"/>
      <c r="Q39" s="187"/>
    </row>
    <row r="40" spans="2:17">
      <c r="B40" s="192" t="s">
        <v>26</v>
      </c>
      <c r="C40" s="193" t="s">
        <v>27</v>
      </c>
      <c r="D40" s="409" t="s">
        <v>265</v>
      </c>
      <c r="E40" s="409"/>
      <c r="F40" s="409"/>
      <c r="G40" s="55"/>
      <c r="H40" s="194"/>
      <c r="I40" s="195"/>
      <c r="J40" s="192" t="s">
        <v>26</v>
      </c>
      <c r="K40" s="193" t="s">
        <v>27</v>
      </c>
      <c r="L40" s="409" t="s">
        <v>265</v>
      </c>
      <c r="M40" s="409"/>
      <c r="N40" s="409"/>
      <c r="O40" s="55"/>
      <c r="P40" s="194"/>
    </row>
    <row r="41" spans="2:17">
      <c r="B41" s="192" t="s">
        <v>28</v>
      </c>
      <c r="C41" s="193" t="s">
        <v>27</v>
      </c>
      <c r="D41" s="410">
        <f>'11-25 payroll'!E9</f>
        <v>790.23076923076928</v>
      </c>
      <c r="E41" s="410"/>
      <c r="F41" s="410"/>
      <c r="G41" s="55"/>
      <c r="H41" s="334"/>
      <c r="I41" s="195"/>
      <c r="J41" s="192" t="s">
        <v>28</v>
      </c>
      <c r="K41" s="193" t="s">
        <v>27</v>
      </c>
      <c r="L41" s="410">
        <v>790.23</v>
      </c>
      <c r="M41" s="410"/>
      <c r="N41" s="410"/>
      <c r="O41" s="55"/>
      <c r="P41" s="334"/>
    </row>
    <row r="42" spans="2:17">
      <c r="B42" s="192" t="s">
        <v>29</v>
      </c>
      <c r="C42" s="193" t="s">
        <v>27</v>
      </c>
      <c r="D42" s="411" t="str">
        <f>'11-25 payroll'!D3</f>
        <v>February 11-25,2018</v>
      </c>
      <c r="E42" s="411"/>
      <c r="F42" s="411"/>
      <c r="G42" s="55"/>
      <c r="H42" s="194"/>
      <c r="I42" s="195"/>
      <c r="J42" s="192" t="s">
        <v>29</v>
      </c>
      <c r="K42" s="193" t="s">
        <v>27</v>
      </c>
      <c r="L42" s="411" t="s">
        <v>266</v>
      </c>
      <c r="M42" s="411"/>
      <c r="N42" s="411"/>
      <c r="O42" s="55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201"/>
      <c r="O43" s="55"/>
      <c r="P43" s="56">
        <v>10273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2">
        <v>13</v>
      </c>
      <c r="N44" s="57" t="s">
        <v>90</v>
      </c>
      <c r="O44" s="55"/>
      <c r="P44" s="58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54"/>
      <c r="O45" s="54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55">
        <v>0</v>
      </c>
      <c r="O46" s="55"/>
      <c r="P46" s="58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55">
        <v>100</v>
      </c>
      <c r="O47" s="55"/>
      <c r="P47" s="58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55">
        <f>'11-25 payroll'!Z9</f>
        <v>0</v>
      </c>
      <c r="O48" s="55"/>
      <c r="P48" s="58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55">
        <f>'11-25 payroll'!AB9</f>
        <v>0</v>
      </c>
      <c r="O49" s="55"/>
      <c r="P49" s="58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59">
        <v>1264.82</v>
      </c>
      <c r="O50" s="55"/>
      <c r="P50" s="56">
        <f>SUM(N46:N50)</f>
        <v>1364.82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55"/>
      <c r="O51" s="55"/>
      <c r="P51" s="58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55">
        <v>0</v>
      </c>
      <c r="O52" s="55"/>
      <c r="P52" s="207"/>
      <c r="Q52" s="174"/>
    </row>
    <row r="53" spans="1:22">
      <c r="B53" s="192"/>
      <c r="C53" s="198"/>
      <c r="D53" s="206" t="s">
        <v>96</v>
      </c>
      <c r="E53" s="205"/>
      <c r="F53" s="55">
        <v>0</v>
      </c>
      <c r="G53" s="55"/>
      <c r="H53" s="207"/>
      <c r="I53" s="195"/>
      <c r="J53" s="192"/>
      <c r="K53" s="198"/>
      <c r="L53" s="206" t="s">
        <v>96</v>
      </c>
      <c r="M53" s="205"/>
      <c r="N53" s="55">
        <v>1476.64</v>
      </c>
      <c r="O53" s="55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55">
        <f>'11-25 payroll'!T24</f>
        <v>0</v>
      </c>
      <c r="O54" s="55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55">
        <f>'11-25 payroll'!W24</f>
        <v>0</v>
      </c>
      <c r="O55" s="55"/>
      <c r="P55" s="207"/>
    </row>
    <row r="56" spans="1:22">
      <c r="B56" s="192"/>
      <c r="C56" s="198"/>
      <c r="D56" s="206" t="s">
        <v>98</v>
      </c>
      <c r="E56" s="205"/>
      <c r="F56" s="55">
        <v>0</v>
      </c>
      <c r="G56" s="55"/>
      <c r="H56" s="207"/>
      <c r="I56" s="195"/>
      <c r="J56" s="192"/>
      <c r="K56" s="198"/>
      <c r="L56" s="206" t="s">
        <v>98</v>
      </c>
      <c r="M56" s="205"/>
      <c r="N56" s="55">
        <v>0</v>
      </c>
      <c r="O56" s="55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55">
        <f>'11-25 payroll'!M58</f>
        <v>0</v>
      </c>
      <c r="O57" s="55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55">
        <v>0</v>
      </c>
      <c r="O58" s="55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55">
        <v>1707.3</v>
      </c>
      <c r="O59" s="55"/>
      <c r="P59" s="209"/>
      <c r="Q59" s="187"/>
    </row>
    <row r="60" spans="1:22">
      <c r="B60" s="192"/>
      <c r="C60" s="198"/>
      <c r="D60" s="198" t="s">
        <v>6</v>
      </c>
      <c r="E60" s="205"/>
      <c r="F60" s="55">
        <v>100</v>
      </c>
      <c r="G60" s="55"/>
      <c r="H60" s="211">
        <f>-SUM(F52:F60)</f>
        <v>-881.3</v>
      </c>
      <c r="I60" s="195"/>
      <c r="J60" s="192"/>
      <c r="K60" s="198"/>
      <c r="L60" s="198" t="s">
        <v>6</v>
      </c>
      <c r="M60" s="205"/>
      <c r="N60" s="55">
        <f>'11-25 payroll'!U24</f>
        <v>0</v>
      </c>
      <c r="O60" s="55"/>
      <c r="P60" s="211">
        <f>-SUM(N52:N60)</f>
        <v>-3183.94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10641.7</v>
      </c>
      <c r="I61" s="214"/>
      <c r="J61" s="197" t="s">
        <v>40</v>
      </c>
      <c r="K61" s="212"/>
      <c r="L61" s="212"/>
      <c r="M61" s="212"/>
      <c r="N61" s="60"/>
      <c r="O61" s="60"/>
      <c r="P61" s="213">
        <f>SUM(P43:P60)</f>
        <v>8453.8799999999992</v>
      </c>
      <c r="Q61" s="174"/>
      <c r="T61" s="216">
        <f>+H61-'11-25 payroll'!S37</f>
        <v>1326.6399999999994</v>
      </c>
      <c r="V61" s="237">
        <f>+P61-'11-25 payroll'!S38</f>
        <v>1983.1099999999988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55"/>
      <c r="O62" s="55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55"/>
      <c r="O63" s="55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61"/>
      <c r="O64" s="61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9"/>
      <c r="K65" s="230"/>
      <c r="L65" s="230"/>
      <c r="M65" s="230"/>
      <c r="N65" s="62"/>
      <c r="O65" s="62"/>
      <c r="P65" s="231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12" t="str">
        <f>'11-25 payroll'!A1</f>
        <v>THE OLD SPAGHETTI HOUSE</v>
      </c>
      <c r="C68" s="413"/>
      <c r="D68" s="413"/>
      <c r="E68" s="413"/>
      <c r="F68" s="413"/>
      <c r="G68" s="413"/>
      <c r="H68" s="414"/>
      <c r="I68" s="178"/>
      <c r="J68" s="412" t="str">
        <f>'11-25 payroll'!A1</f>
        <v>THE OLD SPAGHETTI HOUSE</v>
      </c>
      <c r="K68" s="413"/>
      <c r="L68" s="413"/>
      <c r="M68" s="413"/>
      <c r="N68" s="413"/>
      <c r="O68" s="413"/>
      <c r="P68" s="414"/>
    </row>
    <row r="69" spans="2:17">
      <c r="B69" s="415" t="str">
        <f>'11-25 payroll'!D2</f>
        <v>VALERO</v>
      </c>
      <c r="C69" s="416"/>
      <c r="D69" s="416"/>
      <c r="E69" s="416"/>
      <c r="F69" s="416"/>
      <c r="G69" s="416"/>
      <c r="H69" s="417"/>
      <c r="I69" s="178"/>
      <c r="J69" s="415" t="str">
        <f>'11-25 payroll'!D2</f>
        <v>VALERO</v>
      </c>
      <c r="K69" s="416"/>
      <c r="L69" s="416"/>
      <c r="M69" s="416"/>
      <c r="N69" s="416"/>
      <c r="O69" s="416"/>
      <c r="P69" s="417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18" t="s">
        <v>25</v>
      </c>
      <c r="C71" s="419"/>
      <c r="D71" s="419"/>
      <c r="E71" s="419"/>
      <c r="F71" s="419"/>
      <c r="G71" s="419"/>
      <c r="H71" s="420"/>
      <c r="I71" s="178"/>
      <c r="J71" s="418" t="s">
        <v>25</v>
      </c>
      <c r="K71" s="419"/>
      <c r="L71" s="419"/>
      <c r="M71" s="419"/>
      <c r="N71" s="419"/>
      <c r="O71" s="419"/>
      <c r="P71" s="420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08" t="str">
        <f>'11-25 payroll'!B11</f>
        <v>Briones, Christain Joy</v>
      </c>
      <c r="E73" s="409"/>
      <c r="F73" s="409"/>
      <c r="G73" s="55"/>
      <c r="H73" s="194"/>
      <c r="I73" s="195"/>
      <c r="J73" s="192" t="s">
        <v>26</v>
      </c>
      <c r="K73" s="193" t="s">
        <v>27</v>
      </c>
      <c r="L73" s="408">
        <f>'11-25 payroll'!B12</f>
        <v>0</v>
      </c>
      <c r="M73" s="409"/>
      <c r="N73" s="409"/>
      <c r="O73" s="9"/>
      <c r="P73" s="194"/>
    </row>
    <row r="74" spans="2:17">
      <c r="B74" s="192" t="s">
        <v>28</v>
      </c>
      <c r="C74" s="193" t="s">
        <v>27</v>
      </c>
      <c r="D74" s="410">
        <f>'11-25 payroll'!E11</f>
        <v>502</v>
      </c>
      <c r="E74" s="410"/>
      <c r="F74" s="410"/>
      <c r="G74" s="55"/>
      <c r="H74" s="334"/>
      <c r="I74" s="195"/>
      <c r="J74" s="192" t="s">
        <v>28</v>
      </c>
      <c r="K74" s="193" t="s">
        <v>27</v>
      </c>
      <c r="L74" s="410">
        <f>'11-25 payroll'!E12</f>
        <v>0</v>
      </c>
      <c r="M74" s="410"/>
      <c r="N74" s="410"/>
      <c r="O74" s="9"/>
      <c r="P74" s="334"/>
    </row>
    <row r="75" spans="2:17">
      <c r="B75" s="192" t="s">
        <v>29</v>
      </c>
      <c r="C75" s="193" t="s">
        <v>27</v>
      </c>
      <c r="D75" s="411" t="str">
        <f>'11-25 payroll'!D3</f>
        <v>February 11-25,2018</v>
      </c>
      <c r="E75" s="411"/>
      <c r="F75" s="411"/>
      <c r="G75" s="55"/>
      <c r="H75" s="194"/>
      <c r="I75" s="195"/>
      <c r="J75" s="192" t="s">
        <v>29</v>
      </c>
      <c r="K75" s="193" t="s">
        <v>27</v>
      </c>
      <c r="L75" s="411" t="str">
        <f>'11-25 payroll'!D3</f>
        <v>February 11-25,2018</v>
      </c>
      <c r="M75" s="411"/>
      <c r="N75" s="411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12" t="str">
        <f>'11-25 payroll'!A1</f>
        <v>THE OLD SPAGHETTI HOUSE</v>
      </c>
      <c r="C101" s="413"/>
      <c r="D101" s="413"/>
      <c r="E101" s="413"/>
      <c r="F101" s="413"/>
      <c r="G101" s="413"/>
      <c r="H101" s="414"/>
      <c r="I101" s="178"/>
      <c r="J101" s="412" t="str">
        <f>'11-25 payroll'!A1</f>
        <v>THE OLD SPAGHETTI HOUSE</v>
      </c>
      <c r="K101" s="413"/>
      <c r="L101" s="413"/>
      <c r="M101" s="413"/>
      <c r="N101" s="413"/>
      <c r="O101" s="413"/>
      <c r="P101" s="414"/>
    </row>
    <row r="102" spans="2:17">
      <c r="B102" s="415" t="str">
        <f>'11-25 payroll'!D2</f>
        <v>VALERO</v>
      </c>
      <c r="C102" s="416"/>
      <c r="D102" s="416"/>
      <c r="E102" s="416"/>
      <c r="F102" s="416"/>
      <c r="G102" s="416"/>
      <c r="H102" s="417"/>
      <c r="I102" s="178"/>
      <c r="J102" s="415" t="str">
        <f>'11-25 payroll'!D2</f>
        <v>VALERO</v>
      </c>
      <c r="K102" s="416"/>
      <c r="L102" s="416"/>
      <c r="M102" s="416"/>
      <c r="N102" s="416"/>
      <c r="O102" s="416"/>
      <c r="P102" s="417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18" t="s">
        <v>25</v>
      </c>
      <c r="C104" s="419"/>
      <c r="D104" s="419"/>
      <c r="E104" s="419"/>
      <c r="F104" s="419"/>
      <c r="G104" s="419"/>
      <c r="H104" s="420"/>
      <c r="I104" s="178"/>
      <c r="J104" s="418" t="s">
        <v>25</v>
      </c>
      <c r="K104" s="419"/>
      <c r="L104" s="419"/>
      <c r="M104" s="419"/>
      <c r="N104" s="419"/>
      <c r="O104" s="419"/>
      <c r="P104" s="420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08">
        <f>'11-25 payroll'!B13</f>
        <v>0</v>
      </c>
      <c r="E106" s="409"/>
      <c r="F106" s="409"/>
      <c r="G106" s="55"/>
      <c r="H106" s="194"/>
      <c r="I106" s="195"/>
      <c r="J106" s="192" t="s">
        <v>26</v>
      </c>
      <c r="K106" s="193" t="s">
        <v>27</v>
      </c>
      <c r="L106" s="408">
        <f>'11-25 payroll'!B29</f>
        <v>0</v>
      </c>
      <c r="M106" s="409"/>
      <c r="N106" s="409"/>
      <c r="O106" s="9"/>
      <c r="P106" s="194"/>
    </row>
    <row r="107" spans="2:17">
      <c r="B107" s="192" t="s">
        <v>28</v>
      </c>
      <c r="C107" s="193" t="s">
        <v>27</v>
      </c>
      <c r="D107" s="410">
        <f>'11-25 payroll'!E13</f>
        <v>0</v>
      </c>
      <c r="E107" s="410"/>
      <c r="F107" s="410"/>
      <c r="G107" s="55"/>
      <c r="H107" s="334"/>
      <c r="I107" s="195"/>
      <c r="J107" s="192" t="s">
        <v>28</v>
      </c>
      <c r="K107" s="193" t="s">
        <v>27</v>
      </c>
      <c r="L107" s="410">
        <f>'11-25 payroll'!E14</f>
        <v>0</v>
      </c>
      <c r="M107" s="410"/>
      <c r="N107" s="410"/>
      <c r="O107" s="9"/>
      <c r="P107" s="334"/>
    </row>
    <row r="108" spans="2:17">
      <c r="B108" s="192" t="s">
        <v>29</v>
      </c>
      <c r="C108" s="193" t="s">
        <v>27</v>
      </c>
      <c r="D108" s="411" t="str">
        <f>'11-25 payroll'!D3</f>
        <v>February 11-25,2018</v>
      </c>
      <c r="E108" s="411"/>
      <c r="F108" s="411"/>
      <c r="G108" s="55"/>
      <c r="H108" s="194"/>
      <c r="I108" s="195"/>
      <c r="J108" s="192" t="s">
        <v>29</v>
      </c>
      <c r="K108" s="193" t="s">
        <v>27</v>
      </c>
      <c r="L108" s="411" t="str">
        <f>'11-25 payroll'!D3</f>
        <v>February 11-25,2018</v>
      </c>
      <c r="M108" s="411"/>
      <c r="N108" s="411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12" t="str">
        <f>'11-25 payroll'!A1</f>
        <v>THE OLD SPAGHETTI HOUSE</v>
      </c>
      <c r="C134" s="413"/>
      <c r="D134" s="413"/>
      <c r="E134" s="413"/>
      <c r="F134" s="413"/>
      <c r="G134" s="413"/>
      <c r="H134" s="414"/>
      <c r="I134" s="178"/>
      <c r="J134" s="412" t="str">
        <f>'11-25 payroll'!A1</f>
        <v>THE OLD SPAGHETTI HOUSE</v>
      </c>
      <c r="K134" s="413"/>
      <c r="L134" s="413"/>
      <c r="M134" s="413"/>
      <c r="N134" s="413"/>
      <c r="O134" s="413"/>
      <c r="P134" s="414"/>
    </row>
    <row r="135" spans="2:17">
      <c r="B135" s="415" t="str">
        <f>'11-25 payroll'!D2</f>
        <v>VALERO</v>
      </c>
      <c r="C135" s="416"/>
      <c r="D135" s="416"/>
      <c r="E135" s="416"/>
      <c r="F135" s="416"/>
      <c r="G135" s="416"/>
      <c r="H135" s="417"/>
      <c r="I135" s="178"/>
      <c r="J135" s="415" t="str">
        <f>'11-25 payroll'!D2</f>
        <v>VALERO</v>
      </c>
      <c r="K135" s="416"/>
      <c r="L135" s="416"/>
      <c r="M135" s="416"/>
      <c r="N135" s="416"/>
      <c r="O135" s="416"/>
      <c r="P135" s="417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18" t="s">
        <v>25</v>
      </c>
      <c r="C137" s="419"/>
      <c r="D137" s="419"/>
      <c r="E137" s="419"/>
      <c r="F137" s="419"/>
      <c r="G137" s="419"/>
      <c r="H137" s="420"/>
      <c r="I137" s="178"/>
      <c r="J137" s="418" t="s">
        <v>25</v>
      </c>
      <c r="K137" s="419"/>
      <c r="L137" s="419"/>
      <c r="M137" s="419"/>
      <c r="N137" s="419"/>
      <c r="O137" s="419"/>
      <c r="P137" s="420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08">
        <f>'11-25 payroll'!B15</f>
        <v>0</v>
      </c>
      <c r="E139" s="409"/>
      <c r="F139" s="409"/>
      <c r="G139" s="55"/>
      <c r="H139" s="194"/>
      <c r="I139" s="195"/>
      <c r="J139" s="192" t="s">
        <v>26</v>
      </c>
      <c r="K139" s="193" t="s">
        <v>27</v>
      </c>
      <c r="L139" s="409">
        <f>'11-25 payroll'!C112</f>
        <v>0</v>
      </c>
      <c r="M139" s="409"/>
      <c r="N139" s="409"/>
      <c r="O139" s="9"/>
      <c r="P139" s="194"/>
    </row>
    <row r="140" spans="2:17">
      <c r="B140" s="192" t="s">
        <v>28</v>
      </c>
      <c r="C140" s="193" t="s">
        <v>27</v>
      </c>
      <c r="D140" s="410">
        <f>'11-25 payroll'!E15</f>
        <v>0</v>
      </c>
      <c r="E140" s="410"/>
      <c r="F140" s="410"/>
      <c r="G140" s="55"/>
      <c r="H140" s="334"/>
      <c r="I140" s="195"/>
      <c r="J140" s="192" t="s">
        <v>28</v>
      </c>
      <c r="K140" s="193" t="s">
        <v>27</v>
      </c>
      <c r="L140" s="410">
        <f>'11-25 payroll'!E112</f>
        <v>0</v>
      </c>
      <c r="M140" s="410"/>
      <c r="N140" s="410"/>
      <c r="O140" s="9"/>
      <c r="P140" s="334"/>
    </row>
    <row r="141" spans="2:17">
      <c r="B141" s="192" t="s">
        <v>29</v>
      </c>
      <c r="C141" s="193" t="s">
        <v>27</v>
      </c>
      <c r="D141" s="411" t="str">
        <f>'11-25 payroll'!D3</f>
        <v>February 11-25,2018</v>
      </c>
      <c r="E141" s="411"/>
      <c r="F141" s="411"/>
      <c r="G141" s="55"/>
      <c r="H141" s="194"/>
      <c r="I141" s="195"/>
      <c r="J141" s="192" t="s">
        <v>29</v>
      </c>
      <c r="K141" s="193" t="s">
        <v>27</v>
      </c>
      <c r="L141" s="411">
        <f>'11-25 payroll'!D105</f>
        <v>0</v>
      </c>
      <c r="M141" s="411"/>
      <c r="N141" s="411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0.7" right="0.7" top="0.75" bottom="0.75" header="0.3" footer="0.3"/>
  <pageSetup scale="75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admin</cp:lastModifiedBy>
  <cp:lastPrinted>2017-12-26T23:55:05Z</cp:lastPrinted>
  <dcterms:created xsi:type="dcterms:W3CDTF">2010-01-04T12:18:59Z</dcterms:created>
  <dcterms:modified xsi:type="dcterms:W3CDTF">2018-06-28T08:02:04Z</dcterms:modified>
</cp:coreProperties>
</file>