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I57" i="20"/>
  <c r="F126" i="79" l="1"/>
  <c r="F125"/>
  <c r="F123"/>
  <c r="F121"/>
  <c r="F120"/>
  <c r="F119"/>
  <c r="F118"/>
  <c r="F115"/>
  <c r="F114"/>
  <c r="F112"/>
  <c r="E110"/>
  <c r="N82"/>
  <c r="N81"/>
  <c r="N93"/>
  <c r="N92"/>
  <c r="N90" l="1"/>
  <c r="N88"/>
  <c r="N87"/>
  <c r="N86"/>
  <c r="N85"/>
  <c r="M77"/>
  <c r="F93"/>
  <c r="F92"/>
  <c r="F90"/>
  <c r="F88"/>
  <c r="F86"/>
  <c r="F85"/>
  <c r="F82"/>
  <c r="F81"/>
  <c r="E77"/>
  <c r="H76" s="1"/>
  <c r="N56"/>
  <c r="N60"/>
  <c r="N59"/>
  <c r="N57"/>
  <c r="N55"/>
  <c r="N53"/>
  <c r="M44"/>
  <c r="F60"/>
  <c r="F59"/>
  <c r="F57"/>
  <c r="F56"/>
  <c r="F55"/>
  <c r="F53"/>
  <c r="F52"/>
  <c r="E44"/>
  <c r="N27"/>
  <c r="N24"/>
  <c r="N23"/>
  <c r="N20"/>
  <c r="M11"/>
  <c r="F27"/>
  <c r="F26"/>
  <c r="F24"/>
  <c r="F23"/>
  <c r="F20"/>
  <c r="G59" i="20"/>
  <c r="H109" i="79"/>
  <c r="G7" i="20" l="1"/>
  <c r="D108" i="79"/>
  <c r="L75"/>
  <c r="D75"/>
  <c r="L42"/>
  <c r="D42"/>
  <c r="L9"/>
  <c r="K7" i="20"/>
  <c r="H7" s="1"/>
  <c r="F14" i="79" s="1"/>
  <c r="E11"/>
  <c r="D9"/>
  <c r="K10" i="20" l="1"/>
  <c r="H10" s="1"/>
  <c r="N47" i="79" s="1"/>
  <c r="N10" i="20"/>
  <c r="O10"/>
  <c r="P10"/>
  <c r="N46" i="21" s="1"/>
  <c r="T10" i="20"/>
  <c r="V10"/>
  <c r="N50" i="79" s="1"/>
  <c r="H25" i="20"/>
  <c r="N58" i="79" s="1"/>
  <c r="H24" i="20"/>
  <c r="F58" i="79" s="1"/>
  <c r="V9" i="20"/>
  <c r="H9"/>
  <c r="F47" i="79" s="1"/>
  <c r="N9" i="20"/>
  <c r="O9"/>
  <c r="P9" s="1"/>
  <c r="S9"/>
  <c r="T9"/>
  <c r="K34" i="5" s="1"/>
  <c r="K36" s="1"/>
  <c r="H23" i="20"/>
  <c r="N25" i="79" s="1"/>
  <c r="V8" i="20"/>
  <c r="N17" i="79" s="1"/>
  <c r="K8" i="20"/>
  <c r="L8"/>
  <c r="H8" s="1"/>
  <c r="N14" i="79" s="1"/>
  <c r="N8" i="20"/>
  <c r="O8"/>
  <c r="P8" s="1"/>
  <c r="T8"/>
  <c r="E23"/>
  <c r="F23" s="1"/>
  <c r="N25" i="21" s="1"/>
  <c r="N13" i="20"/>
  <c r="O13"/>
  <c r="P13" s="1"/>
  <c r="F112" i="21" s="1"/>
  <c r="G13" i="20"/>
  <c r="H13"/>
  <c r="F113" i="79" s="1"/>
  <c r="V13" i="20"/>
  <c r="F116" i="79" s="1"/>
  <c r="H28" i="20"/>
  <c r="F124" i="79" s="1"/>
  <c r="N12" i="20"/>
  <c r="O12"/>
  <c r="P12" s="1"/>
  <c r="G12"/>
  <c r="P76" i="21" s="1"/>
  <c r="H12" i="20"/>
  <c r="N80" i="79" s="1"/>
  <c r="V12" i="20"/>
  <c r="N83" i="79" s="1"/>
  <c r="H27" i="20"/>
  <c r="N91" i="79" s="1"/>
  <c r="H11" i="20"/>
  <c r="N11"/>
  <c r="O11"/>
  <c r="T11"/>
  <c r="G11"/>
  <c r="V11"/>
  <c r="F83" i="79" s="1"/>
  <c r="H26" i="20"/>
  <c r="F91" i="79" s="1"/>
  <c r="M7" i="20"/>
  <c r="N7"/>
  <c r="O7"/>
  <c r="S7"/>
  <c r="T7" s="1"/>
  <c r="K37" i="5" s="1"/>
  <c r="V7" i="20"/>
  <c r="E22"/>
  <c r="F22" s="1"/>
  <c r="P35"/>
  <c r="K56" s="1"/>
  <c r="P142" i="79"/>
  <c r="N145"/>
  <c r="N146"/>
  <c r="N147"/>
  <c r="N148"/>
  <c r="N149"/>
  <c r="N151"/>
  <c r="N152"/>
  <c r="N153"/>
  <c r="N154"/>
  <c r="N155"/>
  <c r="N156"/>
  <c r="N157"/>
  <c r="N158"/>
  <c r="N159"/>
  <c r="H142"/>
  <c r="F145"/>
  <c r="F146"/>
  <c r="F147"/>
  <c r="F148"/>
  <c r="F149"/>
  <c r="F15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3"/>
  <c r="N114"/>
  <c r="N115"/>
  <c r="N116"/>
  <c r="N118"/>
  <c r="N119"/>
  <c r="N120"/>
  <c r="N121"/>
  <c r="N122"/>
  <c r="N123"/>
  <c r="N124"/>
  <c r="N125"/>
  <c r="N126"/>
  <c r="F122"/>
  <c r="M110"/>
  <c r="L108"/>
  <c r="L107"/>
  <c r="L106"/>
  <c r="D106"/>
  <c r="J102"/>
  <c r="B102"/>
  <c r="J101"/>
  <c r="B101"/>
  <c r="P76"/>
  <c r="N89"/>
  <c r="F89"/>
  <c r="L73"/>
  <c r="D73"/>
  <c r="J69"/>
  <c r="B69"/>
  <c r="J68"/>
  <c r="B68"/>
  <c r="N46"/>
  <c r="N48"/>
  <c r="N49"/>
  <c r="P60"/>
  <c r="F48"/>
  <c r="F49"/>
  <c r="H43"/>
  <c r="D41"/>
  <c r="L40"/>
  <c r="D40"/>
  <c r="J36"/>
  <c r="B36"/>
  <c r="J35"/>
  <c r="B35"/>
  <c r="N15"/>
  <c r="N22"/>
  <c r="N26"/>
  <c r="F22"/>
  <c r="F13"/>
  <c r="F15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H20"/>
  <c r="H18"/>
  <c r="H21"/>
  <c r="H22"/>
  <c r="H23"/>
  <c r="H24"/>
  <c r="H25"/>
  <c r="G26"/>
  <c r="H26"/>
  <c r="I26"/>
  <c r="G27"/>
  <c r="H27"/>
  <c r="I27" s="1"/>
  <c r="P34"/>
  <c r="P36" s="1"/>
  <c r="P37"/>
  <c r="P39"/>
  <c r="O34"/>
  <c r="O36"/>
  <c r="O37"/>
  <c r="O38"/>
  <c r="O39"/>
  <c r="O41"/>
  <c r="O44" s="1"/>
  <c r="G34"/>
  <c r="G36"/>
  <c r="L39"/>
  <c r="K38"/>
  <c r="I39"/>
  <c r="J25" i="63"/>
  <c r="J21" i="5" s="1"/>
  <c r="J22" i="63"/>
  <c r="J18" i="5" s="1"/>
  <c r="J23" i="63"/>
  <c r="J19" i="5" s="1"/>
  <c r="M21"/>
  <c r="N21" s="1"/>
  <c r="M18"/>
  <c r="M19"/>
  <c r="N19" s="1"/>
  <c r="O21"/>
  <c r="O18"/>
  <c r="O19"/>
  <c r="H37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M22"/>
  <c r="O20"/>
  <c r="O22"/>
  <c r="O23"/>
  <c r="O24"/>
  <c r="O25"/>
  <c r="O26"/>
  <c r="O27"/>
  <c r="O29"/>
  <c r="B34"/>
  <c r="B36" s="1"/>
  <c r="J34"/>
  <c r="J36" s="1"/>
  <c r="M34"/>
  <c r="B37"/>
  <c r="C41"/>
  <c r="C36"/>
  <c r="C44" s="1"/>
  <c r="D41"/>
  <c r="D36"/>
  <c r="E41"/>
  <c r="E36"/>
  <c r="E44" s="1"/>
  <c r="F41"/>
  <c r="F36"/>
  <c r="M37"/>
  <c r="M38"/>
  <c r="M39"/>
  <c r="M36"/>
  <c r="G37"/>
  <c r="G38"/>
  <c r="G39"/>
  <c r="A39"/>
  <c r="A38"/>
  <c r="A37"/>
  <c r="A34"/>
  <c r="P18"/>
  <c r="P19"/>
  <c r="P29" s="1"/>
  <c r="P20"/>
  <c r="P21"/>
  <c r="P22"/>
  <c r="P23"/>
  <c r="P24"/>
  <c r="P25"/>
  <c r="P26"/>
  <c r="P27"/>
  <c r="N18"/>
  <c r="N20"/>
  <c r="N22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1"/>
  <c r="U19"/>
  <c r="U20"/>
  <c r="U22"/>
  <c r="U23"/>
  <c r="U24"/>
  <c r="U25"/>
  <c r="U26"/>
  <c r="U27"/>
  <c r="T18"/>
  <c r="T19"/>
  <c r="T20"/>
  <c r="T21"/>
  <c r="T22"/>
  <c r="T23"/>
  <c r="T24"/>
  <c r="T25"/>
  <c r="T26"/>
  <c r="T27"/>
  <c r="S18"/>
  <c r="S19"/>
  <c r="S20"/>
  <c r="S21"/>
  <c r="S22"/>
  <c r="S23"/>
  <c r="S24"/>
  <c r="S25"/>
  <c r="S26"/>
  <c r="S27"/>
  <c r="R18"/>
  <c r="R19"/>
  <c r="R29" s="1"/>
  <c r="R20"/>
  <c r="R21"/>
  <c r="R22"/>
  <c r="R23"/>
  <c r="R24"/>
  <c r="R25"/>
  <c r="R26"/>
  <c r="R27"/>
  <c r="A27"/>
  <c r="A26"/>
  <c r="A25"/>
  <c r="A24"/>
  <c r="A23"/>
  <c r="A22"/>
  <c r="B10" i="63"/>
  <c r="A21" i="5" s="1"/>
  <c r="B9" i="63"/>
  <c r="A20" i="5" s="1"/>
  <c r="A19"/>
  <c r="B7" i="63"/>
  <c r="A18" i="5" s="1"/>
  <c r="A15"/>
  <c r="A14"/>
  <c r="D2" i="63"/>
  <c r="A11" i="5" s="1"/>
  <c r="P142" i="64"/>
  <c r="N145"/>
  <c r="N146"/>
  <c r="N147"/>
  <c r="N148"/>
  <c r="N149"/>
  <c r="N151"/>
  <c r="N152"/>
  <c r="N153"/>
  <c r="N154"/>
  <c r="N155"/>
  <c r="N156"/>
  <c r="N157"/>
  <c r="N158"/>
  <c r="N159"/>
  <c r="F151"/>
  <c r="F154"/>
  <c r="F152"/>
  <c r="F155"/>
  <c r="F156"/>
  <c r="F157"/>
  <c r="F158"/>
  <c r="F159"/>
  <c r="H142"/>
  <c r="F145"/>
  <c r="F146"/>
  <c r="F147"/>
  <c r="F148"/>
  <c r="F149"/>
  <c r="M143"/>
  <c r="E143"/>
  <c r="L142"/>
  <c r="L141"/>
  <c r="D141"/>
  <c r="L140"/>
  <c r="D140"/>
  <c r="L139"/>
  <c r="D139"/>
  <c r="J135"/>
  <c r="B135"/>
  <c r="J134"/>
  <c r="B134"/>
  <c r="N120"/>
  <c r="N119"/>
  <c r="N122"/>
  <c r="N123"/>
  <c r="N124"/>
  <c r="N125"/>
  <c r="N126"/>
  <c r="P109"/>
  <c r="N112"/>
  <c r="N113"/>
  <c r="N114"/>
  <c r="N115"/>
  <c r="N116"/>
  <c r="F118"/>
  <c r="F120"/>
  <c r="F121"/>
  <c r="F119"/>
  <c r="F122"/>
  <c r="F123"/>
  <c r="F124"/>
  <c r="F125"/>
  <c r="F126"/>
  <c r="H109"/>
  <c r="F112"/>
  <c r="F113"/>
  <c r="F114"/>
  <c r="F115"/>
  <c r="F116"/>
  <c r="P28" i="63"/>
  <c r="S41" s="1"/>
  <c r="M110" i="64"/>
  <c r="E110"/>
  <c r="L108"/>
  <c r="D108"/>
  <c r="L107"/>
  <c r="D107"/>
  <c r="L106"/>
  <c r="D106"/>
  <c r="J102"/>
  <c r="B102"/>
  <c r="J101"/>
  <c r="B101"/>
  <c r="N85"/>
  <c r="N88"/>
  <c r="N86"/>
  <c r="N89"/>
  <c r="N90"/>
  <c r="N91"/>
  <c r="N92"/>
  <c r="N93"/>
  <c r="P76"/>
  <c r="N79"/>
  <c r="N80"/>
  <c r="N81"/>
  <c r="N82"/>
  <c r="N83"/>
  <c r="P27" i="63"/>
  <c r="S40" s="1"/>
  <c r="F88" i="64"/>
  <c r="F86"/>
  <c r="F87"/>
  <c r="F89"/>
  <c r="F90"/>
  <c r="F91"/>
  <c r="F92"/>
  <c r="F93"/>
  <c r="H76"/>
  <c r="F79"/>
  <c r="F80"/>
  <c r="F81"/>
  <c r="F82"/>
  <c r="F83"/>
  <c r="M77"/>
  <c r="E77"/>
  <c r="L75"/>
  <c r="D75"/>
  <c r="L74"/>
  <c r="D74"/>
  <c r="L73"/>
  <c r="D73"/>
  <c r="J69"/>
  <c r="B69"/>
  <c r="J68"/>
  <c r="B68"/>
  <c r="N52"/>
  <c r="N55"/>
  <c r="N53"/>
  <c r="N54"/>
  <c r="N56"/>
  <c r="N57"/>
  <c r="N58"/>
  <c r="N59"/>
  <c r="N60"/>
  <c r="P43"/>
  <c r="N46"/>
  <c r="N47"/>
  <c r="N48"/>
  <c r="N49"/>
  <c r="N50"/>
  <c r="P25" i="63"/>
  <c r="S38" s="1"/>
  <c r="F53" i="64"/>
  <c r="F54"/>
  <c r="F55"/>
  <c r="F56"/>
  <c r="F57"/>
  <c r="F58"/>
  <c r="F59"/>
  <c r="F60"/>
  <c r="H43"/>
  <c r="F46"/>
  <c r="F47"/>
  <c r="F48"/>
  <c r="F49"/>
  <c r="F50"/>
  <c r="M44"/>
  <c r="E44"/>
  <c r="L42"/>
  <c r="D42"/>
  <c r="L41"/>
  <c r="D41"/>
  <c r="B24" i="63"/>
  <c r="D40" i="64" s="1"/>
  <c r="J36"/>
  <c r="B36"/>
  <c r="J35"/>
  <c r="B35"/>
  <c r="N20"/>
  <c r="N21"/>
  <c r="N22"/>
  <c r="N23"/>
  <c r="N24"/>
  <c r="N25"/>
  <c r="N26"/>
  <c r="N27"/>
  <c r="P10"/>
  <c r="N13"/>
  <c r="N14"/>
  <c r="N15"/>
  <c r="N16"/>
  <c r="N17"/>
  <c r="F19"/>
  <c r="F22"/>
  <c r="F20"/>
  <c r="F21"/>
  <c r="F23"/>
  <c r="F24"/>
  <c r="F25"/>
  <c r="F26"/>
  <c r="F27"/>
  <c r="H10"/>
  <c r="F13"/>
  <c r="F14"/>
  <c r="F15"/>
  <c r="F16"/>
  <c r="F17"/>
  <c r="P22" i="63"/>
  <c r="S35" s="1"/>
  <c r="M11" i="64"/>
  <c r="E11"/>
  <c r="L9"/>
  <c r="D9"/>
  <c r="L8"/>
  <c r="D8"/>
  <c r="L7"/>
  <c r="D7"/>
  <c r="J3"/>
  <c r="B3"/>
  <c r="J2"/>
  <c r="B2"/>
  <c r="J56" i="63"/>
  <c r="O56" s="1"/>
  <c r="J57"/>
  <c r="O57" s="1"/>
  <c r="J58"/>
  <c r="O58" s="1"/>
  <c r="J59"/>
  <c r="O59" s="1"/>
  <c r="J60"/>
  <c r="O60" s="1"/>
  <c r="J61"/>
  <c r="O61" s="1"/>
  <c r="J62"/>
  <c r="J63"/>
  <c r="J64"/>
  <c r="J65"/>
  <c r="I67"/>
  <c r="H67"/>
  <c r="G67"/>
  <c r="F67"/>
  <c r="E67"/>
  <c r="D56"/>
  <c r="D62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 s="1"/>
  <c r="C59" s="1"/>
  <c r="M58"/>
  <c r="L58"/>
  <c r="K58"/>
  <c r="H58"/>
  <c r="C9"/>
  <c r="C24" s="1"/>
  <c r="C58" s="1"/>
  <c r="B58"/>
  <c r="M57"/>
  <c r="L57"/>
  <c r="K57"/>
  <c r="C57"/>
  <c r="B57"/>
  <c r="M56"/>
  <c r="L56"/>
  <c r="K56"/>
  <c r="H56"/>
  <c r="C7"/>
  <c r="C22" s="1"/>
  <c r="C56" s="1"/>
  <c r="B22"/>
  <c r="B56"/>
  <c r="M44"/>
  <c r="M43"/>
  <c r="M42"/>
  <c r="M41"/>
  <c r="M40"/>
  <c r="P39"/>
  <c r="M39"/>
  <c r="P38"/>
  <c r="O38"/>
  <c r="P37"/>
  <c r="O37"/>
  <c r="D37"/>
  <c r="P36"/>
  <c r="M36"/>
  <c r="P35"/>
  <c r="O35"/>
  <c r="M35"/>
  <c r="O33"/>
  <c r="N33"/>
  <c r="M33"/>
  <c r="L33"/>
  <c r="K33"/>
  <c r="J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N151"/>
  <c r="N152"/>
  <c r="N153"/>
  <c r="N154"/>
  <c r="N155"/>
  <c r="N156"/>
  <c r="N157"/>
  <c r="N158"/>
  <c r="N159"/>
  <c r="H142"/>
  <c r="F145"/>
  <c r="F146"/>
  <c r="F147"/>
  <c r="F148"/>
  <c r="F149"/>
  <c r="F15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5"/>
  <c r="N116"/>
  <c r="N118"/>
  <c r="N119"/>
  <c r="N120"/>
  <c r="N121"/>
  <c r="N122"/>
  <c r="N123"/>
  <c r="N124"/>
  <c r="N125"/>
  <c r="N126"/>
  <c r="H109"/>
  <c r="F113"/>
  <c r="F116"/>
  <c r="F118"/>
  <c r="F119"/>
  <c r="F120"/>
  <c r="F121"/>
  <c r="F122"/>
  <c r="F123"/>
  <c r="F125"/>
  <c r="F126"/>
  <c r="M110"/>
  <c r="E110"/>
  <c r="L108"/>
  <c r="D108"/>
  <c r="L107"/>
  <c r="D107"/>
  <c r="L106"/>
  <c r="D106"/>
  <c r="J102"/>
  <c r="B102"/>
  <c r="J101"/>
  <c r="B101"/>
  <c r="N80"/>
  <c r="N83"/>
  <c r="N85"/>
  <c r="N86"/>
  <c r="N87"/>
  <c r="N88"/>
  <c r="N89"/>
  <c r="N90"/>
  <c r="N92"/>
  <c r="N93"/>
  <c r="H76"/>
  <c r="F82"/>
  <c r="F83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9"/>
  <c r="N50"/>
  <c r="F58"/>
  <c r="F52"/>
  <c r="F53"/>
  <c r="F54"/>
  <c r="F55"/>
  <c r="F56"/>
  <c r="F57"/>
  <c r="F59"/>
  <c r="F60"/>
  <c r="F47"/>
  <c r="F48"/>
  <c r="F49"/>
  <c r="H43"/>
  <c r="M44"/>
  <c r="E44"/>
  <c r="L42"/>
  <c r="D42"/>
  <c r="L41"/>
  <c r="D41"/>
  <c r="L40"/>
  <c r="D40"/>
  <c r="J36"/>
  <c r="B36"/>
  <c r="J35"/>
  <c r="B35"/>
  <c r="N19"/>
  <c r="N20"/>
  <c r="N21"/>
  <c r="N22"/>
  <c r="N23"/>
  <c r="N24"/>
  <c r="N26"/>
  <c r="N27"/>
  <c r="N16"/>
  <c r="F26"/>
  <c r="F19"/>
  <c r="F20"/>
  <c r="F21"/>
  <c r="F22"/>
  <c r="F23"/>
  <c r="F24"/>
  <c r="F27"/>
  <c r="H10"/>
  <c r="F14"/>
  <c r="F17"/>
  <c r="M11"/>
  <c r="E11"/>
  <c r="L9"/>
  <c r="D9"/>
  <c r="L8"/>
  <c r="D8"/>
  <c r="L7"/>
  <c r="D7"/>
  <c r="J3"/>
  <c r="B3"/>
  <c r="J2"/>
  <c r="B2"/>
  <c r="H67" i="20"/>
  <c r="G67"/>
  <c r="F67"/>
  <c r="E67"/>
  <c r="D67"/>
  <c r="I65"/>
  <c r="C65"/>
  <c r="B65"/>
  <c r="I64"/>
  <c r="C64"/>
  <c r="B64"/>
  <c r="C63"/>
  <c r="B63"/>
  <c r="C62"/>
  <c r="B62"/>
  <c r="C61"/>
  <c r="B61"/>
  <c r="L60"/>
  <c r="K60"/>
  <c r="J60"/>
  <c r="C60"/>
  <c r="B60"/>
  <c r="L59"/>
  <c r="K59"/>
  <c r="J59"/>
  <c r="C59"/>
  <c r="B59"/>
  <c r="L58"/>
  <c r="K58"/>
  <c r="J58"/>
  <c r="G58"/>
  <c r="C58"/>
  <c r="B58"/>
  <c r="L57"/>
  <c r="J57"/>
  <c r="C57"/>
  <c r="B57"/>
  <c r="L56"/>
  <c r="J56"/>
  <c r="C56"/>
  <c r="B56"/>
  <c r="S44"/>
  <c r="M44"/>
  <c r="S43"/>
  <c r="M43"/>
  <c r="M42"/>
  <c r="M41"/>
  <c r="M40"/>
  <c r="M39"/>
  <c r="P38"/>
  <c r="O38"/>
  <c r="M38"/>
  <c r="O37"/>
  <c r="M37"/>
  <c r="D37"/>
  <c r="A37"/>
  <c r="M36"/>
  <c r="O35"/>
  <c r="M35"/>
  <c r="O33"/>
  <c r="N33"/>
  <c r="M33"/>
  <c r="L33"/>
  <c r="K33"/>
  <c r="J33"/>
  <c r="I33"/>
  <c r="E33"/>
  <c r="R31"/>
  <c r="P31"/>
  <c r="H31"/>
  <c r="F31"/>
  <c r="D31"/>
  <c r="C31"/>
  <c r="B31"/>
  <c r="R30"/>
  <c r="P30"/>
  <c r="H30"/>
  <c r="F30"/>
  <c r="D30"/>
  <c r="C30"/>
  <c r="B30"/>
  <c r="H29"/>
  <c r="F29"/>
  <c r="C29"/>
  <c r="B29"/>
  <c r="F28"/>
  <c r="F124" i="21" s="1"/>
  <c r="C28" i="20"/>
  <c r="B28"/>
  <c r="F27"/>
  <c r="N91" i="21" s="1"/>
  <c r="C27" i="20"/>
  <c r="B27"/>
  <c r="F26"/>
  <c r="C26"/>
  <c r="B26"/>
  <c r="F25"/>
  <c r="N39" i="5" s="1"/>
  <c r="C25" i="20"/>
  <c r="B25"/>
  <c r="F24"/>
  <c r="C24"/>
  <c r="B24"/>
  <c r="C23"/>
  <c r="B23"/>
  <c r="H22"/>
  <c r="F25" i="79" s="1"/>
  <c r="C22" i="20"/>
  <c r="B22"/>
  <c r="R21"/>
  <c r="V18"/>
  <c r="I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V14"/>
  <c r="T14"/>
  <c r="R14"/>
  <c r="N114" i="21" s="1"/>
  <c r="P14" i="20"/>
  <c r="H14"/>
  <c r="N113" i="21" s="1"/>
  <c r="G14" i="20"/>
  <c r="E14"/>
  <c r="T13"/>
  <c r="F115" i="21" s="1"/>
  <c r="R13" i="20"/>
  <c r="L13"/>
  <c r="K13"/>
  <c r="T12"/>
  <c r="R12"/>
  <c r="L12"/>
  <c r="K12"/>
  <c r="R11"/>
  <c r="L11"/>
  <c r="K11"/>
  <c r="R10"/>
  <c r="G10"/>
  <c r="B39" i="5" s="1"/>
  <c r="R9" i="20"/>
  <c r="I9"/>
  <c r="G9"/>
  <c r="E9"/>
  <c r="D9"/>
  <c r="R8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H116" i="79" l="1"/>
  <c r="I34" i="5"/>
  <c r="I36" s="1"/>
  <c r="F46" i="79"/>
  <c r="F50" i="21"/>
  <c r="F50" i="79"/>
  <c r="L37" i="5"/>
  <c r="F17" i="79"/>
  <c r="H17" s="1"/>
  <c r="N79" i="21"/>
  <c r="N79" i="79"/>
  <c r="P83" s="1"/>
  <c r="I38" i="5"/>
  <c r="N13" i="79"/>
  <c r="F80" i="21"/>
  <c r="F80" i="79"/>
  <c r="H39" i="5"/>
  <c r="N47" i="21"/>
  <c r="H149"/>
  <c r="H17" i="64"/>
  <c r="H50"/>
  <c r="H83"/>
  <c r="H116"/>
  <c r="T29" i="5"/>
  <c r="P11" i="20"/>
  <c r="F79" i="21" s="1"/>
  <c r="H159"/>
  <c r="P17" i="64"/>
  <c r="P50"/>
  <c r="P83"/>
  <c r="P116"/>
  <c r="F44" i="5"/>
  <c r="P7" i="20"/>
  <c r="I37" i="5" s="1"/>
  <c r="L34"/>
  <c r="L36" s="1"/>
  <c r="P149" i="79"/>
  <c r="P93" i="21"/>
  <c r="R24" i="20"/>
  <c r="G20" i="5" s="1"/>
  <c r="I20" s="1"/>
  <c r="X14" i="20"/>
  <c r="D29" s="1"/>
  <c r="R29"/>
  <c r="G25" i="5" s="1"/>
  <c r="P126" i="21"/>
  <c r="P159"/>
  <c r="H149" i="64"/>
  <c r="P159"/>
  <c r="U29" i="5"/>
  <c r="G41"/>
  <c r="D44"/>
  <c r="I25"/>
  <c r="H29"/>
  <c r="P116" i="21"/>
  <c r="H160"/>
  <c r="T160" s="1"/>
  <c r="P149"/>
  <c r="P160" s="1"/>
  <c r="V160" s="1"/>
  <c r="P149" i="64"/>
  <c r="P160" s="1"/>
  <c r="S29" i="5"/>
  <c r="O31"/>
  <c r="H33" i="20"/>
  <c r="H38" i="5"/>
  <c r="H41" s="1"/>
  <c r="H18" i="20"/>
  <c r="N14" i="21"/>
  <c r="X9" i="20"/>
  <c r="D24" s="1"/>
  <c r="I58" s="1"/>
  <c r="N58" s="1"/>
  <c r="X11"/>
  <c r="D26" s="1"/>
  <c r="I60" s="1"/>
  <c r="N60" s="1"/>
  <c r="T18"/>
  <c r="P18"/>
  <c r="H126" i="21"/>
  <c r="F16"/>
  <c r="F13"/>
  <c r="N13"/>
  <c r="F46"/>
  <c r="H60"/>
  <c r="M37" i="63"/>
  <c r="B25"/>
  <c r="L40" i="64"/>
  <c r="H126"/>
  <c r="H127" s="1"/>
  <c r="M41" i="5"/>
  <c r="M44" s="1"/>
  <c r="P36" i="20"/>
  <c r="N38" i="5"/>
  <c r="P27" i="21"/>
  <c r="H60" i="79"/>
  <c r="D61" i="63"/>
  <c r="D59"/>
  <c r="P23"/>
  <c r="N19" i="64"/>
  <c r="P27" s="1"/>
  <c r="P28" s="1"/>
  <c r="P24" i="63"/>
  <c r="F52" i="64"/>
  <c r="H60" s="1"/>
  <c r="H61" s="1"/>
  <c r="P26" i="63"/>
  <c r="F85" i="64"/>
  <c r="H93" s="1"/>
  <c r="H94" s="1"/>
  <c r="N87"/>
  <c r="P29" i="63"/>
  <c r="N121" i="64"/>
  <c r="N118"/>
  <c r="P30" i="63"/>
  <c r="P43" i="21"/>
  <c r="X10" i="20"/>
  <c r="D25" s="1"/>
  <c r="G18"/>
  <c r="B38" i="5"/>
  <c r="B41" s="1"/>
  <c r="B44" s="1"/>
  <c r="I41"/>
  <c r="I44" s="1"/>
  <c r="N37"/>
  <c r="X12" i="20"/>
  <c r="D27" s="1"/>
  <c r="I61" s="1"/>
  <c r="N61" s="1"/>
  <c r="F33"/>
  <c r="N82" i="21"/>
  <c r="F91"/>
  <c r="H93" s="1"/>
  <c r="N48"/>
  <c r="P50" s="1"/>
  <c r="N58"/>
  <c r="P60" s="1"/>
  <c r="J39" i="5"/>
  <c r="R25" i="20"/>
  <c r="G21" i="5" s="1"/>
  <c r="I21" s="1"/>
  <c r="J38"/>
  <c r="R23" i="20"/>
  <c r="G19" i="5" s="1"/>
  <c r="I19" s="1"/>
  <c r="X8" i="20"/>
  <c r="D23" s="1"/>
  <c r="F25" i="21"/>
  <c r="J37" i="5"/>
  <c r="R22" i="20"/>
  <c r="G18" i="5" s="1"/>
  <c r="I18" s="1"/>
  <c r="H17" i="21"/>
  <c r="H27"/>
  <c r="X7" i="20"/>
  <c r="X13"/>
  <c r="D28" s="1"/>
  <c r="F114" i="21"/>
  <c r="H116" s="1"/>
  <c r="H127" s="1"/>
  <c r="R28" i="20"/>
  <c r="G24" i="5" s="1"/>
  <c r="I24" s="1"/>
  <c r="N81" i="21"/>
  <c r="R27" i="20"/>
  <c r="G23" i="5" s="1"/>
  <c r="I23" s="1"/>
  <c r="F81" i="21"/>
  <c r="R18" i="20"/>
  <c r="R26"/>
  <c r="G22" i="5" s="1"/>
  <c r="I22" s="1"/>
  <c r="P26" i="20"/>
  <c r="S39" s="1"/>
  <c r="H34" i="5"/>
  <c r="H36" s="1"/>
  <c r="L38"/>
  <c r="L41" s="1"/>
  <c r="L44" s="1"/>
  <c r="D22" i="20"/>
  <c r="I56" s="1"/>
  <c r="N56" s="1"/>
  <c r="H27" i="64"/>
  <c r="H28" s="1"/>
  <c r="L29" i="5"/>
  <c r="P159" i="79"/>
  <c r="P60" i="64"/>
  <c r="P61" s="1"/>
  <c r="V61" s="1"/>
  <c r="P93" i="79"/>
  <c r="J67" i="63"/>
  <c r="P93" i="64"/>
  <c r="P94" s="1"/>
  <c r="K29" i="5"/>
  <c r="H27" i="79"/>
  <c r="P17"/>
  <c r="P50"/>
  <c r="P61" s="1"/>
  <c r="V61" s="1"/>
  <c r="H83"/>
  <c r="H126"/>
  <c r="H127" s="1"/>
  <c r="T127" s="1"/>
  <c r="P116"/>
  <c r="H149"/>
  <c r="T127" i="64"/>
  <c r="P126"/>
  <c r="P127" s="1"/>
  <c r="P27" i="79"/>
  <c r="H93"/>
  <c r="P126"/>
  <c r="P127" s="1"/>
  <c r="V127" s="1"/>
  <c r="H159"/>
  <c r="N34" i="5"/>
  <c r="N36" s="1"/>
  <c r="K39"/>
  <c r="K41" s="1"/>
  <c r="T28" i="64"/>
  <c r="J29" i="5"/>
  <c r="M29"/>
  <c r="N23"/>
  <c r="N29" s="1"/>
  <c r="O67" i="63"/>
  <c r="V94" i="64"/>
  <c r="Q29" i="5"/>
  <c r="F153" i="64"/>
  <c r="H159" s="1"/>
  <c r="H160" s="1"/>
  <c r="P31" i="63"/>
  <c r="H160" i="79" l="1"/>
  <c r="T160" s="1"/>
  <c r="P83" i="21"/>
  <c r="P94" s="1"/>
  <c r="V94" s="1"/>
  <c r="H50"/>
  <c r="H50" i="79"/>
  <c r="H61" s="1"/>
  <c r="T61" s="1"/>
  <c r="H83" i="21"/>
  <c r="H28" i="79"/>
  <c r="T28" s="1"/>
  <c r="P94"/>
  <c r="V94" s="1"/>
  <c r="P127" i="21"/>
  <c r="P25" i="20"/>
  <c r="I59"/>
  <c r="N59" s="1"/>
  <c r="H61" i="21"/>
  <c r="P160" i="79"/>
  <c r="V160" s="1"/>
  <c r="H94"/>
  <c r="T94" s="1"/>
  <c r="P29" i="20"/>
  <c r="S42" s="1"/>
  <c r="I63"/>
  <c r="V127" i="21"/>
  <c r="S38" i="20"/>
  <c r="L52" i="5"/>
  <c r="P24" i="20"/>
  <c r="S37" s="1"/>
  <c r="T61" i="21" s="1"/>
  <c r="H44" i="5"/>
  <c r="K57" i="20"/>
  <c r="P38" i="5"/>
  <c r="P41" s="1"/>
  <c r="P44" s="1"/>
  <c r="N17" i="21"/>
  <c r="P17" s="1"/>
  <c r="P28" s="1"/>
  <c r="A37" i="63"/>
  <c r="B59"/>
  <c r="M38"/>
  <c r="P27" i="20"/>
  <c r="S40" s="1"/>
  <c r="N41" i="5"/>
  <c r="S42" i="63"/>
  <c r="V127" i="64" s="1"/>
  <c r="D63" i="63"/>
  <c r="S43"/>
  <c r="T160" i="64" s="1"/>
  <c r="D64" i="63"/>
  <c r="S39"/>
  <c r="T94" i="64" s="1"/>
  <c r="D60" i="63"/>
  <c r="S37"/>
  <c r="T61" i="64" s="1"/>
  <c r="D58" i="63"/>
  <c r="S36"/>
  <c r="V28" i="64" s="1"/>
  <c r="D57" i="63"/>
  <c r="P28" i="79"/>
  <c r="V28" s="1"/>
  <c r="H28" i="21"/>
  <c r="I62" i="20"/>
  <c r="N62" s="1"/>
  <c r="P28"/>
  <c r="S41" s="1"/>
  <c r="P23"/>
  <c r="H94" i="21"/>
  <c r="N44" i="5"/>
  <c r="P61" i="21"/>
  <c r="J41" i="5"/>
  <c r="J44" s="1"/>
  <c r="D33" i="20"/>
  <c r="X18"/>
  <c r="G29" i="5"/>
  <c r="I29"/>
  <c r="M48" s="1"/>
  <c r="T94" i="21"/>
  <c r="T127"/>
  <c r="P22" i="20"/>
  <c r="K44" i="5"/>
  <c r="K31"/>
  <c r="S44" i="63"/>
  <c r="V160" i="64" s="1"/>
  <c r="D65" i="63"/>
  <c r="D67" s="1"/>
  <c r="P33"/>
  <c r="P46" s="1"/>
  <c r="Q31" i="5"/>
  <c r="L54"/>
  <c r="L56" s="1"/>
  <c r="M31"/>
  <c r="N57" i="20" l="1"/>
  <c r="N67" s="1"/>
  <c r="Q44" i="5"/>
  <c r="L51"/>
  <c r="M51" s="1"/>
  <c r="N51" s="1"/>
  <c r="S36" i="20"/>
  <c r="V28" i="21" s="1"/>
  <c r="S35" i="20"/>
  <c r="T28" i="21" s="1"/>
  <c r="P33" i="20"/>
  <c r="P46" s="1"/>
  <c r="V61" i="21"/>
  <c r="L50" i="5"/>
  <c r="L49" s="1"/>
  <c r="I67" i="20"/>
  <c r="M50" i="5"/>
  <c r="N50" s="1"/>
  <c r="M49" l="1"/>
  <c r="N49" s="1"/>
  <c r="L48"/>
  <c r="N48" s="1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<sst xmlns="http://schemas.openxmlformats.org/spreadsheetml/2006/main" count="2085" uniqueCount="295">
  <si>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</si>
  <si>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</si>
  <si>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</si>
  <si>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</si>
  <si>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</si>
  <si>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</si>
  <si>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</si>
  <si>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</si>
  <si>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</si>
  <si>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</si>
  <si>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</si>
  <si>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</si>
  <si>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</si>
  <si>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</si>
  <si>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</si>
  <si>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</si>
  <si>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</si>
  <si>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</si>
  <si>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</si>
  <si>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</si>
  <si>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</si>
  <si>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</si>
  <si>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</si>
  <si>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</si>
  <si>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</si>
  <si>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</si>
  <si>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</si>
  <si>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</si>
  <si>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</si>
  <si>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</si>
  <si>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</si>
  <si>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</si>
  <si>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</si>
  <si>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</si>
  <si>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</si>
  <si>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</si>
  <si>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</si>
  <si>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</si>
  <si>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</si>
  <si>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</si>
  <si>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</si>
  <si>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</si>
  <si>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</si>
  <si>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</si>
  <si>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</si>
  <si>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</si>
  <si>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</si>
  <si>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</si>
  <si>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</si>
  <si>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</si>
  <si>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</si>
  <si>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</si>
  <si>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</si>
  <si>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</si>
  <si>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</si>
  <si>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</si>
  <si>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</si>
  <si>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</si>
  <si>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</si>
  <si>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</si>
  <si>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</si>
  <si>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</si>
  <si>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</si>
  <si>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</si>
  <si>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</si>
  <si>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</si>
  <si>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</si>
  <si>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</si>
  <si>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</si>
  <si>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</si>
  <si>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</si>
  <si>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</si>
  <si>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</si>
  <si>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</si>
  <si>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</si>
  <si>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</si>
  <si>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</si>
  <si>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</si>
  <si>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</si>
  <si>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</si>
  <si>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</si>
  <si>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</si>
  <si>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</si>
  <si>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</si>
  <si>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</si>
  <si>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</si>
  <si>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</si>
  <si>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</si>
  <si>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</si>
  <si>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</si>
  <si>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</si>
  <si>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</si>
  <si>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</si>
  <si>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</si>
  <si>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</si>
  <si>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</si>
  <si>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</si>
  <si>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</si>
  <si>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</si>
  <si>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</si>
  <si>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</si>
  <si>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</si>
  <si>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</si>
  <si>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</si>
  <si>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</si>
  <si>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</si>
  <si>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</si>
  <si>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</si>
  <si>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</si>
  <si>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</si>
  <si>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</si>
  <si>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</si>
  <si>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</si>
  <si>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</si>
  <si>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</si>
  <si>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</si>
  <si>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</si>
  <si>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</si>
  <si>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</si>
  <si>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</si>
  <si>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</si>
  <si>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</si>
  <si>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</si>
  <si>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</si>
  <si>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</si>
  <si>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</si>
  <si>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</si>
  <si>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</si>
  <si>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</si>
  <si>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</si>
  <si>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</si>
  <si>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</si>
  <si>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</si>
  <si>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</si>
  <si>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</si>
  <si>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</si>
  <si>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</si>
  <si>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</si>
  <si>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</si>
  <si>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</si>
  <si>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</si>
  <si>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</si>
  <si>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</si>
  <si>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</si>
  <si>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</si>
  <si>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</si>
  <si>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</si>
  <si>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</si>
  <si>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</si>
  <si>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</si>
  <si>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</si>
  <si>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</si>
  <si>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</si>
  <si>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</si>
  <si>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</si>
  <si>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</si>
  <si>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</si>
  <si>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</si>
  <si>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</si>
  <si>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</si>
  <si>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</si>
  <si>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</si>
  <si>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</si>
  <si>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</si>
  <si>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</si>
  <si>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</si>
  <si>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</si>
  <si>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</si>
  <si>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</si>
  <si>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</si>
  <si>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</si>
  <si>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</si>
  <si>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</si>
  <si>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</si>
  <si>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</si>
  <si>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</si>
  <si>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</si>
  <si>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</si>
  <si>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</si>
  <si>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</si>
  <si>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</si>
  <si>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</si>
  <si>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</si>
  <si>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</si>
  <si>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</si>
  <si>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</si>
  <si>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</si>
  <si>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</si>
  <si>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</si>
  <si>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</si>
  <si>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</si>
  <si>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</si>
  <si>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</si>
  <si>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</si>
  <si>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</si>
  <si>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</si>
  <si>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</si>
  <si>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</si>
  <si>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</si>
  <si>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</si>
  <si>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</si>
  <si>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</si>
  <si>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</si>
  <si>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</si>
  <si>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</si>
  <si>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</si>
  <si>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</si>
  <si>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</si>
  <si>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</si>
  <si>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</si>
  <si>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</si>
  <si>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</si>
  <si>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</si>
  <si>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</si>
  <si>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</si>
  <si>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</si>
  <si>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</si>
  <si>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</si>
  <si>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</si>
  <si>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</si>
  <si>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</si>
  <si>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</si>
  <si>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</si>
  <si>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</si>
  <si>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</si>
  <si>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</si>
  <si>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</si>
  <si>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</si>
  <si>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</si>
  <si>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</si>
  <si>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</si>
  <si>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</si>
  <si>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</si>
  <si>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</si>
  <si>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</si>
  <si>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</si>
  <si>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</si>
  <si>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</si>
  <si>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</si>
  <si>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</si>
  <si>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</si>
  <si>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</si>
  <si>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</si>
  <si>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</si>
  <si>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</si>
  <si>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</si>
  <si>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</si>
  <si>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</si>
  <si>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</si>
  <si>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</si>
  <si>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</si>
  <si>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</si>
  <si>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</si>
  <si>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</si>
  <si>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</si>
  <si>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</si>
  <si>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</si>
  <si>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</si>
  <si>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</si>
  <si>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</si>
  <si>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</si>
  <si>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</si>
  <si>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</si>
  <si>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</si>
  <si>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</si>
  <si>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</si>
  <si>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</si>
  <si>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</si>
  <si>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</si>
  <si>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</si>
  <si>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</si>
  <si>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</si>
  <si>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</si>
  <si>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</si>
  <si>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</si>
  <si>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</si>
  <si>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</si>
  <si>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</si>
  <si>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</si>
  <si>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</si>
  <si>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</si>
  <si>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</si>
  <si>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</si>
  <si>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</si>
  <si>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</si>
  <si>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</si>
  <si>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</si>
  <si>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</si>
  <si>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</si>
  <si>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</si>
  <si>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</si>
  <si>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ADJUSTMENT for minimum wage increase last cut off (Nov.22-23-24)</t>
  </si>
  <si>
    <t>APE</t>
  </si>
  <si>
    <t>Feb 26-March 10</t>
  </si>
  <si>
    <t>4 of 4 APE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</si>
</sst>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7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43" fontId="14" fillId="0" borderId="0" xfId="59" applyNumberFormat="1" applyFont="1" applyBorder="1"/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/>
        </row>
        <row r="15">
          <cell r="B15"/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2">
          <cell r="O22"/>
        </row>
        <row r="23">
          <cell r="N23"/>
          <cell r="O23"/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K30"/>
          <cell r="L30">
            <v>0</v>
          </cell>
          <cell r="M30"/>
          <cell r="N30"/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0">
          <cell r="F60"/>
          <cell r="G60"/>
          <cell r="H60"/>
          <cell r="I60"/>
        </row>
        <row r="61">
          <cell r="F61"/>
          <cell r="G61"/>
          <cell r="H61"/>
          <cell r="I61"/>
        </row>
        <row r="62">
          <cell r="F62"/>
          <cell r="G62"/>
          <cell r="H62"/>
          <cell r="I62"/>
        </row>
        <row r="63">
          <cell r="E63"/>
          <cell r="F63"/>
          <cell r="G63"/>
          <cell r="H63"/>
          <cell r="I63"/>
        </row>
        <row r="64">
          <cell r="E64"/>
          <cell r="F64"/>
          <cell r="G64"/>
          <cell r="H64"/>
          <cell r="I64">
            <v>0</v>
          </cell>
        </row>
        <row r="65">
          <cell r="F65"/>
          <cell r="G65"/>
          <cell r="H65"/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65" t="s">
        <v>152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</row>
    <row r="2" spans="1:27" s="277" customFormat="1" ht="26.25">
      <c r="A2" s="365" t="s">
        <v>214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</row>
    <row r="3" spans="1:27" s="277" customFormat="1" ht="26.25">
      <c r="A3" s="365" t="s">
        <v>215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66" t="s">
        <v>153</v>
      </c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7" t="s">
        <v>91</v>
      </c>
      <c r="I5" s="368"/>
      <c r="J5" s="368"/>
      <c r="K5" s="369"/>
      <c r="L5" s="370" t="s">
        <v>90</v>
      </c>
      <c r="M5" s="372" t="s">
        <v>157</v>
      </c>
      <c r="N5" s="372" t="s">
        <v>158</v>
      </c>
      <c r="O5" s="374" t="s">
        <v>159</v>
      </c>
      <c r="P5" s="375"/>
      <c r="Q5" s="376"/>
      <c r="R5" s="372" t="s">
        <v>160</v>
      </c>
      <c r="S5" s="374" t="s">
        <v>19</v>
      </c>
      <c r="T5" s="375"/>
      <c r="U5" s="376"/>
      <c r="V5" s="372" t="s">
        <v>124</v>
      </c>
      <c r="W5" s="372" t="s">
        <v>125</v>
      </c>
      <c r="X5" s="361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62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3" t="s">
        <v>174</v>
      </c>
      <c r="G11" s="363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4" t="s">
        <v>221</v>
      </c>
      <c r="G12" s="364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4" t="s">
        <v>224</v>
      </c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3" t="s">
        <v>224</v>
      </c>
      <c r="G15" s="363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3" t="s">
        <v>173</v>
      </c>
      <c r="G19" s="363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4" t="s">
        <v>235</v>
      </c>
      <c r="G22" s="364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3" t="s">
        <v>235</v>
      </c>
      <c r="G23" s="363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4" t="s">
        <v>235</v>
      </c>
      <c r="G24" s="364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67" t="s">
        <v>91</v>
      </c>
      <c r="I27" s="368"/>
      <c r="J27" s="368"/>
      <c r="K27" s="369"/>
      <c r="L27" s="370" t="s">
        <v>90</v>
      </c>
      <c r="M27" s="372" t="s">
        <v>157</v>
      </c>
      <c r="N27" s="372" t="s">
        <v>158</v>
      </c>
      <c r="O27" s="374" t="s">
        <v>159</v>
      </c>
      <c r="P27" s="375"/>
      <c r="Q27" s="376"/>
      <c r="R27" s="372" t="s">
        <v>160</v>
      </c>
      <c r="S27" s="374" t="s">
        <v>19</v>
      </c>
      <c r="T27" s="375"/>
      <c r="U27" s="376"/>
      <c r="V27" s="372" t="s">
        <v>124</v>
      </c>
      <c r="W27" s="372" t="s">
        <v>125</v>
      </c>
      <c r="X27" s="361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1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62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3" t="s">
        <v>173</v>
      </c>
      <c r="G33" s="363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4" t="s">
        <v>173</v>
      </c>
      <c r="G34" s="364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3" t="s">
        <v>224</v>
      </c>
      <c r="G37" s="363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4" t="s">
        <v>224</v>
      </c>
      <c r="G38" s="364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3" t="s">
        <v>173</v>
      </c>
      <c r="G43" s="363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4" t="s">
        <v>173</v>
      </c>
      <c r="G44" s="364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7" t="s">
        <v>238</v>
      </c>
      <c r="G47" s="377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4" t="s">
        <v>239</v>
      </c>
      <c r="G48" s="364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3" t="s">
        <v>239</v>
      </c>
      <c r="G49" s="363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4" t="s">
        <v>239</v>
      </c>
      <c r="G50" s="364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67" t="s">
        <v>91</v>
      </c>
      <c r="I53" s="368"/>
      <c r="J53" s="368"/>
      <c r="K53" s="369"/>
      <c r="L53" s="370" t="s">
        <v>90</v>
      </c>
      <c r="M53" s="372" t="s">
        <v>157</v>
      </c>
      <c r="N53" s="372" t="s">
        <v>158</v>
      </c>
      <c r="O53" s="374" t="s">
        <v>159</v>
      </c>
      <c r="P53" s="375"/>
      <c r="Q53" s="376"/>
      <c r="R53" s="372" t="s">
        <v>160</v>
      </c>
      <c r="S53" s="374" t="s">
        <v>19</v>
      </c>
      <c r="T53" s="375"/>
      <c r="U53" s="376"/>
      <c r="V53" s="372" t="s">
        <v>124</v>
      </c>
      <c r="W53" s="372" t="s">
        <v>125</v>
      </c>
      <c r="X53" s="361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1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62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8" t="s">
        <v>177</v>
      </c>
      <c r="G56" s="364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3" t="s">
        <v>173</v>
      </c>
      <c r="G57" s="363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4" t="s">
        <v>224</v>
      </c>
      <c r="G60" s="364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3" t="s">
        <v>224</v>
      </c>
      <c r="G61" s="363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4" t="s">
        <v>174</v>
      </c>
      <c r="G64" s="364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3" t="s">
        <v>173</v>
      </c>
      <c r="G65" s="363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3" t="s">
        <v>165</v>
      </c>
      <c r="G67" s="363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4" t="s">
        <v>244</v>
      </c>
      <c r="G68" s="364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3" t="s">
        <v>244</v>
      </c>
      <c r="G69" s="363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4" t="s">
        <v>244</v>
      </c>
      <c r="G70" s="364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67" t="s">
        <v>91</v>
      </c>
      <c r="I73" s="368"/>
      <c r="J73" s="368"/>
      <c r="K73" s="369"/>
      <c r="L73" s="370" t="s">
        <v>90</v>
      </c>
      <c r="M73" s="372" t="s">
        <v>157</v>
      </c>
      <c r="N73" s="372" t="s">
        <v>158</v>
      </c>
      <c r="O73" s="374" t="s">
        <v>159</v>
      </c>
      <c r="P73" s="375"/>
      <c r="Q73" s="376"/>
      <c r="R73" s="372" t="s">
        <v>160</v>
      </c>
      <c r="S73" s="374" t="s">
        <v>19</v>
      </c>
      <c r="T73" s="375"/>
      <c r="U73" s="376"/>
      <c r="V73" s="372" t="s">
        <v>124</v>
      </c>
      <c r="W73" s="372" t="s">
        <v>125</v>
      </c>
      <c r="X73" s="361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1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62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3" t="s">
        <v>173</v>
      </c>
      <c r="G79" s="363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4" t="s">
        <v>173</v>
      </c>
      <c r="G80" s="364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3" t="s">
        <v>224</v>
      </c>
      <c r="G83" s="363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4" t="s">
        <v>224</v>
      </c>
      <c r="G84" s="364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3"/>
      <c r="G91" s="363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3" t="s">
        <v>239</v>
      </c>
      <c r="G95" s="363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3" t="s">
        <v>239</v>
      </c>
      <c r="G96" s="363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3" t="s">
        <v>239</v>
      </c>
      <c r="G97" s="363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67" t="s">
        <v>91</v>
      </c>
      <c r="I100" s="368"/>
      <c r="J100" s="368"/>
      <c r="K100" s="369"/>
      <c r="L100" s="370" t="s">
        <v>90</v>
      </c>
      <c r="M100" s="372" t="s">
        <v>157</v>
      </c>
      <c r="N100" s="372" t="s">
        <v>158</v>
      </c>
      <c r="O100" s="374" t="s">
        <v>159</v>
      </c>
      <c r="P100" s="375"/>
      <c r="Q100" s="376"/>
      <c r="R100" s="372" t="s">
        <v>160</v>
      </c>
      <c r="S100" s="374" t="s">
        <v>19</v>
      </c>
      <c r="T100" s="375"/>
      <c r="U100" s="376"/>
      <c r="V100" s="372" t="s">
        <v>124</v>
      </c>
      <c r="W100" s="372" t="s">
        <v>125</v>
      </c>
      <c r="X100" s="361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1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62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4" t="s">
        <v>173</v>
      </c>
      <c r="G105" s="364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3" t="s">
        <v>173</v>
      </c>
      <c r="G106" s="363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3" t="s">
        <v>224</v>
      </c>
      <c r="G108" s="363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4" t="s">
        <v>224</v>
      </c>
      <c r="G109" s="364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3" t="s">
        <v>173</v>
      </c>
      <c r="G112" s="363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4" t="s">
        <v>173</v>
      </c>
      <c r="G113" s="364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79" t="s">
        <v>235</v>
      </c>
      <c r="G115" s="37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3" t="s">
        <v>248</v>
      </c>
      <c r="G116" s="363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79" t="s">
        <v>235</v>
      </c>
      <c r="G117" s="37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3" t="s">
        <v>248</v>
      </c>
      <c r="G118" s="363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67" t="s">
        <v>91</v>
      </c>
      <c r="I121" s="368"/>
      <c r="J121" s="368"/>
      <c r="K121" s="369"/>
      <c r="L121" s="370" t="s">
        <v>90</v>
      </c>
      <c r="M121" s="372" t="s">
        <v>157</v>
      </c>
      <c r="N121" s="372" t="s">
        <v>158</v>
      </c>
      <c r="O121" s="374" t="s">
        <v>159</v>
      </c>
      <c r="P121" s="375"/>
      <c r="Q121" s="376"/>
      <c r="R121" s="372" t="s">
        <v>160</v>
      </c>
      <c r="S121" s="374" t="s">
        <v>19</v>
      </c>
      <c r="T121" s="375"/>
      <c r="U121" s="376"/>
      <c r="V121" s="372" t="s">
        <v>124</v>
      </c>
      <c r="W121" s="372" t="s">
        <v>125</v>
      </c>
      <c r="X121" s="361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1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62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3" t="s">
        <v>173</v>
      </c>
      <c r="G129" s="363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3" t="s">
        <v>224</v>
      </c>
      <c r="G132" s="363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4" t="s">
        <v>224</v>
      </c>
      <c r="G133" s="364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4" t="s">
        <v>173</v>
      </c>
      <c r="G138" s="364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3" t="s">
        <v>173</v>
      </c>
      <c r="G139" s="363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4" t="s">
        <v>239</v>
      </c>
      <c r="G142" s="364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3" t="s">
        <v>249</v>
      </c>
      <c r="G143" s="363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4" t="s">
        <v>239</v>
      </c>
      <c r="G144" s="364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3" t="s">
        <v>249</v>
      </c>
      <c r="G145" s="363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67" t="s">
        <v>91</v>
      </c>
      <c r="I148" s="368"/>
      <c r="J148" s="368"/>
      <c r="K148" s="369"/>
      <c r="L148" s="370" t="s">
        <v>90</v>
      </c>
      <c r="M148" s="372" t="s">
        <v>157</v>
      </c>
      <c r="N148" s="372" t="s">
        <v>158</v>
      </c>
      <c r="O148" s="374" t="s">
        <v>159</v>
      </c>
      <c r="P148" s="375"/>
      <c r="Q148" s="376"/>
      <c r="R148" s="372" t="s">
        <v>160</v>
      </c>
      <c r="S148" s="374" t="s">
        <v>19</v>
      </c>
      <c r="T148" s="375"/>
      <c r="U148" s="376"/>
      <c r="V148" s="372" t="s">
        <v>124</v>
      </c>
      <c r="W148" s="372" t="s">
        <v>125</v>
      </c>
      <c r="X148" s="361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1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62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4" t="s">
        <v>173</v>
      </c>
      <c r="G157" s="364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3" t="s">
        <v>224</v>
      </c>
      <c r="G160" s="363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4" t="s">
        <v>224</v>
      </c>
      <c r="G161" s="364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3" t="s">
        <v>22</v>
      </c>
      <c r="G164" s="363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4" t="s">
        <v>173</v>
      </c>
      <c r="G165" s="364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3" t="s">
        <v>173</v>
      </c>
      <c r="G166" s="363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79" t="s">
        <v>239</v>
      </c>
      <c r="G169" s="37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3" t="s">
        <v>239</v>
      </c>
      <c r="G170" s="363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79" t="s">
        <v>239</v>
      </c>
      <c r="G171" s="37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3" t="s">
        <v>239</v>
      </c>
      <c r="G172" s="363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67" t="s">
        <v>91</v>
      </c>
      <c r="I175" s="368"/>
      <c r="J175" s="368"/>
      <c r="K175" s="369"/>
      <c r="L175" s="370" t="s">
        <v>90</v>
      </c>
      <c r="M175" s="372" t="s">
        <v>157</v>
      </c>
      <c r="N175" s="372" t="s">
        <v>158</v>
      </c>
      <c r="O175" s="374" t="s">
        <v>159</v>
      </c>
      <c r="P175" s="375"/>
      <c r="Q175" s="376"/>
      <c r="R175" s="372" t="s">
        <v>160</v>
      </c>
      <c r="S175" s="374" t="s">
        <v>19</v>
      </c>
      <c r="T175" s="375"/>
      <c r="U175" s="376"/>
      <c r="V175" s="372" t="s">
        <v>124</v>
      </c>
      <c r="W175" s="372" t="s">
        <v>125</v>
      </c>
      <c r="X175" s="361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1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62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4" t="s">
        <v>173</v>
      </c>
      <c r="G182" s="364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3" t="s">
        <v>224</v>
      </c>
      <c r="G185" s="363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4" t="s">
        <v>224</v>
      </c>
      <c r="G186" s="364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3" t="s">
        <v>173</v>
      </c>
      <c r="G193" s="363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7"/>
      <c r="G196" s="377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0" t="s">
        <v>251</v>
      </c>
      <c r="G197" s="37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8" t="s">
        <v>251</v>
      </c>
      <c r="G198" s="364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81" t="s">
        <v>251</v>
      </c>
      <c r="G199" s="363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8" t="s">
        <v>251</v>
      </c>
      <c r="G200" s="364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67" t="s">
        <v>91</v>
      </c>
      <c r="I203" s="368"/>
      <c r="J203" s="368"/>
      <c r="K203" s="369"/>
      <c r="L203" s="370" t="s">
        <v>90</v>
      </c>
      <c r="M203" s="372" t="s">
        <v>157</v>
      </c>
      <c r="N203" s="372" t="s">
        <v>158</v>
      </c>
      <c r="O203" s="374" t="s">
        <v>159</v>
      </c>
      <c r="P203" s="375"/>
      <c r="Q203" s="376"/>
      <c r="R203" s="372" t="s">
        <v>160</v>
      </c>
      <c r="S203" s="374" t="s">
        <v>19</v>
      </c>
      <c r="T203" s="375"/>
      <c r="U203" s="376"/>
      <c r="V203" s="372" t="s">
        <v>124</v>
      </c>
      <c r="W203" s="372" t="s">
        <v>125</v>
      </c>
      <c r="X203" s="361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1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62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4" t="s">
        <v>173</v>
      </c>
      <c r="G210" s="364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3" t="s">
        <v>224</v>
      </c>
      <c r="G213" s="363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4" t="s">
        <v>224</v>
      </c>
      <c r="G214" s="364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3" t="s">
        <v>173</v>
      </c>
      <c r="G221" s="363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7"/>
      <c r="G224" s="377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0" t="s">
        <v>177</v>
      </c>
      <c r="G225" s="37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8" t="s">
        <v>177</v>
      </c>
      <c r="G226" s="364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81" t="s">
        <v>177</v>
      </c>
      <c r="G227" s="363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8" t="s">
        <v>177</v>
      </c>
      <c r="G228" s="364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67" t="s">
        <v>91</v>
      </c>
      <c r="I231" s="368"/>
      <c r="J231" s="368"/>
      <c r="K231" s="369"/>
      <c r="L231" s="370" t="s">
        <v>90</v>
      </c>
      <c r="M231" s="372" t="s">
        <v>157</v>
      </c>
      <c r="N231" s="372" t="s">
        <v>158</v>
      </c>
      <c r="O231" s="374" t="s">
        <v>159</v>
      </c>
      <c r="P231" s="375"/>
      <c r="Q231" s="376"/>
      <c r="R231" s="372" t="s">
        <v>160</v>
      </c>
      <c r="S231" s="374" t="s">
        <v>19</v>
      </c>
      <c r="T231" s="375"/>
      <c r="U231" s="376"/>
      <c r="V231" s="372" t="s">
        <v>124</v>
      </c>
      <c r="W231" s="372" t="s">
        <v>125</v>
      </c>
      <c r="X231" s="361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1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62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3" t="s">
        <v>173</v>
      </c>
      <c r="G237" s="363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3" t="s">
        <v>224</v>
      </c>
      <c r="G239" s="363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4" t="s">
        <v>224</v>
      </c>
      <c r="G240" s="364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3" t="s">
        <v>165</v>
      </c>
      <c r="G241" s="363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3" t="s">
        <v>174</v>
      </c>
      <c r="G243" s="363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4" t="s">
        <v>173</v>
      </c>
      <c r="G244" s="364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7" t="s">
        <v>255</v>
      </c>
      <c r="G245" s="377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79" t="s">
        <v>255</v>
      </c>
      <c r="G246" s="37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77" t="s">
        <v>255</v>
      </c>
      <c r="G247" s="377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79" t="s">
        <v>255</v>
      </c>
      <c r="G248" s="37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77" t="s">
        <v>255</v>
      </c>
      <c r="G249" s="377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67" t="s">
        <v>91</v>
      </c>
      <c r="I252" s="368"/>
      <c r="J252" s="368"/>
      <c r="K252" s="369"/>
      <c r="L252" s="370" t="s">
        <v>90</v>
      </c>
      <c r="M252" s="372" t="s">
        <v>157</v>
      </c>
      <c r="N252" s="372" t="s">
        <v>158</v>
      </c>
      <c r="O252" s="374" t="s">
        <v>159</v>
      </c>
      <c r="P252" s="375"/>
      <c r="Q252" s="376"/>
      <c r="R252" s="372" t="s">
        <v>160</v>
      </c>
      <c r="S252" s="374" t="s">
        <v>19</v>
      </c>
      <c r="T252" s="375"/>
      <c r="U252" s="376"/>
      <c r="V252" s="372" t="s">
        <v>124</v>
      </c>
      <c r="W252" s="372" t="s">
        <v>125</v>
      </c>
      <c r="X252" s="361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1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62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3" t="s">
        <v>173</v>
      </c>
      <c r="G258" s="363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4" t="s">
        <v>173</v>
      </c>
      <c r="G259" s="364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3" t="s">
        <v>224</v>
      </c>
      <c r="G262" s="363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4" t="s">
        <v>224</v>
      </c>
      <c r="G263" s="364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3" t="s">
        <v>173</v>
      </c>
      <c r="G268" s="363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4" t="s">
        <v>173</v>
      </c>
      <c r="G269" s="364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79"/>
      <c r="G272" s="37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2" t="s">
        <v>177</v>
      </c>
      <c r="G273" s="377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81" t="s">
        <v>177</v>
      </c>
      <c r="G274" s="363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8" t="s">
        <v>177</v>
      </c>
      <c r="G275" s="364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81" t="s">
        <v>177</v>
      </c>
      <c r="G276" s="363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67" t="s">
        <v>91</v>
      </c>
      <c r="I279" s="368"/>
      <c r="J279" s="368"/>
      <c r="K279" s="369"/>
      <c r="L279" s="370" t="s">
        <v>90</v>
      </c>
      <c r="M279" s="372" t="s">
        <v>157</v>
      </c>
      <c r="N279" s="372" t="s">
        <v>158</v>
      </c>
      <c r="O279" s="374" t="s">
        <v>159</v>
      </c>
      <c r="P279" s="375"/>
      <c r="Q279" s="376"/>
      <c r="R279" s="372" t="s">
        <v>160</v>
      </c>
      <c r="S279" s="374" t="s">
        <v>19</v>
      </c>
      <c r="T279" s="375"/>
      <c r="U279" s="376"/>
      <c r="V279" s="372" t="s">
        <v>124</v>
      </c>
      <c r="W279" s="372" t="s">
        <v>125</v>
      </c>
      <c r="X279" s="361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1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62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4" t="s">
        <v>173</v>
      </c>
      <c r="G284" s="364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3" t="s">
        <v>173</v>
      </c>
      <c r="G285" s="363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7"/>
      <c r="G288" s="377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3" t="s">
        <v>224</v>
      </c>
      <c r="G289" s="363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4" t="s">
        <v>224</v>
      </c>
      <c r="G290" s="364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3" t="s">
        <v>173</v>
      </c>
      <c r="G297" s="363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7"/>
      <c r="G298" s="377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0" t="s">
        <v>257</v>
      </c>
      <c r="G299" s="37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0" t="s">
        <v>257</v>
      </c>
      <c r="G300" s="37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81" t="s">
        <v>257</v>
      </c>
      <c r="G301" s="363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80" t="s">
        <v>257</v>
      </c>
      <c r="G302" s="37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81" t="s">
        <v>257</v>
      </c>
      <c r="G303" s="363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65" t="s">
        <v>258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365"/>
    </row>
    <row r="2" spans="1:27" s="277" customFormat="1" ht="26.25">
      <c r="A2" s="365" t="s">
        <v>214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</row>
    <row r="3" spans="1:27" s="277" customFormat="1" ht="26.25">
      <c r="A3" s="365" t="s">
        <v>215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66" t="s">
        <v>153</v>
      </c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6"/>
      <c r="X4" s="366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67" t="s">
        <v>91</v>
      </c>
      <c r="I5" s="368"/>
      <c r="J5" s="368"/>
      <c r="K5" s="369"/>
      <c r="L5" s="370" t="s">
        <v>90</v>
      </c>
      <c r="M5" s="372" t="s">
        <v>157</v>
      </c>
      <c r="N5" s="372" t="s">
        <v>158</v>
      </c>
      <c r="O5" s="374" t="s">
        <v>159</v>
      </c>
      <c r="P5" s="375"/>
      <c r="Q5" s="376"/>
      <c r="R5" s="372" t="s">
        <v>160</v>
      </c>
      <c r="S5" s="374" t="s">
        <v>19</v>
      </c>
      <c r="T5" s="375"/>
      <c r="U5" s="376"/>
      <c r="V5" s="372" t="s">
        <v>124</v>
      </c>
      <c r="W5" s="372" t="s">
        <v>125</v>
      </c>
      <c r="X5" s="361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1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62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4"/>
      <c r="G14" s="364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4" t="s">
        <v>224</v>
      </c>
      <c r="G16" s="364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3" t="s">
        <v>224</v>
      </c>
      <c r="G17" s="363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4" t="s">
        <v>173</v>
      </c>
      <c r="G22" s="364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3" t="s">
        <v>235</v>
      </c>
      <c r="G25" s="363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4" t="s">
        <v>235</v>
      </c>
      <c r="G26" s="364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3" t="s">
        <v>235</v>
      </c>
      <c r="G27" s="363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67" t="s">
        <v>91</v>
      </c>
      <c r="I30" s="368"/>
      <c r="J30" s="368"/>
      <c r="K30" s="369"/>
      <c r="L30" s="370" t="s">
        <v>90</v>
      </c>
      <c r="M30" s="372" t="s">
        <v>157</v>
      </c>
      <c r="N30" s="372" t="s">
        <v>158</v>
      </c>
      <c r="O30" s="374" t="s">
        <v>159</v>
      </c>
      <c r="P30" s="375"/>
      <c r="Q30" s="376"/>
      <c r="R30" s="372" t="s">
        <v>160</v>
      </c>
      <c r="S30" s="374" t="s">
        <v>19</v>
      </c>
      <c r="T30" s="375"/>
      <c r="U30" s="376"/>
      <c r="V30" s="372" t="s">
        <v>124</v>
      </c>
      <c r="W30" s="372" t="s">
        <v>125</v>
      </c>
      <c r="X30" s="361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1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62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3" t="s">
        <v>263</v>
      </c>
      <c r="G32" s="363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8" t="s">
        <v>207</v>
      </c>
      <c r="G33" s="378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3" t="s">
        <v>173</v>
      </c>
      <c r="G34" s="363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4" t="s">
        <v>173</v>
      </c>
      <c r="G35" s="364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1" t="s">
        <v>201</v>
      </c>
      <c r="G36" s="363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4" t="s">
        <v>224</v>
      </c>
      <c r="G37" s="364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4" t="s">
        <v>224</v>
      </c>
      <c r="G38" s="364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8" t="s">
        <v>201</v>
      </c>
      <c r="G39" s="364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81" t="s">
        <v>201</v>
      </c>
      <c r="G40" s="363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4" t="s">
        <v>173</v>
      </c>
      <c r="G41" s="364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3" t="s">
        <v>173</v>
      </c>
      <c r="G42" s="363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8" t="s">
        <v>201</v>
      </c>
      <c r="G43" s="364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81" t="s">
        <v>201</v>
      </c>
      <c r="G44" s="363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8" t="s">
        <v>201</v>
      </c>
      <c r="G45" s="364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81" t="s">
        <v>201</v>
      </c>
      <c r="G46" s="363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8" t="s">
        <v>201</v>
      </c>
      <c r="G47" s="364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67" t="s">
        <v>91</v>
      </c>
      <c r="I50" s="368"/>
      <c r="J50" s="368"/>
      <c r="K50" s="369"/>
      <c r="L50" s="370" t="s">
        <v>90</v>
      </c>
      <c r="M50" s="372" t="s">
        <v>157</v>
      </c>
      <c r="N50" s="372" t="s">
        <v>158</v>
      </c>
      <c r="O50" s="374" t="s">
        <v>159</v>
      </c>
      <c r="P50" s="375"/>
      <c r="Q50" s="376"/>
      <c r="R50" s="372" t="s">
        <v>160</v>
      </c>
      <c r="S50" s="374" t="s">
        <v>19</v>
      </c>
      <c r="T50" s="375"/>
      <c r="U50" s="376"/>
      <c r="V50" s="372" t="s">
        <v>124</v>
      </c>
      <c r="W50" s="372" t="s">
        <v>125</v>
      </c>
      <c r="X50" s="361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1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62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1" t="s">
        <v>201</v>
      </c>
      <c r="G52" s="363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8" t="s">
        <v>201</v>
      </c>
      <c r="G53" s="378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3" t="s">
        <v>173</v>
      </c>
      <c r="G54" s="363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4" t="s">
        <v>173</v>
      </c>
      <c r="G55" s="364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1" t="s">
        <v>201</v>
      </c>
      <c r="G56" s="363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4" t="s">
        <v>224</v>
      </c>
      <c r="G57" s="364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3" t="s">
        <v>224</v>
      </c>
      <c r="G58" s="363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8" t="s">
        <v>201</v>
      </c>
      <c r="G59" s="364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1" t="s">
        <v>201</v>
      </c>
      <c r="G60" s="363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4" t="s">
        <v>173</v>
      </c>
      <c r="G61" s="364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3" t="s">
        <v>173</v>
      </c>
      <c r="G62" s="363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8" t="s">
        <v>201</v>
      </c>
      <c r="G63" s="364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81" t="s">
        <v>201</v>
      </c>
      <c r="G64" s="363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8" t="s">
        <v>201</v>
      </c>
      <c r="G65" s="364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81" t="s">
        <v>201</v>
      </c>
      <c r="G66" s="363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8" t="s">
        <v>201</v>
      </c>
      <c r="G67" s="364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pane ySplit="6" topLeftCell="A13" activePane="bottomLeft" state="frozen"/>
      <selection pane="bottomLeft" activeCell="I58" sqref="I58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293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31"/>
      <c r="B5" s="433" t="s">
        <v>0</v>
      </c>
      <c r="C5" s="404" t="s">
        <v>1</v>
      </c>
      <c r="D5" s="383" t="s">
        <v>13</v>
      </c>
      <c r="E5" s="404" t="s">
        <v>14</v>
      </c>
      <c r="F5" s="383"/>
      <c r="G5" s="404" t="s">
        <v>16</v>
      </c>
      <c r="H5" s="383" t="s">
        <v>44</v>
      </c>
      <c r="I5" s="400" t="s">
        <v>118</v>
      </c>
      <c r="J5" s="408" t="s">
        <v>91</v>
      </c>
      <c r="K5" s="409"/>
      <c r="L5" s="410"/>
      <c r="M5" s="420" t="s">
        <v>108</v>
      </c>
      <c r="N5" s="421"/>
      <c r="O5" s="421"/>
      <c r="P5" s="404" t="s">
        <v>2</v>
      </c>
      <c r="Q5" s="383" t="s">
        <v>17</v>
      </c>
      <c r="R5" s="404" t="s">
        <v>2</v>
      </c>
      <c r="S5" s="383" t="s">
        <v>18</v>
      </c>
      <c r="T5" s="404" t="s">
        <v>2</v>
      </c>
      <c r="U5" s="383" t="s">
        <v>19</v>
      </c>
      <c r="V5" s="404" t="s">
        <v>2</v>
      </c>
      <c r="W5" s="383" t="s">
        <v>291</v>
      </c>
      <c r="X5" s="385" t="s">
        <v>3</v>
      </c>
    </row>
    <row r="6" spans="1:26" s="138" customFormat="1" ht="27" customHeight="1" thickBot="1">
      <c r="A6" s="432"/>
      <c r="B6" s="405"/>
      <c r="C6" s="405"/>
      <c r="D6" s="419"/>
      <c r="E6" s="424"/>
      <c r="F6" s="419"/>
      <c r="G6" s="424"/>
      <c r="H6" s="384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5"/>
      <c r="Q6" s="419"/>
      <c r="R6" s="405"/>
      <c r="S6" s="419"/>
      <c r="T6" s="405"/>
      <c r="U6" s="419"/>
      <c r="V6" s="405"/>
      <c r="W6" s="384"/>
      <c r="X6" s="386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4</v>
      </c>
      <c r="V7" s="21">
        <f>(E7/8/10)*U7</f>
        <v>26.35</v>
      </c>
      <c r="W7" s="136"/>
      <c r="X7" s="137">
        <f>+G7+H7+P7+R7+T7+V7+W7+I7</f>
        <v>6987.35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9</v>
      </c>
      <c r="G8" s="141">
        <f>+D8</f>
        <v>6851</v>
      </c>
      <c r="H8" s="20">
        <f t="shared" ref="H8:H14" si="0">(F8+J8+K8+L8+Q8)*10</f>
        <v>105</v>
      </c>
      <c r="I8" s="21"/>
      <c r="J8" s="353">
        <v>1.5</v>
      </c>
      <c r="K8" s="73">
        <f>+'10.26-11.10'!I229</f>
        <v>0</v>
      </c>
      <c r="L8" s="73">
        <f>+'10.26-11.10'!J229</f>
        <v>0</v>
      </c>
      <c r="M8" s="73">
        <v>4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329.375</v>
      </c>
      <c r="Q8" s="73"/>
      <c r="R8" s="21">
        <f t="shared" ref="R8:R16" si="2">+Q8*E8</f>
        <v>0</v>
      </c>
      <c r="S8" s="73">
        <v>0</v>
      </c>
      <c r="T8" s="21">
        <f t="shared" ref="T8:T16" si="3">(+S8*E8)*0.3</f>
        <v>0</v>
      </c>
      <c r="U8" s="353">
        <v>4</v>
      </c>
      <c r="V8" s="21">
        <f t="shared" ref="V8:V16" si="4">(E8/8/10)*U8</f>
        <v>26.35</v>
      </c>
      <c r="W8" s="15"/>
      <c r="X8" s="137">
        <f t="shared" ref="X8:X16" si="5">+G8+H8+P8+R8+T8+V8+W8+I8</f>
        <v>7311.7250000000004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</v>
      </c>
      <c r="G9" s="141">
        <f>D9</f>
        <v>10273</v>
      </c>
      <c r="H9" s="20">
        <f t="shared" si="0"/>
        <v>110</v>
      </c>
      <c r="I9" s="21">
        <f>50</f>
        <v>50</v>
      </c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6</v>
      </c>
      <c r="V9" s="21">
        <f t="shared" si="4"/>
        <v>59.267307692307696</v>
      </c>
      <c r="W9" s="15"/>
      <c r="X9" s="137">
        <f t="shared" si="5"/>
        <v>10492.267307692307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11</v>
      </c>
      <c r="G10" s="141">
        <f t="shared" ref="G10:G16" si="6">+D10</f>
        <v>6851</v>
      </c>
      <c r="H10" s="20">
        <f t="shared" si="0"/>
        <v>110</v>
      </c>
      <c r="I10" s="21"/>
      <c r="J10" s="73">
        <v>0</v>
      </c>
      <c r="K10" s="73">
        <f>+'10.26-11.10'!I250</f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v>0</v>
      </c>
      <c r="T10" s="21">
        <f t="shared" si="3"/>
        <v>0</v>
      </c>
      <c r="U10" s="353">
        <v>2</v>
      </c>
      <c r="V10" s="21">
        <f t="shared" si="4"/>
        <v>13.175000000000001</v>
      </c>
      <c r="W10" s="15"/>
      <c r="X10" s="137">
        <f t="shared" si="5"/>
        <v>6974.1750000000002</v>
      </c>
      <c r="Y10" s="142"/>
      <c r="Z10" s="142"/>
    </row>
    <row r="11" spans="1:26" s="138" customFormat="1" ht="12" thickBot="1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11</v>
      </c>
      <c r="G11" s="141">
        <f>E11*F11</f>
        <v>5797</v>
      </c>
      <c r="H11" s="20">
        <f>(F11+Q11)*10</f>
        <v>110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353">
        <v>5</v>
      </c>
      <c r="N11" s="73">
        <f>+'10.26-11.10(SI)'!P28</f>
        <v>0</v>
      </c>
      <c r="O11" s="73">
        <f>+'10.26-11.10(SI)'!Q28</f>
        <v>0</v>
      </c>
      <c r="P11" s="233">
        <f t="shared" si="1"/>
        <v>411.71875</v>
      </c>
      <c r="Q11" s="73"/>
      <c r="R11" s="21">
        <f t="shared" si="2"/>
        <v>0</v>
      </c>
      <c r="S11" s="73">
        <v>0</v>
      </c>
      <c r="T11" s="21">
        <f t="shared" si="3"/>
        <v>0</v>
      </c>
      <c r="U11" s="353">
        <v>5</v>
      </c>
      <c r="V11" s="21">
        <f t="shared" si="4"/>
        <v>32.9375</v>
      </c>
      <c r="W11" s="15"/>
      <c r="X11" s="137">
        <f t="shared" si="5"/>
        <v>6351.65625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10</v>
      </c>
      <c r="G12" s="141">
        <f t="shared" ref="G12:G13" si="7">E12*F12</f>
        <v>5270</v>
      </c>
      <c r="H12" s="20">
        <f t="shared" ref="H12:H13" si="8">(F12+Q12)*10</f>
        <v>100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3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247.03125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4</v>
      </c>
      <c r="V12" s="21">
        <f>(E12/8/10)*U12</f>
        <v>26.35</v>
      </c>
      <c r="W12" s="15"/>
      <c r="X12" s="137">
        <f t="shared" si="5"/>
        <v>5643.3812500000004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11</v>
      </c>
      <c r="G13" s="141">
        <f t="shared" si="7"/>
        <v>5797</v>
      </c>
      <c r="H13" s="20">
        <f t="shared" si="8"/>
        <v>110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>
        <v>0</v>
      </c>
      <c r="T13" s="21">
        <f t="shared" si="3"/>
        <v>0</v>
      </c>
      <c r="U13" s="353">
        <v>9</v>
      </c>
      <c r="V13" s="21">
        <f t="shared" si="4"/>
        <v>59.287500000000001</v>
      </c>
      <c r="W13" s="15"/>
      <c r="X13" s="137">
        <f t="shared" si="5"/>
        <v>5966.2875000000004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755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988.125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243.71730769230768</v>
      </c>
      <c r="W18" s="4"/>
      <c r="X18" s="3">
        <f>SUM(X7:X16)</f>
        <v>49726.842307692306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7"/>
      <c r="B20" s="389" t="s">
        <v>0</v>
      </c>
      <c r="C20" s="391" t="s">
        <v>1</v>
      </c>
      <c r="D20" s="393" t="s">
        <v>3</v>
      </c>
      <c r="E20" s="395" t="s">
        <v>22</v>
      </c>
      <c r="F20" s="402" t="s">
        <v>2</v>
      </c>
      <c r="G20" s="406" t="s">
        <v>21</v>
      </c>
      <c r="H20" s="393" t="s">
        <v>2</v>
      </c>
      <c r="I20" s="398" t="s">
        <v>126</v>
      </c>
      <c r="J20" s="415" t="s">
        <v>4</v>
      </c>
      <c r="K20" s="417" t="s">
        <v>23</v>
      </c>
      <c r="L20" s="393" t="s">
        <v>5</v>
      </c>
      <c r="M20" s="393" t="s">
        <v>6</v>
      </c>
      <c r="N20" s="393" t="s">
        <v>24</v>
      </c>
      <c r="O20" s="393" t="s">
        <v>7</v>
      </c>
      <c r="P20" s="413" t="s">
        <v>3</v>
      </c>
      <c r="Q20" s="244"/>
      <c r="R20" s="152" t="s">
        <v>103</v>
      </c>
      <c r="S20" s="244"/>
    </row>
    <row r="21" spans="1:24" s="138" customFormat="1" ht="15" customHeight="1" thickBot="1">
      <c r="A21" s="388"/>
      <c r="B21" s="390"/>
      <c r="C21" s="392"/>
      <c r="D21" s="394"/>
      <c r="E21" s="396"/>
      <c r="F21" s="403"/>
      <c r="G21" s="407"/>
      <c r="H21" s="397"/>
      <c r="I21" s="399"/>
      <c r="J21" s="416"/>
      <c r="K21" s="418"/>
      <c r="L21" s="397"/>
      <c r="M21" s="397"/>
      <c r="N21" s="394"/>
      <c r="O21" s="397"/>
      <c r="P21" s="414"/>
      <c r="R21" s="250" t="str">
        <f>D3</f>
        <v>Feb 26-March 10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6987.35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579.26</v>
      </c>
      <c r="O22" s="156"/>
      <c r="P22" s="158">
        <f>+D22-F22-H22-J22-K22-L22-M22-N22-O22-I22</f>
        <v>5685.13</v>
      </c>
      <c r="R22" s="71">
        <f t="shared" ref="R22:R31" si="12">G7+H7+P7+R7+T7+V7+W7-F22-H22</f>
        <v>6987.35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7311.7250000000004</v>
      </c>
      <c r="E23" s="353">
        <f>+'10.26-11.10'!R229</f>
        <v>0</v>
      </c>
      <c r="F23" s="356">
        <f t="shared" ref="F23:F31" si="13">+E23*E8</f>
        <v>0</v>
      </c>
      <c r="G23" s="353">
        <v>5.29</v>
      </c>
      <c r="H23" s="356">
        <f t="shared" ref="H23:H31" si="14">(+E8/8)*G23</f>
        <v>348.47874999999999</v>
      </c>
      <c r="I23" s="353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ref="P23:P29" si="15">+D23-F23-H23-J23-K23-L23-M23-N23-O23-I23</f>
        <v>5617.3362500000003</v>
      </c>
      <c r="R23" s="71">
        <f t="shared" si="12"/>
        <v>6963.2462500000001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10492.267307692307</v>
      </c>
      <c r="E24" s="353">
        <v>0</v>
      </c>
      <c r="F24" s="356">
        <f t="shared" si="13"/>
        <v>0</v>
      </c>
      <c r="G24" s="353">
        <v>1.6</v>
      </c>
      <c r="H24" s="356">
        <f>(+E9/8)*G24</f>
        <v>158.04615384615386</v>
      </c>
      <c r="I24" s="353"/>
      <c r="J24" s="15"/>
      <c r="K24" s="359"/>
      <c r="L24" s="15"/>
      <c r="M24" s="18">
        <v>100</v>
      </c>
      <c r="N24" s="359"/>
      <c r="O24" s="18"/>
      <c r="P24" s="158">
        <f t="shared" si="15"/>
        <v>10234.221153846154</v>
      </c>
      <c r="R24" s="71">
        <f t="shared" si="12"/>
        <v>10284.221153846154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6974.1750000000002</v>
      </c>
      <c r="E25" s="353">
        <v>0</v>
      </c>
      <c r="F25" s="356">
        <f t="shared" si="13"/>
        <v>0</v>
      </c>
      <c r="G25" s="353"/>
      <c r="H25" s="356">
        <f t="shared" ref="H25" si="16">(+E10/8)*G25</f>
        <v>0</v>
      </c>
      <c r="I25" s="353"/>
      <c r="J25" s="15"/>
      <c r="K25" s="15">
        <v>600</v>
      </c>
      <c r="L25" s="15"/>
      <c r="M25" s="18">
        <v>100</v>
      </c>
      <c r="N25" s="15">
        <v>567</v>
      </c>
      <c r="O25" s="18"/>
      <c r="P25" s="158">
        <f>+D25-F25-H25-J25-K25-L25-M25-N25-O25-I25</f>
        <v>5707.1750000000002</v>
      </c>
      <c r="R25" s="71">
        <f t="shared" si="12"/>
        <v>6974.1750000000002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6351.65625</v>
      </c>
      <c r="E26" s="353">
        <v>0</v>
      </c>
      <c r="F26" s="356">
        <f t="shared" si="13"/>
        <v>0</v>
      </c>
      <c r="G26" s="353">
        <v>1</v>
      </c>
      <c r="H26" s="356">
        <f t="shared" si="14"/>
        <v>65.875</v>
      </c>
      <c r="I26" s="353"/>
      <c r="J26" s="15"/>
      <c r="K26" s="15"/>
      <c r="L26" s="15"/>
      <c r="M26" s="18">
        <v>100</v>
      </c>
      <c r="N26" s="15">
        <v>986.7</v>
      </c>
      <c r="O26" s="18"/>
      <c r="P26" s="158">
        <f t="shared" si="15"/>
        <v>5199.0812500000002</v>
      </c>
      <c r="R26" s="71">
        <f t="shared" si="12"/>
        <v>6285.78125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5643.3812500000004</v>
      </c>
      <c r="E27" s="353">
        <v>0</v>
      </c>
      <c r="F27" s="356">
        <f t="shared" si="13"/>
        <v>0</v>
      </c>
      <c r="G27" s="353"/>
      <c r="H27" s="356">
        <f t="shared" si="14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5"/>
        <v>4542.9712499999996</v>
      </c>
      <c r="R27" s="71">
        <f>G12+H12+P12+R12+T12+V12+W12-F27-H27</f>
        <v>5643.3812500000004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5966.2875000000004</v>
      </c>
      <c r="E28" s="353">
        <v>0</v>
      </c>
      <c r="F28" s="356">
        <f t="shared" si="13"/>
        <v>0</v>
      </c>
      <c r="G28" s="353">
        <v>2.5</v>
      </c>
      <c r="H28" s="356">
        <f>(+E13/8)*G28</f>
        <v>164.6875</v>
      </c>
      <c r="I28" s="353"/>
      <c r="J28" s="15"/>
      <c r="K28" s="15">
        <v>0</v>
      </c>
      <c r="L28" s="15"/>
      <c r="M28" s="18">
        <v>100</v>
      </c>
      <c r="N28" s="15"/>
      <c r="O28" s="18"/>
      <c r="P28" s="158">
        <f t="shared" si="15"/>
        <v>5701.6</v>
      </c>
      <c r="R28" s="71">
        <f t="shared" si="12"/>
        <v>5801.6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3"/>
      <c r="F29" s="356">
        <f t="shared" si="13"/>
        <v>0</v>
      </c>
      <c r="G29" s="353"/>
      <c r="H29" s="356">
        <f t="shared" si="14"/>
        <v>0</v>
      </c>
      <c r="I29" s="353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3"/>
      <c r="F30" s="356">
        <f t="shared" si="13"/>
        <v>0</v>
      </c>
      <c r="G30" s="353"/>
      <c r="H30" s="356">
        <f t="shared" si="14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19">+D30-F30-H30-J30-K30-L30-M30-N30-O30-I30</f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49726.842307692306</v>
      </c>
      <c r="E33" s="4">
        <f>+SUM(E22:E32)</f>
        <v>0</v>
      </c>
      <c r="F33" s="3">
        <f>SUM(F22:F32)</f>
        <v>0</v>
      </c>
      <c r="G33" s="4"/>
      <c r="H33" s="3">
        <f>SUM(H22:H32)</f>
        <v>737.08740384615385</v>
      </c>
      <c r="I33" s="3">
        <f>+SUM(I22:I32)</f>
        <v>0</v>
      </c>
      <c r="J33" s="3">
        <f t="shared" ref="J33:O33" si="20">+SUM(J22:J32)</f>
        <v>0</v>
      </c>
      <c r="K33" s="3">
        <f t="shared" si="20"/>
        <v>2976.47</v>
      </c>
      <c r="L33" s="3">
        <f t="shared" si="20"/>
        <v>0</v>
      </c>
      <c r="M33" s="3">
        <f t="shared" si="20"/>
        <v>700</v>
      </c>
      <c r="N33" s="3">
        <f t="shared" si="20"/>
        <v>2625.77</v>
      </c>
      <c r="O33" s="3">
        <f t="shared" si="20"/>
        <v>0</v>
      </c>
      <c r="P33" s="5">
        <f>+SUM(P22:P32)</f>
        <v>42687.514903846153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2">+P22+(SUM(O35:Q35))</f>
        <v>6719.13</v>
      </c>
    </row>
    <row r="36" spans="1:25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6117.3362500000003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11484.221153846154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6741.1750000000002</v>
      </c>
      <c r="T38" s="334"/>
      <c r="U38" s="334"/>
      <c r="V38" s="334"/>
      <c r="W38" s="334"/>
      <c r="X38" s="334"/>
      <c r="Y38" s="334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5199.0812500000002</v>
      </c>
      <c r="T39" s="334"/>
      <c r="U39" s="334"/>
      <c r="V39" s="334"/>
      <c r="W39" s="334"/>
      <c r="X39" s="334"/>
      <c r="Y39" s="334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4542.9712499999996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5701.6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ref="S42:S44" si="23">+P29+(SUM(O42:Q42))</f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3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3"/>
        <v>0</v>
      </c>
    </row>
    <row r="46" spans="1:25">
      <c r="P46" s="169">
        <f>+P33+(SUM(O35:Q44))</f>
        <v>46505.514903846153</v>
      </c>
    </row>
    <row r="53" spans="1:14" ht="13.5" thickBot="1"/>
    <row r="54" spans="1:14" ht="13.5" thickBot="1">
      <c r="A54" s="387"/>
      <c r="B54" s="389" t="s">
        <v>0</v>
      </c>
      <c r="C54" s="391" t="s">
        <v>1</v>
      </c>
      <c r="D54" s="393" t="s">
        <v>45</v>
      </c>
      <c r="E54" s="428" t="s">
        <v>151</v>
      </c>
      <c r="F54" s="425" t="s">
        <v>112</v>
      </c>
      <c r="G54" s="426"/>
      <c r="H54" s="411" t="s">
        <v>294</v>
      </c>
      <c r="I54" s="413" t="s">
        <v>3</v>
      </c>
      <c r="J54" s="427" t="s">
        <v>114</v>
      </c>
      <c r="K54" s="423" t="s">
        <v>115</v>
      </c>
      <c r="L54" s="423" t="s">
        <v>116</v>
      </c>
      <c r="N54" s="422" t="s">
        <v>102</v>
      </c>
    </row>
    <row r="55" spans="1:14" ht="13.5" thickBot="1">
      <c r="A55" s="388"/>
      <c r="B55" s="390"/>
      <c r="C55" s="392"/>
      <c r="D55" s="430"/>
      <c r="E55" s="429"/>
      <c r="F55" s="245" t="s">
        <v>113</v>
      </c>
      <c r="G55" s="246" t="s">
        <v>148</v>
      </c>
      <c r="H55" s="412"/>
      <c r="I55" s="414"/>
      <c r="J55" s="427"/>
      <c r="K55" s="423"/>
      <c r="L55" s="423"/>
      <c r="N55" s="422"/>
    </row>
    <row r="56" spans="1:14" ht="13.5" thickBot="1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>
        <v>7.2</v>
      </c>
      <c r="E56" s="157"/>
      <c r="F56" s="236"/>
      <c r="G56" s="236">
        <v>0</v>
      </c>
      <c r="H56" s="157">
        <v>300</v>
      </c>
      <c r="I56" s="158">
        <f t="shared" ref="I56:I62" si="25">+D22-F22-H22-D56-J22-K22-L22-M22-N22-O22-E56-H56-F56-G56-I22</f>
        <v>5377.93</v>
      </c>
      <c r="J56" s="274">
        <f>+O35</f>
        <v>150</v>
      </c>
      <c r="K56" s="274">
        <f t="shared" ref="K56:L60" si="26">+P35</f>
        <v>884</v>
      </c>
      <c r="L56" s="274">
        <f t="shared" si="26"/>
        <v>0</v>
      </c>
      <c r="N56" s="165">
        <f t="shared" ref="N56:N62" si="27">+I56+J56+K56</f>
        <v>6411.93</v>
      </c>
    </row>
    <row r="57" spans="1:14" ht="13.5" thickBot="1">
      <c r="A57" s="139">
        <v>2</v>
      </c>
      <c r="B57" s="22" t="str">
        <f t="shared" si="24"/>
        <v>Sanchez, Angelo</v>
      </c>
      <c r="C57" s="248" t="str">
        <f t="shared" si="24"/>
        <v>Head Cook</v>
      </c>
      <c r="D57" s="73">
        <v>29.7</v>
      </c>
      <c r="E57" s="122"/>
      <c r="F57" s="122"/>
      <c r="G57" s="122"/>
      <c r="H57" s="157">
        <v>300</v>
      </c>
      <c r="I57" s="158">
        <f>+D23-F23-H23-D57-J23-K23-L23-M23-N23-O23-E57-H57-F57-G57-I23</f>
        <v>5287.6362500000005</v>
      </c>
      <c r="J57" s="274">
        <f>+O36</f>
        <v>0</v>
      </c>
      <c r="K57" s="274">
        <f t="shared" si="26"/>
        <v>500</v>
      </c>
      <c r="L57" s="274">
        <f t="shared" si="26"/>
        <v>0</v>
      </c>
      <c r="N57" s="165">
        <f t="shared" si="27"/>
        <v>5787.6362500000005</v>
      </c>
    </row>
    <row r="58" spans="1:14" ht="13.5" thickBot="1">
      <c r="A58" s="139">
        <v>3</v>
      </c>
      <c r="B58" s="22" t="str">
        <f t="shared" si="24"/>
        <v>Dino, Joyce</v>
      </c>
      <c r="C58" s="248" t="str">
        <f t="shared" si="24"/>
        <v>Store Manager</v>
      </c>
      <c r="D58" s="73">
        <v>32.4</v>
      </c>
      <c r="E58" s="122"/>
      <c r="F58" s="18"/>
      <c r="G58" s="18">
        <f>3202.78/2</f>
        <v>1601.39</v>
      </c>
      <c r="H58" s="157">
        <v>300</v>
      </c>
      <c r="I58" s="158">
        <f t="shared" si="25"/>
        <v>8300.4311538461552</v>
      </c>
      <c r="J58" s="274">
        <f>+O37</f>
        <v>250</v>
      </c>
      <c r="K58" s="274">
        <f t="shared" si="26"/>
        <v>1000</v>
      </c>
      <c r="L58" s="274">
        <f t="shared" si="26"/>
        <v>0</v>
      </c>
      <c r="N58" s="165">
        <f>+I58+J58+K58</f>
        <v>9550.4311538461552</v>
      </c>
    </row>
    <row r="59" spans="1:14" ht="13.5" thickBot="1">
      <c r="A59" s="139">
        <v>4</v>
      </c>
      <c r="B59" s="22" t="str">
        <f t="shared" si="24"/>
        <v xml:space="preserve">Sosa, Anna Marie </v>
      </c>
      <c r="C59" s="248" t="str">
        <f t="shared" si="24"/>
        <v>M.T.Bookkeeper</v>
      </c>
      <c r="D59" s="73">
        <v>42.3</v>
      </c>
      <c r="E59" s="122"/>
      <c r="F59" s="122"/>
      <c r="G59" s="122">
        <f>3074.67/2</f>
        <v>1537.335</v>
      </c>
      <c r="H59" s="157">
        <v>300</v>
      </c>
      <c r="I59" s="158">
        <f>+D25-F25-H25-D59-J25-K25-L25-M25-N25-O25-E59-H59-F59-G59-I25</f>
        <v>3827.54</v>
      </c>
      <c r="J59" s="274">
        <f>+O38</f>
        <v>150</v>
      </c>
      <c r="K59" s="274">
        <f t="shared" si="26"/>
        <v>884</v>
      </c>
      <c r="L59" s="274">
        <f t="shared" si="26"/>
        <v>0</v>
      </c>
      <c r="N59" s="165">
        <f t="shared" si="27"/>
        <v>4861.54</v>
      </c>
    </row>
    <row r="60" spans="1:14" ht="13.5" thickBot="1">
      <c r="A60" s="139">
        <v>5</v>
      </c>
      <c r="B60" s="22" t="str">
        <f t="shared" si="24"/>
        <v>Briones, Christian Joy</v>
      </c>
      <c r="C60" s="248" t="str">
        <f t="shared" si="24"/>
        <v>Asst. Cook</v>
      </c>
      <c r="D60" s="73">
        <v>144</v>
      </c>
      <c r="E60" s="122"/>
      <c r="F60" s="122"/>
      <c r="G60" s="122"/>
      <c r="H60" s="157">
        <v>300</v>
      </c>
      <c r="I60" s="158">
        <f t="shared" si="25"/>
        <v>4755.0812500000002</v>
      </c>
      <c r="J60" s="274">
        <f>+O39</f>
        <v>0</v>
      </c>
      <c r="K60" s="274">
        <f t="shared" si="26"/>
        <v>0</v>
      </c>
      <c r="L60" s="274">
        <f t="shared" si="26"/>
        <v>0</v>
      </c>
      <c r="N60" s="165">
        <f t="shared" si="27"/>
        <v>4755.0812500000002</v>
      </c>
    </row>
    <row r="61" spans="1:14" ht="13.5" thickBot="1">
      <c r="A61" s="139">
        <v>6</v>
      </c>
      <c r="B61" s="22" t="str">
        <f t="shared" si="24"/>
        <v>Cahilig,Benzen</v>
      </c>
      <c r="C61" s="248" t="str">
        <f t="shared" si="24"/>
        <v>Cook</v>
      </c>
      <c r="D61" s="73">
        <v>247.5</v>
      </c>
      <c r="E61" s="122"/>
      <c r="F61" s="122"/>
      <c r="G61" s="122"/>
      <c r="H61" s="157">
        <v>300</v>
      </c>
      <c r="I61" s="158">
        <f t="shared" si="25"/>
        <v>3995.4712499999996</v>
      </c>
      <c r="N61" s="165">
        <f t="shared" si="27"/>
        <v>3995.4712499999996</v>
      </c>
    </row>
    <row r="62" spans="1:14">
      <c r="A62" s="139">
        <v>7</v>
      </c>
      <c r="B62" s="22" t="str">
        <f t="shared" si="24"/>
        <v>Pantoja,Nancy</v>
      </c>
      <c r="C62" s="248" t="str">
        <f t="shared" si="24"/>
        <v>Cashier</v>
      </c>
      <c r="D62" s="73">
        <v>387</v>
      </c>
      <c r="E62" s="122"/>
      <c r="F62" s="122"/>
      <c r="G62" s="122"/>
      <c r="H62" s="157">
        <v>300</v>
      </c>
      <c r="I62" s="158">
        <f t="shared" si="25"/>
        <v>5014.6000000000004</v>
      </c>
      <c r="N62" s="165">
        <f t="shared" si="27"/>
        <v>5014.6000000000004</v>
      </c>
    </row>
    <row r="63" spans="1:14">
      <c r="A63" s="139">
        <v>8</v>
      </c>
      <c r="B63" s="22">
        <f t="shared" si="24"/>
        <v>0</v>
      </c>
      <c r="C63" s="248">
        <f t="shared" si="24"/>
        <v>0</v>
      </c>
      <c r="D63" s="73"/>
      <c r="E63" s="122"/>
      <c r="F63" s="122"/>
      <c r="G63" s="122"/>
      <c r="H63" s="15">
        <v>0</v>
      </c>
      <c r="I63" s="158">
        <f t="shared" ref="I63:I65" si="28">+D29-F29-H29-D63-J29-K29-L29-M29-N29-O29-E63-H63-F63-G63-I29</f>
        <v>0</v>
      </c>
    </row>
    <row r="64" spans="1:14">
      <c r="A64" s="139">
        <v>9</v>
      </c>
      <c r="B64" s="22">
        <f t="shared" si="24"/>
        <v>0</v>
      </c>
      <c r="C64" s="248">
        <f t="shared" si="24"/>
        <v>0</v>
      </c>
      <c r="D64" s="73"/>
      <c r="E64" s="122"/>
      <c r="F64" s="122"/>
      <c r="G64" s="122"/>
      <c r="H64" s="15">
        <v>0</v>
      </c>
      <c r="I64" s="158">
        <f t="shared" si="28"/>
        <v>0</v>
      </c>
    </row>
    <row r="65" spans="1:14">
      <c r="A65" s="139">
        <v>10</v>
      </c>
      <c r="B65" s="22">
        <f t="shared" si="24"/>
        <v>0</v>
      </c>
      <c r="C65" s="248">
        <f t="shared" si="24"/>
        <v>0</v>
      </c>
      <c r="D65" s="22"/>
      <c r="E65" s="122"/>
      <c r="F65" s="122"/>
      <c r="G65" s="122"/>
      <c r="H65" s="15">
        <v>0</v>
      </c>
      <c r="I65" s="158">
        <f t="shared" si="28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890.1</v>
      </c>
      <c r="E67" s="3">
        <f>+SUM(E56:E66)</f>
        <v>0</v>
      </c>
      <c r="F67" s="3">
        <f>+SUM(F56:F66)</f>
        <v>0</v>
      </c>
      <c r="G67" s="3">
        <f>+SUM(G56:G66)</f>
        <v>3138.7250000000004</v>
      </c>
      <c r="H67" s="3">
        <f>+SUM(H56:H66)</f>
        <v>2100</v>
      </c>
      <c r="I67" s="5">
        <f>+SUM(I56:I66)</f>
        <v>36558.689903846156</v>
      </c>
      <c r="N67" s="275">
        <f>SUM(N56:N66)</f>
        <v>40376.689903846156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8" t="str">
        <f>'26-10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'26-10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>
      <c r="A3" s="170"/>
      <c r="B3" s="441" t="str">
        <f>'26-10 payroll'!D2</f>
        <v>VALERO</v>
      </c>
      <c r="C3" s="442"/>
      <c r="D3" s="442"/>
      <c r="E3" s="442"/>
      <c r="F3" s="442"/>
      <c r="G3" s="442"/>
      <c r="H3" s="443"/>
      <c r="I3" s="178"/>
      <c r="J3" s="441" t="str">
        <f>'26-10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5" t="str">
        <f>'26-10 payroll'!B7</f>
        <v>Biarcal, Ronald Glenn</v>
      </c>
      <c r="E7" s="435"/>
      <c r="F7" s="435"/>
      <c r="G7" s="55"/>
      <c r="H7" s="194"/>
      <c r="I7" s="195"/>
      <c r="J7" s="192" t="s">
        <v>26</v>
      </c>
      <c r="K7" s="193" t="s">
        <v>27</v>
      </c>
      <c r="L7" s="435" t="str">
        <f>'26-10 payroll'!B8</f>
        <v>Sanchez, Angelo</v>
      </c>
      <c r="M7" s="435"/>
      <c r="N7" s="435"/>
      <c r="O7" s="9"/>
      <c r="P7" s="194"/>
    </row>
    <row r="8" spans="1:22">
      <c r="B8" s="192" t="s">
        <v>28</v>
      </c>
      <c r="C8" s="193" t="s">
        <v>27</v>
      </c>
      <c r="D8" s="436">
        <f>'26-10 payroll'!E7</f>
        <v>527</v>
      </c>
      <c r="E8" s="436"/>
      <c r="F8" s="436"/>
      <c r="G8" s="55"/>
      <c r="H8" s="196"/>
      <c r="I8" s="195"/>
      <c r="J8" s="192" t="s">
        <v>28</v>
      </c>
      <c r="K8" s="193" t="s">
        <v>27</v>
      </c>
      <c r="L8" s="436">
        <f>'26-10 payroll'!E8</f>
        <v>527</v>
      </c>
      <c r="M8" s="436"/>
      <c r="N8" s="436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37" t="str">
        <f>'26-10 payroll'!D3</f>
        <v>Feb 26-March 10</v>
      </c>
      <c r="E9" s="437"/>
      <c r="F9" s="437"/>
      <c r="G9" s="55"/>
      <c r="H9" s="194"/>
      <c r="I9" s="195"/>
      <c r="J9" s="192" t="s">
        <v>29</v>
      </c>
      <c r="K9" s="193" t="s">
        <v>27</v>
      </c>
      <c r="L9" s="437" t="str">
        <f>'26-10 payroll'!D3</f>
        <v>Feb 26-March 10</v>
      </c>
      <c r="M9" s="437"/>
      <c r="N9" s="437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9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329.375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105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1060.3499999999999</v>
      </c>
      <c r="G17" s="55"/>
      <c r="H17" s="56">
        <f>SUM(F13:F17)</f>
        <v>1170.3499999999999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526.35</v>
      </c>
      <c r="O17" s="9"/>
      <c r="P17" s="10">
        <f>SUM(N13:N17)</f>
        <v>960.72500000000002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300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29.7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348.47874999999999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-1609.42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-2024.0887500000001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6411.93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5787.6362500000005</v>
      </c>
      <c r="R28" s="215"/>
      <c r="T28" s="216">
        <f>+H28-'26-10 payroll'!S35</f>
        <v>-307.19999999999982</v>
      </c>
      <c r="U28" s="217"/>
      <c r="V28" s="218">
        <f>+P28-'26-10 payroll'!S36</f>
        <v>-329.69999999999982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8" t="str">
        <f>'26-10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'26-10 payroll'!A1</f>
        <v>THE OLD SPAGHETTI HOUSE</v>
      </c>
      <c r="K35" s="439"/>
      <c r="L35" s="439"/>
      <c r="M35" s="439"/>
      <c r="N35" s="439"/>
      <c r="O35" s="439"/>
      <c r="P35" s="440"/>
    </row>
    <row r="36" spans="2:17">
      <c r="B36" s="441" t="str">
        <f>'26-10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'26-10 payroll'!D2</f>
        <v>VALERO</v>
      </c>
      <c r="K36" s="442"/>
      <c r="L36" s="442"/>
      <c r="M36" s="442"/>
      <c r="N36" s="442"/>
      <c r="O36" s="442"/>
      <c r="P36" s="44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5" t="str">
        <f>'26-10 payroll'!B24</f>
        <v>Dino, Joyce</v>
      </c>
      <c r="E40" s="435"/>
      <c r="F40" s="435"/>
      <c r="G40" s="55"/>
      <c r="H40" s="194"/>
      <c r="I40" s="195"/>
      <c r="J40" s="192" t="s">
        <v>26</v>
      </c>
      <c r="K40" s="193" t="s">
        <v>27</v>
      </c>
      <c r="L40" s="434" t="str">
        <f>'26-10 payroll'!B10</f>
        <v xml:space="preserve">Sosa, Anna Marie </v>
      </c>
      <c r="M40" s="435"/>
      <c r="N40" s="435"/>
      <c r="O40" s="9"/>
      <c r="P40" s="194"/>
    </row>
    <row r="41" spans="2:17">
      <c r="B41" s="192" t="s">
        <v>28</v>
      </c>
      <c r="C41" s="193" t="s">
        <v>27</v>
      </c>
      <c r="D41" s="436">
        <f>'26-10 payroll'!E9</f>
        <v>790.23076923076928</v>
      </c>
      <c r="E41" s="436"/>
      <c r="F41" s="436"/>
      <c r="G41" s="55"/>
      <c r="H41" s="196"/>
      <c r="I41" s="195"/>
      <c r="J41" s="192" t="s">
        <v>28</v>
      </c>
      <c r="K41" s="193" t="s">
        <v>27</v>
      </c>
      <c r="L41" s="436">
        <f>'26-10 payroll'!E10</f>
        <v>527</v>
      </c>
      <c r="M41" s="436"/>
      <c r="N41" s="436"/>
      <c r="O41" s="9"/>
      <c r="P41" s="196"/>
    </row>
    <row r="42" spans="2:17">
      <c r="B42" s="192" t="s">
        <v>29</v>
      </c>
      <c r="C42" s="193" t="s">
        <v>27</v>
      </c>
      <c r="D42" s="437" t="str">
        <f>'26-10 payroll'!D3</f>
        <v>Feb 26-March 10</v>
      </c>
      <c r="E42" s="437"/>
      <c r="F42" s="437"/>
      <c r="G42" s="55"/>
      <c r="H42" s="194"/>
      <c r="I42" s="195"/>
      <c r="J42" s="192" t="s">
        <v>29</v>
      </c>
      <c r="K42" s="193" t="s">
        <v>27</v>
      </c>
      <c r="L42" s="437" t="str">
        <f>'26-10 payroll'!D3</f>
        <v>Feb 26-March 10</v>
      </c>
      <c r="M42" s="437"/>
      <c r="N42" s="437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1309.2673076923077</v>
      </c>
      <c r="G50" s="55"/>
      <c r="H50" s="56">
        <f>SUM(F46:F50)</f>
        <v>1419.2673076923077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1047.175</v>
      </c>
      <c r="O50" s="9"/>
      <c r="P50" s="10">
        <f>SUM(N46:N50)</f>
        <v>1157.175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32.4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42.3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158.04615384615386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-2191.836153846154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-3146.6350000000002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9500.4311538461534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4861.54</v>
      </c>
      <c r="Q61" s="174"/>
      <c r="T61" s="216">
        <f>+H61-'26-10 payroll'!S37</f>
        <v>-1983.7900000000009</v>
      </c>
      <c r="V61" s="237">
        <f>+P61-'26-10 payroll'!S38</f>
        <v>-1879.6350000000002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8" t="str">
        <f>'26-10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'26-10 payroll'!A1</f>
        <v>THE OLD SPAGHETTI HOUSE</v>
      </c>
      <c r="K68" s="439"/>
      <c r="L68" s="439"/>
      <c r="M68" s="439"/>
      <c r="N68" s="439"/>
      <c r="O68" s="439"/>
      <c r="P68" s="440"/>
    </row>
    <row r="69" spans="2:17">
      <c r="B69" s="441" t="str">
        <f>'26-10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'26-10 payroll'!D2</f>
        <v>VALERO</v>
      </c>
      <c r="K69" s="442"/>
      <c r="L69" s="442"/>
      <c r="M69" s="442"/>
      <c r="N69" s="442"/>
      <c r="O69" s="442"/>
      <c r="P69" s="44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4" t="str">
        <f>'26-10 payroll'!B11</f>
        <v>Briones, Christian Joy</v>
      </c>
      <c r="E73" s="435"/>
      <c r="F73" s="435"/>
      <c r="G73" s="55"/>
      <c r="H73" s="194"/>
      <c r="I73" s="195"/>
      <c r="J73" s="192" t="s">
        <v>26</v>
      </c>
      <c r="K73" s="193" t="s">
        <v>27</v>
      </c>
      <c r="L73" s="434" t="str">
        <f>'26-10 payroll'!B12</f>
        <v>Cahilig,Benzen</v>
      </c>
      <c r="M73" s="435"/>
      <c r="N73" s="435"/>
      <c r="O73" s="9"/>
      <c r="P73" s="194"/>
    </row>
    <row r="74" spans="2:17">
      <c r="B74" s="192" t="s">
        <v>28</v>
      </c>
      <c r="C74" s="193" t="s">
        <v>27</v>
      </c>
      <c r="D74" s="436">
        <f>'26-10 payroll'!E11</f>
        <v>527</v>
      </c>
      <c r="E74" s="436"/>
      <c r="F74" s="436"/>
      <c r="G74" s="55"/>
      <c r="H74" s="196"/>
      <c r="I74" s="195"/>
      <c r="J74" s="192" t="s">
        <v>28</v>
      </c>
      <c r="K74" s="193" t="s">
        <v>27</v>
      </c>
      <c r="L74" s="436">
        <f>'26-10 payroll'!E12</f>
        <v>527</v>
      </c>
      <c r="M74" s="436"/>
      <c r="N74" s="436"/>
      <c r="O74" s="9"/>
      <c r="P74" s="196"/>
    </row>
    <row r="75" spans="2:17">
      <c r="B75" s="192" t="s">
        <v>29</v>
      </c>
      <c r="C75" s="193" t="s">
        <v>27</v>
      </c>
      <c r="D75" s="437" t="str">
        <f>'26-10 payroll'!D3</f>
        <v>Feb 26-March 10</v>
      </c>
      <c r="E75" s="437"/>
      <c r="F75" s="437"/>
      <c r="G75" s="55"/>
      <c r="H75" s="194"/>
      <c r="I75" s="195"/>
      <c r="J75" s="192" t="s">
        <v>29</v>
      </c>
      <c r="K75" s="193" t="s">
        <v>27</v>
      </c>
      <c r="L75" s="437" t="str">
        <f>'26-10 payroll'!D3</f>
        <v>Feb 26-March 10</v>
      </c>
      <c r="M75" s="437"/>
      <c r="N75" s="437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5270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411.71875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247.03125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554.65625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26.35</v>
      </c>
      <c r="O83" s="9"/>
      <c r="P83" s="10">
        <f>SUM(N79:N83)</f>
        <v>373.38125000000002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300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144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247.5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-1596.575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-1647.9099999999999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4755.0812500000002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3995.4712500000005</v>
      </c>
      <c r="Q94" s="174"/>
      <c r="T94" s="216">
        <f>+H94-'26-10 payroll'!S39</f>
        <v>-444</v>
      </c>
      <c r="V94" s="237">
        <f>+P94-'26-10 payroll'!S40</f>
        <v>-547.49999999999909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8" t="str">
        <f>'26-10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'26-10 payroll'!A1</f>
        <v>THE OLD SPAGHETTI HOUSE</v>
      </c>
      <c r="K101" s="439"/>
      <c r="L101" s="439"/>
      <c r="M101" s="439"/>
      <c r="N101" s="439"/>
      <c r="O101" s="439"/>
      <c r="P101" s="440"/>
    </row>
    <row r="102" spans="2:17">
      <c r="B102" s="441" t="str">
        <f>'26-10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'26-10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4" t="str">
        <f>'26-10 payroll'!B13</f>
        <v>Pantoja,Nancy</v>
      </c>
      <c r="E106" s="435"/>
      <c r="F106" s="435"/>
      <c r="G106" s="55"/>
      <c r="H106" s="194"/>
      <c r="I106" s="195"/>
      <c r="J106" s="192" t="s">
        <v>26</v>
      </c>
      <c r="K106" s="193" t="s">
        <v>27</v>
      </c>
      <c r="L106" s="434">
        <f>'26-10 payroll'!B29</f>
        <v>0</v>
      </c>
      <c r="M106" s="435"/>
      <c r="N106" s="435"/>
      <c r="O106" s="9"/>
      <c r="P106" s="194"/>
    </row>
    <row r="107" spans="2:17">
      <c r="B107" s="192" t="s">
        <v>28</v>
      </c>
      <c r="C107" s="193" t="s">
        <v>27</v>
      </c>
      <c r="D107" s="436">
        <f>'26-10 payroll'!E13</f>
        <v>527</v>
      </c>
      <c r="E107" s="436"/>
      <c r="F107" s="436"/>
      <c r="G107" s="55"/>
      <c r="H107" s="196"/>
      <c r="I107" s="195"/>
      <c r="J107" s="192" t="s">
        <v>28</v>
      </c>
      <c r="K107" s="193" t="s">
        <v>27</v>
      </c>
      <c r="L107" s="436">
        <f>'26-10 payroll'!E14</f>
        <v>0</v>
      </c>
      <c r="M107" s="436"/>
      <c r="N107" s="436"/>
      <c r="O107" s="9"/>
      <c r="P107" s="196"/>
    </row>
    <row r="108" spans="2:17">
      <c r="B108" s="192" t="s">
        <v>29</v>
      </c>
      <c r="C108" s="193" t="s">
        <v>27</v>
      </c>
      <c r="D108" s="437" t="str">
        <f>'26-10 payroll'!D3</f>
        <v>Feb 26-March 10</v>
      </c>
      <c r="E108" s="437"/>
      <c r="F108" s="437"/>
      <c r="G108" s="55"/>
      <c r="H108" s="194"/>
      <c r="I108" s="195"/>
      <c r="J108" s="192" t="s">
        <v>29</v>
      </c>
      <c r="K108" s="193" t="s">
        <v>27</v>
      </c>
      <c r="L108" s="437" t="str">
        <f>'26-10 payroll'!D3</f>
        <v>Feb 26-March 10</v>
      </c>
      <c r="M108" s="437"/>
      <c r="N108" s="437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59.287500000000001</v>
      </c>
      <c r="G116" s="55"/>
      <c r="H116" s="56">
        <f>SUM(F112:F116)</f>
        <v>169.28749999999999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300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387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164.6875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-951.6875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5014.6000000000004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-687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8" t="str">
        <f>'26-10 payroll'!A1</f>
        <v>THE OLD SPAGHETTI HOUSE</v>
      </c>
      <c r="C134" s="439"/>
      <c r="D134" s="439"/>
      <c r="E134" s="439"/>
      <c r="F134" s="439"/>
      <c r="G134" s="439"/>
      <c r="H134" s="440"/>
      <c r="I134" s="178"/>
      <c r="J134" s="438" t="str">
        <f>'26-10 payroll'!A1</f>
        <v>THE OLD SPAGHETTI HOUSE</v>
      </c>
      <c r="K134" s="439"/>
      <c r="L134" s="439"/>
      <c r="M134" s="439"/>
      <c r="N134" s="439"/>
      <c r="O134" s="439"/>
      <c r="P134" s="440"/>
    </row>
    <row r="135" spans="2:17">
      <c r="B135" s="441" t="str">
        <f>'26-10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'26-10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4">
        <f>'26-10 payroll'!B15</f>
        <v>0</v>
      </c>
      <c r="E139" s="435"/>
      <c r="F139" s="435"/>
      <c r="G139" s="55"/>
      <c r="H139" s="194"/>
      <c r="I139" s="195"/>
      <c r="J139" s="192" t="s">
        <v>26</v>
      </c>
      <c r="K139" s="193" t="s">
        <v>27</v>
      </c>
      <c r="L139" s="435">
        <f>'26-10 payroll'!C112</f>
        <v>0</v>
      </c>
      <c r="M139" s="435"/>
      <c r="N139" s="435"/>
      <c r="O139" s="9"/>
      <c r="P139" s="194"/>
    </row>
    <row r="140" spans="2:17">
      <c r="B140" s="192" t="s">
        <v>28</v>
      </c>
      <c r="C140" s="193" t="s">
        <v>27</v>
      </c>
      <c r="D140" s="436">
        <f>'26-10 payroll'!E15</f>
        <v>0</v>
      </c>
      <c r="E140" s="436"/>
      <c r="F140" s="436"/>
      <c r="G140" s="55"/>
      <c r="H140" s="196"/>
      <c r="I140" s="195"/>
      <c r="J140" s="192" t="s">
        <v>28</v>
      </c>
      <c r="K140" s="193" t="s">
        <v>27</v>
      </c>
      <c r="L140" s="436">
        <f>'26-10 payroll'!E112</f>
        <v>0</v>
      </c>
      <c r="M140" s="436"/>
      <c r="N140" s="436"/>
      <c r="O140" s="9"/>
      <c r="P140" s="196"/>
    </row>
    <row r="141" spans="2:17">
      <c r="B141" s="192" t="s">
        <v>29</v>
      </c>
      <c r="C141" s="193" t="s">
        <v>27</v>
      </c>
      <c r="D141" s="437" t="str">
        <f>'26-10 payroll'!D3</f>
        <v>Feb 26-March 10</v>
      </c>
      <c r="E141" s="437"/>
      <c r="F141" s="437"/>
      <c r="G141" s="55"/>
      <c r="H141" s="194"/>
      <c r="I141" s="195"/>
      <c r="J141" s="192" t="s">
        <v>29</v>
      </c>
      <c r="K141" s="193" t="s">
        <v>27</v>
      </c>
      <c r="L141" s="437">
        <f>'26-10 payroll'!D105</f>
        <v>0</v>
      </c>
      <c r="M141" s="437"/>
      <c r="N141" s="437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31"/>
      <c r="B5" s="433" t="s">
        <v>0</v>
      </c>
      <c r="C5" s="404" t="s">
        <v>1</v>
      </c>
      <c r="D5" s="383" t="s">
        <v>13</v>
      </c>
      <c r="E5" s="404" t="s">
        <v>14</v>
      </c>
      <c r="F5" s="383" t="s">
        <v>15</v>
      </c>
      <c r="G5" s="404" t="s">
        <v>16</v>
      </c>
      <c r="H5" s="383" t="s">
        <v>44</v>
      </c>
      <c r="I5" s="400" t="s">
        <v>118</v>
      </c>
      <c r="J5" s="408" t="s">
        <v>91</v>
      </c>
      <c r="K5" s="409"/>
      <c r="L5" s="410"/>
      <c r="M5" s="420" t="s">
        <v>108</v>
      </c>
      <c r="N5" s="421"/>
      <c r="O5" s="421"/>
      <c r="P5" s="404" t="s">
        <v>2</v>
      </c>
      <c r="Q5" s="383" t="s">
        <v>17</v>
      </c>
      <c r="R5" s="404" t="s">
        <v>2</v>
      </c>
      <c r="S5" s="383" t="s">
        <v>18</v>
      </c>
      <c r="T5" s="404" t="s">
        <v>2</v>
      </c>
      <c r="U5" s="383" t="s">
        <v>19</v>
      </c>
      <c r="V5" s="404" t="s">
        <v>2</v>
      </c>
      <c r="W5" s="383" t="s">
        <v>20</v>
      </c>
      <c r="X5" s="385" t="s">
        <v>3</v>
      </c>
    </row>
    <row r="6" spans="1:26" s="138" customFormat="1" ht="27" customHeight="1" thickBot="1">
      <c r="A6" s="432"/>
      <c r="B6" s="405"/>
      <c r="C6" s="405"/>
      <c r="D6" s="419"/>
      <c r="E6" s="424"/>
      <c r="F6" s="419"/>
      <c r="G6" s="424"/>
      <c r="H6" s="384"/>
      <c r="I6" s="40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5"/>
      <c r="Q6" s="419"/>
      <c r="R6" s="405"/>
      <c r="S6" s="419"/>
      <c r="T6" s="405"/>
      <c r="U6" s="419"/>
      <c r="V6" s="405"/>
      <c r="W6" s="384"/>
      <c r="X6" s="386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87"/>
      <c r="B20" s="389" t="s">
        <v>0</v>
      </c>
      <c r="C20" s="391" t="s">
        <v>1</v>
      </c>
      <c r="D20" s="393" t="s">
        <v>3</v>
      </c>
      <c r="E20" s="395" t="s">
        <v>22</v>
      </c>
      <c r="F20" s="402" t="s">
        <v>2</v>
      </c>
      <c r="G20" s="391" t="s">
        <v>21</v>
      </c>
      <c r="H20" s="393" t="s">
        <v>2</v>
      </c>
      <c r="I20" s="398" t="s">
        <v>126</v>
      </c>
      <c r="J20" s="415" t="s">
        <v>4</v>
      </c>
      <c r="K20" s="417" t="s">
        <v>23</v>
      </c>
      <c r="L20" s="393" t="s">
        <v>5</v>
      </c>
      <c r="M20" s="393" t="s">
        <v>6</v>
      </c>
      <c r="N20" s="393" t="s">
        <v>24</v>
      </c>
      <c r="O20" s="393" t="s">
        <v>7</v>
      </c>
      <c r="P20" s="413" t="s">
        <v>3</v>
      </c>
      <c r="Q20" s="244"/>
      <c r="R20" s="152" t="s">
        <v>103</v>
      </c>
      <c r="S20" s="244"/>
    </row>
    <row r="21" spans="1:24" s="138" customFormat="1" ht="15" customHeight="1" thickBot="1">
      <c r="A21" s="388"/>
      <c r="B21" s="390"/>
      <c r="C21" s="392"/>
      <c r="D21" s="394"/>
      <c r="E21" s="396"/>
      <c r="F21" s="403"/>
      <c r="G21" s="447"/>
      <c r="H21" s="397"/>
      <c r="I21" s="399"/>
      <c r="J21" s="416"/>
      <c r="K21" s="418"/>
      <c r="L21" s="397"/>
      <c r="M21" s="397"/>
      <c r="N21" s="394"/>
      <c r="O21" s="397"/>
      <c r="P21" s="414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87"/>
      <c r="B54" s="389" t="s">
        <v>0</v>
      </c>
      <c r="C54" s="391" t="s">
        <v>1</v>
      </c>
      <c r="D54" s="393" t="s">
        <v>3</v>
      </c>
      <c r="E54" s="393" t="s">
        <v>45</v>
      </c>
      <c r="F54" s="428" t="s">
        <v>151</v>
      </c>
      <c r="G54" s="425" t="s">
        <v>112</v>
      </c>
      <c r="H54" s="426"/>
      <c r="I54" s="411"/>
      <c r="J54" s="413" t="s">
        <v>3</v>
      </c>
      <c r="K54" s="427" t="s">
        <v>114</v>
      </c>
      <c r="L54" s="423" t="s">
        <v>115</v>
      </c>
      <c r="M54" s="423" t="s">
        <v>116</v>
      </c>
      <c r="O54" s="422" t="s">
        <v>102</v>
      </c>
    </row>
    <row r="55" spans="1:15" ht="13.5" thickBot="1">
      <c r="A55" s="388"/>
      <c r="B55" s="390"/>
      <c r="C55" s="392"/>
      <c r="D55" s="394"/>
      <c r="E55" s="430"/>
      <c r="F55" s="429"/>
      <c r="G55" s="245" t="s">
        <v>113</v>
      </c>
      <c r="H55" s="246" t="s">
        <v>148</v>
      </c>
      <c r="I55" s="412"/>
      <c r="J55" s="414"/>
      <c r="K55" s="427"/>
      <c r="L55" s="423"/>
      <c r="M55" s="423"/>
      <c r="O55" s="422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8" t="str">
        <f>'11-25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'11-25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>
      <c r="A3" s="170"/>
      <c r="B3" s="441" t="str">
        <f>'11-25 payroll'!D2</f>
        <v>VALERO</v>
      </c>
      <c r="C3" s="442"/>
      <c r="D3" s="442"/>
      <c r="E3" s="442"/>
      <c r="F3" s="442"/>
      <c r="G3" s="442"/>
      <c r="H3" s="443"/>
      <c r="I3" s="178"/>
      <c r="J3" s="441" t="str">
        <f>'11-25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5" t="str">
        <f>'11-25 payroll'!B7</f>
        <v>Biarcal, Ronald Glenn</v>
      </c>
      <c r="E7" s="435"/>
      <c r="F7" s="435"/>
      <c r="G7" s="55"/>
      <c r="H7" s="194"/>
      <c r="I7" s="195"/>
      <c r="J7" s="192" t="s">
        <v>26</v>
      </c>
      <c r="K7" s="193" t="s">
        <v>27</v>
      </c>
      <c r="L7" s="435" t="str">
        <f>'11-25 payroll'!B8</f>
        <v>Sanchez, Angelo</v>
      </c>
      <c r="M7" s="435"/>
      <c r="N7" s="435"/>
      <c r="O7" s="9"/>
      <c r="P7" s="194"/>
    </row>
    <row r="8" spans="1:22">
      <c r="B8" s="192" t="s">
        <v>28</v>
      </c>
      <c r="C8" s="193" t="s">
        <v>27</v>
      </c>
      <c r="D8" s="436">
        <f>'11-25 payroll'!E7</f>
        <v>502</v>
      </c>
      <c r="E8" s="436"/>
      <c r="F8" s="436"/>
      <c r="G8" s="55"/>
      <c r="H8" s="235"/>
      <c r="I8" s="195"/>
      <c r="J8" s="192" t="s">
        <v>28</v>
      </c>
      <c r="K8" s="193" t="s">
        <v>27</v>
      </c>
      <c r="L8" s="436">
        <f>'11-25 payroll'!E8</f>
        <v>502</v>
      </c>
      <c r="M8" s="436"/>
      <c r="N8" s="436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37" t="str">
        <f>'11-25 payroll'!D3</f>
        <v>August 11-25</v>
      </c>
      <c r="E9" s="437"/>
      <c r="F9" s="437"/>
      <c r="G9" s="55"/>
      <c r="H9" s="194"/>
      <c r="I9" s="195"/>
      <c r="J9" s="192" t="s">
        <v>29</v>
      </c>
      <c r="K9" s="193" t="s">
        <v>27</v>
      </c>
      <c r="L9" s="437" t="str">
        <f>'11-25 payroll'!D3</f>
        <v>August 11-25</v>
      </c>
      <c r="M9" s="437"/>
      <c r="N9" s="437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8" t="str">
        <f>'11-25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'11-25 payroll'!A1</f>
        <v>THE OLD SPAGHETTI HOUSE</v>
      </c>
      <c r="K35" s="439"/>
      <c r="L35" s="439"/>
      <c r="M35" s="439"/>
      <c r="N35" s="439"/>
      <c r="O35" s="439"/>
      <c r="P35" s="440"/>
    </row>
    <row r="36" spans="2:17">
      <c r="B36" s="441" t="str">
        <f>'11-25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'11-25 payroll'!D2</f>
        <v>VALERO</v>
      </c>
      <c r="K36" s="442"/>
      <c r="L36" s="442"/>
      <c r="M36" s="442"/>
      <c r="N36" s="442"/>
      <c r="O36" s="442"/>
      <c r="P36" s="44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5" t="str">
        <f>'11-25 payroll'!B24</f>
        <v>Dino, Joyce</v>
      </c>
      <c r="E40" s="435"/>
      <c r="F40" s="435"/>
      <c r="G40" s="55"/>
      <c r="H40" s="194"/>
      <c r="I40" s="195"/>
      <c r="J40" s="192" t="s">
        <v>26</v>
      </c>
      <c r="K40" s="193" t="s">
        <v>27</v>
      </c>
      <c r="L40" s="434" t="str">
        <f>'11-25 payroll'!B10</f>
        <v xml:space="preserve">Sosa, Anna Marie </v>
      </c>
      <c r="M40" s="435"/>
      <c r="N40" s="435"/>
      <c r="O40" s="9"/>
      <c r="P40" s="194"/>
    </row>
    <row r="41" spans="2:17">
      <c r="B41" s="192" t="s">
        <v>28</v>
      </c>
      <c r="C41" s="193" t="s">
        <v>27</v>
      </c>
      <c r="D41" s="436">
        <f>'11-25 payroll'!E9</f>
        <v>790.23076923076928</v>
      </c>
      <c r="E41" s="436"/>
      <c r="F41" s="436"/>
      <c r="G41" s="55"/>
      <c r="H41" s="235"/>
      <c r="I41" s="195"/>
      <c r="J41" s="192" t="s">
        <v>28</v>
      </c>
      <c r="K41" s="193" t="s">
        <v>27</v>
      </c>
      <c r="L41" s="436">
        <f>'11-25 payroll'!E10</f>
        <v>502</v>
      </c>
      <c r="M41" s="436"/>
      <c r="N41" s="436"/>
      <c r="O41" s="9"/>
      <c r="P41" s="235"/>
    </row>
    <row r="42" spans="2:17">
      <c r="B42" s="192" t="s">
        <v>29</v>
      </c>
      <c r="C42" s="193" t="s">
        <v>27</v>
      </c>
      <c r="D42" s="437" t="str">
        <f>'11-25 payroll'!D3</f>
        <v>August 11-25</v>
      </c>
      <c r="E42" s="437"/>
      <c r="F42" s="437"/>
      <c r="G42" s="55"/>
      <c r="H42" s="194"/>
      <c r="I42" s="195"/>
      <c r="J42" s="192" t="s">
        <v>29</v>
      </c>
      <c r="K42" s="193" t="s">
        <v>27</v>
      </c>
      <c r="L42" s="437" t="str">
        <f>'11-25 payroll'!D3</f>
        <v>August 11-25</v>
      </c>
      <c r="M42" s="437"/>
      <c r="N42" s="437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8" t="str">
        <f>'11-25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'11-25 payroll'!A1</f>
        <v>THE OLD SPAGHETTI HOUSE</v>
      </c>
      <c r="K68" s="439"/>
      <c r="L68" s="439"/>
      <c r="M68" s="439"/>
      <c r="N68" s="439"/>
      <c r="O68" s="439"/>
      <c r="P68" s="440"/>
    </row>
    <row r="69" spans="2:17">
      <c r="B69" s="441" t="str">
        <f>'11-25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'11-25 payroll'!D2</f>
        <v>VALERO</v>
      </c>
      <c r="K69" s="442"/>
      <c r="L69" s="442"/>
      <c r="M69" s="442"/>
      <c r="N69" s="442"/>
      <c r="O69" s="442"/>
      <c r="P69" s="44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4" t="str">
        <f>'11-25 payroll'!B11</f>
        <v>Briones, Christain Joy</v>
      </c>
      <c r="E73" s="435"/>
      <c r="F73" s="435"/>
      <c r="G73" s="55"/>
      <c r="H73" s="194"/>
      <c r="I73" s="195"/>
      <c r="J73" s="192" t="s">
        <v>26</v>
      </c>
      <c r="K73" s="193" t="s">
        <v>27</v>
      </c>
      <c r="L73" s="434">
        <f>'11-25 payroll'!B12</f>
        <v>0</v>
      </c>
      <c r="M73" s="435"/>
      <c r="N73" s="435"/>
      <c r="O73" s="9"/>
      <c r="P73" s="194"/>
    </row>
    <row r="74" spans="2:17">
      <c r="B74" s="192" t="s">
        <v>28</v>
      </c>
      <c r="C74" s="193" t="s">
        <v>27</v>
      </c>
      <c r="D74" s="436">
        <f>'11-25 payroll'!E11</f>
        <v>502</v>
      </c>
      <c r="E74" s="436"/>
      <c r="F74" s="436"/>
      <c r="G74" s="55"/>
      <c r="H74" s="235"/>
      <c r="I74" s="195"/>
      <c r="J74" s="192" t="s">
        <v>28</v>
      </c>
      <c r="K74" s="193" t="s">
        <v>27</v>
      </c>
      <c r="L74" s="436">
        <f>'11-25 payroll'!E12</f>
        <v>0</v>
      </c>
      <c r="M74" s="436"/>
      <c r="N74" s="436"/>
      <c r="O74" s="9"/>
      <c r="P74" s="235"/>
    </row>
    <row r="75" spans="2:17">
      <c r="B75" s="192" t="s">
        <v>29</v>
      </c>
      <c r="C75" s="193" t="s">
        <v>27</v>
      </c>
      <c r="D75" s="437" t="str">
        <f>'11-25 payroll'!D3</f>
        <v>August 11-25</v>
      </c>
      <c r="E75" s="437"/>
      <c r="F75" s="437"/>
      <c r="G75" s="55"/>
      <c r="H75" s="194"/>
      <c r="I75" s="195"/>
      <c r="J75" s="192" t="s">
        <v>29</v>
      </c>
      <c r="K75" s="193" t="s">
        <v>27</v>
      </c>
      <c r="L75" s="437" t="str">
        <f>'11-25 payroll'!D3</f>
        <v>August 11-25</v>
      </c>
      <c r="M75" s="437"/>
      <c r="N75" s="437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8" t="str">
        <f>'11-25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'11-25 payroll'!A1</f>
        <v>THE OLD SPAGHETTI HOUSE</v>
      </c>
      <c r="K101" s="439"/>
      <c r="L101" s="439"/>
      <c r="M101" s="439"/>
      <c r="N101" s="439"/>
      <c r="O101" s="439"/>
      <c r="P101" s="440"/>
    </row>
    <row r="102" spans="2:17">
      <c r="B102" s="441" t="str">
        <f>'11-25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'11-25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4">
        <f>'11-25 payroll'!B13</f>
        <v>0</v>
      </c>
      <c r="E106" s="435"/>
      <c r="F106" s="435"/>
      <c r="G106" s="55"/>
      <c r="H106" s="194"/>
      <c r="I106" s="195"/>
      <c r="J106" s="192" t="s">
        <v>26</v>
      </c>
      <c r="K106" s="193" t="s">
        <v>27</v>
      </c>
      <c r="L106" s="434">
        <f>'11-25 payroll'!B29</f>
        <v>0</v>
      </c>
      <c r="M106" s="435"/>
      <c r="N106" s="435"/>
      <c r="O106" s="9"/>
      <c r="P106" s="194"/>
    </row>
    <row r="107" spans="2:17">
      <c r="B107" s="192" t="s">
        <v>28</v>
      </c>
      <c r="C107" s="193" t="s">
        <v>27</v>
      </c>
      <c r="D107" s="436">
        <f>'11-25 payroll'!E13</f>
        <v>0</v>
      </c>
      <c r="E107" s="436"/>
      <c r="F107" s="436"/>
      <c r="G107" s="55"/>
      <c r="H107" s="235"/>
      <c r="I107" s="195"/>
      <c r="J107" s="192" t="s">
        <v>28</v>
      </c>
      <c r="K107" s="193" t="s">
        <v>27</v>
      </c>
      <c r="L107" s="436">
        <f>'11-25 payroll'!E14</f>
        <v>0</v>
      </c>
      <c r="M107" s="436"/>
      <c r="N107" s="436"/>
      <c r="O107" s="9"/>
      <c r="P107" s="235"/>
    </row>
    <row r="108" spans="2:17">
      <c r="B108" s="192" t="s">
        <v>29</v>
      </c>
      <c r="C108" s="193" t="s">
        <v>27</v>
      </c>
      <c r="D108" s="437" t="str">
        <f>'11-25 payroll'!D3</f>
        <v>August 11-25</v>
      </c>
      <c r="E108" s="437"/>
      <c r="F108" s="437"/>
      <c r="G108" s="55"/>
      <c r="H108" s="194"/>
      <c r="I108" s="195"/>
      <c r="J108" s="192" t="s">
        <v>29</v>
      </c>
      <c r="K108" s="193" t="s">
        <v>27</v>
      </c>
      <c r="L108" s="437" t="str">
        <f>'11-25 payroll'!D3</f>
        <v>August 11-25</v>
      </c>
      <c r="M108" s="437"/>
      <c r="N108" s="437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8" t="str">
        <f>'11-25 payroll'!A1</f>
        <v>THE OLD SPAGHETTI HOUSE</v>
      </c>
      <c r="C134" s="439"/>
      <c r="D134" s="439"/>
      <c r="E134" s="439"/>
      <c r="F134" s="439"/>
      <c r="G134" s="439"/>
      <c r="H134" s="440"/>
      <c r="I134" s="178"/>
      <c r="J134" s="438" t="str">
        <f>'11-25 payroll'!A1</f>
        <v>THE OLD SPAGHETTI HOUSE</v>
      </c>
      <c r="K134" s="439"/>
      <c r="L134" s="439"/>
      <c r="M134" s="439"/>
      <c r="N134" s="439"/>
      <c r="O134" s="439"/>
      <c r="P134" s="440"/>
    </row>
    <row r="135" spans="2:17">
      <c r="B135" s="441" t="str">
        <f>'11-25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'11-25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4">
        <f>'11-25 payroll'!B15</f>
        <v>0</v>
      </c>
      <c r="E139" s="435"/>
      <c r="F139" s="435"/>
      <c r="G139" s="55"/>
      <c r="H139" s="194"/>
      <c r="I139" s="195"/>
      <c r="J139" s="192" t="s">
        <v>26</v>
      </c>
      <c r="K139" s="193" t="s">
        <v>27</v>
      </c>
      <c r="L139" s="435">
        <f>'11-25 payroll'!C112</f>
        <v>0</v>
      </c>
      <c r="M139" s="435"/>
      <c r="N139" s="435"/>
      <c r="O139" s="9"/>
      <c r="P139" s="194"/>
    </row>
    <row r="140" spans="2:17">
      <c r="B140" s="192" t="s">
        <v>28</v>
      </c>
      <c r="C140" s="193" t="s">
        <v>27</v>
      </c>
      <c r="D140" s="436">
        <f>'11-25 payroll'!E15</f>
        <v>0</v>
      </c>
      <c r="E140" s="436"/>
      <c r="F140" s="436"/>
      <c r="G140" s="55"/>
      <c r="H140" s="235"/>
      <c r="I140" s="195"/>
      <c r="J140" s="192" t="s">
        <v>28</v>
      </c>
      <c r="K140" s="193" t="s">
        <v>27</v>
      </c>
      <c r="L140" s="436">
        <f>'11-25 payroll'!E112</f>
        <v>0</v>
      </c>
      <c r="M140" s="436"/>
      <c r="N140" s="436"/>
      <c r="O140" s="9"/>
      <c r="P140" s="235"/>
    </row>
    <row r="141" spans="2:17">
      <c r="B141" s="192" t="s">
        <v>29</v>
      </c>
      <c r="C141" s="193" t="s">
        <v>27</v>
      </c>
      <c r="D141" s="437" t="str">
        <f>'11-25 payroll'!D3</f>
        <v>August 11-25</v>
      </c>
      <c r="E141" s="437"/>
      <c r="F141" s="437"/>
      <c r="G141" s="55"/>
      <c r="H141" s="194"/>
      <c r="I141" s="195"/>
      <c r="J141" s="192" t="s">
        <v>29</v>
      </c>
      <c r="K141" s="193" t="s">
        <v>27</v>
      </c>
      <c r="L141" s="437">
        <f>'11-25 payroll'!D105</f>
        <v>0</v>
      </c>
      <c r="M141" s="437"/>
      <c r="N141" s="437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 26-March 10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2" t="s">
        <v>65</v>
      </c>
      <c r="H15" s="452"/>
      <c r="J15" s="453" t="s">
        <v>66</v>
      </c>
      <c r="K15" s="453"/>
      <c r="L15" s="453"/>
      <c r="M15" s="453" t="s">
        <v>67</v>
      </c>
      <c r="N15" s="453"/>
      <c r="O15" s="452" t="s">
        <v>68</v>
      </c>
      <c r="P15" s="452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0" t="s">
        <v>70</v>
      </c>
      <c r="H16" s="450"/>
      <c r="I16" s="70" t="s">
        <v>71</v>
      </c>
      <c r="J16" s="454" t="s">
        <v>72</v>
      </c>
      <c r="K16" s="454"/>
      <c r="L16" s="454"/>
      <c r="M16" s="454" t="s">
        <v>73</v>
      </c>
      <c r="N16" s="454"/>
      <c r="O16" s="450" t="s">
        <v>74</v>
      </c>
      <c r="P16" s="450"/>
      <c r="Q16" s="251" t="s">
        <v>75</v>
      </c>
      <c r="R16" s="449" t="s">
        <v>117</v>
      </c>
      <c r="S16" s="450"/>
      <c r="T16" s="450"/>
      <c r="U16" s="451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6987.35</v>
      </c>
      <c r="H18" s="80">
        <f>'11-25 payroll'!R22</f>
        <v>6526</v>
      </c>
      <c r="I18" s="81">
        <f>G18+H18</f>
        <v>13513.35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6963.2462500000001</v>
      </c>
      <c r="H19" s="80">
        <f>'11-25 payroll'!R23</f>
        <v>6526</v>
      </c>
      <c r="I19" s="81">
        <f t="shared" ref="I19:I27" si="0">G19+H19</f>
        <v>13489.24625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10284.221153846154</v>
      </c>
      <c r="H20" s="80">
        <f>'11-25 payroll'!R24</f>
        <v>10273</v>
      </c>
      <c r="I20" s="81">
        <f t="shared" si="0"/>
        <v>20557.221153846156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6974.1750000000002</v>
      </c>
      <c r="H21" s="80">
        <f>'11-25 payroll'!R25</f>
        <v>6526</v>
      </c>
      <c r="I21" s="81">
        <f t="shared" si="0"/>
        <v>13500.174999999999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6285.78125</v>
      </c>
      <c r="H22" s="80">
        <f>'11-25 payroll'!R26</f>
        <v>6526</v>
      </c>
      <c r="I22" s="81">
        <f t="shared" si="0"/>
        <v>12811.78125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5643.3812500000004</v>
      </c>
      <c r="H23" s="80">
        <f>'11-25 payroll'!R27</f>
        <v>0</v>
      </c>
      <c r="I23" s="93">
        <f t="shared" si="0"/>
        <v>5643.3812500000004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5801.6</v>
      </c>
      <c r="H24" s="80">
        <f>'11-25 payroll'!R28</f>
        <v>0</v>
      </c>
      <c r="I24" s="81">
        <f t="shared" si="0"/>
        <v>5801.6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48939.754903846151</v>
      </c>
      <c r="H29" s="103">
        <f t="shared" ref="H29:O29" si="3">SUM(H18:H27)</f>
        <v>36377</v>
      </c>
      <c r="I29" s="103">
        <f t="shared" si="3"/>
        <v>85316.754903846173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6121.920000000001</v>
      </c>
      <c r="S29" s="103">
        <f t="shared" si="4"/>
        <v>7664.9500000000007</v>
      </c>
      <c r="T29" s="103">
        <f t="shared" si="4"/>
        <v>0</v>
      </c>
      <c r="U29" s="260">
        <f t="shared" si="4"/>
        <v>3653.7599999999998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158.04615384615386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59.267307692307696</v>
      </c>
      <c r="M36" s="264">
        <f t="shared" si="5"/>
        <v>0</v>
      </c>
      <c r="N36" s="264">
        <f t="shared" si="5"/>
        <v>158.04615384615386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110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26.35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105</v>
      </c>
      <c r="I38" s="263">
        <f>+'26-10 payroll'!P8+'11-25 payroll'!P8</f>
        <v>329.375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26.35</v>
      </c>
      <c r="M38" s="109">
        <f>+'26-10 payroll'!W8+'11-25 payroll'!W8</f>
        <v>0</v>
      </c>
      <c r="N38" s="109">
        <f>+'26-10 payroll'!F23+'26-10 payroll'!H23+'11-25 payroll'!F23+'11-25 payroll'!H23</f>
        <v>348.47874999999999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325</v>
      </c>
      <c r="I41" s="268">
        <f t="shared" si="6"/>
        <v>329.375</v>
      </c>
      <c r="J41" s="268">
        <f t="shared" si="6"/>
        <v>0</v>
      </c>
      <c r="K41" s="268">
        <f t="shared" si="6"/>
        <v>0</v>
      </c>
      <c r="L41" s="268">
        <f t="shared" si="6"/>
        <v>65.875</v>
      </c>
      <c r="M41" s="268">
        <f t="shared" si="6"/>
        <v>0</v>
      </c>
      <c r="N41" s="268">
        <f t="shared" si="6"/>
        <v>348.47874999999999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435</v>
      </c>
      <c r="I44" s="263">
        <f t="shared" si="7"/>
        <v>329.375</v>
      </c>
      <c r="J44" s="263">
        <f t="shared" si="7"/>
        <v>0</v>
      </c>
      <c r="K44" s="263">
        <f t="shared" si="7"/>
        <v>0</v>
      </c>
      <c r="L44" s="263">
        <f t="shared" si="7"/>
        <v>125.1423076923077</v>
      </c>
      <c r="M44" s="263">
        <f t="shared" si="7"/>
        <v>0</v>
      </c>
      <c r="N44" s="263">
        <f t="shared" si="7"/>
        <v>506.52490384615385</v>
      </c>
      <c r="O44" s="263">
        <f t="shared" si="7"/>
        <v>0</v>
      </c>
      <c r="P44" s="263">
        <f t="shared" si="7"/>
        <v>7636</v>
      </c>
      <c r="Q44" s="263">
        <f>SUM(B44:P44)</f>
        <v>69709.042211538472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8" t="s">
        <v>133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Q46" s="110"/>
      <c r="U46" s="109"/>
    </row>
    <row r="47" spans="1:22" s="105" customFormat="1">
      <c r="A47" s="448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69718.292403846164</v>
      </c>
      <c r="M48" s="263">
        <f>+I29+P36+P41-(O36+O41)+G36</f>
        <v>93052.754903846173</v>
      </c>
      <c r="N48" s="109">
        <f>+L48-M48</f>
        <v>-23334.462500000009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37597.421250000007</v>
      </c>
      <c r="M49" s="263">
        <f>+L49</f>
        <v>37597.421250000007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395.25</v>
      </c>
      <c r="M50" s="263">
        <f>+L50</f>
        <v>395.25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12059.7</v>
      </c>
      <c r="M51" s="263">
        <f>+L51</f>
        <v>12059.7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19665.921153846157</v>
      </c>
      <c r="M52" s="263">
        <f>+M48-M49-M50-M51</f>
        <v>43000.383653846162</v>
      </c>
      <c r="N52" s="109">
        <f>+L52-M52</f>
        <v>-23334.462500000005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M22" sqref="M21:M22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55" t="s">
        <v>283</v>
      </c>
      <c r="E18" s="456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55"/>
      <c r="E19" s="456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opLeftCell="A100" workbookViewId="0">
      <selection activeCell="R122" sqref="R122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8" t="str">
        <f>'[2]11-25 payroll'!A1</f>
        <v>THE OLD SPAGHETTI HOUSE</v>
      </c>
      <c r="C2" s="439"/>
      <c r="D2" s="439"/>
      <c r="E2" s="439"/>
      <c r="F2" s="439"/>
      <c r="G2" s="439"/>
      <c r="H2" s="440"/>
      <c r="I2" s="178"/>
      <c r="J2" s="438" t="str">
        <f>'[2]11-25 payroll'!A1</f>
        <v>THE OLD SPAGHETTI HOUSE</v>
      </c>
      <c r="K2" s="439"/>
      <c r="L2" s="439"/>
      <c r="M2" s="439"/>
      <c r="N2" s="439"/>
      <c r="O2" s="439"/>
      <c r="P2" s="440"/>
    </row>
    <row r="3" spans="1:22" s="179" customFormat="1">
      <c r="A3" s="170"/>
      <c r="B3" s="441" t="str">
        <f>'[2]11-25 payroll'!D2</f>
        <v>VALERO</v>
      </c>
      <c r="C3" s="442"/>
      <c r="D3" s="442"/>
      <c r="E3" s="442"/>
      <c r="F3" s="442"/>
      <c r="G3" s="442"/>
      <c r="H3" s="443"/>
      <c r="I3" s="178"/>
      <c r="J3" s="441" t="str">
        <f>'[2]11-25 payroll'!D2</f>
        <v>VALERO</v>
      </c>
      <c r="K3" s="442"/>
      <c r="L3" s="442"/>
      <c r="M3" s="442"/>
      <c r="N3" s="442"/>
      <c r="O3" s="442"/>
      <c r="P3" s="443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4" t="s">
        <v>25</v>
      </c>
      <c r="C5" s="445"/>
      <c r="D5" s="445"/>
      <c r="E5" s="445"/>
      <c r="F5" s="445"/>
      <c r="G5" s="445"/>
      <c r="H5" s="446"/>
      <c r="I5" s="178"/>
      <c r="J5" s="444" t="s">
        <v>25</v>
      </c>
      <c r="K5" s="445"/>
      <c r="L5" s="445"/>
      <c r="M5" s="445"/>
      <c r="N5" s="445"/>
      <c r="O5" s="445"/>
      <c r="P5" s="446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35" t="str">
        <f>'[2]11-25 payroll'!B7</f>
        <v>Biarcal, Ronald Glenn</v>
      </c>
      <c r="E7" s="435"/>
      <c r="F7" s="435"/>
      <c r="G7" s="55"/>
      <c r="H7" s="194"/>
      <c r="I7" s="195"/>
      <c r="J7" s="192" t="s">
        <v>26</v>
      </c>
      <c r="K7" s="193" t="s">
        <v>27</v>
      </c>
      <c r="L7" s="435" t="str">
        <f>'[2]11-25 payroll'!B8</f>
        <v>Sanchez, Angelo</v>
      </c>
      <c r="M7" s="435"/>
      <c r="N7" s="435"/>
      <c r="O7" s="9"/>
      <c r="P7" s="194"/>
    </row>
    <row r="8" spans="1:22">
      <c r="B8" s="192" t="s">
        <v>28</v>
      </c>
      <c r="C8" s="193" t="s">
        <v>27</v>
      </c>
      <c r="D8" s="436">
        <v>527</v>
      </c>
      <c r="E8" s="436"/>
      <c r="F8" s="436"/>
      <c r="G8" s="55"/>
      <c r="H8" s="357"/>
      <c r="I8" s="195"/>
      <c r="J8" s="192" t="s">
        <v>28</v>
      </c>
      <c r="K8" s="193" t="s">
        <v>27</v>
      </c>
      <c r="L8" s="436">
        <v>527</v>
      </c>
      <c r="M8" s="436"/>
      <c r="N8" s="436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37" t="str">
        <f>'26-10 payroll'!D3</f>
        <v>Feb 26-March 10</v>
      </c>
      <c r="E9" s="437"/>
      <c r="F9" s="437"/>
      <c r="G9" s="55"/>
      <c r="H9" s="194"/>
      <c r="I9" s="195"/>
      <c r="J9" s="192" t="s">
        <v>29</v>
      </c>
      <c r="K9" s="193" t="s">
        <v>27</v>
      </c>
      <c r="L9" s="437" t="str">
        <f>'26-10 payroll'!D3</f>
        <v>Feb 26-March 10</v>
      </c>
      <c r="M9" s="437"/>
      <c r="N9" s="437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9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329.375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105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1060.3499999999999</v>
      </c>
      <c r="G17" s="55"/>
      <c r="H17" s="56">
        <f>SUM(F13:F17)</f>
        <v>1170.3499999999999</v>
      </c>
      <c r="I17" s="195"/>
      <c r="J17" s="192"/>
      <c r="K17" s="193"/>
      <c r="L17" s="204" t="s">
        <v>99</v>
      </c>
      <c r="M17" s="205"/>
      <c r="N17" s="11">
        <f>'26-10 payroll'!P36+'26-10 payroll'!V8</f>
        <v>526.35</v>
      </c>
      <c r="O17" s="9"/>
      <c r="P17" s="10">
        <f>SUM(N13:N17)</f>
        <v>960.72500000000002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292</v>
      </c>
      <c r="E23" s="205"/>
      <c r="F23" s="55">
        <f>'26-10 payroll'!H56</f>
        <v>300</v>
      </c>
      <c r="G23" s="55"/>
      <c r="H23" s="207"/>
      <c r="I23" s="195"/>
      <c r="J23" s="192"/>
      <c r="K23" s="198"/>
      <c r="L23" s="206" t="s">
        <v>292</v>
      </c>
      <c r="M23" s="205"/>
      <c r="N23" s="9">
        <f>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29.7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348.47874999999999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-1609.42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-2024.0887500000001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6411.93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5787.6362500000005</v>
      </c>
      <c r="R28" s="215"/>
      <c r="T28" s="216">
        <f>+H28-'[2]11-25 payroll'!S35</f>
        <v>644.32485937500132</v>
      </c>
      <c r="U28" s="217"/>
      <c r="V28" s="218">
        <f>+P28-'[2]11-25 payroll'!S36</f>
        <v>-725.86170312499962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8" t="str">
        <f>'[2]11-25 payroll'!A1</f>
        <v>THE OLD SPAGHETTI HOUSE</v>
      </c>
      <c r="C35" s="439"/>
      <c r="D35" s="439"/>
      <c r="E35" s="439"/>
      <c r="F35" s="439"/>
      <c r="G35" s="439"/>
      <c r="H35" s="440"/>
      <c r="I35" s="178"/>
      <c r="J35" s="438" t="str">
        <f>'[2]11-25 payroll'!A1</f>
        <v>THE OLD SPAGHETTI HOUSE</v>
      </c>
      <c r="K35" s="439"/>
      <c r="L35" s="439"/>
      <c r="M35" s="439"/>
      <c r="N35" s="439"/>
      <c r="O35" s="439"/>
      <c r="P35" s="440"/>
    </row>
    <row r="36" spans="2:17">
      <c r="B36" s="441" t="str">
        <f>'[2]11-25 payroll'!D2</f>
        <v>VALERO</v>
      </c>
      <c r="C36" s="442"/>
      <c r="D36" s="442"/>
      <c r="E36" s="442"/>
      <c r="F36" s="442"/>
      <c r="G36" s="442"/>
      <c r="H36" s="443"/>
      <c r="I36" s="178"/>
      <c r="J36" s="441" t="str">
        <f>'[2]11-25 payroll'!D2</f>
        <v>VALERO</v>
      </c>
      <c r="K36" s="442"/>
      <c r="L36" s="442"/>
      <c r="M36" s="442"/>
      <c r="N36" s="442"/>
      <c r="O36" s="442"/>
      <c r="P36" s="443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4" t="s">
        <v>25</v>
      </c>
      <c r="C38" s="445"/>
      <c r="D38" s="445"/>
      <c r="E38" s="445"/>
      <c r="F38" s="445"/>
      <c r="G38" s="445"/>
      <c r="H38" s="446"/>
      <c r="I38" s="178"/>
      <c r="J38" s="444" t="s">
        <v>25</v>
      </c>
      <c r="K38" s="445"/>
      <c r="L38" s="445"/>
      <c r="M38" s="445"/>
      <c r="N38" s="445"/>
      <c r="O38" s="445"/>
      <c r="P38" s="446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35" t="str">
        <f>'[2]11-25 payroll'!B24</f>
        <v>Dino, Joyce</v>
      </c>
      <c r="E40" s="435"/>
      <c r="F40" s="435"/>
      <c r="G40" s="55"/>
      <c r="H40" s="194"/>
      <c r="I40" s="195"/>
      <c r="J40" s="192" t="s">
        <v>26</v>
      </c>
      <c r="K40" s="193" t="s">
        <v>27</v>
      </c>
      <c r="L40" s="434" t="str">
        <f>'[2]11-25 payroll'!B10</f>
        <v xml:space="preserve">Sosa, Anna Marie </v>
      </c>
      <c r="M40" s="435"/>
      <c r="N40" s="435"/>
      <c r="O40" s="9"/>
      <c r="P40" s="194"/>
    </row>
    <row r="41" spans="2:17">
      <c r="B41" s="192" t="s">
        <v>28</v>
      </c>
      <c r="C41" s="193" t="s">
        <v>27</v>
      </c>
      <c r="D41" s="436">
        <f>'[2]11-25 payroll'!E9</f>
        <v>790.23076923076928</v>
      </c>
      <c r="E41" s="436"/>
      <c r="F41" s="436"/>
      <c r="G41" s="55"/>
      <c r="H41" s="357"/>
      <c r="I41" s="195"/>
      <c r="J41" s="192" t="s">
        <v>28</v>
      </c>
      <c r="K41" s="193" t="s">
        <v>27</v>
      </c>
      <c r="L41" s="436">
        <v>527</v>
      </c>
      <c r="M41" s="436"/>
      <c r="N41" s="436"/>
      <c r="O41" s="9"/>
      <c r="P41" s="357"/>
    </row>
    <row r="42" spans="2:17">
      <c r="B42" s="192" t="s">
        <v>29</v>
      </c>
      <c r="C42" s="193" t="s">
        <v>27</v>
      </c>
      <c r="D42" s="437" t="str">
        <f>'26-10 payroll'!D3</f>
        <v>Feb 26-March 10</v>
      </c>
      <c r="E42" s="437"/>
      <c r="F42" s="437"/>
      <c r="G42" s="55"/>
      <c r="H42" s="194"/>
      <c r="I42" s="195"/>
      <c r="J42" s="192" t="s">
        <v>29</v>
      </c>
      <c r="K42" s="193" t="s">
        <v>27</v>
      </c>
      <c r="L42" s="437" t="str">
        <f>'26-10 payroll'!D3</f>
        <v>Feb 26-March 10</v>
      </c>
      <c r="M42" s="437"/>
      <c r="N42" s="437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payroll'!I9+'26-10 payroll'!V9+'26-10 payroll'!O37+'26-10 payroll'!P37</f>
        <v>1359.2673076923077</v>
      </c>
      <c r="G50" s="55"/>
      <c r="H50" s="56">
        <f>SUM(F46:F50)</f>
        <v>1469.2673076923077</v>
      </c>
      <c r="I50" s="195"/>
      <c r="J50" s="192"/>
      <c r="K50" s="193"/>
      <c r="L50" s="204" t="s">
        <v>99</v>
      </c>
      <c r="M50" s="205"/>
      <c r="N50" s="11">
        <f>'26-10 payroll'!V10+'26-10 payroll'!O38+'26-10 payroll'!P38</f>
        <v>1047.175</v>
      </c>
      <c r="O50" s="9"/>
      <c r="P50" s="10">
        <f>SUM(N46:N50)</f>
        <v>1157.175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292</v>
      </c>
      <c r="E55" s="205"/>
      <c r="F55" s="55">
        <f>'26-10 payroll'!H58</f>
        <v>300</v>
      </c>
      <c r="G55" s="55"/>
      <c r="H55" s="207"/>
      <c r="I55" s="195"/>
      <c r="J55" s="192"/>
      <c r="K55" s="198"/>
      <c r="L55" s="206" t="s">
        <v>292</v>
      </c>
      <c r="M55" s="205"/>
      <c r="N55" s="9">
        <f>'26-10 payroll'!H59</f>
        <v>300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payroll'!G58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payroll'!G59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32.4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42.3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payroll'!H24</f>
        <v>158.04615384615386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-2191.836153846154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-3146.6350000000002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9550.4311538461534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4861.54</v>
      </c>
      <c r="Q61" s="174"/>
      <c r="T61" s="216">
        <f>+H61-'[2]11-25 payroll'!S37</f>
        <v>743.04046009615377</v>
      </c>
      <c r="V61" s="237">
        <f>+P61-'[2]11-25 payroll'!S38</f>
        <v>-991.04350104166679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8" t="str">
        <f>'[2]11-25 payroll'!A1</f>
        <v>THE OLD SPAGHETTI HOUSE</v>
      </c>
      <c r="C68" s="439"/>
      <c r="D68" s="439"/>
      <c r="E68" s="439"/>
      <c r="F68" s="439"/>
      <c r="G68" s="439"/>
      <c r="H68" s="440"/>
      <c r="I68" s="178"/>
      <c r="J68" s="438" t="str">
        <f>'[2]11-25 payroll'!A1</f>
        <v>THE OLD SPAGHETTI HOUSE</v>
      </c>
      <c r="K68" s="439"/>
      <c r="L68" s="439"/>
      <c r="M68" s="439"/>
      <c r="N68" s="439"/>
      <c r="O68" s="439"/>
      <c r="P68" s="440"/>
    </row>
    <row r="69" spans="2:17">
      <c r="B69" s="441" t="str">
        <f>'[2]11-25 payroll'!D2</f>
        <v>VALERO</v>
      </c>
      <c r="C69" s="442"/>
      <c r="D69" s="442"/>
      <c r="E69" s="442"/>
      <c r="F69" s="442"/>
      <c r="G69" s="442"/>
      <c r="H69" s="443"/>
      <c r="I69" s="178"/>
      <c r="J69" s="441" t="str">
        <f>'[2]11-25 payroll'!D2</f>
        <v>VALERO</v>
      </c>
      <c r="K69" s="442"/>
      <c r="L69" s="442"/>
      <c r="M69" s="442"/>
      <c r="N69" s="442"/>
      <c r="O69" s="442"/>
      <c r="P69" s="443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4" t="s">
        <v>25</v>
      </c>
      <c r="C71" s="445"/>
      <c r="D71" s="445"/>
      <c r="E71" s="445"/>
      <c r="F71" s="445"/>
      <c r="G71" s="445"/>
      <c r="H71" s="446"/>
      <c r="I71" s="178"/>
      <c r="J71" s="444" t="s">
        <v>25</v>
      </c>
      <c r="K71" s="445"/>
      <c r="L71" s="445"/>
      <c r="M71" s="445"/>
      <c r="N71" s="445"/>
      <c r="O71" s="445"/>
      <c r="P71" s="446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4" t="str">
        <f>'[2]11-25 payroll'!B11</f>
        <v>Briones, Christain Joy</v>
      </c>
      <c r="E73" s="435"/>
      <c r="F73" s="435"/>
      <c r="G73" s="55"/>
      <c r="H73" s="194"/>
      <c r="I73" s="195"/>
      <c r="J73" s="192" t="s">
        <v>26</v>
      </c>
      <c r="K73" s="193" t="s">
        <v>27</v>
      </c>
      <c r="L73" s="434" t="str">
        <f>'[2]11-25 payroll'!B12</f>
        <v>Cahilig,Benzen</v>
      </c>
      <c r="M73" s="435"/>
      <c r="N73" s="435"/>
      <c r="O73" s="9"/>
      <c r="P73" s="194"/>
    </row>
    <row r="74" spans="2:17">
      <c r="B74" s="192" t="s">
        <v>28</v>
      </c>
      <c r="C74" s="193" t="s">
        <v>27</v>
      </c>
      <c r="D74" s="436">
        <v>527</v>
      </c>
      <c r="E74" s="436"/>
      <c r="F74" s="436"/>
      <c r="G74" s="55"/>
      <c r="H74" s="357"/>
      <c r="I74" s="195"/>
      <c r="J74" s="192" t="s">
        <v>28</v>
      </c>
      <c r="K74" s="193" t="s">
        <v>27</v>
      </c>
      <c r="L74" s="436">
        <v>527</v>
      </c>
      <c r="M74" s="436"/>
      <c r="N74" s="436"/>
      <c r="O74" s="9"/>
      <c r="P74" s="357"/>
    </row>
    <row r="75" spans="2:17">
      <c r="B75" s="192" t="s">
        <v>29</v>
      </c>
      <c r="C75" s="193" t="s">
        <v>27</v>
      </c>
      <c r="D75" s="437" t="str">
        <f>'26-10 payroll'!D3</f>
        <v>Feb 26-March 10</v>
      </c>
      <c r="E75" s="437"/>
      <c r="F75" s="437"/>
      <c r="G75" s="55"/>
      <c r="H75" s="194"/>
      <c r="I75" s="195"/>
      <c r="J75" s="192" t="s">
        <v>29</v>
      </c>
      <c r="K75" s="193" t="s">
        <v>27</v>
      </c>
      <c r="L75" s="437" t="str">
        <f>'26-10 payroll'!D3</f>
        <v>Feb 26-March 10</v>
      </c>
      <c r="M75" s="437"/>
      <c r="N75" s="437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5270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247.03125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142.9375</v>
      </c>
      <c r="I83" s="195"/>
      <c r="J83" s="192"/>
      <c r="K83" s="193"/>
      <c r="L83" s="204" t="s">
        <v>99</v>
      </c>
      <c r="M83" s="205"/>
      <c r="N83" s="11">
        <f>'26-10 payroll'!V12</f>
        <v>26.35</v>
      </c>
      <c r="O83" s="9"/>
      <c r="P83" s="56">
        <f>SUM(N79:N83)</f>
        <v>373.38125000000002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292</v>
      </c>
      <c r="E88" s="205"/>
      <c r="F88" s="55">
        <f>'26-10 payroll'!H60</f>
        <v>300</v>
      </c>
      <c r="G88" s="55"/>
      <c r="H88" s="207"/>
      <c r="I88" s="195"/>
      <c r="J88" s="192"/>
      <c r="K88" s="198"/>
      <c r="L88" s="206" t="s">
        <v>292</v>
      </c>
      <c r="M88" s="205"/>
      <c r="N88" s="360">
        <f>'26-10 payroll'!H61</f>
        <v>300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144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247.5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65.875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-1596.575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-1647.9099999999999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4343.3625000000002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3995.4712500000005</v>
      </c>
      <c r="Q94" s="174"/>
      <c r="T94" s="216">
        <f>+H94-'[2]11-25 payroll'!S39</f>
        <v>-166.53574427083277</v>
      </c>
      <c r="V94" s="237">
        <f>+P94-'[2]11-25 payroll'!S40</f>
        <v>-830.73874999999862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8" t="str">
        <f>'[2]11-25 payroll'!A1</f>
        <v>THE OLD SPAGHETTI HOUSE</v>
      </c>
      <c r="C101" s="439"/>
      <c r="D101" s="439"/>
      <c r="E101" s="439"/>
      <c r="F101" s="439"/>
      <c r="G101" s="439"/>
      <c r="H101" s="440"/>
      <c r="I101" s="178"/>
      <c r="J101" s="438" t="str">
        <f>'[2]11-25 payroll'!A1</f>
        <v>THE OLD SPAGHETTI HOUSE</v>
      </c>
      <c r="K101" s="439"/>
      <c r="L101" s="439"/>
      <c r="M101" s="439"/>
      <c r="N101" s="439"/>
      <c r="O101" s="439"/>
      <c r="P101" s="440"/>
    </row>
    <row r="102" spans="2:17">
      <c r="B102" s="441" t="str">
        <f>'[2]11-25 payroll'!D2</f>
        <v>VALERO</v>
      </c>
      <c r="C102" s="442"/>
      <c r="D102" s="442"/>
      <c r="E102" s="442"/>
      <c r="F102" s="442"/>
      <c r="G102" s="442"/>
      <c r="H102" s="443"/>
      <c r="I102" s="178"/>
      <c r="J102" s="441" t="str">
        <f>'[2]11-25 payroll'!D2</f>
        <v>VALERO</v>
      </c>
      <c r="K102" s="442"/>
      <c r="L102" s="442"/>
      <c r="M102" s="442"/>
      <c r="N102" s="442"/>
      <c r="O102" s="442"/>
      <c r="P102" s="443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4" t="s">
        <v>25</v>
      </c>
      <c r="C104" s="445"/>
      <c r="D104" s="445"/>
      <c r="E104" s="445"/>
      <c r="F104" s="445"/>
      <c r="G104" s="445"/>
      <c r="H104" s="446"/>
      <c r="I104" s="178"/>
      <c r="J104" s="444" t="s">
        <v>25</v>
      </c>
      <c r="K104" s="445"/>
      <c r="L104" s="445"/>
      <c r="M104" s="445"/>
      <c r="N104" s="445"/>
      <c r="O104" s="445"/>
      <c r="P104" s="446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4" t="str">
        <f>'[2]11-25 payroll'!B13</f>
        <v>Pantoja,Nancy</v>
      </c>
      <c r="E106" s="435"/>
      <c r="F106" s="435"/>
      <c r="G106" s="55"/>
      <c r="H106" s="194"/>
      <c r="I106" s="195"/>
      <c r="J106" s="192" t="s">
        <v>26</v>
      </c>
      <c r="K106" s="193" t="s">
        <v>27</v>
      </c>
      <c r="L106" s="434">
        <f>'[2]11-25 payroll'!B29</f>
        <v>0</v>
      </c>
      <c r="M106" s="435"/>
      <c r="N106" s="435"/>
      <c r="O106" s="9"/>
      <c r="P106" s="194"/>
    </row>
    <row r="107" spans="2:17">
      <c r="B107" s="192" t="s">
        <v>28</v>
      </c>
      <c r="C107" s="193" t="s">
        <v>27</v>
      </c>
      <c r="D107" s="436">
        <v>527</v>
      </c>
      <c r="E107" s="436"/>
      <c r="F107" s="436"/>
      <c r="G107" s="55"/>
      <c r="H107" s="357"/>
      <c r="I107" s="195"/>
      <c r="J107" s="192" t="s">
        <v>28</v>
      </c>
      <c r="K107" s="193" t="s">
        <v>27</v>
      </c>
      <c r="L107" s="436">
        <f>'[2]11-25 payroll'!E14</f>
        <v>0</v>
      </c>
      <c r="M107" s="436"/>
      <c r="N107" s="436"/>
      <c r="O107" s="9"/>
      <c r="P107" s="357"/>
    </row>
    <row r="108" spans="2:17">
      <c r="B108" s="192" t="s">
        <v>29</v>
      </c>
      <c r="C108" s="193" t="s">
        <v>27</v>
      </c>
      <c r="D108" s="437" t="str">
        <f>'26-10 payroll'!D3</f>
        <v>Feb 26-March 10</v>
      </c>
      <c r="E108" s="437"/>
      <c r="F108" s="437"/>
      <c r="G108" s="55"/>
      <c r="H108" s="194"/>
      <c r="I108" s="195"/>
      <c r="J108" s="192" t="s">
        <v>29</v>
      </c>
      <c r="K108" s="193" t="s">
        <v>27</v>
      </c>
      <c r="L108" s="437" t="str">
        <f>'[2]11-25 payroll'!D3</f>
        <v>JULY  11 - 25, 2018</v>
      </c>
      <c r="M108" s="437"/>
      <c r="N108" s="437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11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110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payroll'!S13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59.287500000000001</v>
      </c>
      <c r="G116" s="55"/>
      <c r="H116" s="56">
        <f>SUM(F112:F116)</f>
        <v>169.28749999999999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292</v>
      </c>
      <c r="E121" s="205"/>
      <c r="F121" s="55">
        <f>'26-10 payroll'!H62</f>
        <v>300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387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164.6875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-951.6875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5014.6000000000004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-57.8799999999992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8" t="str">
        <f>'[2]11-25 payroll'!A1</f>
        <v>THE OLD SPAGHETTI HOUSE</v>
      </c>
      <c r="C134" s="439"/>
      <c r="D134" s="439"/>
      <c r="E134" s="439"/>
      <c r="F134" s="439"/>
      <c r="G134" s="439"/>
      <c r="H134" s="440"/>
      <c r="I134" s="178"/>
      <c r="J134" s="438" t="str">
        <f>'[2]11-25 payroll'!A1</f>
        <v>THE OLD SPAGHETTI HOUSE</v>
      </c>
      <c r="K134" s="439"/>
      <c r="L134" s="439"/>
      <c r="M134" s="439"/>
      <c r="N134" s="439"/>
      <c r="O134" s="439"/>
      <c r="P134" s="440"/>
    </row>
    <row r="135" spans="2:17">
      <c r="B135" s="441" t="str">
        <f>'[2]11-25 payroll'!D2</f>
        <v>VALERO</v>
      </c>
      <c r="C135" s="442"/>
      <c r="D135" s="442"/>
      <c r="E135" s="442"/>
      <c r="F135" s="442"/>
      <c r="G135" s="442"/>
      <c r="H135" s="443"/>
      <c r="I135" s="178"/>
      <c r="J135" s="441" t="str">
        <f>'[2]11-25 payroll'!D2</f>
        <v>VALERO</v>
      </c>
      <c r="K135" s="442"/>
      <c r="L135" s="442"/>
      <c r="M135" s="442"/>
      <c r="N135" s="442"/>
      <c r="O135" s="442"/>
      <c r="P135" s="443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4" t="s">
        <v>25</v>
      </c>
      <c r="C137" s="445"/>
      <c r="D137" s="445"/>
      <c r="E137" s="445"/>
      <c r="F137" s="445"/>
      <c r="G137" s="445"/>
      <c r="H137" s="446"/>
      <c r="I137" s="178"/>
      <c r="J137" s="444" t="s">
        <v>25</v>
      </c>
      <c r="K137" s="445"/>
      <c r="L137" s="445"/>
      <c r="M137" s="445"/>
      <c r="N137" s="445"/>
      <c r="O137" s="445"/>
      <c r="P137" s="446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4">
        <f>'[2]11-25 payroll'!B15</f>
        <v>0</v>
      </c>
      <c r="E139" s="435"/>
      <c r="F139" s="435"/>
      <c r="G139" s="55"/>
      <c r="H139" s="194"/>
      <c r="I139" s="195"/>
      <c r="J139" s="192" t="s">
        <v>26</v>
      </c>
      <c r="K139" s="193" t="s">
        <v>27</v>
      </c>
      <c r="L139" s="435">
        <f>'[2]11-25 payroll'!C112</f>
        <v>0</v>
      </c>
      <c r="M139" s="435"/>
      <c r="N139" s="435"/>
      <c r="O139" s="9"/>
      <c r="P139" s="194"/>
    </row>
    <row r="140" spans="2:17">
      <c r="B140" s="192" t="s">
        <v>28</v>
      </c>
      <c r="C140" s="193" t="s">
        <v>27</v>
      </c>
      <c r="D140" s="436">
        <f>'[2]11-25 payroll'!E15</f>
        <v>0</v>
      </c>
      <c r="E140" s="436"/>
      <c r="F140" s="436"/>
      <c r="G140" s="55"/>
      <c r="H140" s="357"/>
      <c r="I140" s="195"/>
      <c r="J140" s="192" t="s">
        <v>28</v>
      </c>
      <c r="K140" s="193" t="s">
        <v>27</v>
      </c>
      <c r="L140" s="436">
        <f>'[2]11-25 payroll'!E112</f>
        <v>0</v>
      </c>
      <c r="M140" s="436"/>
      <c r="N140" s="436"/>
      <c r="O140" s="9"/>
      <c r="P140" s="357"/>
    </row>
    <row r="141" spans="2:17">
      <c r="B141" s="192" t="s">
        <v>29</v>
      </c>
      <c r="C141" s="193" t="s">
        <v>27</v>
      </c>
      <c r="D141" s="437" t="str">
        <f>'[2]11-25 payroll'!D3</f>
        <v>JULY  11 - 25, 2018</v>
      </c>
      <c r="E141" s="437"/>
      <c r="F141" s="437"/>
      <c r="G141" s="55"/>
      <c r="H141" s="194"/>
      <c r="I141" s="195"/>
      <c r="J141" s="192" t="s">
        <v>29</v>
      </c>
      <c r="K141" s="193" t="s">
        <v>27</v>
      </c>
      <c r="L141" s="437">
        <f>'[2]11-25 payroll'!D105</f>
        <v>0</v>
      </c>
      <c r="M141" s="437"/>
      <c r="N141" s="437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2019-02-14T08:44:12Z</cp:lastPrinted>
  <dcterms:created xsi:type="dcterms:W3CDTF">2010-01-04T12:18:59Z</dcterms:created>
  <dcterms:modified xsi:type="dcterms:W3CDTF">2019-03-11T04:37:35Z</dcterms:modified>
</cp:coreProperties>
</file>