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3 Files\valeromonthlyreportmarch2019\"/>
    </mc:Choice>
  </mc:AlternateContent>
  <xr:revisionPtr revIDLastSave="0" documentId="13_ncr:1_{74489C27-BBDF-40D9-BC0E-D317A74DA9D3}" xr6:coauthVersionLast="45" xr6:coauthVersionMax="45" xr10:uidLastSave="{00000000-0000-0000-0000-000000000000}"/>
  <bookViews>
    <workbookView xWindow="45" yWindow="330" windowWidth="23955" windowHeight="1284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11" i="1" l="1"/>
  <c r="AM11" i="1"/>
  <c r="AL11" i="1"/>
  <c r="AK11" i="1"/>
  <c r="AJ11" i="1"/>
  <c r="AI11" i="1"/>
  <c r="AH11" i="1"/>
  <c r="AG11" i="1"/>
  <c r="AF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AN14" i="1"/>
  <c r="AM14" i="1"/>
  <c r="AL14" i="1"/>
  <c r="AK14" i="1"/>
  <c r="AJ14" i="1"/>
  <c r="AI14" i="1"/>
  <c r="AH14" i="1"/>
  <c r="AG14" i="1"/>
  <c r="AF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AN17" i="1"/>
  <c r="AM17" i="1"/>
  <c r="AL17" i="1"/>
  <c r="AK17" i="1"/>
  <c r="AJ17" i="1"/>
  <c r="AI17" i="1"/>
  <c r="AH17" i="1"/>
  <c r="AG17" i="1"/>
  <c r="AF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AN20" i="1"/>
  <c r="AM20" i="1"/>
  <c r="AL20" i="1"/>
  <c r="AK20" i="1"/>
  <c r="AJ20" i="1"/>
  <c r="AI20" i="1"/>
  <c r="AH20" i="1"/>
  <c r="AG20" i="1"/>
  <c r="AF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AN23" i="1"/>
  <c r="AM23" i="1"/>
  <c r="AL23" i="1"/>
  <c r="AK23" i="1"/>
  <c r="AJ23" i="1"/>
  <c r="AI23" i="1"/>
  <c r="AH23" i="1"/>
  <c r="AG23" i="1"/>
  <c r="AF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AN26" i="1"/>
  <c r="AM26" i="1"/>
  <c r="AL26" i="1"/>
  <c r="AK26" i="1"/>
  <c r="AJ26" i="1"/>
  <c r="AI26" i="1"/>
  <c r="AH26" i="1"/>
  <c r="AG26" i="1"/>
  <c r="AF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AN29" i="1"/>
  <c r="AM29" i="1"/>
  <c r="AL29" i="1"/>
  <c r="AK29" i="1"/>
  <c r="AJ29" i="1"/>
  <c r="AI29" i="1"/>
  <c r="AH29" i="1"/>
  <c r="AG29" i="1"/>
  <c r="AF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AN32" i="1"/>
  <c r="AM32" i="1"/>
  <c r="AL32" i="1"/>
  <c r="AK32" i="1"/>
  <c r="AJ32" i="1"/>
  <c r="AI32" i="1"/>
  <c r="AH32" i="1"/>
  <c r="AG32" i="1"/>
  <c r="AF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AN35" i="1"/>
  <c r="AM35" i="1"/>
  <c r="AL35" i="1"/>
  <c r="AK35" i="1"/>
  <c r="AJ35" i="1"/>
  <c r="AI35" i="1"/>
  <c r="AH35" i="1"/>
  <c r="AG35" i="1"/>
  <c r="AF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AN38" i="1"/>
  <c r="AM38" i="1"/>
  <c r="AL38" i="1"/>
  <c r="AK38" i="1"/>
  <c r="AJ38" i="1"/>
  <c r="AI38" i="1"/>
  <c r="AH38" i="1"/>
  <c r="AG38" i="1"/>
  <c r="AF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AN41" i="1"/>
  <c r="AM41" i="1"/>
  <c r="AL41" i="1"/>
  <c r="AK41" i="1"/>
  <c r="AJ41" i="1"/>
  <c r="AI41" i="1"/>
  <c r="AH41" i="1"/>
  <c r="AG41" i="1"/>
  <c r="AF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AN44" i="1"/>
  <c r="AM44" i="1"/>
  <c r="AL44" i="1"/>
  <c r="AK44" i="1"/>
  <c r="AJ44" i="1"/>
  <c r="AI44" i="1"/>
  <c r="AH44" i="1"/>
  <c r="AG44" i="1"/>
  <c r="AF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AN47" i="1"/>
  <c r="AM47" i="1"/>
  <c r="AL47" i="1"/>
  <c r="AK47" i="1"/>
  <c r="AJ47" i="1"/>
  <c r="AI47" i="1"/>
  <c r="AH47" i="1"/>
  <c r="AG47" i="1"/>
  <c r="AF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AN50" i="1"/>
  <c r="AM50" i="1"/>
  <c r="AL50" i="1"/>
  <c r="AK50" i="1"/>
  <c r="AJ50" i="1"/>
  <c r="AI50" i="1"/>
  <c r="AH50" i="1"/>
  <c r="AG50" i="1"/>
  <c r="AF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AN53" i="1"/>
  <c r="AM53" i="1"/>
  <c r="AL53" i="1"/>
  <c r="AK53" i="1"/>
  <c r="AJ53" i="1"/>
  <c r="AI53" i="1"/>
  <c r="AH53" i="1"/>
  <c r="AG53" i="1"/>
  <c r="AF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AN56" i="1"/>
  <c r="AM56" i="1"/>
  <c r="AL56" i="1"/>
  <c r="AK56" i="1"/>
  <c r="AJ56" i="1"/>
  <c r="AI56" i="1"/>
  <c r="AH56" i="1"/>
  <c r="AG56" i="1"/>
  <c r="AF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AN59" i="1"/>
  <c r="AM59" i="1"/>
  <c r="AL59" i="1"/>
  <c r="AK59" i="1"/>
  <c r="AJ59" i="1"/>
  <c r="AI59" i="1"/>
  <c r="AH59" i="1"/>
  <c r="AG59" i="1"/>
  <c r="AF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AN62" i="1"/>
  <c r="AM62" i="1"/>
  <c r="AL62" i="1"/>
  <c r="AK62" i="1"/>
  <c r="AJ62" i="1"/>
  <c r="AI62" i="1"/>
  <c r="AH62" i="1"/>
  <c r="AG62" i="1"/>
  <c r="AF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AN65" i="1"/>
  <c r="AM65" i="1"/>
  <c r="AL65" i="1"/>
  <c r="AK65" i="1"/>
  <c r="AJ65" i="1"/>
  <c r="AI65" i="1"/>
  <c r="AH65" i="1"/>
  <c r="AG65" i="1"/>
  <c r="AF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AN68" i="1"/>
  <c r="AM68" i="1"/>
  <c r="AL68" i="1"/>
  <c r="AK68" i="1"/>
  <c r="AJ68" i="1"/>
  <c r="AI68" i="1"/>
  <c r="AH68" i="1"/>
  <c r="AG68" i="1"/>
  <c r="AF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AN71" i="1"/>
  <c r="AM71" i="1"/>
  <c r="AL71" i="1"/>
  <c r="AK71" i="1"/>
  <c r="AJ71" i="1"/>
  <c r="AI71" i="1"/>
  <c r="AH71" i="1"/>
  <c r="AG71" i="1"/>
  <c r="AF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AN74" i="1"/>
  <c r="AM74" i="1"/>
  <c r="AL74" i="1"/>
  <c r="AK74" i="1"/>
  <c r="AJ74" i="1"/>
  <c r="AI74" i="1"/>
  <c r="AH74" i="1"/>
  <c r="AG74" i="1"/>
  <c r="AF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AN77" i="1"/>
  <c r="AM77" i="1"/>
  <c r="AL77" i="1"/>
  <c r="AK77" i="1"/>
  <c r="AJ77" i="1"/>
  <c r="AI77" i="1"/>
  <c r="AH77" i="1"/>
  <c r="AG77" i="1"/>
  <c r="AF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AN80" i="1"/>
  <c r="AM80" i="1"/>
  <c r="AL80" i="1"/>
  <c r="AK80" i="1"/>
  <c r="AJ80" i="1"/>
  <c r="AI80" i="1"/>
  <c r="AH80" i="1"/>
  <c r="AG80" i="1"/>
  <c r="AF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AN83" i="1"/>
  <c r="AM83" i="1"/>
  <c r="AL83" i="1"/>
  <c r="AK83" i="1"/>
  <c r="AJ83" i="1"/>
  <c r="AI83" i="1"/>
  <c r="AH83" i="1"/>
  <c r="AG83" i="1"/>
  <c r="AF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E83" i="1"/>
  <c r="D83" i="1"/>
  <c r="AN86" i="1"/>
  <c r="AM86" i="1"/>
  <c r="AL86" i="1"/>
  <c r="AK86" i="1"/>
  <c r="AJ86" i="1"/>
  <c r="AI86" i="1"/>
  <c r="AH86" i="1"/>
  <c r="AG86" i="1"/>
  <c r="AF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AN89" i="1"/>
  <c r="AM89" i="1"/>
  <c r="AL89" i="1"/>
  <c r="AK89" i="1"/>
  <c r="AJ89" i="1"/>
  <c r="AI89" i="1"/>
  <c r="AH89" i="1"/>
  <c r="AG89" i="1"/>
  <c r="AF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AN92" i="1"/>
  <c r="AM92" i="1"/>
  <c r="AL92" i="1"/>
  <c r="AK92" i="1"/>
  <c r="AJ92" i="1"/>
  <c r="AI92" i="1"/>
  <c r="AH92" i="1"/>
  <c r="AG92" i="1"/>
  <c r="AF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AN95" i="1"/>
  <c r="AM95" i="1"/>
  <c r="AL95" i="1"/>
  <c r="AK95" i="1"/>
  <c r="AJ95" i="1"/>
  <c r="AI95" i="1"/>
  <c r="AH95" i="1"/>
  <c r="AG95" i="1"/>
  <c r="AF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AN98" i="1"/>
  <c r="AM98" i="1"/>
  <c r="AL98" i="1"/>
  <c r="AK98" i="1"/>
  <c r="AJ98" i="1"/>
  <c r="AI98" i="1"/>
  <c r="AH98" i="1"/>
  <c r="AG98" i="1"/>
  <c r="AF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AN103" i="1"/>
  <c r="AM103" i="1"/>
  <c r="AL103" i="1"/>
  <c r="AK103" i="1"/>
  <c r="AJ103" i="1"/>
  <c r="AI103" i="1"/>
  <c r="AH103" i="1"/>
  <c r="AG103" i="1"/>
  <c r="AF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D103" i="1"/>
  <c r="Z94" i="1"/>
  <c r="Z93" i="1"/>
  <c r="AP29" i="1"/>
  <c r="AK88" i="1"/>
  <c r="AL88" i="1" s="1"/>
  <c r="AM88" i="1" s="1"/>
  <c r="AN88" i="1" s="1"/>
  <c r="AK87" i="1"/>
  <c r="AL87" i="1" s="1"/>
  <c r="AM87" i="1" s="1"/>
  <c r="AN87" i="1" s="1"/>
  <c r="AK85" i="1"/>
  <c r="AL85" i="1" s="1"/>
  <c r="AM85" i="1" s="1"/>
  <c r="AN85" i="1" s="1"/>
  <c r="AK84" i="1"/>
  <c r="AL84" i="1" s="1"/>
  <c r="AM84" i="1" s="1"/>
  <c r="AN84" i="1" s="1"/>
  <c r="AO82" i="1"/>
  <c r="Z82" i="1"/>
  <c r="Z73" i="1"/>
  <c r="Z72" i="1"/>
  <c r="AK67" i="1"/>
  <c r="AL67" i="1" s="1"/>
  <c r="AM67" i="1" s="1"/>
  <c r="AN67" i="1" s="1"/>
  <c r="AK66" i="1"/>
  <c r="AL66" i="1" s="1"/>
  <c r="AM66" i="1" s="1"/>
  <c r="AN66" i="1" s="1"/>
  <c r="AK64" i="1"/>
  <c r="AL64" i="1" s="1"/>
  <c r="AM64" i="1" s="1"/>
  <c r="AN64" i="1" s="1"/>
  <c r="AK63" i="1"/>
  <c r="Z63" i="1"/>
  <c r="Z52" i="1"/>
  <c r="BA49" i="1"/>
  <c r="AO49" i="1"/>
  <c r="Z49" i="1"/>
  <c r="AK46" i="1"/>
  <c r="AL46" i="1" s="1"/>
  <c r="AM46" i="1" s="1"/>
  <c r="AN46" i="1" s="1"/>
  <c r="AK45" i="1"/>
  <c r="Z45" i="1"/>
  <c r="AK43" i="1"/>
  <c r="AL43" i="1" s="1"/>
  <c r="AM43" i="1" s="1"/>
  <c r="AN43" i="1" s="1"/>
  <c r="AK42" i="1"/>
  <c r="AL42" i="1" s="1"/>
  <c r="AM42" i="1" s="1"/>
  <c r="AN42" i="1" s="1"/>
  <c r="Z34" i="1"/>
  <c r="Z31" i="1"/>
  <c r="Z30" i="1"/>
  <c r="Z28" i="1"/>
  <c r="Z27" i="1"/>
  <c r="AK25" i="1"/>
  <c r="AL25" i="1" s="1"/>
  <c r="AM25" i="1" s="1"/>
  <c r="AN25" i="1" s="1"/>
  <c r="AK24" i="1"/>
  <c r="AL24" i="1" s="1"/>
  <c r="AM24" i="1" s="1"/>
  <c r="AN24" i="1" s="1"/>
  <c r="AK22" i="1"/>
  <c r="AL22" i="1" s="1"/>
  <c r="AM22" i="1" s="1"/>
  <c r="AN22" i="1" s="1"/>
  <c r="AK21" i="1"/>
  <c r="AL21" i="1" s="1"/>
  <c r="AM21" i="1" s="1"/>
  <c r="AN21" i="1" s="1"/>
  <c r="AK10" i="1"/>
  <c r="AL10" i="1" s="1"/>
  <c r="AM10" i="1" s="1"/>
  <c r="AN10" i="1" s="1"/>
  <c r="AK9" i="1"/>
  <c r="Z9" i="1"/>
  <c r="AK82" i="1"/>
  <c r="AK81" i="1"/>
  <c r="AL81" i="1" s="1"/>
  <c r="AM81" i="1" s="1"/>
  <c r="AN81" i="1" s="1"/>
  <c r="AK79" i="1"/>
  <c r="AL79" i="1" s="1"/>
  <c r="AM79" i="1" s="1"/>
  <c r="AN79" i="1" s="1"/>
  <c r="AL78" i="1"/>
  <c r="AM78" i="1" s="1"/>
  <c r="AN78" i="1" s="1"/>
  <c r="AK55" i="1"/>
  <c r="AL55" i="1" s="1"/>
  <c r="AM55" i="1" s="1"/>
  <c r="AN55" i="1" s="1"/>
  <c r="AL54" i="1"/>
  <c r="AM54" i="1" s="1"/>
  <c r="AN54" i="1" s="1"/>
  <c r="AK52" i="1"/>
  <c r="AK51" i="1"/>
  <c r="AL51" i="1" s="1"/>
  <c r="AM51" i="1" s="1"/>
  <c r="AN51" i="1" s="1"/>
  <c r="AK40" i="1"/>
  <c r="AL40" i="1" s="1"/>
  <c r="AM40" i="1" s="1"/>
  <c r="AN40" i="1" s="1"/>
  <c r="AK39" i="1"/>
  <c r="AL39" i="1" s="1"/>
  <c r="AM39" i="1" s="1"/>
  <c r="AN39" i="1" s="1"/>
  <c r="AK34" i="1"/>
  <c r="AL34" i="1" s="1"/>
  <c r="AM34" i="1" s="1"/>
  <c r="AN34" i="1" s="1"/>
  <c r="AL33" i="1"/>
  <c r="AM33" i="1" s="1"/>
  <c r="AN33" i="1" s="1"/>
  <c r="AK31" i="1"/>
  <c r="AK30" i="1"/>
  <c r="AL12" i="1"/>
  <c r="AM12" i="1" s="1"/>
  <c r="AN12" i="1" s="1"/>
  <c r="AK61" i="1"/>
  <c r="AL61" i="1" s="1"/>
  <c r="AM61" i="1" s="1"/>
  <c r="AN61" i="1" s="1"/>
  <c r="AK60" i="1"/>
  <c r="AL60" i="1" s="1"/>
  <c r="AM60" i="1" s="1"/>
  <c r="AN60" i="1" s="1"/>
  <c r="AL57" i="1"/>
  <c r="AM57" i="1" s="1"/>
  <c r="AN57" i="1" s="1"/>
  <c r="AK37" i="1"/>
  <c r="AL37" i="1" s="1"/>
  <c r="AM37" i="1" s="1"/>
  <c r="AN37" i="1" s="1"/>
  <c r="AL36" i="1"/>
  <c r="AM36" i="1" s="1"/>
  <c r="AN36" i="1" s="1"/>
  <c r="AL30" i="1" l="1"/>
  <c r="AM30" i="1" s="1"/>
  <c r="AN30" i="1" s="1"/>
  <c r="AL63" i="1"/>
  <c r="AM63" i="1" s="1"/>
  <c r="AN63" i="1" s="1"/>
  <c r="AL31" i="1"/>
  <c r="AM31" i="1" s="1"/>
  <c r="AN31" i="1" s="1"/>
  <c r="AL52" i="1"/>
  <c r="AM52" i="1" s="1"/>
  <c r="AN52" i="1" s="1"/>
  <c r="AL82" i="1"/>
  <c r="AM82" i="1" s="1"/>
  <c r="AN82" i="1" s="1"/>
  <c r="AL9" i="1"/>
  <c r="AM9" i="1" s="1"/>
  <c r="AN9" i="1" s="1"/>
  <c r="AL45" i="1"/>
  <c r="AM45" i="1" s="1"/>
  <c r="AN45" i="1" s="1"/>
  <c r="AK19" i="1"/>
  <c r="AL19" i="1" s="1"/>
  <c r="AM19" i="1" s="1"/>
  <c r="AN19" i="1" s="1"/>
  <c r="AK18" i="1"/>
  <c r="AL18" i="1" s="1"/>
  <c r="AM18" i="1" s="1"/>
  <c r="AN18" i="1" s="1"/>
  <c r="AK16" i="1"/>
  <c r="AL16" i="1" s="1"/>
  <c r="AM16" i="1" s="1"/>
  <c r="AN16" i="1" s="1"/>
  <c r="AL15" i="1"/>
  <c r="AM15" i="1" s="1"/>
  <c r="AN15" i="1" s="1"/>
  <c r="AK91" i="1"/>
  <c r="AL91" i="1" s="1"/>
  <c r="AM91" i="1" s="1"/>
  <c r="AN91" i="1" s="1"/>
  <c r="AK90" i="1"/>
  <c r="AL90" i="1" s="1"/>
  <c r="AM90" i="1" s="1"/>
  <c r="AN90" i="1" s="1"/>
  <c r="H82" i="1" l="1"/>
  <c r="G82" i="1"/>
  <c r="H81" i="1"/>
  <c r="G81" i="1"/>
  <c r="H79" i="1"/>
  <c r="G79" i="1"/>
  <c r="H78" i="1"/>
  <c r="G78" i="1"/>
  <c r="H73" i="1"/>
  <c r="G73" i="1"/>
  <c r="H72" i="1"/>
  <c r="G72" i="1"/>
  <c r="AK70" i="1"/>
  <c r="AL70" i="1" s="1"/>
  <c r="AM70" i="1" s="1"/>
  <c r="AN70" i="1" s="1"/>
  <c r="AK69" i="1"/>
  <c r="AL69" i="1" s="1"/>
  <c r="AM69" i="1" s="1"/>
  <c r="AN69" i="1" s="1"/>
  <c r="AK49" i="1"/>
  <c r="AL49" i="1" s="1"/>
  <c r="AM49" i="1" s="1"/>
  <c r="AN49" i="1" s="1"/>
  <c r="AK48" i="1"/>
  <c r="AL48" i="1" s="1"/>
  <c r="AM48" i="1" s="1"/>
  <c r="AN48" i="1" s="1"/>
  <c r="AK28" i="1"/>
  <c r="AL28" i="1" s="1"/>
  <c r="AM28" i="1" s="1"/>
  <c r="AN28" i="1" s="1"/>
  <c r="AK27" i="1"/>
  <c r="AL27" i="1" s="1"/>
  <c r="AM27" i="1" s="1"/>
  <c r="AN27" i="1" s="1"/>
  <c r="AR103" i="1"/>
  <c r="AK97" i="1"/>
  <c r="AL97" i="1" s="1"/>
  <c r="AM97" i="1" s="1"/>
  <c r="AN97" i="1" s="1"/>
  <c r="AK96" i="1"/>
  <c r="AL96" i="1" s="1"/>
  <c r="AM96" i="1" s="1"/>
  <c r="AN96" i="1" s="1"/>
  <c r="AK94" i="1"/>
  <c r="AL94" i="1" s="1"/>
  <c r="AM94" i="1" s="1"/>
  <c r="AN94" i="1" s="1"/>
  <c r="AK93" i="1"/>
  <c r="AL93" i="1" s="1"/>
  <c r="AM93" i="1" s="1"/>
  <c r="AN93" i="1" s="1"/>
  <c r="AK76" i="1"/>
  <c r="AL76" i="1" s="1"/>
  <c r="AM76" i="1" s="1"/>
  <c r="AN76" i="1" s="1"/>
  <c r="AL75" i="1"/>
  <c r="AM75" i="1" s="1"/>
  <c r="AN75" i="1" s="1"/>
  <c r="AK72" i="1"/>
  <c r="AL72" i="1" s="1"/>
  <c r="AM72" i="1" s="1"/>
  <c r="AN72" i="1" s="1"/>
  <c r="AK13" i="1"/>
  <c r="AL13" i="1" s="1"/>
  <c r="AM13" i="1" s="1"/>
  <c r="AN13" i="1" s="1"/>
  <c r="A12" i="1"/>
  <c r="AR74" i="1" l="1"/>
  <c r="AK73" i="1"/>
  <c r="AL73" i="1" s="1"/>
  <c r="AM73" i="1" s="1"/>
  <c r="AN73" i="1" s="1"/>
  <c r="W13" i="1"/>
  <c r="U13" i="1"/>
  <c r="T13" i="1"/>
  <c r="W12" i="1"/>
  <c r="U12" i="1"/>
  <c r="T12" i="1"/>
  <c r="V13" i="1" l="1"/>
  <c r="V12" i="1"/>
  <c r="AK58" i="1"/>
  <c r="AL58" i="1" s="1"/>
  <c r="AM58" i="1" s="1"/>
  <c r="AN58" i="1" s="1"/>
  <c r="AI55" i="1"/>
  <c r="AH55" i="1"/>
  <c r="AG55" i="1"/>
  <c r="N22" i="1" l="1"/>
  <c r="M22" i="1"/>
  <c r="N21" i="1"/>
  <c r="F10" i="2" s="1"/>
  <c r="M21" i="1"/>
  <c r="O21" i="1" s="1"/>
  <c r="AI96" i="1"/>
  <c r="AH96" i="1"/>
  <c r="AG96" i="1"/>
  <c r="AR83" i="1"/>
  <c r="AI31" i="1"/>
  <c r="AH31" i="1"/>
  <c r="I24" i="2" s="1"/>
  <c r="AG31" i="1"/>
  <c r="AI30" i="1"/>
  <c r="AH30" i="1"/>
  <c r="AG30" i="1"/>
  <c r="C103" i="1"/>
  <c r="S27" i="2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I14" i="3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4" i="3"/>
  <c r="E14" i="3" s="1"/>
  <c r="K12" i="3"/>
  <c r="L12" i="3" s="1"/>
  <c r="C12" i="3"/>
  <c r="K11" i="3"/>
  <c r="M11" i="3" s="1"/>
  <c r="I11" i="3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8" i="1"/>
  <c r="BO108" i="1"/>
  <c r="BN108" i="1"/>
  <c r="BM108" i="1"/>
  <c r="BL108" i="1"/>
  <c r="BK108" i="1"/>
  <c r="AF105" i="1"/>
  <c r="G10" i="4" s="1"/>
  <c r="AE105" i="1"/>
  <c r="AC105" i="1"/>
  <c r="AC106" i="1" s="1"/>
  <c r="AB105" i="1"/>
  <c r="AB106" i="1" s="1"/>
  <c r="AA105" i="1"/>
  <c r="AA106" i="1" s="1"/>
  <c r="Z105" i="1"/>
  <c r="Z106" i="1" s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B103" i="1"/>
  <c r="AY103" i="1"/>
  <c r="AX103" i="1"/>
  <c r="AW103" i="1"/>
  <c r="AV103" i="1"/>
  <c r="AU103" i="1"/>
  <c r="AT103" i="1"/>
  <c r="AS103" i="1"/>
  <c r="AQ103" i="1"/>
  <c r="AP103" i="1"/>
  <c r="AO103" i="1"/>
  <c r="E103" i="1"/>
  <c r="AZ102" i="1"/>
  <c r="AF30" i="2" s="1"/>
  <c r="AK102" i="1"/>
  <c r="AI102" i="1"/>
  <c r="AF25" i="2" s="1"/>
  <c r="AH102" i="1"/>
  <c r="AF24" i="2" s="1"/>
  <c r="AG102" i="1"/>
  <c r="AF23" i="2" s="1"/>
  <c r="W102" i="1"/>
  <c r="AF16" i="2" s="1"/>
  <c r="U102" i="1"/>
  <c r="AF14" i="2" s="1"/>
  <c r="T102" i="1"/>
  <c r="AF13" i="2" s="1"/>
  <c r="P102" i="1"/>
  <c r="AF12" i="2" s="1"/>
  <c r="N102" i="1"/>
  <c r="AF10" i="2" s="1"/>
  <c r="M102" i="1"/>
  <c r="AF9" i="2" s="1"/>
  <c r="H102" i="1"/>
  <c r="AF6" i="2" s="1"/>
  <c r="G102" i="1"/>
  <c r="AF5" i="2" s="1"/>
  <c r="BD101" i="1"/>
  <c r="BD103" i="1" s="1"/>
  <c r="BC101" i="1"/>
  <c r="BC103" i="1" s="1"/>
  <c r="AZ101" i="1"/>
  <c r="AL101" i="1"/>
  <c r="AI101" i="1"/>
  <c r="AH101" i="1"/>
  <c r="AG101" i="1"/>
  <c r="W101" i="1"/>
  <c r="U101" i="1"/>
  <c r="T101" i="1"/>
  <c r="P101" i="1"/>
  <c r="N101" i="1"/>
  <c r="M101" i="1"/>
  <c r="H101" i="1"/>
  <c r="G101" i="1"/>
  <c r="AZ100" i="1"/>
  <c r="BQ100" i="1" s="1"/>
  <c r="AK100" i="1"/>
  <c r="AL100" i="1" s="1"/>
  <c r="AM100" i="1" s="1"/>
  <c r="AN100" i="1" s="1"/>
  <c r="AI100" i="1"/>
  <c r="AH100" i="1"/>
  <c r="AG100" i="1"/>
  <c r="W100" i="1"/>
  <c r="U100" i="1"/>
  <c r="T100" i="1"/>
  <c r="V100" i="1" s="1"/>
  <c r="P100" i="1"/>
  <c r="N100" i="1"/>
  <c r="M100" i="1"/>
  <c r="H100" i="1"/>
  <c r="G100" i="1"/>
  <c r="BD99" i="1"/>
  <c r="BC99" i="1"/>
  <c r="AZ99" i="1"/>
  <c r="AK99" i="1"/>
  <c r="AL99" i="1" s="1"/>
  <c r="AM99" i="1" s="1"/>
  <c r="AN99" i="1" s="1"/>
  <c r="AI99" i="1"/>
  <c r="AH99" i="1"/>
  <c r="AG99" i="1"/>
  <c r="W99" i="1"/>
  <c r="U99" i="1"/>
  <c r="T99" i="1"/>
  <c r="P99" i="1"/>
  <c r="N99" i="1"/>
  <c r="M99" i="1"/>
  <c r="H99" i="1"/>
  <c r="G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E28" i="2"/>
  <c r="AE27" i="2"/>
  <c r="AE26" i="2"/>
  <c r="AE17" i="2"/>
  <c r="AE16" i="2"/>
  <c r="AE15" i="2"/>
  <c r="AE14" i="2"/>
  <c r="AE13" i="2"/>
  <c r="AE12" i="2"/>
  <c r="AE8" i="2"/>
  <c r="AE7" i="2"/>
  <c r="AE3" i="2"/>
  <c r="C98" i="1"/>
  <c r="AZ97" i="1"/>
  <c r="AI97" i="1"/>
  <c r="AH97" i="1"/>
  <c r="AE24" i="2" s="1"/>
  <c r="AG97" i="1"/>
  <c r="N97" i="1"/>
  <c r="M97" i="1"/>
  <c r="H97" i="1"/>
  <c r="G97" i="1"/>
  <c r="BD96" i="1"/>
  <c r="BD98" i="1" s="1"/>
  <c r="BC96" i="1"/>
  <c r="BC98" i="1" s="1"/>
  <c r="AZ96" i="1"/>
  <c r="BQ96" i="1" s="1"/>
  <c r="N96" i="1"/>
  <c r="M96" i="1"/>
  <c r="H96" i="1"/>
  <c r="G96" i="1"/>
  <c r="AE5" i="2" s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D28" i="2"/>
  <c r="AD27" i="2"/>
  <c r="AD26" i="2"/>
  <c r="AD17" i="2"/>
  <c r="AD16" i="2"/>
  <c r="AD15" i="2"/>
  <c r="AD14" i="2"/>
  <c r="AD13" i="2"/>
  <c r="AD12" i="2"/>
  <c r="AD8" i="2"/>
  <c r="AD7" i="2"/>
  <c r="AD3" i="2"/>
  <c r="C95" i="1"/>
  <c r="BQ94" i="1"/>
  <c r="AZ94" i="1"/>
  <c r="AI94" i="1"/>
  <c r="AH94" i="1"/>
  <c r="AG94" i="1"/>
  <c r="N94" i="1"/>
  <c r="M94" i="1"/>
  <c r="H94" i="1"/>
  <c r="G94" i="1"/>
  <c r="BD93" i="1"/>
  <c r="BD95" i="1" s="1"/>
  <c r="BC93" i="1"/>
  <c r="BC95" i="1" s="1"/>
  <c r="AZ93" i="1"/>
  <c r="BQ93" i="1" s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C28" i="2"/>
  <c r="AC27" i="2"/>
  <c r="AC26" i="2"/>
  <c r="AC17" i="2"/>
  <c r="AC16" i="2"/>
  <c r="AC15" i="2"/>
  <c r="AC14" i="2"/>
  <c r="AC13" i="2"/>
  <c r="AC12" i="2"/>
  <c r="AC8" i="2"/>
  <c r="AC7" i="2"/>
  <c r="AC3" i="2"/>
  <c r="C92" i="1"/>
  <c r="AZ91" i="1"/>
  <c r="BQ91" i="1" s="1"/>
  <c r="AI91" i="1"/>
  <c r="AH91" i="1"/>
  <c r="AG91" i="1"/>
  <c r="N91" i="1"/>
  <c r="M91" i="1"/>
  <c r="H91" i="1"/>
  <c r="G91" i="1"/>
  <c r="BD90" i="1"/>
  <c r="BD92" i="1" s="1"/>
  <c r="BC90" i="1"/>
  <c r="BC92" i="1" s="1"/>
  <c r="AZ90" i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B28" i="2"/>
  <c r="AB27" i="2"/>
  <c r="AB26" i="2"/>
  <c r="AB17" i="2"/>
  <c r="AB16" i="2"/>
  <c r="AB15" i="2"/>
  <c r="AB14" i="2"/>
  <c r="AB13" i="2"/>
  <c r="AB12" i="2"/>
  <c r="AB8" i="2"/>
  <c r="AB7" i="2"/>
  <c r="AB3" i="2"/>
  <c r="C89" i="1"/>
  <c r="AZ88" i="1"/>
  <c r="AI88" i="1"/>
  <c r="AH88" i="1"/>
  <c r="AG88" i="1"/>
  <c r="N88" i="1"/>
  <c r="M88" i="1"/>
  <c r="H88" i="1"/>
  <c r="G88" i="1"/>
  <c r="BD87" i="1"/>
  <c r="BD89" i="1" s="1"/>
  <c r="AB33" i="2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A28" i="2"/>
  <c r="AA27" i="2"/>
  <c r="AA26" i="2"/>
  <c r="AA17" i="2"/>
  <c r="AA16" i="2"/>
  <c r="AA15" i="2"/>
  <c r="AA14" i="2"/>
  <c r="AA13" i="2"/>
  <c r="AA12" i="2"/>
  <c r="AA8" i="2"/>
  <c r="AA7" i="2"/>
  <c r="AA3" i="2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BQ84" i="1" s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Z28" i="2"/>
  <c r="Z27" i="2"/>
  <c r="Z26" i="2"/>
  <c r="Z17" i="2"/>
  <c r="Z16" i="2"/>
  <c r="Z15" i="2"/>
  <c r="Z14" i="2"/>
  <c r="Z13" i="2"/>
  <c r="Z8" i="2"/>
  <c r="Z7" i="2"/>
  <c r="Z5" i="2"/>
  <c r="Z3" i="2"/>
  <c r="C83" i="1"/>
  <c r="AZ82" i="1"/>
  <c r="AI82" i="1"/>
  <c r="AH82" i="1"/>
  <c r="AG82" i="1"/>
  <c r="P82" i="1"/>
  <c r="N82" i="1"/>
  <c r="M82" i="1"/>
  <c r="BD81" i="1"/>
  <c r="BD83" i="1" s="1"/>
  <c r="BC81" i="1"/>
  <c r="BC83" i="1" s="1"/>
  <c r="AZ81" i="1"/>
  <c r="BQ81" i="1" s="1"/>
  <c r="AI81" i="1"/>
  <c r="AH81" i="1"/>
  <c r="Z24" i="2" s="1"/>
  <c r="AG81" i="1"/>
  <c r="P81" i="1"/>
  <c r="Z12" i="2" s="1"/>
  <c r="N81" i="1"/>
  <c r="M81" i="1"/>
  <c r="Z9" i="2" s="1"/>
  <c r="Z6" i="2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Y26" i="2"/>
  <c r="Y17" i="2"/>
  <c r="Y8" i="2"/>
  <c r="Y5" i="2"/>
  <c r="Y3" i="2"/>
  <c r="C80" i="1"/>
  <c r="AZ79" i="1"/>
  <c r="BQ79" i="1" s="1"/>
  <c r="AI79" i="1"/>
  <c r="AH79" i="1"/>
  <c r="AG79" i="1"/>
  <c r="W79" i="1"/>
  <c r="U79" i="1"/>
  <c r="T79" i="1"/>
  <c r="P79" i="1"/>
  <c r="N79" i="1"/>
  <c r="M79" i="1"/>
  <c r="BD78" i="1"/>
  <c r="BD80" i="1" s="1"/>
  <c r="BC78" i="1"/>
  <c r="BC80" i="1" s="1"/>
  <c r="AZ78" i="1"/>
  <c r="AI78" i="1"/>
  <c r="Y25" i="2" s="1"/>
  <c r="AH78" i="1"/>
  <c r="AG78" i="1"/>
  <c r="Y23" i="2" s="1"/>
  <c r="W78" i="1"/>
  <c r="Y16" i="2" s="1"/>
  <c r="U78" i="1"/>
  <c r="Y14" i="2" s="1"/>
  <c r="T78" i="1"/>
  <c r="Y13" i="2" s="1"/>
  <c r="P78" i="1"/>
  <c r="Y12" i="2" s="1"/>
  <c r="N78" i="1"/>
  <c r="Y10" i="2" s="1"/>
  <c r="M78" i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X28" i="2"/>
  <c r="X26" i="2"/>
  <c r="X17" i="2"/>
  <c r="X16" i="2"/>
  <c r="X15" i="2"/>
  <c r="X14" i="2"/>
  <c r="X13" i="2"/>
  <c r="X12" i="2"/>
  <c r="X8" i="2"/>
  <c r="X7" i="2"/>
  <c r="X5" i="2"/>
  <c r="X3" i="2"/>
  <c r="C77" i="1"/>
  <c r="AZ76" i="1"/>
  <c r="AI76" i="1"/>
  <c r="AH76" i="1"/>
  <c r="AG76" i="1"/>
  <c r="N76" i="1"/>
  <c r="M76" i="1"/>
  <c r="H76" i="1"/>
  <c r="BD75" i="1"/>
  <c r="BD77" i="1" s="1"/>
  <c r="BC75" i="1"/>
  <c r="BC77" i="1" s="1"/>
  <c r="AZ75" i="1"/>
  <c r="AI75" i="1"/>
  <c r="AH75" i="1"/>
  <c r="AG75" i="1"/>
  <c r="N75" i="1"/>
  <c r="M75" i="1"/>
  <c r="H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W28" i="2"/>
  <c r="W27" i="2"/>
  <c r="W26" i="2"/>
  <c r="W17" i="2"/>
  <c r="W16" i="2"/>
  <c r="W15" i="2"/>
  <c r="W14" i="2"/>
  <c r="W13" i="2"/>
  <c r="W12" i="2"/>
  <c r="W8" i="2"/>
  <c r="W7" i="2"/>
  <c r="W5" i="2"/>
  <c r="W3" i="2"/>
  <c r="C74" i="1"/>
  <c r="BD73" i="1"/>
  <c r="BC73" i="1"/>
  <c r="AZ73" i="1"/>
  <c r="BQ73" i="1" s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W6" i="2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V28" i="2"/>
  <c r="V27" i="2"/>
  <c r="V26" i="2"/>
  <c r="V17" i="2"/>
  <c r="V16" i="2"/>
  <c r="V15" i="2"/>
  <c r="V14" i="2"/>
  <c r="V13" i="2"/>
  <c r="V12" i="2"/>
  <c r="V8" i="2"/>
  <c r="V7" i="2"/>
  <c r="V3" i="2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 s="1"/>
  <c r="AZ69" i="1"/>
  <c r="AI69" i="1"/>
  <c r="AH69" i="1"/>
  <c r="V24" i="2" s="1"/>
  <c r="AG69" i="1"/>
  <c r="N69" i="1"/>
  <c r="M69" i="1"/>
  <c r="H69" i="1"/>
  <c r="V6" i="2" s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U28" i="2"/>
  <c r="U27" i="2"/>
  <c r="U26" i="2"/>
  <c r="U17" i="2"/>
  <c r="U16" i="2"/>
  <c r="U15" i="2"/>
  <c r="U14" i="2"/>
  <c r="U13" i="2"/>
  <c r="U12" i="2"/>
  <c r="U8" i="2"/>
  <c r="U7" i="2"/>
  <c r="U3" i="2"/>
  <c r="C68" i="1"/>
  <c r="AZ67" i="1"/>
  <c r="AI67" i="1"/>
  <c r="AH67" i="1"/>
  <c r="AG67" i="1"/>
  <c r="N67" i="1"/>
  <c r="M67" i="1"/>
  <c r="H67" i="1"/>
  <c r="G67" i="1"/>
  <c r="BD66" i="1"/>
  <c r="BD68" i="1" s="1"/>
  <c r="BC66" i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T28" i="2"/>
  <c r="T27" i="2"/>
  <c r="T26" i="2"/>
  <c r="T17" i="2"/>
  <c r="T16" i="2"/>
  <c r="T15" i="2"/>
  <c r="T14" i="2"/>
  <c r="T13" i="2"/>
  <c r="T12" i="2"/>
  <c r="T8" i="2"/>
  <c r="T7" i="2"/>
  <c r="T3" i="2"/>
  <c r="C65" i="1"/>
  <c r="AZ64" i="1"/>
  <c r="AZ65" i="1" s="1"/>
  <c r="T30" i="2" s="1"/>
  <c r="AI64" i="1"/>
  <c r="AH64" i="1"/>
  <c r="AG64" i="1"/>
  <c r="N64" i="1"/>
  <c r="M64" i="1"/>
  <c r="H64" i="1"/>
  <c r="G64" i="1"/>
  <c r="BD63" i="1"/>
  <c r="BD65" i="1" s="1"/>
  <c r="BC63" i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C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S28" i="2"/>
  <c r="S26" i="2"/>
  <c r="S17" i="2"/>
  <c r="S16" i="2"/>
  <c r="S8" i="2"/>
  <c r="S7" i="2"/>
  <c r="S5" i="2"/>
  <c r="S3" i="2"/>
  <c r="C62" i="1"/>
  <c r="AZ61" i="1"/>
  <c r="AI61" i="1"/>
  <c r="AH61" i="1"/>
  <c r="AG61" i="1"/>
  <c r="W61" i="1"/>
  <c r="U61" i="1"/>
  <c r="S14" i="2" s="1"/>
  <c r="T61" i="1"/>
  <c r="V61" i="1" s="1"/>
  <c r="S15" i="2" s="1"/>
  <c r="P61" i="1"/>
  <c r="S12" i="2" s="1"/>
  <c r="N61" i="1"/>
  <c r="M61" i="1"/>
  <c r="H61" i="1"/>
  <c r="BD60" i="1"/>
  <c r="BD62" i="1" s="1"/>
  <c r="S33" i="2" s="1"/>
  <c r="BC60" i="1"/>
  <c r="AZ60" i="1"/>
  <c r="AI60" i="1"/>
  <c r="AH60" i="1"/>
  <c r="AG60" i="1"/>
  <c r="N60" i="1"/>
  <c r="S10" i="2" s="1"/>
  <c r="M60" i="1"/>
  <c r="S9" i="2" s="1"/>
  <c r="H60" i="1"/>
  <c r="S6" i="2" s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R28" i="2"/>
  <c r="R27" i="2"/>
  <c r="R26" i="2"/>
  <c r="R17" i="2"/>
  <c r="R8" i="2"/>
  <c r="R7" i="2"/>
  <c r="R5" i="2"/>
  <c r="R3" i="2"/>
  <c r="C59" i="1"/>
  <c r="AZ58" i="1"/>
  <c r="BQ58" i="1" s="1"/>
  <c r="AI58" i="1"/>
  <c r="AH58" i="1"/>
  <c r="AG58" i="1"/>
  <c r="W58" i="1"/>
  <c r="U58" i="1"/>
  <c r="T58" i="1"/>
  <c r="P58" i="1"/>
  <c r="N58" i="1"/>
  <c r="M58" i="1"/>
  <c r="H58" i="1"/>
  <c r="BD57" i="1"/>
  <c r="BD59" i="1" s="1"/>
  <c r="BC57" i="1"/>
  <c r="BC59" i="1" s="1"/>
  <c r="AZ57" i="1"/>
  <c r="BQ57" i="1" s="1"/>
  <c r="AI57" i="1"/>
  <c r="AH57" i="1"/>
  <c r="AG57" i="1"/>
  <c r="W57" i="1"/>
  <c r="R16" i="2" s="1"/>
  <c r="U57" i="1"/>
  <c r="T57" i="1"/>
  <c r="P57" i="1"/>
  <c r="R12" i="2" s="1"/>
  <c r="N57" i="1"/>
  <c r="M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Q28" i="2"/>
  <c r="Q27" i="2"/>
  <c r="Q26" i="2"/>
  <c r="Q17" i="2"/>
  <c r="Q16" i="2"/>
  <c r="Q15" i="2"/>
  <c r="Q14" i="2"/>
  <c r="Q13" i="2"/>
  <c r="Q12" i="2"/>
  <c r="Q8" i="2"/>
  <c r="Q7" i="2"/>
  <c r="Q3" i="2"/>
  <c r="C56" i="1"/>
  <c r="AZ55" i="1"/>
  <c r="BQ55" i="1" s="1"/>
  <c r="N55" i="1"/>
  <c r="M55" i="1"/>
  <c r="H55" i="1"/>
  <c r="G55" i="1"/>
  <c r="BD54" i="1"/>
  <c r="BD56" i="1" s="1"/>
  <c r="Q33" i="2" s="1"/>
  <c r="BC54" i="1"/>
  <c r="BC56" i="1" s="1"/>
  <c r="AZ54" i="1"/>
  <c r="AI54" i="1"/>
  <c r="Q25" i="2" s="1"/>
  <c r="AH54" i="1"/>
  <c r="Q24" i="2" s="1"/>
  <c r="AG54" i="1"/>
  <c r="Q23" i="2" s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Q53" i="1"/>
  <c r="AP53" i="1"/>
  <c r="AO53" i="1"/>
  <c r="P28" i="2"/>
  <c r="P27" i="2"/>
  <c r="P26" i="2"/>
  <c r="P17" i="2"/>
  <c r="P16" i="2"/>
  <c r="P15" i="2"/>
  <c r="P14" i="2"/>
  <c r="P13" i="2"/>
  <c r="P12" i="2"/>
  <c r="P8" i="2"/>
  <c r="P7" i="2"/>
  <c r="P3" i="2"/>
  <c r="C53" i="1"/>
  <c r="AZ52" i="1"/>
  <c r="AZ53" i="1" s="1"/>
  <c r="P30" i="2" s="1"/>
  <c r="AI52" i="1"/>
  <c r="AH52" i="1"/>
  <c r="AG52" i="1"/>
  <c r="N52" i="1"/>
  <c r="M52" i="1"/>
  <c r="H52" i="1"/>
  <c r="G52" i="1"/>
  <c r="BD51" i="1"/>
  <c r="BD53" i="1" s="1"/>
  <c r="BC51" i="1"/>
  <c r="BQ51" i="1" s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O28" i="2"/>
  <c r="O27" i="2"/>
  <c r="O26" i="2"/>
  <c r="O17" i="2"/>
  <c r="O16" i="2"/>
  <c r="O15" i="2"/>
  <c r="O14" i="2"/>
  <c r="O13" i="2"/>
  <c r="O12" i="2"/>
  <c r="O8" i="2"/>
  <c r="O7" i="2"/>
  <c r="O5" i="2"/>
  <c r="O3" i="2"/>
  <c r="C50" i="1"/>
  <c r="AZ49" i="1"/>
  <c r="AI49" i="1"/>
  <c r="AH49" i="1"/>
  <c r="AG49" i="1"/>
  <c r="N49" i="1"/>
  <c r="M49" i="1"/>
  <c r="H49" i="1"/>
  <c r="BD48" i="1"/>
  <c r="BD50" i="1" s="1"/>
  <c r="BC48" i="1"/>
  <c r="BC50" i="1" s="1"/>
  <c r="AZ48" i="1"/>
  <c r="BQ48" i="1" s="1"/>
  <c r="AI48" i="1"/>
  <c r="AH48" i="1"/>
  <c r="O24" i="2" s="1"/>
  <c r="AG48" i="1"/>
  <c r="O23" i="2" s="1"/>
  <c r="N48" i="1"/>
  <c r="O10" i="2" s="1"/>
  <c r="M48" i="1"/>
  <c r="H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C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N28" i="2"/>
  <c r="N27" i="2"/>
  <c r="N26" i="2"/>
  <c r="N17" i="2"/>
  <c r="N16" i="2"/>
  <c r="N15" i="2"/>
  <c r="N14" i="2"/>
  <c r="N13" i="2"/>
  <c r="N12" i="2"/>
  <c r="N8" i="2"/>
  <c r="N7" i="2"/>
  <c r="N3" i="2"/>
  <c r="C47" i="1"/>
  <c r="AZ46" i="1"/>
  <c r="AI46" i="1"/>
  <c r="AH46" i="1"/>
  <c r="AG46" i="1"/>
  <c r="N46" i="1"/>
  <c r="M46" i="1"/>
  <c r="H46" i="1"/>
  <c r="G46" i="1"/>
  <c r="N5" i="2" s="1"/>
  <c r="BD45" i="1"/>
  <c r="BD47" i="1" s="1"/>
  <c r="N33" i="2" s="1"/>
  <c r="BC45" i="1"/>
  <c r="AZ45" i="1"/>
  <c r="AI45" i="1"/>
  <c r="AH45" i="1"/>
  <c r="AG45" i="1"/>
  <c r="N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O44" i="1"/>
  <c r="M27" i="2"/>
  <c r="M26" i="2"/>
  <c r="M17" i="2"/>
  <c r="M16" i="2"/>
  <c r="M15" i="2"/>
  <c r="M14" i="2"/>
  <c r="M13" i="2"/>
  <c r="M12" i="2"/>
  <c r="M8" i="2"/>
  <c r="M7" i="2"/>
  <c r="M3" i="2"/>
  <c r="C44" i="1"/>
  <c r="AZ43" i="1"/>
  <c r="AI43" i="1"/>
  <c r="AH43" i="1"/>
  <c r="AG43" i="1"/>
  <c r="N43" i="1"/>
  <c r="M43" i="1"/>
  <c r="H43" i="1"/>
  <c r="G43" i="1"/>
  <c r="BD42" i="1"/>
  <c r="BD44" i="1" s="1"/>
  <c r="BC42" i="1"/>
  <c r="BC44" i="1" s="1"/>
  <c r="AZ42" i="1"/>
  <c r="BQ42" i="1" s="1"/>
  <c r="AI42" i="1"/>
  <c r="AH42" i="1"/>
  <c r="AG42" i="1"/>
  <c r="N42" i="1"/>
  <c r="M42" i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L28" i="2"/>
  <c r="L27" i="2"/>
  <c r="L26" i="2"/>
  <c r="L17" i="2"/>
  <c r="L16" i="2"/>
  <c r="L15" i="2"/>
  <c r="L14" i="2"/>
  <c r="L13" i="2"/>
  <c r="L12" i="2"/>
  <c r="L8" i="2"/>
  <c r="L7" i="2"/>
  <c r="L3" i="2"/>
  <c r="C41" i="1"/>
  <c r="AZ40" i="1"/>
  <c r="AI40" i="1"/>
  <c r="AH40" i="1"/>
  <c r="AG40" i="1"/>
  <c r="N40" i="1"/>
  <c r="M40" i="1"/>
  <c r="H40" i="1"/>
  <c r="G40" i="1"/>
  <c r="BD39" i="1"/>
  <c r="BC39" i="1"/>
  <c r="AZ39" i="1"/>
  <c r="AI39" i="1"/>
  <c r="L25" i="2" s="1"/>
  <c r="AH39" i="1"/>
  <c r="AG39" i="1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K26" i="2"/>
  <c r="K17" i="2"/>
  <c r="K8" i="2"/>
  <c r="K7" i="2"/>
  <c r="K3" i="2"/>
  <c r="C38" i="1"/>
  <c r="AZ37" i="1"/>
  <c r="K27" i="2"/>
  <c r="AI37" i="1"/>
  <c r="AH37" i="1"/>
  <c r="AG37" i="1"/>
  <c r="W37" i="1"/>
  <c r="U37" i="1"/>
  <c r="K14" i="2" s="1"/>
  <c r="T37" i="1"/>
  <c r="P37" i="1"/>
  <c r="N37" i="1"/>
  <c r="M37" i="1"/>
  <c r="H37" i="1"/>
  <c r="G37" i="1"/>
  <c r="BD36" i="1"/>
  <c r="BD38" i="1" s="1"/>
  <c r="BC36" i="1"/>
  <c r="BC38" i="1" s="1"/>
  <c r="AZ36" i="1"/>
  <c r="AI36" i="1"/>
  <c r="AH36" i="1"/>
  <c r="K24" i="2" s="1"/>
  <c r="AG36" i="1"/>
  <c r="K23" i="2" s="1"/>
  <c r="W36" i="1"/>
  <c r="K16" i="2" s="1"/>
  <c r="U36" i="1"/>
  <c r="T36" i="1"/>
  <c r="V36" i="1" s="1"/>
  <c r="P36" i="1"/>
  <c r="K12" i="2" s="1"/>
  <c r="N36" i="1"/>
  <c r="M36" i="1"/>
  <c r="H36" i="1"/>
  <c r="K6" i="2" s="1"/>
  <c r="G36" i="1"/>
  <c r="K5" i="2" s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J28" i="2"/>
  <c r="J27" i="2"/>
  <c r="J26" i="2"/>
  <c r="J17" i="2"/>
  <c r="J16" i="2"/>
  <c r="J15" i="2"/>
  <c r="J14" i="2"/>
  <c r="J13" i="2"/>
  <c r="J12" i="2"/>
  <c r="J8" i="2"/>
  <c r="J7" i="2"/>
  <c r="J3" i="2"/>
  <c r="C35" i="1"/>
  <c r="AZ34" i="1"/>
  <c r="AZ35" i="1" s="1"/>
  <c r="J30" i="2" s="1"/>
  <c r="AI34" i="1"/>
  <c r="AH34" i="1"/>
  <c r="AG34" i="1"/>
  <c r="N34" i="1"/>
  <c r="M34" i="1"/>
  <c r="H34" i="1"/>
  <c r="G34" i="1"/>
  <c r="BD33" i="1"/>
  <c r="BD35" i="1" s="1"/>
  <c r="BC33" i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P32" i="1"/>
  <c r="AO32" i="1"/>
  <c r="I27" i="2"/>
  <c r="I26" i="2"/>
  <c r="I25" i="2"/>
  <c r="I23" i="2"/>
  <c r="I17" i="2"/>
  <c r="I16" i="2"/>
  <c r="I15" i="2"/>
  <c r="I14" i="2"/>
  <c r="I13" i="2"/>
  <c r="I12" i="2"/>
  <c r="I8" i="2"/>
  <c r="I7" i="2"/>
  <c r="I3" i="2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I9" i="2" s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BA29" i="1"/>
  <c r="H31" i="2" s="1"/>
  <c r="AY29" i="1"/>
  <c r="AX29" i="1"/>
  <c r="AW29" i="1"/>
  <c r="AV29" i="1"/>
  <c r="AU29" i="1"/>
  <c r="AT29" i="1"/>
  <c r="AS29" i="1"/>
  <c r="AR29" i="1"/>
  <c r="AQ29" i="1"/>
  <c r="AO29" i="1"/>
  <c r="H28" i="2"/>
  <c r="H27" i="2"/>
  <c r="H26" i="2"/>
  <c r="H17" i="2"/>
  <c r="H16" i="2"/>
  <c r="H15" i="2"/>
  <c r="H14" i="2"/>
  <c r="H13" i="2"/>
  <c r="H12" i="2"/>
  <c r="H8" i="2"/>
  <c r="H7" i="2"/>
  <c r="H5" i="2"/>
  <c r="H3" i="2"/>
  <c r="C29" i="1"/>
  <c r="BD28" i="1"/>
  <c r="AZ28" i="1"/>
  <c r="AI28" i="1"/>
  <c r="AH28" i="1"/>
  <c r="AG28" i="1"/>
  <c r="N28" i="1"/>
  <c r="M28" i="1"/>
  <c r="H28" i="1"/>
  <c r="BD27" i="1"/>
  <c r="BC27" i="1"/>
  <c r="AZ27" i="1"/>
  <c r="AI27" i="1"/>
  <c r="H25" i="2" s="1"/>
  <c r="AH27" i="1"/>
  <c r="AG27" i="1"/>
  <c r="N27" i="1"/>
  <c r="M27" i="1"/>
  <c r="H27" i="1"/>
  <c r="H6" i="2" s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G28" i="2"/>
  <c r="G27" i="2"/>
  <c r="G17" i="2"/>
  <c r="G16" i="2"/>
  <c r="G15" i="2"/>
  <c r="G14" i="2"/>
  <c r="G13" i="2"/>
  <c r="G12" i="2"/>
  <c r="G8" i="2"/>
  <c r="G7" i="2"/>
  <c r="G3" i="2"/>
  <c r="C26" i="1"/>
  <c r="BD25" i="1"/>
  <c r="BC25" i="1"/>
  <c r="BQ25" i="1" s="1"/>
  <c r="AI25" i="1"/>
  <c r="AH25" i="1"/>
  <c r="AG25" i="1"/>
  <c r="N25" i="1"/>
  <c r="M25" i="1"/>
  <c r="H25" i="1"/>
  <c r="G25" i="1"/>
  <c r="BD24" i="1"/>
  <c r="BD26" i="1" s="1"/>
  <c r="BC24" i="1"/>
  <c r="AZ24" i="1"/>
  <c r="AZ26" i="1" s="1"/>
  <c r="G30" i="2" s="1"/>
  <c r="AI24" i="1"/>
  <c r="AH24" i="1"/>
  <c r="G24" i="2" s="1"/>
  <c r="AG24" i="1"/>
  <c r="N24" i="1"/>
  <c r="M24" i="1"/>
  <c r="H24" i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F17" i="2"/>
  <c r="F16" i="2"/>
  <c r="F15" i="2"/>
  <c r="F14" i="2"/>
  <c r="F13" i="2"/>
  <c r="F12" i="2"/>
  <c r="F8" i="2"/>
  <c r="F7" i="2"/>
  <c r="F3" i="2"/>
  <c r="C23" i="1"/>
  <c r="AZ22" i="1"/>
  <c r="AI22" i="1"/>
  <c r="AH22" i="1"/>
  <c r="AG22" i="1"/>
  <c r="O22" i="1"/>
  <c r="H22" i="1"/>
  <c r="G22" i="1"/>
  <c r="BD21" i="1"/>
  <c r="BD23" i="1" s="1"/>
  <c r="BC21" i="1"/>
  <c r="BC23" i="1" s="1"/>
  <c r="AZ21" i="1"/>
  <c r="AI21" i="1"/>
  <c r="AH21" i="1"/>
  <c r="AG21" i="1"/>
  <c r="F23" i="2" s="1"/>
  <c r="H21" i="1"/>
  <c r="G21" i="1"/>
  <c r="F5" i="2" s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E28" i="2"/>
  <c r="E27" i="2"/>
  <c r="E17" i="2"/>
  <c r="E16" i="2"/>
  <c r="E15" i="2"/>
  <c r="E14" i="2"/>
  <c r="E13" i="2"/>
  <c r="E12" i="2"/>
  <c r="E10" i="2"/>
  <c r="E8" i="2"/>
  <c r="E7" i="2"/>
  <c r="E3" i="2"/>
  <c r="C20" i="1"/>
  <c r="AZ19" i="1"/>
  <c r="AZ20" i="1" s="1"/>
  <c r="E30" i="2" s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D26" i="2"/>
  <c r="D17" i="2"/>
  <c r="D12" i="2"/>
  <c r="D10" i="2"/>
  <c r="D8" i="2"/>
  <c r="D7" i="2"/>
  <c r="D3" i="2"/>
  <c r="C17" i="1"/>
  <c r="AZ16" i="1"/>
  <c r="AI16" i="1"/>
  <c r="AH16" i="1"/>
  <c r="AG16" i="1"/>
  <c r="W16" i="1"/>
  <c r="U16" i="1"/>
  <c r="T16" i="1"/>
  <c r="P16" i="1"/>
  <c r="N16" i="1"/>
  <c r="M16" i="1"/>
  <c r="H16" i="1"/>
  <c r="G16" i="1"/>
  <c r="BD15" i="1"/>
  <c r="BD17" i="1" s="1"/>
  <c r="BC15" i="1"/>
  <c r="BC17" i="1" s="1"/>
  <c r="AZ15" i="1"/>
  <c r="AI15" i="1"/>
  <c r="AH15" i="1"/>
  <c r="D24" i="2" s="1"/>
  <c r="AG15" i="1"/>
  <c r="D23" i="2" s="1"/>
  <c r="W15" i="1"/>
  <c r="U15" i="1"/>
  <c r="T15" i="1"/>
  <c r="D13" i="2" s="1"/>
  <c r="P15" i="1"/>
  <c r="N15" i="1"/>
  <c r="M15" i="1"/>
  <c r="H15" i="1"/>
  <c r="G15" i="1"/>
  <c r="A15" i="1"/>
  <c r="D2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C28" i="2"/>
  <c r="C27" i="2"/>
  <c r="C26" i="2"/>
  <c r="C17" i="2"/>
  <c r="C16" i="2"/>
  <c r="C15" i="2"/>
  <c r="C14" i="2"/>
  <c r="C13" i="2"/>
  <c r="C12" i="2"/>
  <c r="C8" i="2"/>
  <c r="C7" i="2"/>
  <c r="C3" i="2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C25" i="2" s="1"/>
  <c r="AH12" i="1"/>
  <c r="AG12" i="1"/>
  <c r="N12" i="1"/>
  <c r="M12" i="1"/>
  <c r="H12" i="1"/>
  <c r="G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W105" i="1" s="1"/>
  <c r="AW108" i="1" s="1"/>
  <c r="AW109" i="1" s="1"/>
  <c r="AV11" i="1"/>
  <c r="AU11" i="1"/>
  <c r="AT11" i="1"/>
  <c r="AS11" i="1"/>
  <c r="AR11" i="1"/>
  <c r="AQ11" i="1"/>
  <c r="AP11" i="1"/>
  <c r="AO11" i="1"/>
  <c r="B28" i="2"/>
  <c r="B27" i="2"/>
  <c r="B7" i="2"/>
  <c r="B3" i="2"/>
  <c r="C11" i="1"/>
  <c r="BD10" i="1"/>
  <c r="AZ10" i="1"/>
  <c r="AI10" i="1"/>
  <c r="AH10" i="1"/>
  <c r="AG10" i="1"/>
  <c r="W10" i="1"/>
  <c r="U10" i="1"/>
  <c r="T10" i="1"/>
  <c r="V10" i="1" s="1"/>
  <c r="P10" i="1"/>
  <c r="N10" i="1"/>
  <c r="M10" i="1"/>
  <c r="H10" i="1"/>
  <c r="G10" i="1"/>
  <c r="BD9" i="1"/>
  <c r="BC9" i="1"/>
  <c r="BC11" i="1" s="1"/>
  <c r="AZ9" i="1"/>
  <c r="BQ9" i="1" s="1"/>
  <c r="AI9" i="1"/>
  <c r="AH9" i="1"/>
  <c r="AG9" i="1"/>
  <c r="W9" i="1"/>
  <c r="B16" i="2" s="1"/>
  <c r="U9" i="1"/>
  <c r="T9" i="1"/>
  <c r="P9" i="1"/>
  <c r="B12" i="2" s="1"/>
  <c r="N9" i="1"/>
  <c r="B10" i="2" s="1"/>
  <c r="M9" i="1"/>
  <c r="H9" i="1"/>
  <c r="G9" i="1"/>
  <c r="F9" i="2" l="1"/>
  <c r="BD29" i="1"/>
  <c r="BD105" i="1" s="1"/>
  <c r="C108" i="1" s="1"/>
  <c r="B13" i="2"/>
  <c r="BM105" i="1"/>
  <c r="C23" i="2"/>
  <c r="D33" i="2"/>
  <c r="I5" i="2"/>
  <c r="BP110" i="1"/>
  <c r="BP111" i="1" s="1"/>
  <c r="BQ66" i="1"/>
  <c r="V33" i="2"/>
  <c r="BQ72" i="1"/>
  <c r="AE6" i="2"/>
  <c r="L105" i="1"/>
  <c r="AU105" i="1"/>
  <c r="AU108" i="1" s="1"/>
  <c r="AU109" i="1" s="1"/>
  <c r="AY105" i="1"/>
  <c r="C24" i="2"/>
  <c r="D14" i="2"/>
  <c r="D25" i="2"/>
  <c r="F6" i="2"/>
  <c r="F25" i="2"/>
  <c r="H10" i="2"/>
  <c r="I6" i="2"/>
  <c r="K25" i="2"/>
  <c r="AZ38" i="1"/>
  <c r="K30" i="2" s="1"/>
  <c r="L23" i="2"/>
  <c r="BQ39" i="1"/>
  <c r="M33" i="2"/>
  <c r="BQ45" i="1"/>
  <c r="O33" i="2"/>
  <c r="BQ54" i="1"/>
  <c r="V57" i="1"/>
  <c r="R33" i="2"/>
  <c r="BQ60" i="1"/>
  <c r="AZ68" i="1"/>
  <c r="U30" i="2" s="1"/>
  <c r="Y33" i="2"/>
  <c r="V79" i="1"/>
  <c r="Z33" i="2"/>
  <c r="BQ87" i="1"/>
  <c r="AE33" i="2"/>
  <c r="V99" i="1"/>
  <c r="BQ99" i="1"/>
  <c r="AZ103" i="1"/>
  <c r="B9" i="2"/>
  <c r="R105" i="1"/>
  <c r="BO105" i="1"/>
  <c r="D16" i="2"/>
  <c r="BQ15" i="1"/>
  <c r="V16" i="1"/>
  <c r="BQ21" i="1"/>
  <c r="G5" i="2"/>
  <c r="BC26" i="1"/>
  <c r="G33" i="2" s="1"/>
  <c r="H23" i="2"/>
  <c r="BQ27" i="1"/>
  <c r="BQ33" i="1"/>
  <c r="V37" i="1"/>
  <c r="K15" i="2" s="1"/>
  <c r="AZ41" i="1"/>
  <c r="L30" i="2" s="1"/>
  <c r="O9" i="2"/>
  <c r="O25" i="2"/>
  <c r="BJ110" i="1"/>
  <c r="BJ111" i="1" s="1"/>
  <c r="BN110" i="1"/>
  <c r="BN111" i="1" s="1"/>
  <c r="R14" i="2"/>
  <c r="R13" i="2"/>
  <c r="BQ63" i="1"/>
  <c r="BQ69" i="1"/>
  <c r="X24" i="2"/>
  <c r="Z10" i="2"/>
  <c r="AZ92" i="1"/>
  <c r="AC30" i="2" s="1"/>
  <c r="AE10" i="2"/>
  <c r="AE23" i="2"/>
  <c r="E33" i="2"/>
  <c r="F33" i="2"/>
  <c r="I33" i="2"/>
  <c r="K33" i="2"/>
  <c r="BE107" i="1"/>
  <c r="BE108" i="1" s="1"/>
  <c r="BE105" i="1"/>
  <c r="AJ105" i="1"/>
  <c r="AL109" i="1" s="1"/>
  <c r="B26" i="2"/>
  <c r="BJ107" i="1"/>
  <c r="BJ108" i="1" s="1"/>
  <c r="BJ105" i="1"/>
  <c r="V9" i="1"/>
  <c r="BD11" i="1"/>
  <c r="B33" i="2" s="1"/>
  <c r="S105" i="1"/>
  <c r="B14" i="2"/>
  <c r="AT105" i="1"/>
  <c r="AT108" i="1" s="1"/>
  <c r="AT109" i="1" s="1"/>
  <c r="AV105" i="1"/>
  <c r="AV108" i="1" s="1"/>
  <c r="AV109" i="1" s="1"/>
  <c r="AX105" i="1"/>
  <c r="AX108" i="1" s="1"/>
  <c r="AX109" i="1" s="1"/>
  <c r="BN105" i="1"/>
  <c r="BP105" i="1"/>
  <c r="O13" i="1"/>
  <c r="AZ14" i="1"/>
  <c r="C30" i="2" s="1"/>
  <c r="V15" i="1"/>
  <c r="D15" i="2" s="1"/>
  <c r="AS105" i="1"/>
  <c r="AS108" i="1" s="1"/>
  <c r="AS109" i="1" s="1"/>
  <c r="BK105" i="1"/>
  <c r="BQ28" i="1"/>
  <c r="BQ29" i="1" s="1"/>
  <c r="H34" i="2" s="1"/>
  <c r="BC29" i="1"/>
  <c r="AZ32" i="1"/>
  <c r="I30" i="2" s="1"/>
  <c r="J10" i="2"/>
  <c r="BC35" i="1"/>
  <c r="J33" i="2" s="1"/>
  <c r="K13" i="2"/>
  <c r="BC41" i="1"/>
  <c r="AZ44" i="1"/>
  <c r="M30" i="2" s="1"/>
  <c r="AZ47" i="1"/>
  <c r="N30" i="2" s="1"/>
  <c r="O49" i="1"/>
  <c r="BC53" i="1"/>
  <c r="BE110" i="1"/>
  <c r="BE111" i="1" s="1"/>
  <c r="BG110" i="1"/>
  <c r="BG111" i="1" s="1"/>
  <c r="BI110" i="1"/>
  <c r="BI111" i="1" s="1"/>
  <c r="BM110" i="1"/>
  <c r="BM111" i="1" s="1"/>
  <c r="BO110" i="1"/>
  <c r="BO111" i="1" s="1"/>
  <c r="AZ59" i="1"/>
  <c r="R30" i="2" s="1"/>
  <c r="AZ62" i="1"/>
  <c r="S30" i="2" s="1"/>
  <c r="S13" i="2"/>
  <c r="BH110" i="1"/>
  <c r="BH111" i="1" s="1"/>
  <c r="BC65" i="1"/>
  <c r="T33" i="2" s="1"/>
  <c r="BC68" i="1"/>
  <c r="V9" i="2"/>
  <c r="AZ71" i="1"/>
  <c r="V30" i="2" s="1"/>
  <c r="X33" i="2"/>
  <c r="AA33" i="2"/>
  <c r="AC33" i="2"/>
  <c r="AD33" i="2"/>
  <c r="B8" i="2"/>
  <c r="J105" i="1"/>
  <c r="B17" i="2"/>
  <c r="Y105" i="1"/>
  <c r="BG107" i="1"/>
  <c r="BG108" i="1" s="1"/>
  <c r="BG105" i="1"/>
  <c r="BI107" i="1"/>
  <c r="BI108" i="1" s="1"/>
  <c r="BI105" i="1"/>
  <c r="W105" i="1"/>
  <c r="BQ12" i="1"/>
  <c r="AZ17" i="1"/>
  <c r="D30" i="2" s="1"/>
  <c r="BQ18" i="1"/>
  <c r="AZ23" i="1"/>
  <c r="F30" i="2" s="1"/>
  <c r="BQ30" i="1"/>
  <c r="BQ36" i="1"/>
  <c r="L33" i="2"/>
  <c r="AZ50" i="1"/>
  <c r="O30" i="2" s="1"/>
  <c r="P33" i="2"/>
  <c r="BQ56" i="1"/>
  <c r="Q34" i="2" s="1"/>
  <c r="BL105" i="1"/>
  <c r="V58" i="1"/>
  <c r="BQ59" i="1"/>
  <c r="R34" i="2" s="1"/>
  <c r="BF110" i="1"/>
  <c r="BF111" i="1" s="1"/>
  <c r="BQ111" i="1" s="1"/>
  <c r="U33" i="2"/>
  <c r="BQ74" i="1"/>
  <c r="W34" i="2" s="1"/>
  <c r="BD74" i="1"/>
  <c r="V78" i="1"/>
  <c r="Y15" i="2" s="1"/>
  <c r="BQ78" i="1"/>
  <c r="BQ80" i="1"/>
  <c r="Y34" i="2" s="1"/>
  <c r="AZ83" i="1"/>
  <c r="Z30" i="2" s="1"/>
  <c r="AZ86" i="1"/>
  <c r="AA30" i="2" s="1"/>
  <c r="AZ89" i="1"/>
  <c r="AB30" i="2" s="1"/>
  <c r="BQ90" i="1"/>
  <c r="BQ92" i="1" s="1"/>
  <c r="AC34" i="2" s="1"/>
  <c r="AZ95" i="1"/>
  <c r="AD30" i="2" s="1"/>
  <c r="AZ98" i="1"/>
  <c r="AE30" i="2" s="1"/>
  <c r="O100" i="1"/>
  <c r="O101" i="1"/>
  <c r="V101" i="1"/>
  <c r="AM101" i="1"/>
  <c r="O102" i="1"/>
  <c r="AF11" i="2" s="1"/>
  <c r="V102" i="1"/>
  <c r="AF15" i="2" s="1"/>
  <c r="AL102" i="1"/>
  <c r="AM102" i="1" s="1"/>
  <c r="BQ102" i="1"/>
  <c r="AF34" i="2" s="1"/>
  <c r="AF27" i="2"/>
  <c r="BK110" i="1"/>
  <c r="BK111" i="1" s="1"/>
  <c r="BQ75" i="1"/>
  <c r="AZ80" i="1"/>
  <c r="Y30" i="2" s="1"/>
  <c r="BQ95" i="1"/>
  <c r="AD34" i="2" s="1"/>
  <c r="BQ101" i="1"/>
  <c r="X27" i="2"/>
  <c r="O97" i="1"/>
  <c r="BL110" i="1"/>
  <c r="BL111" i="1" s="1"/>
  <c r="P23" i="2"/>
  <c r="P25" i="2"/>
  <c r="O6" i="2"/>
  <c r="BB105" i="1"/>
  <c r="BH107" i="1"/>
  <c r="BH108" i="1" s="1"/>
  <c r="BF107" i="1"/>
  <c r="BF108" i="1" s="1"/>
  <c r="BQ108" i="1" s="1"/>
  <c r="X23" i="2"/>
  <c r="X25" i="2"/>
  <c r="O19" i="1"/>
  <c r="F11" i="2"/>
  <c r="X9" i="2"/>
  <c r="C6" i="2"/>
  <c r="BQ97" i="1"/>
  <c r="BQ98" i="1" s="1"/>
  <c r="AE34" i="2" s="1"/>
  <c r="AE25" i="2"/>
  <c r="O96" i="1"/>
  <c r="AE11" i="2" s="1"/>
  <c r="O93" i="1"/>
  <c r="AD10" i="2"/>
  <c r="BQ85" i="1"/>
  <c r="BQ86" i="1" s="1"/>
  <c r="AA34" i="2" s="1"/>
  <c r="O82" i="1"/>
  <c r="Z23" i="2"/>
  <c r="Z25" i="2"/>
  <c r="X10" i="2"/>
  <c r="O76" i="1"/>
  <c r="X6" i="2"/>
  <c r="BC74" i="1"/>
  <c r="W33" i="2" s="1"/>
  <c r="W24" i="2"/>
  <c r="O73" i="1"/>
  <c r="R32" i="2"/>
  <c r="Q10" i="2"/>
  <c r="O55" i="1"/>
  <c r="Q6" i="2"/>
  <c r="J23" i="2"/>
  <c r="J25" i="2"/>
  <c r="O34" i="1"/>
  <c r="D32" i="3"/>
  <c r="E23" i="2"/>
  <c r="E25" i="2"/>
  <c r="E6" i="2"/>
  <c r="D5" i="2"/>
  <c r="AQ105" i="1"/>
  <c r="AQ108" i="1" s="1"/>
  <c r="AQ109" i="1" s="1"/>
  <c r="C5" i="2"/>
  <c r="O12" i="1"/>
  <c r="BQ88" i="1"/>
  <c r="BQ89" i="1" s="1"/>
  <c r="AB34" i="2" s="1"/>
  <c r="BQ19" i="1"/>
  <c r="BQ20" i="1" s="1"/>
  <c r="E34" i="2" s="1"/>
  <c r="T24" i="2"/>
  <c r="S24" i="2"/>
  <c r="R23" i="2"/>
  <c r="E24" i="2"/>
  <c r="O88" i="1"/>
  <c r="O66" i="1"/>
  <c r="P10" i="2"/>
  <c r="O52" i="1"/>
  <c r="P6" i="2"/>
  <c r="O45" i="1"/>
  <c r="M10" i="2"/>
  <c r="M6" i="2"/>
  <c r="O24" i="1"/>
  <c r="C13" i="3"/>
  <c r="D8" i="3"/>
  <c r="D11" i="3"/>
  <c r="D47" i="3"/>
  <c r="AC23" i="2"/>
  <c r="AB6" i="2"/>
  <c r="AB5" i="2"/>
  <c r="W23" i="2"/>
  <c r="W25" i="2"/>
  <c r="V5" i="2"/>
  <c r="O63" i="1"/>
  <c r="T10" i="2"/>
  <c r="S23" i="2"/>
  <c r="S25" i="2"/>
  <c r="O61" i="1"/>
  <c r="BQ43" i="1"/>
  <c r="BQ44" i="1" s="1"/>
  <c r="M34" i="2" s="1"/>
  <c r="BQ40" i="1"/>
  <c r="BQ41" i="1" s="1"/>
  <c r="L34" i="2" s="1"/>
  <c r="L6" i="2"/>
  <c r="K10" i="2"/>
  <c r="O36" i="1"/>
  <c r="BA105" i="1"/>
  <c r="C110" i="1" s="1"/>
  <c r="O27" i="1"/>
  <c r="F24" i="2"/>
  <c r="E5" i="2"/>
  <c r="O18" i="1"/>
  <c r="BQ16" i="1"/>
  <c r="BQ17" i="1" s="1"/>
  <c r="D34" i="2" s="1"/>
  <c r="O15" i="1"/>
  <c r="O10" i="1"/>
  <c r="BH105" i="1"/>
  <c r="AZ77" i="1"/>
  <c r="X30" i="2" s="1"/>
  <c r="BQ24" i="1"/>
  <c r="BQ26" i="1" s="1"/>
  <c r="G34" i="2" s="1"/>
  <c r="AD24" i="2"/>
  <c r="AC25" i="2"/>
  <c r="AB23" i="2"/>
  <c r="AB25" i="2"/>
  <c r="AB24" i="2"/>
  <c r="L41" i="3"/>
  <c r="AA23" i="2"/>
  <c r="AA25" i="2"/>
  <c r="Y24" i="2"/>
  <c r="L24" i="3"/>
  <c r="U23" i="2"/>
  <c r="U25" i="2"/>
  <c r="L20" i="3"/>
  <c r="L22" i="3" s="1"/>
  <c r="R25" i="2"/>
  <c r="N24" i="2"/>
  <c r="M24" i="2"/>
  <c r="D29" i="3"/>
  <c r="AD5" i="2"/>
  <c r="AC6" i="2"/>
  <c r="O87" i="1"/>
  <c r="AA5" i="2"/>
  <c r="W9" i="2"/>
  <c r="O70" i="1"/>
  <c r="U6" i="2"/>
  <c r="T5" i="2"/>
  <c r="R10" i="2"/>
  <c r="O58" i="1"/>
  <c r="O43" i="1"/>
  <c r="L9" i="2"/>
  <c r="O37" i="1"/>
  <c r="J5" i="2"/>
  <c r="H9" i="2"/>
  <c r="O25" i="1"/>
  <c r="G6" i="2"/>
  <c r="D6" i="2"/>
  <c r="F8" i="3"/>
  <c r="C10" i="3"/>
  <c r="F9" i="3"/>
  <c r="F10" i="3" s="1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D10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D23" i="2"/>
  <c r="AD25" i="2"/>
  <c r="O94" i="1"/>
  <c r="AD6" i="2"/>
  <c r="K49" i="3"/>
  <c r="AC24" i="2"/>
  <c r="M45" i="3"/>
  <c r="M46" i="3" s="1"/>
  <c r="L45" i="3"/>
  <c r="AC10" i="2"/>
  <c r="O91" i="1"/>
  <c r="AC9" i="2"/>
  <c r="AC5" i="2"/>
  <c r="L44" i="3"/>
  <c r="N44" i="3"/>
  <c r="N46" i="3" s="1"/>
  <c r="K46" i="3"/>
  <c r="O90" i="1"/>
  <c r="L42" i="3"/>
  <c r="N42" i="3"/>
  <c r="AB9" i="2"/>
  <c r="AB11" i="2"/>
  <c r="AB10" i="2"/>
  <c r="AA24" i="2"/>
  <c r="L39" i="3"/>
  <c r="AA10" i="2"/>
  <c r="O85" i="1"/>
  <c r="AA6" i="2"/>
  <c r="K40" i="3"/>
  <c r="O84" i="1"/>
  <c r="AA9" i="2"/>
  <c r="L33" i="3"/>
  <c r="N33" i="3"/>
  <c r="O79" i="1"/>
  <c r="Y6" i="2"/>
  <c r="BQ76" i="1"/>
  <c r="BQ77" i="1" s="1"/>
  <c r="X34" i="2" s="1"/>
  <c r="K31" i="3"/>
  <c r="L27" i="3"/>
  <c r="N26" i="3"/>
  <c r="K28" i="3"/>
  <c r="N28" i="3"/>
  <c r="L26" i="3"/>
  <c r="W10" i="2"/>
  <c r="BQ70" i="1"/>
  <c r="BQ71" i="1" s="1"/>
  <c r="V34" i="2" s="1"/>
  <c r="V23" i="2"/>
  <c r="V25" i="2"/>
  <c r="M25" i="3"/>
  <c r="V10" i="2"/>
  <c r="L23" i="3"/>
  <c r="N23" i="3"/>
  <c r="N25" i="3" s="1"/>
  <c r="K25" i="3"/>
  <c r="O69" i="1"/>
  <c r="BQ67" i="1"/>
  <c r="N21" i="3"/>
  <c r="U5" i="2"/>
  <c r="U24" i="2"/>
  <c r="U10" i="2"/>
  <c r="U9" i="2"/>
  <c r="BQ110" i="1"/>
  <c r="T23" i="2"/>
  <c r="T25" i="2"/>
  <c r="O64" i="1"/>
  <c r="K19" i="3"/>
  <c r="T6" i="2"/>
  <c r="K16" i="3"/>
  <c r="R24" i="2"/>
  <c r="N12" i="3"/>
  <c r="R9" i="2"/>
  <c r="R6" i="2"/>
  <c r="Q9" i="2"/>
  <c r="Q5" i="2"/>
  <c r="K10" i="3"/>
  <c r="BQ52" i="1"/>
  <c r="BQ53" i="1" s="1"/>
  <c r="P34" i="2" s="1"/>
  <c r="P24" i="2"/>
  <c r="P9" i="2"/>
  <c r="P5" i="2"/>
  <c r="D50" i="3"/>
  <c r="C52" i="3"/>
  <c r="F50" i="3"/>
  <c r="BQ49" i="1"/>
  <c r="BQ50" i="1" s="1"/>
  <c r="O34" i="2" s="1"/>
  <c r="E49" i="3"/>
  <c r="O48" i="1"/>
  <c r="O11" i="2" s="1"/>
  <c r="N6" i="2"/>
  <c r="N23" i="2"/>
  <c r="N25" i="2"/>
  <c r="D44" i="3"/>
  <c r="F44" i="3"/>
  <c r="C46" i="3"/>
  <c r="N9" i="2"/>
  <c r="N10" i="2"/>
  <c r="M23" i="2"/>
  <c r="M25" i="2"/>
  <c r="M9" i="2"/>
  <c r="M5" i="2"/>
  <c r="F41" i="3"/>
  <c r="C43" i="3"/>
  <c r="L31" i="2"/>
  <c r="L24" i="2"/>
  <c r="L10" i="2"/>
  <c r="O40" i="1"/>
  <c r="L5" i="2"/>
  <c r="BQ37" i="1"/>
  <c r="BQ38" i="1" s="1"/>
  <c r="K34" i="2" s="1"/>
  <c r="J9" i="2"/>
  <c r="O31" i="1"/>
  <c r="I10" i="2"/>
  <c r="O28" i="1"/>
  <c r="G10" i="2"/>
  <c r="O16" i="1"/>
  <c r="BQ107" i="1"/>
  <c r="BF105" i="1"/>
  <c r="BQ34" i="1"/>
  <c r="BQ35" i="1" s="1"/>
  <c r="J34" i="2" s="1"/>
  <c r="J24" i="2"/>
  <c r="J6" i="2"/>
  <c r="F32" i="3"/>
  <c r="BQ31" i="1"/>
  <c r="BQ32" i="1" s="1"/>
  <c r="I34" i="2" s="1"/>
  <c r="F29" i="3"/>
  <c r="AZ29" i="1"/>
  <c r="H30" i="2" s="1"/>
  <c r="H24" i="2"/>
  <c r="E28" i="3"/>
  <c r="D26" i="3"/>
  <c r="F26" i="3"/>
  <c r="C28" i="3"/>
  <c r="G23" i="2"/>
  <c r="G25" i="2"/>
  <c r="F23" i="3"/>
  <c r="C25" i="3"/>
  <c r="D20" i="3"/>
  <c r="F20" i="3"/>
  <c r="C22" i="3"/>
  <c r="D27" i="2"/>
  <c r="A18" i="1"/>
  <c r="AP105" i="1"/>
  <c r="AP108" i="1" s="1"/>
  <c r="AP109" i="1" s="1"/>
  <c r="BQ82" i="1"/>
  <c r="BQ83" i="1" s="1"/>
  <c r="Z34" i="2" s="1"/>
  <c r="AZ74" i="1"/>
  <c r="W30" i="2" s="1"/>
  <c r="BQ64" i="1"/>
  <c r="BQ65" i="1" s="1"/>
  <c r="T34" i="2" s="1"/>
  <c r="BQ61" i="1"/>
  <c r="AZ56" i="1"/>
  <c r="Q30" i="2" s="1"/>
  <c r="BQ46" i="1"/>
  <c r="BQ47" i="1" s="1"/>
  <c r="N34" i="2" s="1"/>
  <c r="AO105" i="1"/>
  <c r="AO108" i="1" s="1"/>
  <c r="AO109" i="1" s="1"/>
  <c r="BQ22" i="1"/>
  <c r="AR105" i="1"/>
  <c r="AR108" i="1" s="1"/>
  <c r="AR109" i="1" s="1"/>
  <c r="BQ13" i="1"/>
  <c r="BQ14" i="1" s="1"/>
  <c r="C34" i="2" s="1"/>
  <c r="BQ10" i="1"/>
  <c r="AZ11" i="1"/>
  <c r="B30" i="2" s="1"/>
  <c r="M54" i="3"/>
  <c r="M55" i="3" s="1"/>
  <c r="L51" i="3"/>
  <c r="N51" i="3"/>
  <c r="M51" i="3"/>
  <c r="M52" i="3" s="1"/>
  <c r="L47" i="3"/>
  <c r="N47" i="3"/>
  <c r="L48" i="3"/>
  <c r="N48" i="3"/>
  <c r="N49" i="3" s="1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L11" i="3"/>
  <c r="L13" i="3" s="1"/>
  <c r="N11" i="3"/>
  <c r="M12" i="3"/>
  <c r="M13" i="3" s="1"/>
  <c r="L8" i="3"/>
  <c r="L10" i="3" s="1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D22" i="3" s="1"/>
  <c r="F21" i="3"/>
  <c r="F22" i="3" s="1"/>
  <c r="E21" i="3"/>
  <c r="E22" i="3" s="1"/>
  <c r="D18" i="3"/>
  <c r="F18" i="3"/>
  <c r="E18" i="3"/>
  <c r="E19" i="3" s="1"/>
  <c r="D15" i="3"/>
  <c r="F15" i="3"/>
  <c r="E15" i="3"/>
  <c r="E16" i="3" s="1"/>
  <c r="D12" i="3"/>
  <c r="F12" i="3"/>
  <c r="E12" i="3"/>
  <c r="E13" i="3" s="1"/>
  <c r="G108" i="4"/>
  <c r="G44" i="4"/>
  <c r="G76" i="4"/>
  <c r="B23" i="2"/>
  <c r="B25" i="2"/>
  <c r="E9" i="3"/>
  <c r="E10" i="3" s="1"/>
  <c r="B24" i="2"/>
  <c r="O9" i="1"/>
  <c r="C10" i="2"/>
  <c r="C9" i="2"/>
  <c r="D9" i="2"/>
  <c r="E9" i="2"/>
  <c r="G9" i="2"/>
  <c r="O30" i="1"/>
  <c r="O33" i="1"/>
  <c r="J11" i="2" s="1"/>
  <c r="K9" i="2"/>
  <c r="I105" i="1"/>
  <c r="I106" i="1" s="1"/>
  <c r="O39" i="1"/>
  <c r="O42" i="1"/>
  <c r="M11" i="2" s="1"/>
  <c r="O46" i="1"/>
  <c r="O51" i="1"/>
  <c r="P11" i="2" s="1"/>
  <c r="O54" i="1"/>
  <c r="O57" i="1"/>
  <c r="T9" i="2"/>
  <c r="O60" i="1"/>
  <c r="S11" i="2" s="1"/>
  <c r="O67" i="1"/>
  <c r="K105" i="1"/>
  <c r="K106" i="1" s="1"/>
  <c r="O72" i="1"/>
  <c r="O75" i="1"/>
  <c r="O78" i="1"/>
  <c r="O81" i="1"/>
  <c r="Z11" i="2" s="1"/>
  <c r="AD9" i="2"/>
  <c r="AE9" i="2"/>
  <c r="O99" i="1"/>
  <c r="Y27" i="2"/>
  <c r="D105" i="1"/>
  <c r="M28" i="2"/>
  <c r="C105" i="1"/>
  <c r="I28" i="2"/>
  <c r="B6" i="2"/>
  <c r="E105" i="1"/>
  <c r="E106" i="1" s="1"/>
  <c r="B5" i="2"/>
  <c r="D37" i="3" l="1"/>
  <c r="F52" i="3"/>
  <c r="L34" i="3"/>
  <c r="L52" i="3"/>
  <c r="F13" i="3"/>
  <c r="L16" i="3"/>
  <c r="N11" i="2"/>
  <c r="B11" i="2"/>
  <c r="L31" i="3"/>
  <c r="AD11" i="2"/>
  <c r="AD36" i="2" s="1"/>
  <c r="BC105" i="1"/>
  <c r="C109" i="1" s="1"/>
  <c r="BQ103" i="1"/>
  <c r="D16" i="3"/>
  <c r="U11" i="2"/>
  <c r="U36" i="2" s="1"/>
  <c r="Q11" i="2"/>
  <c r="Q36" i="2" s="1"/>
  <c r="I11" i="2"/>
  <c r="I36" i="2" s="1"/>
  <c r="N52" i="3"/>
  <c r="BQ23" i="1"/>
  <c r="F34" i="2" s="1"/>
  <c r="F36" i="2" s="1"/>
  <c r="BQ62" i="1"/>
  <c r="S34" i="2" s="1"/>
  <c r="BQ68" i="1"/>
  <c r="U34" i="2" s="1"/>
  <c r="G11" i="2"/>
  <c r="R15" i="2"/>
  <c r="H33" i="2"/>
  <c r="AF28" i="2"/>
  <c r="AF36" i="2" s="1"/>
  <c r="AN102" i="1"/>
  <c r="B15" i="2"/>
  <c r="U105" i="1"/>
  <c r="AN101" i="1"/>
  <c r="W11" i="2"/>
  <c r="W36" i="2" s="1"/>
  <c r="D19" i="3"/>
  <c r="D34" i="3"/>
  <c r="D52" i="3"/>
  <c r="AE36" i="2"/>
  <c r="AK105" i="1"/>
  <c r="AK106" i="1" s="1"/>
  <c r="T105" i="1"/>
  <c r="L49" i="3"/>
  <c r="L43" i="3"/>
  <c r="L25" i="3"/>
  <c r="V11" i="2"/>
  <c r="V36" i="2" s="1"/>
  <c r="T11" i="2"/>
  <c r="T36" i="2" s="1"/>
  <c r="D49" i="3"/>
  <c r="D40" i="3"/>
  <c r="D31" i="3"/>
  <c r="L40" i="3"/>
  <c r="F37" i="3"/>
  <c r="D28" i="3"/>
  <c r="D13" i="3"/>
  <c r="X11" i="2"/>
  <c r="X36" i="2" s="1"/>
  <c r="N22" i="3"/>
  <c r="Z36" i="2"/>
  <c r="N37" i="3"/>
  <c r="N34" i="3"/>
  <c r="L19" i="3"/>
  <c r="F40" i="3"/>
  <c r="J36" i="2"/>
  <c r="F34" i="3"/>
  <c r="F31" i="3"/>
  <c r="D43" i="3"/>
  <c r="F19" i="3"/>
  <c r="F16" i="3"/>
  <c r="H11" i="2"/>
  <c r="H36" i="2" s="1"/>
  <c r="F49" i="3"/>
  <c r="L28" i="3"/>
  <c r="S36" i="2"/>
  <c r="M16" i="3"/>
  <c r="M57" i="3" s="1"/>
  <c r="N66" i="3" s="1"/>
  <c r="O36" i="2"/>
  <c r="D46" i="3"/>
  <c r="F43" i="3"/>
  <c r="K11" i="2"/>
  <c r="D25" i="3"/>
  <c r="E11" i="2"/>
  <c r="E36" i="2" s="1"/>
  <c r="D11" i="2"/>
  <c r="N43" i="3"/>
  <c r="F28" i="3"/>
  <c r="Y11" i="2"/>
  <c r="R11" i="2"/>
  <c r="P36" i="2"/>
  <c r="L11" i="2"/>
  <c r="L36" i="2" s="1"/>
  <c r="N55" i="3"/>
  <c r="G36" i="2"/>
  <c r="N13" i="3"/>
  <c r="K57" i="3"/>
  <c r="L46" i="3"/>
  <c r="AC11" i="2"/>
  <c r="AC36" i="2" s="1"/>
  <c r="AB36" i="2"/>
  <c r="AA11" i="2"/>
  <c r="AA36" i="2" s="1"/>
  <c r="C54" i="3"/>
  <c r="N36" i="2"/>
  <c r="F46" i="3"/>
  <c r="M36" i="2"/>
  <c r="N105" i="1"/>
  <c r="N106" i="1" s="1"/>
  <c r="AI105" i="1"/>
  <c r="AI106" i="1" s="1"/>
  <c r="E2" i="2"/>
  <c r="A21" i="1"/>
  <c r="AZ105" i="1"/>
  <c r="C107" i="1" s="1"/>
  <c r="C111" i="1" s="1"/>
  <c r="BQ11" i="1"/>
  <c r="B34" i="2" s="1"/>
  <c r="B36" i="2" s="1"/>
  <c r="AL105" i="1"/>
  <c r="E54" i="3"/>
  <c r="F63" i="3" s="1"/>
  <c r="AG105" i="1"/>
  <c r="AG106" i="1" s="1"/>
  <c r="AH105" i="1"/>
  <c r="AH106" i="1" s="1"/>
  <c r="C11" i="2"/>
  <c r="C36" i="2" s="1"/>
  <c r="M105" i="1"/>
  <c r="M106" i="1" s="1"/>
  <c r="G8" i="4"/>
  <c r="G106" i="4" s="1"/>
  <c r="G105" i="1"/>
  <c r="G106" i="1" s="1"/>
  <c r="H105" i="1"/>
  <c r="H106" i="1" s="1"/>
  <c r="AL108" i="1" l="1"/>
  <c r="AL110" i="1" s="1"/>
  <c r="AL106" i="1"/>
  <c r="R36" i="2"/>
  <c r="F54" i="3"/>
  <c r="F60" i="3" s="1"/>
  <c r="F61" i="3" s="1"/>
  <c r="N57" i="3"/>
  <c r="N69" i="3" s="1"/>
  <c r="V105" i="1"/>
  <c r="L57" i="3"/>
  <c r="N59" i="3" s="1"/>
  <c r="BQ105" i="1"/>
  <c r="D54" i="3"/>
  <c r="F56" i="3" s="1"/>
  <c r="G42" i="4"/>
  <c r="F66" i="3"/>
  <c r="G74" i="4"/>
  <c r="A24" i="1"/>
  <c r="F2" i="2"/>
  <c r="AM105" i="1"/>
  <c r="O105" i="1"/>
  <c r="O106" i="1" s="1"/>
  <c r="Y28" i="2"/>
  <c r="Y36" i="2" s="1"/>
  <c r="K28" i="2"/>
  <c r="K36" i="2" s="1"/>
  <c r="G12" i="4" l="1"/>
  <c r="G46" i="4" s="1"/>
  <c r="G48" i="4" s="1"/>
  <c r="G51" i="4" s="1"/>
  <c r="AM106" i="1"/>
  <c r="N63" i="3"/>
  <c r="N64" i="3" s="1"/>
  <c r="F68" i="3"/>
  <c r="G68" i="3" s="1"/>
  <c r="G2" i="2"/>
  <c r="A27" i="1"/>
  <c r="N71" i="3"/>
  <c r="D28" i="2"/>
  <c r="D36" i="2" s="1"/>
  <c r="AN105" i="1"/>
  <c r="G110" i="4" l="1"/>
  <c r="G78" i="4"/>
  <c r="G80" i="4" s="1"/>
  <c r="G112" i="4" s="1"/>
  <c r="G115" i="4" s="1"/>
  <c r="G119" i="4" s="1"/>
  <c r="G14" i="4"/>
  <c r="G17" i="4" s="1"/>
  <c r="G21" i="4" s="1"/>
  <c r="A30" i="1"/>
  <c r="H2" i="2"/>
  <c r="G55" i="4"/>
  <c r="G53" i="4"/>
  <c r="G83" i="4" l="1"/>
  <c r="G85" i="4" s="1"/>
  <c r="G19" i="4"/>
  <c r="G117" i="4"/>
  <c r="G121" i="4" s="1"/>
  <c r="I2" i="2"/>
  <c r="A33" i="1"/>
  <c r="G23" i="4"/>
  <c r="G57" i="4"/>
  <c r="G87" i="4" l="1"/>
  <c r="G89" i="4" s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C2" i="2" l="1"/>
  <c r="A93" i="1"/>
  <c r="A96" i="1" l="1"/>
  <c r="A99" i="1" s="1"/>
  <c r="AF2" i="2" s="1"/>
  <c r="AD2" i="2"/>
  <c r="AE2" i="2" l="1"/>
  <c r="A101" i="1"/>
</calcChain>
</file>

<file path=xl/sharedStrings.xml><?xml version="1.0" encoding="utf-8"?>
<sst xmlns="http://schemas.openxmlformats.org/spreadsheetml/2006/main" count="346" uniqueCount="142">
  <si>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</si>
  <si>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</si>
  <si>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</si>
  <si>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</si>
  <si>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</si>
  <si>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</si>
  <si>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</si>
  <si>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</si>
  <si>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</si>
  <si>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</si>
  <si>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</si>
  <si>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</si>
  <si>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</si>
  <si>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</si>
  <si>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</si>
  <si>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</si>
  <si>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</si>
  <si>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</si>
  <si>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</si>
  <si>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</si>
  <si>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</si>
  <si>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</si>
  <si>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</si>
  <si>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</si>
  <si>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</si>
  <si>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</si>
  <si>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</si>
  <si>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</si>
  <si>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</si>
  <si>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</si>
  <si>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</si>
  <si>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</si>
  <si>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</si>
  <si>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</si>
  <si>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</si>
  <si>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</si>
  <si>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</si>
  <si>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</si>
  <si>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</si>
  <si>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</si>
  <si>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</si>
  <si>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</si>
  <si>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</si>
  <si>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</si>
  <si>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</si>
  <si>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</si>
  <si>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</si>
  <si>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</si>
  <si>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</si>
  <si>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</si>
  <si>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</si>
  <si>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</si>
  <si>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</si>
  <si>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</si>
  <si>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</si>
  <si>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</si>
  <si>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</si>
  <si>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</si>
  <si>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</si>
  <si>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</si>
  <si>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</si>
  <si>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</si>
  <si>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</si>
  <si>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</si>
  <si>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</si>
  <si>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</si>
  <si>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</si>
  <si>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</si>
  <si>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</si>
  <si>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</si>
  <si>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</si>
  <si>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</si>
  <si>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</si>
  <si>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</si>
  <si>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</si>
  <si>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</si>
  <si>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</si>
  <si>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</si>
  <si>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</si>
  <si>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</si>
  <si>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</si>
  <si>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</si>
  <si>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</si>
  <si>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</si>
  <si>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</si>
  <si>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</si>
  <si>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</si>
  <si>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</si>
  <si>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</si>
  <si>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</si>
  <si>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</si>
  <si>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</si>
  <si>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</si>
  <si>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</si>
  <si>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</si>
  <si>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</si>
  <si>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</si>
  <si>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</si>
  <si>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</si>
  <si>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</si>
  <si>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</si>
  <si>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</si>
  <si>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</si>
  <si>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</si>
  <si>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</si>
  <si>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</si>
  <si>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</si>
  <si>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</si>
  <si>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</si>
  <si>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</si>
  <si>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</si>
  <si>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</si>
  <si>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</si>
  <si>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</si>
  <si>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</si>
  <si>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</si>
  <si>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</si>
  <si>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</si>
  <si>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</si>
  <si>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</si>
  <si>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</si>
  <si>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</si>
  <si>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</si>
  <si>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</si>
  <si>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</si>
  <si>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</si>
  <si>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</si>
  <si>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</si>
  <si>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</si>
  <si>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</si>
  <si>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</si>
  <si>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</si>
  <si>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</si>
  <si>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</si>
  <si>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FOR THE MONTH ENDED  SPETEMBER  2018</t>
  </si>
  <si>
    <t>SATURDAY</t>
  </si>
  <si>
    <t>SUNDAY</t>
  </si>
  <si>
    <t>Picasso/FP/HB</t>
  </si>
  <si>
    <t>THE SPHERE</t>
  </si>
  <si>
    <t>THE SPHERE/HB/FP</t>
  </si>
  <si>
    <t>SPHERES/FP/HB</t>
  </si>
  <si>
    <t>FP/HB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</si>
</sst>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66" fontId="3" fillId="2" borderId="0" xfId="1" applyNumberFormat="1" applyFont="1" applyFill="1" applyBorder="1"/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91"/>
  <sheetViews>
    <sheetView tabSelected="1" zoomScale="120" zoomScaleNormal="120" workbookViewId="0">
      <pane xSplit="3" ySplit="7" topLeftCell="AE97" activePane="bottomRight" state="frozen"/>
      <selection pane="topRight" activeCell="D1" sqref="D1"/>
      <selection pane="bottomLeft" activeCell="A8" sqref="A8"/>
      <selection pane="bottomRight" activeCell="AM105" sqref="AM105"/>
    </sheetView>
  </sheetViews>
  <sheetFormatPr defaultRowHeight="15" x14ac:dyDescent="0.25"/>
  <cols>
    <col min="1" max="1" width="13" style="135" customWidth="1"/>
    <col min="2" max="2" width="5.28515625" style="135" hidden="1" customWidth="1"/>
    <col min="3" max="3" width="21" style="135" customWidth="1"/>
    <col min="4" max="29" width="10.7109375" style="135" customWidth="1"/>
    <col min="30" max="30" width="12.140625" style="135" customWidth="1"/>
    <col min="31" max="31" width="19.28515625" style="135" customWidth="1"/>
    <col min="32" max="38" width="10.7109375" style="135" customWidth="1"/>
    <col min="39" max="39" width="11.42578125" style="135" customWidth="1"/>
    <col min="40" max="40" width="15.28515625" style="135" customWidth="1"/>
    <col min="41" max="41" width="10.7109375" style="135" customWidth="1"/>
    <col min="42" max="42" width="12" style="135" customWidth="1"/>
    <col min="43" max="44" width="10.7109375" style="135" customWidth="1"/>
    <col min="45" max="51" width="10.7109375" style="135" hidden="1" customWidth="1"/>
    <col min="52" max="56" width="10.7109375" style="135" customWidth="1"/>
    <col min="57" max="57" width="10.7109375" style="135" hidden="1" customWidth="1"/>
    <col min="58" max="58" width="10.7109375" style="135" customWidth="1"/>
    <col min="59" max="59" width="13" style="135" hidden="1" customWidth="1"/>
    <col min="60" max="60" width="10.7109375" style="135" customWidth="1"/>
    <col min="61" max="62" width="10.7109375" style="135" hidden="1" customWidth="1"/>
    <col min="63" max="64" width="10.7109375" style="135" customWidth="1"/>
    <col min="65" max="68" width="10.7109375" style="135" hidden="1" customWidth="1"/>
    <col min="69" max="69" width="10.7109375" style="135" customWidth="1"/>
    <col min="70" max="71" width="9.140625" style="135"/>
    <col min="72" max="124" width="12.7109375" style="4" customWidth="1"/>
    <col min="125" max="16384" width="9.140625" style="135"/>
  </cols>
  <sheetData>
    <row r="1" spans="1:124" ht="15.75" hidden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124" ht="15.75" hidden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124" ht="15.75" hidden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24" ht="24" hidden="1" thickBot="1" x14ac:dyDescent="0.3">
      <c r="A4" s="9" t="s">
        <v>134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 t="s">
        <v>34</v>
      </c>
      <c r="DE4" s="143"/>
      <c r="DF4" s="143" t="s">
        <v>25</v>
      </c>
      <c r="DG4" s="143" t="s">
        <v>35</v>
      </c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 t="s">
        <v>36</v>
      </c>
    </row>
    <row r="5" spans="1:124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2">
        <v>0.5</v>
      </c>
      <c r="BN5" s="4"/>
      <c r="BO5" s="4"/>
      <c r="BP5" s="4"/>
      <c r="BQ5" s="4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 t="s">
        <v>41</v>
      </c>
      <c r="DD5" s="143"/>
      <c r="DE5" s="143" t="s">
        <v>42</v>
      </c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</row>
    <row r="6" spans="1:124" ht="34.5" customHeight="1" thickTop="1" thickBot="1" x14ac:dyDescent="0.3">
      <c r="A6" s="193" t="s">
        <v>2</v>
      </c>
      <c r="B6" s="166" t="s">
        <v>3</v>
      </c>
      <c r="C6" s="174" t="s">
        <v>4</v>
      </c>
      <c r="D6" s="170" t="s">
        <v>5</v>
      </c>
      <c r="E6" s="170" t="s">
        <v>6</v>
      </c>
      <c r="F6" s="170" t="s">
        <v>7</v>
      </c>
      <c r="G6" s="174" t="s">
        <v>8</v>
      </c>
      <c r="H6" s="174" t="s">
        <v>9</v>
      </c>
      <c r="I6" s="170" t="s">
        <v>10</v>
      </c>
      <c r="J6" s="170" t="s">
        <v>11</v>
      </c>
      <c r="K6" s="170" t="s">
        <v>12</v>
      </c>
      <c r="L6" s="170" t="s">
        <v>13</v>
      </c>
      <c r="M6" s="166" t="s">
        <v>14</v>
      </c>
      <c r="N6" s="166" t="s">
        <v>15</v>
      </c>
      <c r="O6" s="166" t="s">
        <v>16</v>
      </c>
      <c r="P6" s="166" t="s">
        <v>17</v>
      </c>
      <c r="Q6" s="170" t="s">
        <v>46</v>
      </c>
      <c r="R6" s="170" t="s">
        <v>18</v>
      </c>
      <c r="S6" s="170" t="s">
        <v>19</v>
      </c>
      <c r="T6" s="166" t="s">
        <v>20</v>
      </c>
      <c r="U6" s="166" t="s">
        <v>21</v>
      </c>
      <c r="V6" s="166" t="s">
        <v>22</v>
      </c>
      <c r="W6" s="166" t="s">
        <v>47</v>
      </c>
      <c r="X6" s="170" t="s">
        <v>46</v>
      </c>
      <c r="Y6" s="64"/>
      <c r="Z6" s="170" t="s">
        <v>23</v>
      </c>
      <c r="AA6" s="179" t="s">
        <v>24</v>
      </c>
      <c r="AB6" s="170" t="s">
        <v>25</v>
      </c>
      <c r="AC6" s="170" t="s">
        <v>26</v>
      </c>
      <c r="AD6" s="185" t="s">
        <v>95</v>
      </c>
      <c r="AE6" s="186"/>
      <c r="AF6" s="173" t="s">
        <v>28</v>
      </c>
      <c r="AG6" s="181" t="s">
        <v>29</v>
      </c>
      <c r="AH6" s="182"/>
      <c r="AI6" s="174" t="s">
        <v>30</v>
      </c>
      <c r="AJ6" s="64"/>
      <c r="AK6" s="174" t="s">
        <v>31</v>
      </c>
      <c r="AL6" s="174" t="s">
        <v>32</v>
      </c>
      <c r="AM6" s="177" t="s">
        <v>33</v>
      </c>
      <c r="AN6" s="183" t="s">
        <v>103</v>
      </c>
      <c r="AO6" s="17"/>
      <c r="AP6" s="168" t="s">
        <v>63</v>
      </c>
      <c r="AQ6" s="168" t="s">
        <v>64</v>
      </c>
      <c r="AR6" s="168" t="s">
        <v>111</v>
      </c>
      <c r="AS6" s="168" t="s">
        <v>65</v>
      </c>
      <c r="AT6" s="168" t="s">
        <v>98</v>
      </c>
      <c r="AU6" s="168" t="s">
        <v>119</v>
      </c>
      <c r="AV6" s="168" t="s">
        <v>113</v>
      </c>
      <c r="AW6" s="168" t="s">
        <v>114</v>
      </c>
      <c r="AX6" s="168" t="s">
        <v>115</v>
      </c>
      <c r="AY6" s="66"/>
      <c r="AZ6" s="68"/>
      <c r="BA6" s="188" t="s">
        <v>34</v>
      </c>
      <c r="BB6" s="70"/>
      <c r="BC6" s="174" t="s">
        <v>25</v>
      </c>
      <c r="BD6" s="174" t="s">
        <v>35</v>
      </c>
      <c r="BE6" s="168" t="s">
        <v>125</v>
      </c>
      <c r="BF6" s="168" t="s">
        <v>112</v>
      </c>
      <c r="BG6" s="168" t="s">
        <v>128</v>
      </c>
      <c r="BH6" s="168" t="s">
        <v>131</v>
      </c>
      <c r="BI6" s="168" t="s">
        <v>132</v>
      </c>
      <c r="BJ6" s="168" t="s">
        <v>133</v>
      </c>
      <c r="BK6" s="168" t="s">
        <v>127</v>
      </c>
      <c r="BL6" s="168" t="s">
        <v>116</v>
      </c>
      <c r="BM6" s="168" t="s">
        <v>118</v>
      </c>
      <c r="BN6" s="18"/>
      <c r="BO6" s="18"/>
      <c r="BP6" s="18"/>
      <c r="BQ6" s="181" t="s">
        <v>36</v>
      </c>
    </row>
    <row r="7" spans="1:124" ht="35.25" thickTop="1" thickBot="1" x14ac:dyDescent="0.3">
      <c r="A7" s="194"/>
      <c r="B7" s="167"/>
      <c r="C7" s="176"/>
      <c r="D7" s="172"/>
      <c r="E7" s="172"/>
      <c r="F7" s="171"/>
      <c r="G7" s="176"/>
      <c r="H7" s="176"/>
      <c r="I7" s="171"/>
      <c r="J7" s="171"/>
      <c r="K7" s="172"/>
      <c r="L7" s="171"/>
      <c r="M7" s="167"/>
      <c r="N7" s="167"/>
      <c r="O7" s="167"/>
      <c r="P7" s="167"/>
      <c r="Q7" s="171"/>
      <c r="R7" s="172"/>
      <c r="S7" s="171"/>
      <c r="T7" s="167"/>
      <c r="U7" s="167"/>
      <c r="V7" s="167"/>
      <c r="W7" s="167"/>
      <c r="X7" s="171"/>
      <c r="Y7" s="19" t="s">
        <v>37</v>
      </c>
      <c r="Z7" s="172"/>
      <c r="AA7" s="180"/>
      <c r="AB7" s="172"/>
      <c r="AC7" s="172"/>
      <c r="AD7" s="117" t="s">
        <v>96</v>
      </c>
      <c r="AE7" s="118" t="s">
        <v>97</v>
      </c>
      <c r="AF7" s="172"/>
      <c r="AG7" s="20" t="s">
        <v>38</v>
      </c>
      <c r="AH7" s="20" t="s">
        <v>39</v>
      </c>
      <c r="AI7" s="175"/>
      <c r="AJ7" s="65" t="s">
        <v>40</v>
      </c>
      <c r="AK7" s="176"/>
      <c r="AL7" s="176"/>
      <c r="AM7" s="178"/>
      <c r="AN7" s="184"/>
      <c r="AO7" s="21" t="s">
        <v>66</v>
      </c>
      <c r="AP7" s="169"/>
      <c r="AQ7" s="169"/>
      <c r="AR7" s="169"/>
      <c r="AS7" s="169"/>
      <c r="AT7" s="169"/>
      <c r="AU7" s="169"/>
      <c r="AV7" s="169"/>
      <c r="AW7" s="169"/>
      <c r="AX7" s="169"/>
      <c r="AY7" s="67"/>
      <c r="AZ7" s="69" t="s">
        <v>41</v>
      </c>
      <c r="BA7" s="189"/>
      <c r="BB7" s="71" t="s">
        <v>42</v>
      </c>
      <c r="BC7" s="175"/>
      <c r="BD7" s="175"/>
      <c r="BE7" s="169"/>
      <c r="BF7" s="169"/>
      <c r="BG7" s="169"/>
      <c r="BH7" s="169"/>
      <c r="BI7" s="169"/>
      <c r="BJ7" s="169"/>
      <c r="BK7" s="169"/>
      <c r="BL7" s="169"/>
      <c r="BM7" s="169"/>
      <c r="BN7" s="22"/>
      <c r="BO7" s="22"/>
      <c r="BP7" s="22"/>
      <c r="BQ7" s="187"/>
      <c r="BT7" s="4" t="s">
        <v>58</v>
      </c>
      <c r="BU7" s="4" t="s">
        <v>59</v>
      </c>
      <c r="BV7" s="4" t="s">
        <v>60</v>
      </c>
      <c r="BW7" s="4" t="s">
        <v>61</v>
      </c>
      <c r="BX7" s="4" t="s">
        <v>36</v>
      </c>
    </row>
    <row r="8" spans="1:124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31"/>
    </row>
    <row r="9" spans="1:124" x14ac:dyDescent="0.25">
      <c r="A9" s="190">
        <v>43525</v>
      </c>
      <c r="B9" s="32" t="s">
        <v>43</v>
      </c>
      <c r="C9" s="33">
        <v>47939.46</v>
      </c>
      <c r="D9" s="34">
        <v>26502.01</v>
      </c>
      <c r="E9" s="34">
        <v>26502</v>
      </c>
      <c r="F9" s="35">
        <v>43525</v>
      </c>
      <c r="G9" s="33">
        <f>IF(E9-D9&lt;0,E9-D9,0)*-1</f>
        <v>9.9999999983992893E-3</v>
      </c>
      <c r="H9" s="33">
        <f>IF(E9-D9&gt;0,E9-D9,0)</f>
        <v>0</v>
      </c>
      <c r="I9" s="34"/>
      <c r="J9" s="34"/>
      <c r="K9" s="34">
        <v>20065.490000000002</v>
      </c>
      <c r="L9" s="34"/>
      <c r="M9" s="36">
        <f>(+K9)*M$5</f>
        <v>431.40803499999998</v>
      </c>
      <c r="N9" s="36">
        <f>(+K9)*N$5</f>
        <v>100.32745000000001</v>
      </c>
      <c r="O9" s="36">
        <f>+K9-M9-N9+P9</f>
        <v>19533.754515000001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>
        <f>120+48+462.5</f>
        <v>630.5</v>
      </c>
      <c r="AA9" s="34"/>
      <c r="AB9" s="34"/>
      <c r="AC9" s="34">
        <v>229.46</v>
      </c>
      <c r="AD9" s="38" t="s">
        <v>141</v>
      </c>
      <c r="AE9" s="38">
        <v>512</v>
      </c>
      <c r="AF9" s="34">
        <v>3721.14</v>
      </c>
      <c r="AG9" s="33">
        <f>(AF9*0.8)*0.85</f>
        <v>2530.3751999999999</v>
      </c>
      <c r="AH9" s="33">
        <f>(AF9*0.8)*0.15</f>
        <v>446.53680000000003</v>
      </c>
      <c r="AI9" s="33">
        <f>AF9*0.2</f>
        <v>744.22800000000007</v>
      </c>
      <c r="AJ9" s="34"/>
      <c r="AK9" s="33">
        <f t="shared" ref="AK9:AK10" si="0">(C9-AF9-AJ9)/1.12</f>
        <v>39480.642857142855</v>
      </c>
      <c r="AL9" s="33">
        <f t="shared" ref="AL9:AL10" si="1">AK9-SUM(Y9:AC9)</f>
        <v>38620.682857142856</v>
      </c>
      <c r="AM9" s="33">
        <f t="shared" ref="AM9:AM10" si="2">+AL9*0.12</f>
        <v>4634.4819428571427</v>
      </c>
      <c r="AN9" s="33">
        <f t="shared" ref="AN9:AN10" si="3">+AM9+AL9+AJ9</f>
        <v>43255.164799999999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41">
        <f>AZ9+BA9+BB9+BD9-BC9</f>
        <v>0</v>
      </c>
    </row>
    <row r="10" spans="1:124" ht="15.75" thickBot="1" x14ac:dyDescent="0.3">
      <c r="A10" s="192"/>
      <c r="B10" s="15" t="s">
        <v>44</v>
      </c>
      <c r="C10" s="33">
        <v>26483.9</v>
      </c>
      <c r="D10" s="34">
        <v>21060.91</v>
      </c>
      <c r="E10" s="34">
        <v>21065</v>
      </c>
      <c r="F10" s="35">
        <v>43526</v>
      </c>
      <c r="G10" s="33">
        <f>IF(E10-D10&lt;0,E10-D10,0)*-1</f>
        <v>0</v>
      </c>
      <c r="H10" s="33">
        <f>IF(E10-D10&gt;0,E10-D10,0)</f>
        <v>4.0900000000001455</v>
      </c>
      <c r="I10" s="34"/>
      <c r="J10" s="34"/>
      <c r="K10" s="34">
        <v>4052.15</v>
      </c>
      <c r="L10" s="34"/>
      <c r="M10" s="36">
        <f>(+K10)*M$5</f>
        <v>87.121224999999995</v>
      </c>
      <c r="N10" s="36">
        <f>(+K10)*N$5</f>
        <v>20.260750000000002</v>
      </c>
      <c r="O10" s="36">
        <f>+K10-M10-N10+P10</f>
        <v>3944.7680250000003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325.25</v>
      </c>
      <c r="AA10" s="34">
        <v>28</v>
      </c>
      <c r="AB10" s="34"/>
      <c r="AC10" s="34">
        <v>32.590000000000003</v>
      </c>
      <c r="AD10" s="38" t="s">
        <v>141</v>
      </c>
      <c r="AE10" s="38">
        <v>985</v>
      </c>
      <c r="AF10" s="34">
        <v>2013.45</v>
      </c>
      <c r="AG10" s="33">
        <f>(AF10*0.8)*0.85</f>
        <v>1369.1460000000002</v>
      </c>
      <c r="AH10" s="33">
        <f>(AF10*0.8)*0.15</f>
        <v>241.61400000000003</v>
      </c>
      <c r="AI10" s="33">
        <f>AF10*0.2</f>
        <v>402.69000000000005</v>
      </c>
      <c r="AJ10" s="34"/>
      <c r="AK10" s="33">
        <f t="shared" si="0"/>
        <v>21848.616071428569</v>
      </c>
      <c r="AL10" s="33">
        <f t="shared" si="1"/>
        <v>21462.776071428569</v>
      </c>
      <c r="AM10" s="33">
        <f t="shared" si="2"/>
        <v>2575.5331285714283</v>
      </c>
      <c r="AN10" s="33">
        <f t="shared" si="3"/>
        <v>24038.309199999996</v>
      </c>
      <c r="AO10" s="39">
        <v>195</v>
      </c>
      <c r="AP10" s="40"/>
      <c r="AQ10" s="40">
        <v>110</v>
      </c>
      <c r="AR10" s="40">
        <v>1260</v>
      </c>
      <c r="AS10" s="40"/>
      <c r="AT10" s="40"/>
      <c r="AU10" s="40"/>
      <c r="AV10" s="40"/>
      <c r="AW10" s="40"/>
      <c r="AX10" s="40"/>
      <c r="AY10" s="40"/>
      <c r="AZ10" s="33">
        <f>SUM(AO10:AY10)</f>
        <v>1565</v>
      </c>
      <c r="BA10" s="38"/>
      <c r="BB10" s="38"/>
      <c r="BC10" s="33">
        <v>0</v>
      </c>
      <c r="BD10" s="33">
        <f>SUM(BE10:BL10)+(BM10*0.5)</f>
        <v>195</v>
      </c>
      <c r="BE10" s="39"/>
      <c r="BF10" s="39"/>
      <c r="BG10" s="39"/>
      <c r="BH10" s="39">
        <v>195</v>
      </c>
      <c r="BI10" s="39"/>
      <c r="BJ10" s="39"/>
      <c r="BK10" s="39"/>
      <c r="BL10" s="39"/>
      <c r="BM10" s="39"/>
      <c r="BN10" s="39"/>
      <c r="BO10" s="39"/>
      <c r="BP10" s="39"/>
      <c r="BQ10" s="41">
        <f>AZ10+BA10+BB10+BD10-BC10</f>
        <v>1760</v>
      </c>
    </row>
    <row r="11" spans="1:124" s="160" customFormat="1" ht="15.75" thickBot="1" x14ac:dyDescent="0.3">
      <c r="A11" s="157"/>
      <c r="B11" s="43"/>
      <c r="C11" s="44">
        <f>SUBTOTAL(9,C9:C10)</f>
        <v>74423.360000000001</v>
      </c>
      <c r="D11" s="45">
        <f t="shared" ref="D11" si="4">SUBTOTAL(9,D9:D10)</f>
        <v>47562.92</v>
      </c>
      <c r="E11" s="45">
        <f>SUBTOTAL(9,E9:E10)</f>
        <v>47567</v>
      </c>
      <c r="F11" s="47"/>
      <c r="G11" s="45">
        <f t="shared" ref="G11" si="5">SUBTOTAL(9,G9:G10)</f>
        <v>9.9999999983992893E-3</v>
      </c>
      <c r="H11" s="45">
        <f t="shared" ref="H11" si="6">SUBTOTAL(9,H9:H10)</f>
        <v>4.0900000000001455</v>
      </c>
      <c r="I11" s="45">
        <f t="shared" ref="I11" si="7">SUBTOTAL(9,I9:I10)</f>
        <v>0</v>
      </c>
      <c r="J11" s="45">
        <f t="shared" ref="J11" si="8">SUBTOTAL(9,J9:J10)</f>
        <v>0</v>
      </c>
      <c r="K11" s="159">
        <f t="shared" ref="K11" si="9">SUBTOTAL(9,K9:K10)</f>
        <v>24117.640000000003</v>
      </c>
      <c r="L11" s="45">
        <f t="shared" ref="L11" si="10">SUBTOTAL(9,L9:L10)</f>
        <v>0</v>
      </c>
      <c r="M11" s="46">
        <f t="shared" ref="M11" si="11">SUBTOTAL(9,M9:M10)</f>
        <v>518.52926000000002</v>
      </c>
      <c r="N11" s="46">
        <f t="shared" ref="N11" si="12">SUBTOTAL(9,N9:N10)</f>
        <v>120.58820000000001</v>
      </c>
      <c r="O11" s="46">
        <f t="shared" ref="O11" si="13">SUBTOTAL(9,O9:O10)</f>
        <v>23478.522540000002</v>
      </c>
      <c r="P11" s="46">
        <f t="shared" ref="P11" si="14">SUBTOTAL(9,P9:P10)</f>
        <v>0</v>
      </c>
      <c r="Q11" s="47">
        <f t="shared" ref="Q11" si="15">SUBTOTAL(9,Q9:Q10)</f>
        <v>0</v>
      </c>
      <c r="R11" s="45">
        <f t="shared" ref="R11" si="16">SUBTOTAL(9,R9:R10)</f>
        <v>0</v>
      </c>
      <c r="S11" s="45">
        <f t="shared" ref="S11" si="17">SUBTOTAL(9,S9:S10)</f>
        <v>0</v>
      </c>
      <c r="T11" s="46">
        <f t="shared" ref="T11" si="18">SUBTOTAL(9,T9:T10)</f>
        <v>0</v>
      </c>
      <c r="U11" s="46">
        <f t="shared" ref="U11" si="19">SUBTOTAL(9,U9:U10)</f>
        <v>0</v>
      </c>
      <c r="V11" s="46">
        <f t="shared" ref="V11" si="20">SUBTOTAL(9,V9:V10)</f>
        <v>0</v>
      </c>
      <c r="W11" s="46">
        <f t="shared" ref="W11" si="21">SUBTOTAL(9,W9:W10)</f>
        <v>0</v>
      </c>
      <c r="X11" s="47">
        <f t="shared" ref="X11" si="22">SUBTOTAL(9,X9:X10)</f>
        <v>0</v>
      </c>
      <c r="Y11" s="45">
        <f t="shared" ref="Y11" si="23">SUBTOTAL(9,Y9:Y10)</f>
        <v>0</v>
      </c>
      <c r="Z11" s="45">
        <f t="shared" ref="Z11" si="24">SUBTOTAL(9,Z9:Z10)</f>
        <v>955.75</v>
      </c>
      <c r="AA11" s="45">
        <f t="shared" ref="AA11" si="25">SUBTOTAL(9,AA9:AA10)</f>
        <v>28</v>
      </c>
      <c r="AB11" s="45">
        <f t="shared" ref="AB11" si="26">SUBTOTAL(9,AB9:AB10)</f>
        <v>0</v>
      </c>
      <c r="AC11" s="45">
        <f t="shared" ref="AC11" si="27">SUBTOTAL(9,AC9:AC10)</f>
        <v>262.05</v>
      </c>
      <c r="AD11" s="48"/>
      <c r="AE11" s="48"/>
      <c r="AF11" s="45">
        <f t="shared" ref="AF11" si="28">SUBTOTAL(9,AF9:AF10)</f>
        <v>5734.59</v>
      </c>
      <c r="AG11" s="44">
        <f t="shared" ref="AG11" si="29">SUBTOTAL(9,AG9:AG10)</f>
        <v>3899.5212000000001</v>
      </c>
      <c r="AH11" s="44">
        <f t="shared" ref="AH11" si="30">SUBTOTAL(9,AH9:AH10)</f>
        <v>688.15080000000012</v>
      </c>
      <c r="AI11" s="44">
        <f t="shared" ref="AI11" si="31">SUBTOTAL(9,AI9:AI10)</f>
        <v>1146.9180000000001</v>
      </c>
      <c r="AJ11" s="45">
        <f t="shared" ref="AJ11" si="32">SUBTOTAL(9,AJ9:AJ10)</f>
        <v>0</v>
      </c>
      <c r="AK11" s="44">
        <f t="shared" ref="AK11" si="33">SUBTOTAL(9,AK9:AK10)</f>
        <v>61329.25892857142</v>
      </c>
      <c r="AL11" s="44">
        <f t="shared" ref="AL11" si="34">SUBTOTAL(9,AL9:AL10)</f>
        <v>60083.458928571425</v>
      </c>
      <c r="AM11" s="44">
        <f t="shared" ref="AM11" si="35">SUBTOTAL(9,AM9:AM10)</f>
        <v>7210.015071428571</v>
      </c>
      <c r="AN11" s="44">
        <f t="shared" ref="AN11" si="36">SUBTOTAL(9,AN9:AN10)</f>
        <v>67293.473999999987</v>
      </c>
      <c r="AO11" s="49">
        <f t="shared" ref="R11:BP11" si="37">SUBTOTAL(9,AO9:AO10)</f>
        <v>195</v>
      </c>
      <c r="AP11" s="49">
        <f t="shared" si="37"/>
        <v>0</v>
      </c>
      <c r="AQ11" s="49">
        <f t="shared" si="37"/>
        <v>110</v>
      </c>
      <c r="AR11" s="49">
        <f t="shared" si="37"/>
        <v>1260</v>
      </c>
      <c r="AS11" s="49">
        <f t="shared" si="37"/>
        <v>0</v>
      </c>
      <c r="AT11" s="49">
        <f t="shared" si="37"/>
        <v>0</v>
      </c>
      <c r="AU11" s="49">
        <f>SUBTOTAL(9,AU9:AU10)</f>
        <v>0</v>
      </c>
      <c r="AV11" s="49">
        <f t="shared" si="37"/>
        <v>0</v>
      </c>
      <c r="AW11" s="49">
        <f t="shared" si="37"/>
        <v>0</v>
      </c>
      <c r="AX11" s="49">
        <f t="shared" si="37"/>
        <v>0</v>
      </c>
      <c r="AY11" s="49">
        <f t="shared" si="37"/>
        <v>0</v>
      </c>
      <c r="AZ11" s="44">
        <f t="shared" si="37"/>
        <v>1565</v>
      </c>
      <c r="BA11" s="48">
        <f t="shared" si="37"/>
        <v>0</v>
      </c>
      <c r="BB11" s="48">
        <f t="shared" si="37"/>
        <v>0</v>
      </c>
      <c r="BC11" s="44">
        <f t="shared" si="37"/>
        <v>0</v>
      </c>
      <c r="BD11" s="44">
        <f t="shared" si="37"/>
        <v>195</v>
      </c>
      <c r="BE11" s="49">
        <f>SUBTOTAL(9,BE9:BE10)</f>
        <v>0</v>
      </c>
      <c r="BF11" s="49">
        <f t="shared" si="37"/>
        <v>0</v>
      </c>
      <c r="BG11" s="49">
        <f t="shared" si="37"/>
        <v>0</v>
      </c>
      <c r="BH11" s="49">
        <f t="shared" si="37"/>
        <v>195</v>
      </c>
      <c r="BI11" s="49">
        <f t="shared" si="37"/>
        <v>0</v>
      </c>
      <c r="BJ11" s="49">
        <f t="shared" si="37"/>
        <v>0</v>
      </c>
      <c r="BK11" s="49">
        <f t="shared" si="37"/>
        <v>0</v>
      </c>
      <c r="BL11" s="49">
        <f t="shared" si="37"/>
        <v>0</v>
      </c>
      <c r="BM11" s="49">
        <f t="shared" si="37"/>
        <v>0</v>
      </c>
      <c r="BN11" s="49">
        <f t="shared" si="37"/>
        <v>0</v>
      </c>
      <c r="BO11" s="49">
        <f t="shared" si="37"/>
        <v>0</v>
      </c>
      <c r="BP11" s="49">
        <f t="shared" si="37"/>
        <v>0</v>
      </c>
      <c r="BQ11" s="44">
        <f>SUBTOTAL(9,BQ9:BQ10)</f>
        <v>1760</v>
      </c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2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</row>
    <row r="12" spans="1:124" x14ac:dyDescent="0.25">
      <c r="A12" s="190">
        <f>A9+1</f>
        <v>43526</v>
      </c>
      <c r="B12" s="32" t="s">
        <v>43</v>
      </c>
      <c r="C12" s="33" t="s">
        <v>135</v>
      </c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 t="s">
        <v>141</v>
      </c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 t="shared" ref="AL12" si="38">AK12-SUM(Y12:AC12)</f>
        <v>0</v>
      </c>
      <c r="AM12" s="33">
        <f t="shared" ref="AM12" si="39">+AL12*0.12</f>
        <v>0</v>
      </c>
      <c r="AN12" s="33">
        <f t="shared" ref="AN12" si="40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41">
        <f>AZ12+BA12+BB12+BD12-BC12</f>
        <v>0</v>
      </c>
      <c r="BS12" s="145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</row>
    <row r="13" spans="1:124" ht="15.75" thickBot="1" x14ac:dyDescent="0.3">
      <c r="A13" s="191"/>
      <c r="B13" s="15" t="s">
        <v>44</v>
      </c>
      <c r="C13" s="33">
        <v>10959.83</v>
      </c>
      <c r="D13" s="34">
        <v>3747.86</v>
      </c>
      <c r="E13" s="34">
        <v>3750</v>
      </c>
      <c r="F13" s="35">
        <v>43528</v>
      </c>
      <c r="G13" s="33">
        <f>IF(E13-D13&lt;0,E13-D13,0)*-1</f>
        <v>0</v>
      </c>
      <c r="H13" s="33">
        <f>IF(E13-D13&gt;0,E13-D13,0)</f>
        <v>2.1399999999998727</v>
      </c>
      <c r="I13" s="34"/>
      <c r="J13" s="34"/>
      <c r="K13" s="34">
        <v>3997.68</v>
      </c>
      <c r="L13" s="34"/>
      <c r="M13" s="36">
        <f>(+K13)*M$5</f>
        <v>85.950119999999984</v>
      </c>
      <c r="N13" s="36">
        <f>(+K13)*N$5</f>
        <v>19.988399999999999</v>
      </c>
      <c r="O13" s="36">
        <f>+K13-M13-N13+P13</f>
        <v>3891.7414799999997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>
        <v>89.29</v>
      </c>
      <c r="AD13" s="38" t="s">
        <v>141</v>
      </c>
      <c r="AE13" s="38">
        <v>3125</v>
      </c>
      <c r="AF13" s="34">
        <v>638.4</v>
      </c>
      <c r="AG13" s="33">
        <f>(AF13*0.8)*0.85</f>
        <v>434.11200000000002</v>
      </c>
      <c r="AH13" s="33">
        <f>(AF13*0.8)*0.15</f>
        <v>76.608000000000004</v>
      </c>
      <c r="AI13" s="33">
        <f>AF13*0.2</f>
        <v>127.68</v>
      </c>
      <c r="AJ13" s="34">
        <v>0</v>
      </c>
      <c r="AK13" s="33">
        <f t="shared" ref="AK13" si="41">(C13-AF13-AJ13)/1.12</f>
        <v>9215.5625</v>
      </c>
      <c r="AL13" s="33">
        <f t="shared" ref="AL13" si="42">AK13-SUM(Y13:AC13)</f>
        <v>9126.2724999999991</v>
      </c>
      <c r="AM13" s="33">
        <f t="shared" ref="AM13" si="43">+AL13*0.12</f>
        <v>1095.1526999999999</v>
      </c>
      <c r="AN13" s="33">
        <f t="shared" ref="AN13" si="44">+AM13+AL13+AJ13</f>
        <v>10221.4252</v>
      </c>
      <c r="AO13" s="39"/>
      <c r="AP13" s="40">
        <v>1100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1100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41">
        <f>AZ13+BA13+BB13+BD13-BC13</f>
        <v>1100</v>
      </c>
      <c r="BS13" s="145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</row>
    <row r="14" spans="1:124" s="160" customFormat="1" ht="15.75" thickBot="1" x14ac:dyDescent="0.3">
      <c r="A14" s="157"/>
      <c r="B14" s="43"/>
      <c r="C14" s="44">
        <f>SUBTOTAL(9,C12:C13)</f>
        <v>10959.83</v>
      </c>
      <c r="D14" s="45">
        <f t="shared" ref="D14" si="45">SUBTOTAL(9,D12:D13)</f>
        <v>3747.86</v>
      </c>
      <c r="E14" s="45">
        <f>SUBTOTAL(9,E12:E13)</f>
        <v>3750</v>
      </c>
      <c r="F14" s="47"/>
      <c r="G14" s="45">
        <f t="shared" ref="G14" si="46">SUBTOTAL(9,G12:G13)</f>
        <v>0</v>
      </c>
      <c r="H14" s="45">
        <f t="shared" ref="H14" si="47">SUBTOTAL(9,H12:H13)</f>
        <v>2.1399999999998727</v>
      </c>
      <c r="I14" s="45">
        <f t="shared" ref="I14" si="48">SUBTOTAL(9,I12:I13)</f>
        <v>0</v>
      </c>
      <c r="J14" s="45">
        <f t="shared" ref="J14" si="49">SUBTOTAL(9,J12:J13)</f>
        <v>0</v>
      </c>
      <c r="K14" s="159">
        <f t="shared" ref="K14" si="50">SUBTOTAL(9,K12:K13)</f>
        <v>3997.68</v>
      </c>
      <c r="L14" s="45">
        <f t="shared" ref="L14" si="51">SUBTOTAL(9,L12:L13)</f>
        <v>0</v>
      </c>
      <c r="M14" s="46">
        <f t="shared" ref="M14" si="52">SUBTOTAL(9,M12:M13)</f>
        <v>85.950119999999984</v>
      </c>
      <c r="N14" s="46">
        <f t="shared" ref="N14" si="53">SUBTOTAL(9,N12:N13)</f>
        <v>19.988399999999999</v>
      </c>
      <c r="O14" s="46">
        <f t="shared" ref="O14" si="54">SUBTOTAL(9,O12:O13)</f>
        <v>3891.7414799999997</v>
      </c>
      <c r="P14" s="46">
        <f t="shared" ref="P14" si="55">SUBTOTAL(9,P12:P13)</f>
        <v>0</v>
      </c>
      <c r="Q14" s="47">
        <f t="shared" ref="Q14" si="56">SUBTOTAL(9,Q12:Q13)</f>
        <v>0</v>
      </c>
      <c r="R14" s="45">
        <f t="shared" ref="R14" si="57">SUBTOTAL(9,R12:R13)</f>
        <v>0</v>
      </c>
      <c r="S14" s="45">
        <f t="shared" ref="S14" si="58">SUBTOTAL(9,S12:S13)</f>
        <v>0</v>
      </c>
      <c r="T14" s="46">
        <f t="shared" ref="T14" si="59">SUBTOTAL(9,T12:T13)</f>
        <v>0</v>
      </c>
      <c r="U14" s="46">
        <f t="shared" ref="U14" si="60">SUBTOTAL(9,U12:U13)</f>
        <v>0</v>
      </c>
      <c r="V14" s="46">
        <f t="shared" ref="V14" si="61">SUBTOTAL(9,V12:V13)</f>
        <v>0</v>
      </c>
      <c r="W14" s="46">
        <f t="shared" ref="W14" si="62">SUBTOTAL(9,W12:W13)</f>
        <v>0</v>
      </c>
      <c r="X14" s="47">
        <f t="shared" ref="X14" si="63">SUBTOTAL(9,X12:X13)</f>
        <v>0</v>
      </c>
      <c r="Y14" s="45">
        <f t="shared" ref="Y14" si="64">SUBTOTAL(9,Y12:Y13)</f>
        <v>0</v>
      </c>
      <c r="Z14" s="45">
        <f t="shared" ref="Z14" si="65">SUBTOTAL(9,Z12:Z13)</f>
        <v>0</v>
      </c>
      <c r="AA14" s="45">
        <f t="shared" ref="AA14" si="66">SUBTOTAL(9,AA12:AA13)</f>
        <v>0</v>
      </c>
      <c r="AB14" s="45">
        <f t="shared" ref="AB14" si="67">SUBTOTAL(9,AB12:AB13)</f>
        <v>0</v>
      </c>
      <c r="AC14" s="45">
        <f t="shared" ref="AC14" si="68">SUBTOTAL(9,AC12:AC13)</f>
        <v>89.29</v>
      </c>
      <c r="AD14" s="48"/>
      <c r="AE14" s="48"/>
      <c r="AF14" s="45">
        <f t="shared" ref="AF14" si="69">SUBTOTAL(9,AF12:AF13)</f>
        <v>638.4</v>
      </c>
      <c r="AG14" s="44">
        <f t="shared" ref="AG14" si="70">SUBTOTAL(9,AG12:AG13)</f>
        <v>434.11200000000002</v>
      </c>
      <c r="AH14" s="44">
        <f t="shared" ref="AH14" si="71">SUBTOTAL(9,AH12:AH13)</f>
        <v>76.608000000000004</v>
      </c>
      <c r="AI14" s="44">
        <f t="shared" ref="AI14" si="72">SUBTOTAL(9,AI12:AI13)</f>
        <v>127.68</v>
      </c>
      <c r="AJ14" s="45">
        <f t="shared" ref="AJ14" si="73">SUBTOTAL(9,AJ12:AJ13)</f>
        <v>0</v>
      </c>
      <c r="AK14" s="44">
        <f t="shared" ref="AK14" si="74">SUBTOTAL(9,AK12:AK13)</f>
        <v>9215.5625</v>
      </c>
      <c r="AL14" s="44">
        <f t="shared" ref="AL14" si="75">SUBTOTAL(9,AL12:AL13)</f>
        <v>9126.2724999999991</v>
      </c>
      <c r="AM14" s="44">
        <f t="shared" ref="AM14" si="76">SUBTOTAL(9,AM12:AM13)</f>
        <v>1095.1526999999999</v>
      </c>
      <c r="AN14" s="44">
        <f t="shared" ref="AN14" si="77">SUBTOTAL(9,AN12:AN13)</f>
        <v>10221.4252</v>
      </c>
      <c r="AO14" s="49">
        <f t="shared" ref="R14:BP14" si="78">SUBTOTAL(9,AO12:AO13)</f>
        <v>0</v>
      </c>
      <c r="AP14" s="49">
        <f t="shared" si="78"/>
        <v>1100</v>
      </c>
      <c r="AQ14" s="49">
        <f t="shared" si="78"/>
        <v>0</v>
      </c>
      <c r="AR14" s="49">
        <f t="shared" si="78"/>
        <v>0</v>
      </c>
      <c r="AS14" s="49">
        <f t="shared" si="78"/>
        <v>0</v>
      </c>
      <c r="AT14" s="49">
        <f t="shared" si="78"/>
        <v>0</v>
      </c>
      <c r="AU14" s="49">
        <f>SUBTOTAL(9,AU12:AU13)</f>
        <v>0</v>
      </c>
      <c r="AV14" s="49">
        <f t="shared" si="78"/>
        <v>0</v>
      </c>
      <c r="AW14" s="49">
        <f t="shared" si="78"/>
        <v>0</v>
      </c>
      <c r="AX14" s="49">
        <f t="shared" si="78"/>
        <v>0</v>
      </c>
      <c r="AY14" s="49">
        <f t="shared" si="78"/>
        <v>0</v>
      </c>
      <c r="AZ14" s="44">
        <f t="shared" si="78"/>
        <v>1100</v>
      </c>
      <c r="BA14" s="48">
        <f t="shared" si="78"/>
        <v>0</v>
      </c>
      <c r="BB14" s="48">
        <f t="shared" si="78"/>
        <v>0</v>
      </c>
      <c r="BC14" s="44">
        <f t="shared" si="78"/>
        <v>0</v>
      </c>
      <c r="BD14" s="44">
        <v>0</v>
      </c>
      <c r="BE14" s="49">
        <f>SUBTOTAL(9,BE12:BE13)</f>
        <v>0</v>
      </c>
      <c r="BF14" s="49">
        <f t="shared" si="78"/>
        <v>0</v>
      </c>
      <c r="BG14" s="49">
        <f t="shared" si="78"/>
        <v>0</v>
      </c>
      <c r="BH14" s="49">
        <f t="shared" si="78"/>
        <v>0</v>
      </c>
      <c r="BI14" s="49">
        <f t="shared" si="78"/>
        <v>0</v>
      </c>
      <c r="BJ14" s="49">
        <f t="shared" si="78"/>
        <v>0</v>
      </c>
      <c r="BK14" s="49">
        <f t="shared" si="78"/>
        <v>0</v>
      </c>
      <c r="BL14" s="49">
        <f t="shared" si="78"/>
        <v>0</v>
      </c>
      <c r="BM14" s="49">
        <f t="shared" si="78"/>
        <v>0</v>
      </c>
      <c r="BN14" s="49">
        <f t="shared" si="78"/>
        <v>0</v>
      </c>
      <c r="BO14" s="49">
        <f t="shared" si="78"/>
        <v>0</v>
      </c>
      <c r="BP14" s="49">
        <f t="shared" si="78"/>
        <v>0</v>
      </c>
      <c r="BQ14" s="44">
        <f>SUBTOTAL(9,BQ12:BQ13)</f>
        <v>1100</v>
      </c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1"/>
      <c r="CY14" s="161"/>
      <c r="CZ14" s="161"/>
      <c r="DA14" s="161"/>
      <c r="DB14" s="161"/>
      <c r="DC14" s="161"/>
      <c r="DD14" s="161"/>
      <c r="DE14" s="161"/>
      <c r="DF14" s="161"/>
      <c r="DG14" s="161"/>
      <c r="DH14" s="161"/>
      <c r="DI14" s="161"/>
      <c r="DJ14" s="161"/>
      <c r="DK14" s="161"/>
      <c r="DL14" s="161"/>
      <c r="DM14" s="161"/>
      <c r="DN14" s="161"/>
      <c r="DO14" s="161"/>
      <c r="DP14" s="161"/>
      <c r="DQ14" s="161"/>
      <c r="DR14" s="161"/>
      <c r="DS14" s="161"/>
      <c r="DT14" s="161"/>
    </row>
    <row r="15" spans="1:124" x14ac:dyDescent="0.25">
      <c r="A15" s="190">
        <f>+A12+1</f>
        <v>43527</v>
      </c>
      <c r="B15" s="32" t="s">
        <v>43</v>
      </c>
      <c r="C15" s="33" t="s">
        <v>136</v>
      </c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ref="M14:M22" si="79">(+K15)*M$5</f>
        <v>0</v>
      </c>
      <c r="N15" s="36">
        <f t="shared" ref="N14:N22" si="80">(+K15)*N$5</f>
        <v>0</v>
      </c>
      <c r="O15" s="36">
        <f t="shared" ref="O14:O22" si="81">+K15-M15-N15+P15</f>
        <v>0</v>
      </c>
      <c r="P15" s="36">
        <f t="shared" ref="P14:P20" si="82">L15-(L15*(M$5+N$5))</f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v>0</v>
      </c>
      <c r="AL15" s="33">
        <f t="shared" ref="AL15:AL16" si="83">AK15-SUM(Y15:AC15)</f>
        <v>0</v>
      </c>
      <c r="AM15" s="33">
        <f t="shared" ref="AM15:AM16" si="84">+AL15*0.12</f>
        <v>0</v>
      </c>
      <c r="AN15" s="33">
        <f t="shared" ref="AN14:AN41" si="85">+AM15+AL15+AJ15</f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1">
        <f>AZ15+BA15+BB15+BD15-BC15</f>
        <v>0</v>
      </c>
      <c r="BS15" s="145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</row>
    <row r="16" spans="1:124" ht="15.75" thickBot="1" x14ac:dyDescent="0.3">
      <c r="A16" s="191"/>
      <c r="B16" s="15" t="s">
        <v>44</v>
      </c>
      <c r="C16" s="33"/>
      <c r="D16" s="34"/>
      <c r="E16" s="34"/>
      <c r="F16" s="35"/>
      <c r="G16" s="33">
        <f>IF(E16-D16&lt;0,E16-D16,0)*-1</f>
        <v>0</v>
      </c>
      <c r="H16" s="33">
        <f>IF(E16-D16&gt;0,E16-D16,0)</f>
        <v>0</v>
      </c>
      <c r="I16" s="34"/>
      <c r="J16" s="34"/>
      <c r="K16" s="34"/>
      <c r="L16" s="34"/>
      <c r="M16" s="36">
        <f>(+K16)*M$5</f>
        <v>0</v>
      </c>
      <c r="N16" s="36">
        <f t="shared" si="80"/>
        <v>0</v>
      </c>
      <c r="O16" s="36">
        <f>+K16-M16-N16+P16</f>
        <v>0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/>
      <c r="AE16" s="38"/>
      <c r="AF16" s="34"/>
      <c r="AG16" s="33">
        <f>(AF16*0.8)*0.85</f>
        <v>0</v>
      </c>
      <c r="AH16" s="33">
        <f>(AF16*0.8)*0.15</f>
        <v>0</v>
      </c>
      <c r="AI16" s="33">
        <f>AF16*0.2</f>
        <v>0</v>
      </c>
      <c r="AJ16" s="34">
        <v>0</v>
      </c>
      <c r="AK16" s="33">
        <f t="shared" ref="AK16" si="86">(C16-AF16-AJ16)/1.12</f>
        <v>0</v>
      </c>
      <c r="AL16" s="33">
        <f t="shared" si="83"/>
        <v>0</v>
      </c>
      <c r="AM16" s="33">
        <f t="shared" si="84"/>
        <v>0</v>
      </c>
      <c r="AN16" s="33">
        <f t="shared" si="85"/>
        <v>0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1">
        <f>AZ16+BA16+BB16+BD16-BC16</f>
        <v>0</v>
      </c>
      <c r="BS16" s="145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</row>
    <row r="17" spans="1:124" s="160" customFormat="1" ht="15.75" thickBot="1" x14ac:dyDescent="0.3">
      <c r="A17" s="157"/>
      <c r="B17" s="43"/>
      <c r="C17" s="44">
        <f>SUBTOTAL(9,C15:C16)</f>
        <v>0</v>
      </c>
      <c r="D17" s="45">
        <f t="shared" ref="D17" si="87">SUBTOTAL(9,D15:D16)</f>
        <v>0</v>
      </c>
      <c r="E17" s="45">
        <f>SUBTOTAL(9,E15:E16)</f>
        <v>0</v>
      </c>
      <c r="F17" s="47"/>
      <c r="G17" s="45">
        <f t="shared" ref="G17" si="88">SUBTOTAL(9,G15:G16)</f>
        <v>0</v>
      </c>
      <c r="H17" s="45">
        <f t="shared" ref="H17" si="89">SUBTOTAL(9,H15:H16)</f>
        <v>0</v>
      </c>
      <c r="I17" s="45">
        <f t="shared" ref="I17" si="90">SUBTOTAL(9,I15:I16)</f>
        <v>0</v>
      </c>
      <c r="J17" s="45">
        <f t="shared" ref="J17" si="91">SUBTOTAL(9,J15:J16)</f>
        <v>0</v>
      </c>
      <c r="K17" s="159">
        <f t="shared" ref="K17" si="92">SUBTOTAL(9,K15:K16)</f>
        <v>0</v>
      </c>
      <c r="L17" s="45">
        <f t="shared" ref="L17" si="93">SUBTOTAL(9,L15:L16)</f>
        <v>0</v>
      </c>
      <c r="M17" s="46">
        <f t="shared" ref="M17" si="94">SUBTOTAL(9,M15:M16)</f>
        <v>0</v>
      </c>
      <c r="N17" s="46">
        <f t="shared" ref="N17" si="95">SUBTOTAL(9,N15:N16)</f>
        <v>0</v>
      </c>
      <c r="O17" s="46">
        <f t="shared" ref="O17" si="96">SUBTOTAL(9,O15:O16)</f>
        <v>0</v>
      </c>
      <c r="P17" s="46">
        <f t="shared" ref="P17" si="97">SUBTOTAL(9,P15:P16)</f>
        <v>0</v>
      </c>
      <c r="Q17" s="47">
        <f t="shared" ref="Q17" si="98">SUBTOTAL(9,Q15:Q16)</f>
        <v>0</v>
      </c>
      <c r="R17" s="45">
        <f t="shared" ref="R17" si="99">SUBTOTAL(9,R15:R16)</f>
        <v>0</v>
      </c>
      <c r="S17" s="45">
        <f t="shared" ref="S17" si="100">SUBTOTAL(9,S15:S16)</f>
        <v>0</v>
      </c>
      <c r="T17" s="46">
        <f t="shared" ref="T17" si="101">SUBTOTAL(9,T15:T16)</f>
        <v>0</v>
      </c>
      <c r="U17" s="46">
        <f t="shared" ref="U17" si="102">SUBTOTAL(9,U15:U16)</f>
        <v>0</v>
      </c>
      <c r="V17" s="46">
        <f t="shared" ref="V17" si="103">SUBTOTAL(9,V15:V16)</f>
        <v>0</v>
      </c>
      <c r="W17" s="46">
        <f t="shared" ref="W17" si="104">SUBTOTAL(9,W15:W16)</f>
        <v>0</v>
      </c>
      <c r="X17" s="47">
        <f t="shared" ref="X17" si="105">SUBTOTAL(9,X15:X16)</f>
        <v>0</v>
      </c>
      <c r="Y17" s="45">
        <f t="shared" ref="Y17" si="106">SUBTOTAL(9,Y15:Y16)</f>
        <v>0</v>
      </c>
      <c r="Z17" s="45">
        <f t="shared" ref="Z17" si="107">SUBTOTAL(9,Z15:Z16)</f>
        <v>0</v>
      </c>
      <c r="AA17" s="45">
        <f t="shared" ref="AA17" si="108">SUBTOTAL(9,AA15:AA16)</f>
        <v>0</v>
      </c>
      <c r="AB17" s="45">
        <f t="shared" ref="AB17" si="109">SUBTOTAL(9,AB15:AB16)</f>
        <v>0</v>
      </c>
      <c r="AC17" s="45">
        <f t="shared" ref="AC17" si="110">SUBTOTAL(9,AC15:AC16)</f>
        <v>0</v>
      </c>
      <c r="AD17" s="48"/>
      <c r="AE17" s="48"/>
      <c r="AF17" s="45">
        <f t="shared" ref="AF17" si="111">SUBTOTAL(9,AF15:AF16)</f>
        <v>0</v>
      </c>
      <c r="AG17" s="44">
        <f t="shared" ref="AG17" si="112">SUBTOTAL(9,AG15:AG16)</f>
        <v>0</v>
      </c>
      <c r="AH17" s="44">
        <f t="shared" ref="AH17" si="113">SUBTOTAL(9,AH15:AH16)</f>
        <v>0</v>
      </c>
      <c r="AI17" s="44">
        <f t="shared" ref="AI17" si="114">SUBTOTAL(9,AI15:AI16)</f>
        <v>0</v>
      </c>
      <c r="AJ17" s="45">
        <f t="shared" ref="AJ17" si="115">SUBTOTAL(9,AJ15:AJ16)</f>
        <v>0</v>
      </c>
      <c r="AK17" s="44">
        <f t="shared" ref="AK17" si="116">SUBTOTAL(9,AK15:AK16)</f>
        <v>0</v>
      </c>
      <c r="AL17" s="44">
        <f t="shared" ref="AL17" si="117">SUBTOTAL(9,AL15:AL16)</f>
        <v>0</v>
      </c>
      <c r="AM17" s="44">
        <f t="shared" ref="AM17" si="118">SUBTOTAL(9,AM15:AM16)</f>
        <v>0</v>
      </c>
      <c r="AN17" s="44">
        <f t="shared" ref="AN17" si="119">SUBTOTAL(9,AN15:AN16)</f>
        <v>0</v>
      </c>
      <c r="AO17" s="49">
        <f t="shared" ref="R17:BP17" si="120">SUBTOTAL(9,AO15:AO16)</f>
        <v>0</v>
      </c>
      <c r="AP17" s="49">
        <f t="shared" si="120"/>
        <v>0</v>
      </c>
      <c r="AQ17" s="49">
        <f t="shared" si="120"/>
        <v>0</v>
      </c>
      <c r="AR17" s="49">
        <f t="shared" si="120"/>
        <v>0</v>
      </c>
      <c r="AS17" s="49">
        <f t="shared" si="120"/>
        <v>0</v>
      </c>
      <c r="AT17" s="49">
        <f t="shared" si="120"/>
        <v>0</v>
      </c>
      <c r="AU17" s="49">
        <f>SUBTOTAL(9,AU15:AU16)</f>
        <v>0</v>
      </c>
      <c r="AV17" s="49">
        <f t="shared" si="120"/>
        <v>0</v>
      </c>
      <c r="AW17" s="49">
        <f t="shared" si="120"/>
        <v>0</v>
      </c>
      <c r="AX17" s="49">
        <f t="shared" si="120"/>
        <v>0</v>
      </c>
      <c r="AY17" s="49">
        <f t="shared" si="120"/>
        <v>0</v>
      </c>
      <c r="AZ17" s="44">
        <f t="shared" si="120"/>
        <v>0</v>
      </c>
      <c r="BA17" s="48">
        <f t="shared" si="120"/>
        <v>0</v>
      </c>
      <c r="BB17" s="48">
        <f t="shared" si="120"/>
        <v>0</v>
      </c>
      <c r="BC17" s="44">
        <f t="shared" si="120"/>
        <v>0</v>
      </c>
      <c r="BD17" s="44">
        <f t="shared" si="120"/>
        <v>0</v>
      </c>
      <c r="BE17" s="49">
        <f>SUBTOTAL(9,BE15:BE16)</f>
        <v>0</v>
      </c>
      <c r="BF17" s="49">
        <f t="shared" si="120"/>
        <v>0</v>
      </c>
      <c r="BG17" s="49">
        <f t="shared" si="120"/>
        <v>0</v>
      </c>
      <c r="BH17" s="49">
        <f t="shared" si="120"/>
        <v>0</v>
      </c>
      <c r="BI17" s="49">
        <f t="shared" si="120"/>
        <v>0</v>
      </c>
      <c r="BJ17" s="49">
        <f t="shared" si="120"/>
        <v>0</v>
      </c>
      <c r="BK17" s="49">
        <f t="shared" si="120"/>
        <v>0</v>
      </c>
      <c r="BL17" s="49">
        <f t="shared" si="120"/>
        <v>0</v>
      </c>
      <c r="BM17" s="49">
        <f t="shared" si="120"/>
        <v>0</v>
      </c>
      <c r="BN17" s="49">
        <f t="shared" si="120"/>
        <v>0</v>
      </c>
      <c r="BO17" s="49">
        <f t="shared" si="120"/>
        <v>0</v>
      </c>
      <c r="BP17" s="49">
        <f t="shared" si="120"/>
        <v>0</v>
      </c>
      <c r="BQ17" s="44">
        <f>SUBTOTAL(9,BQ15:BQ16)</f>
        <v>0</v>
      </c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161"/>
      <c r="DD17" s="161"/>
      <c r="DE17" s="161"/>
      <c r="DF17" s="161"/>
      <c r="DG17" s="161"/>
      <c r="DH17" s="161"/>
      <c r="DI17" s="161"/>
      <c r="DJ17" s="161"/>
      <c r="DK17" s="161"/>
      <c r="DL17" s="161"/>
      <c r="DM17" s="161"/>
      <c r="DN17" s="161"/>
      <c r="DO17" s="161"/>
      <c r="DP17" s="161"/>
      <c r="DQ17" s="161"/>
      <c r="DR17" s="161"/>
      <c r="DS17" s="161"/>
      <c r="DT17" s="161"/>
    </row>
    <row r="18" spans="1:124" x14ac:dyDescent="0.25">
      <c r="A18" s="190">
        <f>+A15+1</f>
        <v>43528</v>
      </c>
      <c r="B18" s="32" t="s">
        <v>43</v>
      </c>
      <c r="C18" s="33">
        <v>14482.26</v>
      </c>
      <c r="D18" s="34">
        <v>9600.33</v>
      </c>
      <c r="E18" s="34">
        <v>9600</v>
      </c>
      <c r="F18" s="35">
        <v>43528</v>
      </c>
      <c r="G18" s="33">
        <f>IF(E18-D18&lt;0,E18-D18,0)*-1</f>
        <v>0.32999999999992724</v>
      </c>
      <c r="H18" s="33">
        <f>IF(E18-D18&gt;0,E18-D18,0)</f>
        <v>0</v>
      </c>
      <c r="I18" s="34"/>
      <c r="J18" s="34"/>
      <c r="K18" s="34">
        <v>3095.55</v>
      </c>
      <c r="L18" s="34"/>
      <c r="M18" s="36">
        <f t="shared" si="79"/>
        <v>66.554324999999992</v>
      </c>
      <c r="N18" s="36">
        <f t="shared" si="80"/>
        <v>15.477750000000002</v>
      </c>
      <c r="O18" s="36">
        <f t="shared" si="81"/>
        <v>3013.5179250000001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47.25</v>
      </c>
      <c r="AA18" s="34"/>
      <c r="AB18" s="34"/>
      <c r="AC18" s="34">
        <v>405.13</v>
      </c>
      <c r="AD18" s="38" t="s">
        <v>141</v>
      </c>
      <c r="AE18" s="38">
        <v>1334</v>
      </c>
      <c r="AF18" s="34">
        <v>911.34</v>
      </c>
      <c r="AG18" s="33">
        <f>(AF18*0.8)*0.85</f>
        <v>619.71120000000008</v>
      </c>
      <c r="AH18" s="33">
        <f>(AF18*0.8)*0.15</f>
        <v>109.36080000000001</v>
      </c>
      <c r="AI18" s="33">
        <f>AF18*0.2</f>
        <v>182.26800000000003</v>
      </c>
      <c r="AJ18" s="34"/>
      <c r="AK18" s="33">
        <f t="shared" ref="AK18:AK19" si="121">(C18-AF18-AJ18)/1.12</f>
        <v>12116.892857142857</v>
      </c>
      <c r="AL18" s="33">
        <f t="shared" ref="AL18:AL19" si="122">AK18-SUM(Y18:AC18)</f>
        <v>11664.512857142858</v>
      </c>
      <c r="AM18" s="33">
        <f t="shared" ref="AM18:AM19" si="123">+AL18*0.12</f>
        <v>1399.7415428571428</v>
      </c>
      <c r="AN18" s="33">
        <f t="shared" ref="AN18:AN19" si="124">+AM18+AL18+AJ18</f>
        <v>13064.2544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1">
        <f>AZ18+BA18+BB18+BD18-BC18</f>
        <v>0</v>
      </c>
      <c r="BS18" s="145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</row>
    <row r="19" spans="1:124" ht="15.75" thickBot="1" x14ac:dyDescent="0.3">
      <c r="A19" s="191"/>
      <c r="B19" s="15" t="s">
        <v>44</v>
      </c>
      <c r="C19" s="33">
        <v>12702.07</v>
      </c>
      <c r="D19" s="34">
        <v>6858.85</v>
      </c>
      <c r="E19" s="34">
        <v>6860</v>
      </c>
      <c r="F19" s="35">
        <v>43529</v>
      </c>
      <c r="G19" s="33">
        <f>IF(E19-D19&lt;0,E19-D19,0)*-1</f>
        <v>0</v>
      </c>
      <c r="H19" s="33">
        <f>IF(E19-D19&gt;0,E19-D19,0)</f>
        <v>1.1499999999996362</v>
      </c>
      <c r="I19" s="34"/>
      <c r="J19" s="34"/>
      <c r="K19" s="34">
        <v>5310</v>
      </c>
      <c r="L19" s="34"/>
      <c r="M19" s="36">
        <f t="shared" si="79"/>
        <v>114.16499999999999</v>
      </c>
      <c r="N19" s="36">
        <f t="shared" si="80"/>
        <v>26.55</v>
      </c>
      <c r="O19" s="36">
        <f t="shared" si="81"/>
        <v>5169.2849999999999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>
        <v>98.22</v>
      </c>
      <c r="AD19" s="38" t="s">
        <v>141</v>
      </c>
      <c r="AE19" s="38">
        <v>435</v>
      </c>
      <c r="AF19" s="34">
        <v>911</v>
      </c>
      <c r="AG19" s="33">
        <f>(AF19*0.8)*0.85</f>
        <v>619.48</v>
      </c>
      <c r="AH19" s="33">
        <f>(AF19*0.8)*0.15</f>
        <v>109.32000000000001</v>
      </c>
      <c r="AI19" s="33">
        <f>AF19*0.2</f>
        <v>182.20000000000002</v>
      </c>
      <c r="AJ19" s="34">
        <v>0</v>
      </c>
      <c r="AK19" s="33">
        <f t="shared" si="121"/>
        <v>10527.741071428571</v>
      </c>
      <c r="AL19" s="33">
        <f t="shared" si="122"/>
        <v>10429.521071428571</v>
      </c>
      <c r="AM19" s="33">
        <f t="shared" si="123"/>
        <v>1251.5425285714284</v>
      </c>
      <c r="AN19" s="33">
        <f t="shared" si="124"/>
        <v>11681.063599999999</v>
      </c>
      <c r="AO19" s="39">
        <v>168</v>
      </c>
      <c r="AP19" s="40"/>
      <c r="AQ19" s="40"/>
      <c r="AR19" s="40">
        <v>275</v>
      </c>
      <c r="AS19" s="40"/>
      <c r="AT19" s="40"/>
      <c r="AU19" s="40"/>
      <c r="AV19" s="40"/>
      <c r="AW19" s="40"/>
      <c r="AX19" s="40"/>
      <c r="AY19" s="40"/>
      <c r="AZ19" s="33">
        <f>SUM(AO19:AY19)</f>
        <v>443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1">
        <f>AZ19+BA19+BB19+BD19-BC19</f>
        <v>443</v>
      </c>
      <c r="BS19" s="145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</row>
    <row r="20" spans="1:124" s="160" customFormat="1" ht="15.75" thickBot="1" x14ac:dyDescent="0.3">
      <c r="A20" s="157"/>
      <c r="B20" s="43"/>
      <c r="C20" s="44">
        <f>SUBTOTAL(9,C18:C19)</f>
        <v>27184.33</v>
      </c>
      <c r="D20" s="45">
        <f t="shared" ref="D20" si="125">SUBTOTAL(9,D18:D19)</f>
        <v>16459.18</v>
      </c>
      <c r="E20" s="45">
        <f>SUBTOTAL(9,E18:E19)</f>
        <v>16460</v>
      </c>
      <c r="F20" s="47"/>
      <c r="G20" s="45">
        <f t="shared" ref="G20" si="126">SUBTOTAL(9,G18:G19)</f>
        <v>0.32999999999992724</v>
      </c>
      <c r="H20" s="45">
        <f t="shared" ref="H20" si="127">SUBTOTAL(9,H18:H19)</f>
        <v>1.1499999999996362</v>
      </c>
      <c r="I20" s="45">
        <f t="shared" ref="I20" si="128">SUBTOTAL(9,I18:I19)</f>
        <v>0</v>
      </c>
      <c r="J20" s="45">
        <f t="shared" ref="J20" si="129">SUBTOTAL(9,J18:J19)</f>
        <v>0</v>
      </c>
      <c r="K20" s="159">
        <f t="shared" ref="K20" si="130">SUBTOTAL(9,K18:K19)</f>
        <v>8405.5499999999993</v>
      </c>
      <c r="L20" s="45">
        <f t="shared" ref="L20" si="131">SUBTOTAL(9,L18:L19)</f>
        <v>0</v>
      </c>
      <c r="M20" s="46">
        <f t="shared" ref="M20" si="132">SUBTOTAL(9,M18:M19)</f>
        <v>180.71932499999997</v>
      </c>
      <c r="N20" s="46">
        <f t="shared" ref="N20" si="133">SUBTOTAL(9,N18:N19)</f>
        <v>42.027750000000005</v>
      </c>
      <c r="O20" s="46">
        <f t="shared" ref="O20" si="134">SUBTOTAL(9,O18:O19)</f>
        <v>8182.802925</v>
      </c>
      <c r="P20" s="46">
        <f t="shared" ref="P20" si="135">SUBTOTAL(9,P18:P19)</f>
        <v>0</v>
      </c>
      <c r="Q20" s="47">
        <f t="shared" ref="Q20" si="136">SUBTOTAL(9,Q18:Q19)</f>
        <v>0</v>
      </c>
      <c r="R20" s="45">
        <f t="shared" ref="R20" si="137">SUBTOTAL(9,R18:R19)</f>
        <v>0</v>
      </c>
      <c r="S20" s="45">
        <f t="shared" ref="S20" si="138">SUBTOTAL(9,S18:S19)</f>
        <v>0</v>
      </c>
      <c r="T20" s="46">
        <f t="shared" ref="T20" si="139">SUBTOTAL(9,T18:T19)</f>
        <v>0</v>
      </c>
      <c r="U20" s="46">
        <f t="shared" ref="U20" si="140">SUBTOTAL(9,U18:U19)</f>
        <v>0</v>
      </c>
      <c r="V20" s="46">
        <f t="shared" ref="V20" si="141">SUBTOTAL(9,V18:V19)</f>
        <v>0</v>
      </c>
      <c r="W20" s="46">
        <f t="shared" ref="W20" si="142">SUBTOTAL(9,W18:W19)</f>
        <v>0</v>
      </c>
      <c r="X20" s="47">
        <f t="shared" ref="X20" si="143">SUBTOTAL(9,X18:X19)</f>
        <v>0</v>
      </c>
      <c r="Y20" s="45">
        <f t="shared" ref="Y20" si="144">SUBTOTAL(9,Y18:Y19)</f>
        <v>0</v>
      </c>
      <c r="Z20" s="45">
        <f t="shared" ref="Z20" si="145">SUBTOTAL(9,Z18:Z19)</f>
        <v>47.25</v>
      </c>
      <c r="AA20" s="45">
        <f t="shared" ref="AA20" si="146">SUBTOTAL(9,AA18:AA19)</f>
        <v>0</v>
      </c>
      <c r="AB20" s="45">
        <f t="shared" ref="AB20" si="147">SUBTOTAL(9,AB18:AB19)</f>
        <v>0</v>
      </c>
      <c r="AC20" s="45">
        <f t="shared" ref="AC20" si="148">SUBTOTAL(9,AC18:AC19)</f>
        <v>503.35</v>
      </c>
      <c r="AD20" s="48"/>
      <c r="AE20" s="48"/>
      <c r="AF20" s="45">
        <f t="shared" ref="AF20" si="149">SUBTOTAL(9,AF18:AF19)</f>
        <v>1822.3400000000001</v>
      </c>
      <c r="AG20" s="44">
        <f t="shared" ref="AG20" si="150">SUBTOTAL(9,AG18:AG19)</f>
        <v>1239.1912000000002</v>
      </c>
      <c r="AH20" s="44">
        <f t="shared" ref="AH20" si="151">SUBTOTAL(9,AH18:AH19)</f>
        <v>218.68080000000003</v>
      </c>
      <c r="AI20" s="44">
        <f t="shared" ref="AI20" si="152">SUBTOTAL(9,AI18:AI19)</f>
        <v>364.46800000000007</v>
      </c>
      <c r="AJ20" s="45">
        <f t="shared" ref="AJ20" si="153">SUBTOTAL(9,AJ18:AJ19)</f>
        <v>0</v>
      </c>
      <c r="AK20" s="44">
        <f t="shared" ref="AK20" si="154">SUBTOTAL(9,AK18:AK19)</f>
        <v>22644.633928571428</v>
      </c>
      <c r="AL20" s="44">
        <f t="shared" ref="AL20" si="155">SUBTOTAL(9,AL18:AL19)</f>
        <v>22094.033928571429</v>
      </c>
      <c r="AM20" s="44">
        <f t="shared" ref="AM20" si="156">SUBTOTAL(9,AM18:AM19)</f>
        <v>2651.2840714285712</v>
      </c>
      <c r="AN20" s="44">
        <f t="shared" ref="AN20" si="157">SUBTOTAL(9,AN18:AN19)</f>
        <v>24745.317999999999</v>
      </c>
      <c r="AO20" s="49">
        <f t="shared" ref="R20:BP20" si="158">SUBTOTAL(9,AO18:AO19)</f>
        <v>168</v>
      </c>
      <c r="AP20" s="49">
        <f t="shared" si="158"/>
        <v>0</v>
      </c>
      <c r="AQ20" s="49">
        <f t="shared" si="158"/>
        <v>0</v>
      </c>
      <c r="AR20" s="49">
        <f t="shared" si="158"/>
        <v>275</v>
      </c>
      <c r="AS20" s="49">
        <f t="shared" si="158"/>
        <v>0</v>
      </c>
      <c r="AT20" s="49">
        <f t="shared" si="158"/>
        <v>0</v>
      </c>
      <c r="AU20" s="49">
        <f>SUBTOTAL(9,AU18:AU19)</f>
        <v>0</v>
      </c>
      <c r="AV20" s="49">
        <f t="shared" si="158"/>
        <v>0</v>
      </c>
      <c r="AW20" s="49">
        <f t="shared" si="158"/>
        <v>0</v>
      </c>
      <c r="AX20" s="49">
        <f t="shared" si="158"/>
        <v>0</v>
      </c>
      <c r="AY20" s="49">
        <f t="shared" si="158"/>
        <v>0</v>
      </c>
      <c r="AZ20" s="44">
        <f t="shared" si="158"/>
        <v>443</v>
      </c>
      <c r="BA20" s="48">
        <f t="shared" si="158"/>
        <v>0</v>
      </c>
      <c r="BB20" s="48">
        <f t="shared" si="158"/>
        <v>0</v>
      </c>
      <c r="BC20" s="44">
        <f t="shared" si="158"/>
        <v>0</v>
      </c>
      <c r="BD20" s="44">
        <f t="shared" si="158"/>
        <v>0</v>
      </c>
      <c r="BE20" s="49">
        <f>SUBTOTAL(9,BE18:BE19)</f>
        <v>0</v>
      </c>
      <c r="BF20" s="49">
        <f t="shared" si="158"/>
        <v>0</v>
      </c>
      <c r="BG20" s="49">
        <f t="shared" si="158"/>
        <v>0</v>
      </c>
      <c r="BH20" s="49">
        <f t="shared" si="158"/>
        <v>0</v>
      </c>
      <c r="BI20" s="49">
        <f t="shared" si="158"/>
        <v>0</v>
      </c>
      <c r="BJ20" s="49">
        <f t="shared" si="158"/>
        <v>0</v>
      </c>
      <c r="BK20" s="49">
        <f t="shared" si="158"/>
        <v>0</v>
      </c>
      <c r="BL20" s="49">
        <f t="shared" si="158"/>
        <v>0</v>
      </c>
      <c r="BM20" s="49">
        <f t="shared" si="158"/>
        <v>0</v>
      </c>
      <c r="BN20" s="49">
        <f t="shared" si="158"/>
        <v>0</v>
      </c>
      <c r="BO20" s="49">
        <f t="shared" si="158"/>
        <v>0</v>
      </c>
      <c r="BP20" s="49">
        <f t="shared" si="158"/>
        <v>0</v>
      </c>
      <c r="BQ20" s="44">
        <f>SUBTOTAL(9,BQ18:BQ19)</f>
        <v>443</v>
      </c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1"/>
      <c r="CY20" s="161"/>
      <c r="CZ20" s="161"/>
      <c r="DA20" s="161"/>
      <c r="DB20" s="161"/>
      <c r="DC20" s="161"/>
      <c r="DD20" s="161"/>
      <c r="DE20" s="161"/>
      <c r="DF20" s="161"/>
      <c r="DG20" s="161"/>
      <c r="DH20" s="161"/>
      <c r="DI20" s="161"/>
      <c r="DJ20" s="161"/>
      <c r="DK20" s="161"/>
      <c r="DL20" s="161"/>
      <c r="DM20" s="161"/>
      <c r="DN20" s="161"/>
      <c r="DO20" s="161"/>
      <c r="DP20" s="161"/>
      <c r="DQ20" s="161"/>
      <c r="DR20" s="161"/>
      <c r="DS20" s="161"/>
      <c r="DT20" s="161"/>
    </row>
    <row r="21" spans="1:124" x14ac:dyDescent="0.25">
      <c r="A21" s="190">
        <f>+A18+1</f>
        <v>43529</v>
      </c>
      <c r="B21" s="32" t="s">
        <v>43</v>
      </c>
      <c r="C21" s="33">
        <v>46089.48</v>
      </c>
      <c r="D21" s="34">
        <v>16304.62</v>
      </c>
      <c r="E21" s="34">
        <v>16305</v>
      </c>
      <c r="F21" s="35">
        <v>43529</v>
      </c>
      <c r="G21" s="33">
        <f>IF(E21-D21&lt;0,E21-D21,0)*-1</f>
        <v>0</v>
      </c>
      <c r="H21" s="33">
        <f>IF(E21-D21&gt;0,E21-D21,0)</f>
        <v>0.37999999999919964</v>
      </c>
      <c r="I21" s="34"/>
      <c r="J21" s="34"/>
      <c r="K21" s="34">
        <v>8492.02</v>
      </c>
      <c r="L21" s="34"/>
      <c r="M21" s="36">
        <f t="shared" si="79"/>
        <v>182.57843</v>
      </c>
      <c r="N21" s="36">
        <f t="shared" si="80"/>
        <v>42.460100000000004</v>
      </c>
      <c r="O21" s="36">
        <f t="shared" si="81"/>
        <v>8266.9814700000006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64.5</v>
      </c>
      <c r="AA21" s="34"/>
      <c r="AB21" s="34"/>
      <c r="AC21" s="34">
        <v>261.33999999999997</v>
      </c>
      <c r="AD21" s="38" t="s">
        <v>137</v>
      </c>
      <c r="AE21" s="38">
        <v>20967</v>
      </c>
      <c r="AF21" s="34">
        <v>3575.17</v>
      </c>
      <c r="AG21" s="33">
        <f>(AF21*0.8)*0.85</f>
        <v>2431.1156000000001</v>
      </c>
      <c r="AH21" s="33">
        <f>(AF21*0.8)*0.15</f>
        <v>429.02040000000005</v>
      </c>
      <c r="AI21" s="33">
        <f>AF21*0.2</f>
        <v>715.03400000000011</v>
      </c>
      <c r="AJ21" s="34">
        <v>0</v>
      </c>
      <c r="AK21" s="33">
        <f t="shared" ref="AK21:AK22" si="159">(C21-AF21-AJ21)/1.12</f>
        <v>37959.205357142855</v>
      </c>
      <c r="AL21" s="33">
        <f t="shared" ref="AL21:AL22" si="160">AK21-SUM(Y21:AC21)</f>
        <v>37633.365357142859</v>
      </c>
      <c r="AM21" s="33">
        <f t="shared" ref="AM21:AM22" si="161">+AL21*0.12</f>
        <v>4516.0038428571424</v>
      </c>
      <c r="AN21" s="33">
        <f t="shared" si="85"/>
        <v>42149.369200000001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1">
        <f>AZ21+BA21+BB21+BD21-BC21</f>
        <v>0</v>
      </c>
      <c r="BS21" s="145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</row>
    <row r="22" spans="1:124" ht="15.75" thickBot="1" x14ac:dyDescent="0.3">
      <c r="A22" s="191"/>
      <c r="B22" s="15" t="s">
        <v>44</v>
      </c>
      <c r="C22" s="33">
        <v>13223.91</v>
      </c>
      <c r="D22" s="34">
        <v>11852.3</v>
      </c>
      <c r="E22" s="34">
        <v>11852</v>
      </c>
      <c r="F22" s="35">
        <v>43530</v>
      </c>
      <c r="G22" s="33">
        <f>IF(E22-D22&lt;0,E22-D22,0)*-1</f>
        <v>0.2999999999992724</v>
      </c>
      <c r="H22" s="33">
        <f>IF(E22-D22&gt;0,E22-D22,0)</f>
        <v>0</v>
      </c>
      <c r="I22" s="34"/>
      <c r="J22" s="34"/>
      <c r="K22" s="34">
        <v>1189</v>
      </c>
      <c r="L22" s="34"/>
      <c r="M22" s="36">
        <f t="shared" si="79"/>
        <v>25.563499999999998</v>
      </c>
      <c r="N22" s="36">
        <f t="shared" si="80"/>
        <v>5.9450000000000003</v>
      </c>
      <c r="O22" s="36">
        <f t="shared" si="81"/>
        <v>1157.4915000000001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27.25</v>
      </c>
      <c r="AA22" s="34"/>
      <c r="AB22" s="34"/>
      <c r="AC22" s="34">
        <v>155.36000000000001</v>
      </c>
      <c r="AD22" s="38" t="s">
        <v>141</v>
      </c>
      <c r="AE22" s="38">
        <v>1189</v>
      </c>
      <c r="AF22" s="34">
        <v>908.12</v>
      </c>
      <c r="AG22" s="33">
        <f>(AF22*0.8)*0.85</f>
        <v>617.52160000000003</v>
      </c>
      <c r="AH22" s="33">
        <f>(AF22*0.8)*0.15</f>
        <v>108.97440000000002</v>
      </c>
      <c r="AI22" s="33">
        <f>AF22*0.2</f>
        <v>181.62400000000002</v>
      </c>
      <c r="AJ22" s="34">
        <v>0</v>
      </c>
      <c r="AK22" s="33">
        <f t="shared" si="159"/>
        <v>10996.241071428569</v>
      </c>
      <c r="AL22" s="33">
        <f t="shared" si="160"/>
        <v>10813.631071428568</v>
      </c>
      <c r="AM22" s="33">
        <f t="shared" si="161"/>
        <v>1297.6357285714282</v>
      </c>
      <c r="AN22" s="33">
        <f t="shared" si="85"/>
        <v>12111.266799999996</v>
      </c>
      <c r="AO22" s="39">
        <v>413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413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>
        <v>295</v>
      </c>
      <c r="BI22" s="39"/>
      <c r="BJ22" s="39"/>
      <c r="BK22" s="39"/>
      <c r="BL22" s="39"/>
      <c r="BM22" s="39"/>
      <c r="BN22" s="39"/>
      <c r="BO22" s="39"/>
      <c r="BP22" s="39"/>
      <c r="BQ22" s="41">
        <f>AZ22+BA22+BB22+BD22-BC22</f>
        <v>413</v>
      </c>
      <c r="BS22" s="145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</row>
    <row r="23" spans="1:124" ht="15.75" thickBot="1" x14ac:dyDescent="0.3">
      <c r="A23" s="42"/>
      <c r="B23" s="43"/>
      <c r="C23" s="44">
        <f>SUBTOTAL(9,C21:C22)</f>
        <v>59313.39</v>
      </c>
      <c r="D23" s="45">
        <f t="shared" ref="D23" si="162">SUBTOTAL(9,D21:D22)</f>
        <v>28156.92</v>
      </c>
      <c r="E23" s="45">
        <f>SUBTOTAL(9,E21:E22)</f>
        <v>28157</v>
      </c>
      <c r="F23" s="47"/>
      <c r="G23" s="45">
        <f t="shared" ref="G23" si="163">SUBTOTAL(9,G21:G22)</f>
        <v>0.2999999999992724</v>
      </c>
      <c r="H23" s="45">
        <f t="shared" ref="H23" si="164">SUBTOTAL(9,H21:H22)</f>
        <v>0.37999999999919964</v>
      </c>
      <c r="I23" s="45">
        <f t="shared" ref="I23" si="165">SUBTOTAL(9,I21:I22)</f>
        <v>0</v>
      </c>
      <c r="J23" s="45">
        <f t="shared" ref="J23" si="166">SUBTOTAL(9,J21:J22)</f>
        <v>0</v>
      </c>
      <c r="K23" s="159">
        <f t="shared" ref="K23" si="167">SUBTOTAL(9,K21:K22)</f>
        <v>9681.02</v>
      </c>
      <c r="L23" s="45">
        <f t="shared" ref="L23" si="168">SUBTOTAL(9,L21:L22)</f>
        <v>0</v>
      </c>
      <c r="M23" s="46">
        <f t="shared" ref="M23" si="169">SUBTOTAL(9,M21:M22)</f>
        <v>208.14193</v>
      </c>
      <c r="N23" s="46">
        <f t="shared" ref="N23" si="170">SUBTOTAL(9,N21:N22)</f>
        <v>48.405100000000004</v>
      </c>
      <c r="O23" s="46">
        <f t="shared" ref="O23" si="171">SUBTOTAL(9,O21:O22)</f>
        <v>9424.4729700000007</v>
      </c>
      <c r="P23" s="46">
        <f t="shared" ref="P23" si="172">SUBTOTAL(9,P21:P22)</f>
        <v>0</v>
      </c>
      <c r="Q23" s="47">
        <f t="shared" ref="Q23" si="173">SUBTOTAL(9,Q21:Q22)</f>
        <v>0</v>
      </c>
      <c r="R23" s="45">
        <f t="shared" ref="R23" si="174">SUBTOTAL(9,R21:R22)</f>
        <v>0</v>
      </c>
      <c r="S23" s="45">
        <f t="shared" ref="S23" si="175">SUBTOTAL(9,S21:S22)</f>
        <v>0</v>
      </c>
      <c r="T23" s="46">
        <f t="shared" ref="T23" si="176">SUBTOTAL(9,T21:T22)</f>
        <v>0</v>
      </c>
      <c r="U23" s="46">
        <f t="shared" ref="U23" si="177">SUBTOTAL(9,U21:U22)</f>
        <v>0</v>
      </c>
      <c r="V23" s="46">
        <f t="shared" ref="V23" si="178">SUBTOTAL(9,V21:V22)</f>
        <v>0</v>
      </c>
      <c r="W23" s="46">
        <f t="shared" ref="W23" si="179">SUBTOTAL(9,W21:W22)</f>
        <v>0</v>
      </c>
      <c r="X23" s="47">
        <f t="shared" ref="X23" si="180">SUBTOTAL(9,X21:X22)</f>
        <v>0</v>
      </c>
      <c r="Y23" s="45">
        <f t="shared" ref="Y23" si="181">SUBTOTAL(9,Y21:Y22)</f>
        <v>0</v>
      </c>
      <c r="Z23" s="45">
        <f t="shared" ref="Z23" si="182">SUBTOTAL(9,Z21:Z22)</f>
        <v>91.75</v>
      </c>
      <c r="AA23" s="45">
        <f t="shared" ref="AA23" si="183">SUBTOTAL(9,AA21:AA22)</f>
        <v>0</v>
      </c>
      <c r="AB23" s="45">
        <f t="shared" ref="AB23" si="184">SUBTOTAL(9,AB21:AB22)</f>
        <v>0</v>
      </c>
      <c r="AC23" s="45">
        <f t="shared" ref="AC23" si="185">SUBTOTAL(9,AC21:AC22)</f>
        <v>416.7</v>
      </c>
      <c r="AD23" s="48"/>
      <c r="AE23" s="48"/>
      <c r="AF23" s="45">
        <f t="shared" ref="AF23" si="186">SUBTOTAL(9,AF21:AF22)</f>
        <v>4483.29</v>
      </c>
      <c r="AG23" s="44">
        <f t="shared" ref="AG23" si="187">SUBTOTAL(9,AG21:AG22)</f>
        <v>3048.6372000000001</v>
      </c>
      <c r="AH23" s="44">
        <f t="shared" ref="AH23" si="188">SUBTOTAL(9,AH21:AH22)</f>
        <v>537.99480000000005</v>
      </c>
      <c r="AI23" s="44">
        <f t="shared" ref="AI23" si="189">SUBTOTAL(9,AI21:AI22)</f>
        <v>896.65800000000013</v>
      </c>
      <c r="AJ23" s="45">
        <f t="shared" ref="AJ23" si="190">SUBTOTAL(9,AJ21:AJ22)</f>
        <v>0</v>
      </c>
      <c r="AK23" s="44">
        <f t="shared" ref="AK23" si="191">SUBTOTAL(9,AK21:AK22)</f>
        <v>48955.44642857142</v>
      </c>
      <c r="AL23" s="44">
        <f t="shared" ref="AL23" si="192">SUBTOTAL(9,AL21:AL22)</f>
        <v>48446.996428571423</v>
      </c>
      <c r="AM23" s="44">
        <f t="shared" ref="AM23" si="193">SUBTOTAL(9,AM21:AM22)</f>
        <v>5813.6395714285709</v>
      </c>
      <c r="AN23" s="44">
        <f t="shared" ref="AN23" si="194">SUBTOTAL(9,AN21:AN22)</f>
        <v>54260.635999999999</v>
      </c>
      <c r="AO23" s="49">
        <f t="shared" ref="R23:BP23" si="195">SUBTOTAL(9,AO21:AO22)</f>
        <v>413</v>
      </c>
      <c r="AP23" s="49">
        <f t="shared" si="195"/>
        <v>0</v>
      </c>
      <c r="AQ23" s="49">
        <f t="shared" si="195"/>
        <v>0</v>
      </c>
      <c r="AR23" s="49">
        <f t="shared" si="195"/>
        <v>0</v>
      </c>
      <c r="AS23" s="49">
        <f t="shared" si="195"/>
        <v>0</v>
      </c>
      <c r="AT23" s="49">
        <f t="shared" si="195"/>
        <v>0</v>
      </c>
      <c r="AU23" s="49">
        <f>SUBTOTAL(9,AU21:AU22)</f>
        <v>0</v>
      </c>
      <c r="AV23" s="49">
        <f t="shared" si="195"/>
        <v>0</v>
      </c>
      <c r="AW23" s="49">
        <f t="shared" si="195"/>
        <v>0</v>
      </c>
      <c r="AX23" s="49">
        <f t="shared" si="195"/>
        <v>0</v>
      </c>
      <c r="AY23" s="49">
        <f t="shared" si="195"/>
        <v>0</v>
      </c>
      <c r="AZ23" s="44">
        <f t="shared" si="195"/>
        <v>413</v>
      </c>
      <c r="BA23" s="48"/>
      <c r="BB23" s="48">
        <f t="shared" si="195"/>
        <v>0</v>
      </c>
      <c r="BC23" s="44">
        <f t="shared" si="195"/>
        <v>0</v>
      </c>
      <c r="BD23" s="44">
        <f t="shared" si="195"/>
        <v>0</v>
      </c>
      <c r="BE23" s="49">
        <f>SUBTOTAL(9,BE21:BE22)</f>
        <v>0</v>
      </c>
      <c r="BF23" s="49">
        <f t="shared" si="195"/>
        <v>0</v>
      </c>
      <c r="BG23" s="49">
        <f t="shared" si="195"/>
        <v>0</v>
      </c>
      <c r="BH23" s="49">
        <f t="shared" si="195"/>
        <v>295</v>
      </c>
      <c r="BI23" s="49">
        <f t="shared" si="195"/>
        <v>0</v>
      </c>
      <c r="BJ23" s="49">
        <f t="shared" si="195"/>
        <v>0</v>
      </c>
      <c r="BK23" s="49">
        <f t="shared" si="195"/>
        <v>0</v>
      </c>
      <c r="BL23" s="49">
        <f t="shared" si="195"/>
        <v>0</v>
      </c>
      <c r="BM23" s="49">
        <f t="shared" si="195"/>
        <v>0</v>
      </c>
      <c r="BN23" s="49">
        <f t="shared" si="195"/>
        <v>0</v>
      </c>
      <c r="BO23" s="49">
        <f t="shared" si="195"/>
        <v>0</v>
      </c>
      <c r="BP23" s="49">
        <f t="shared" si="195"/>
        <v>0</v>
      </c>
      <c r="BQ23" s="44">
        <f>SUBTOTAL(9,BQ21:BQ22)</f>
        <v>413</v>
      </c>
    </row>
    <row r="24" spans="1:124" x14ac:dyDescent="0.25">
      <c r="A24" s="190">
        <f>A21+1</f>
        <v>43530</v>
      </c>
      <c r="B24" s="32" t="s">
        <v>43</v>
      </c>
      <c r="C24" s="33">
        <v>29219.68</v>
      </c>
      <c r="D24" s="34">
        <v>19269.22</v>
      </c>
      <c r="E24" s="34">
        <v>19270</v>
      </c>
      <c r="F24" s="35">
        <v>43530</v>
      </c>
      <c r="G24" s="33">
        <f>IF(E24-D24&lt;0,E24-D24,0)*-1</f>
        <v>0</v>
      </c>
      <c r="H24" s="33">
        <f>IF(E24-D24&gt;0,E24-D24,0)</f>
        <v>0.77999999999883585</v>
      </c>
      <c r="I24" s="34"/>
      <c r="J24" s="34"/>
      <c r="K24" s="34">
        <v>8976.2099999999991</v>
      </c>
      <c r="L24" s="34"/>
      <c r="M24" s="36">
        <f>(+K24)*M$5</f>
        <v>192.98851499999998</v>
      </c>
      <c r="N24" s="36">
        <f>(+K24)*N$5</f>
        <v>44.881049999999995</v>
      </c>
      <c r="O24" s="36">
        <f>+K24-M24-N24+P24</f>
        <v>8738.3404350000001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v>40.25</v>
      </c>
      <c r="AA24" s="34"/>
      <c r="AB24" s="34"/>
      <c r="AC24" s="34">
        <v>709</v>
      </c>
      <c r="AD24" s="38" t="s">
        <v>141</v>
      </c>
      <c r="AE24" s="38">
        <v>225</v>
      </c>
      <c r="AF24" s="34">
        <v>2255.0700000000002</v>
      </c>
      <c r="AG24" s="33">
        <f>(AF24*0.8)*0.85</f>
        <v>1533.4476000000002</v>
      </c>
      <c r="AH24" s="33">
        <f>(AF24*0.8)*0.15</f>
        <v>270.60840000000002</v>
      </c>
      <c r="AI24" s="33">
        <f>AF24*0.2</f>
        <v>451.01400000000007</v>
      </c>
      <c r="AJ24" s="34">
        <v>0</v>
      </c>
      <c r="AK24" s="33">
        <f t="shared" ref="AK24:AK25" si="196">(C24-AF24-AJ24)/1.12</f>
        <v>24075.544642857141</v>
      </c>
      <c r="AL24" s="33">
        <f t="shared" ref="AL24:AL25" si="197">AK24-SUM(Y24:AC24)</f>
        <v>23326.294642857141</v>
      </c>
      <c r="AM24" s="33">
        <f t="shared" ref="AM24:AM25" si="198">+AL24*0.12</f>
        <v>2799.1553571428567</v>
      </c>
      <c r="AN24" s="33">
        <f t="shared" ref="AN24:AN25" si="199">+AM24+AL24+AJ24</f>
        <v>26125.449999999997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1">
        <f>AZ24+BA24+BB24+BD24-BC24</f>
        <v>0</v>
      </c>
      <c r="BS24" s="145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</row>
    <row r="25" spans="1:124" ht="15.75" thickBot="1" x14ac:dyDescent="0.3">
      <c r="A25" s="191"/>
      <c r="B25" s="15" t="s">
        <v>44</v>
      </c>
      <c r="C25" s="33">
        <v>19197.939999999999</v>
      </c>
      <c r="D25" s="34">
        <v>8545.58</v>
      </c>
      <c r="E25" s="34">
        <v>8546</v>
      </c>
      <c r="F25" s="35">
        <v>43531</v>
      </c>
      <c r="G25" s="33">
        <f>IF(E25-D25&lt;0,E25-D25,0)*-1</f>
        <v>0</v>
      </c>
      <c r="H25" s="33">
        <f>IF(E25-D25&gt;0,E25-D25,0)</f>
        <v>0.42000000000007276</v>
      </c>
      <c r="I25" s="34"/>
      <c r="J25" s="34"/>
      <c r="K25" s="34">
        <v>8198.93</v>
      </c>
      <c r="L25" s="34"/>
      <c r="M25" s="36">
        <f>(+K25)*M$5</f>
        <v>176.276995</v>
      </c>
      <c r="N25" s="36">
        <f>(+K25)*N$5</f>
        <v>40.99465</v>
      </c>
      <c r="O25" s="36">
        <f>+K25-M25-N25+P25</f>
        <v>7981.6583550000005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>
        <v>146.43</v>
      </c>
      <c r="AD25" s="38" t="s">
        <v>141</v>
      </c>
      <c r="AE25" s="38">
        <v>2307</v>
      </c>
      <c r="AF25" s="34">
        <v>1310.79</v>
      </c>
      <c r="AG25" s="33">
        <f>(AF25*0.8)*0.85</f>
        <v>891.33720000000005</v>
      </c>
      <c r="AH25" s="33">
        <f>(AF25*0.8)*0.15</f>
        <v>157.29480000000001</v>
      </c>
      <c r="AI25" s="33">
        <f>AF25*0.2</f>
        <v>262.15800000000002</v>
      </c>
      <c r="AJ25" s="34">
        <v>0</v>
      </c>
      <c r="AK25" s="33">
        <f t="shared" si="196"/>
        <v>15970.669642857139</v>
      </c>
      <c r="AL25" s="33">
        <f t="shared" si="197"/>
        <v>15824.239642857139</v>
      </c>
      <c r="AM25" s="33">
        <f t="shared" si="198"/>
        <v>1898.9087571428565</v>
      </c>
      <c r="AN25" s="33">
        <f t="shared" si="199"/>
        <v>17723.148399999995</v>
      </c>
      <c r="AO25" s="39">
        <v>275</v>
      </c>
      <c r="AP25" s="40">
        <v>185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v>130</v>
      </c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1">
        <f>AZ25+BA25+BB25+BD25-BC25</f>
        <v>130</v>
      </c>
      <c r="BS25" s="145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</row>
    <row r="26" spans="1:124" ht="15.75" thickBot="1" x14ac:dyDescent="0.3">
      <c r="A26" s="42"/>
      <c r="B26" s="43"/>
      <c r="C26" s="44">
        <f>SUBTOTAL(9,C24:C25)</f>
        <v>48417.619999999995</v>
      </c>
      <c r="D26" s="45">
        <f t="shared" ref="D26" si="200">SUBTOTAL(9,D24:D25)</f>
        <v>27814.800000000003</v>
      </c>
      <c r="E26" s="45">
        <f>SUBTOTAL(9,E24:E25)</f>
        <v>27816</v>
      </c>
      <c r="F26" s="47"/>
      <c r="G26" s="45">
        <f t="shared" ref="G26" si="201">SUBTOTAL(9,G24:G25)</f>
        <v>0</v>
      </c>
      <c r="H26" s="45">
        <f t="shared" ref="H26" si="202">SUBTOTAL(9,H24:H25)</f>
        <v>1.1999999999989086</v>
      </c>
      <c r="I26" s="45">
        <f t="shared" ref="I26" si="203">SUBTOTAL(9,I24:I25)</f>
        <v>0</v>
      </c>
      <c r="J26" s="45">
        <f t="shared" ref="J26" si="204">SUBTOTAL(9,J24:J25)</f>
        <v>0</v>
      </c>
      <c r="K26" s="159">
        <f t="shared" ref="K26" si="205">SUBTOTAL(9,K24:K25)</f>
        <v>17175.14</v>
      </c>
      <c r="L26" s="45">
        <f t="shared" ref="L26" si="206">SUBTOTAL(9,L24:L25)</f>
        <v>0</v>
      </c>
      <c r="M26" s="46">
        <f t="shared" ref="M26" si="207">SUBTOTAL(9,M24:M25)</f>
        <v>369.26550999999995</v>
      </c>
      <c r="N26" s="46">
        <f t="shared" ref="N26" si="208">SUBTOTAL(9,N24:N25)</f>
        <v>85.875699999999995</v>
      </c>
      <c r="O26" s="46">
        <f t="shared" ref="O26" si="209">SUBTOTAL(9,O24:O25)</f>
        <v>16719.998790000001</v>
      </c>
      <c r="P26" s="46">
        <f t="shared" ref="P26" si="210">SUBTOTAL(9,P24:P25)</f>
        <v>0</v>
      </c>
      <c r="Q26" s="47">
        <f t="shared" ref="Q26" si="211">SUBTOTAL(9,Q24:Q25)</f>
        <v>0</v>
      </c>
      <c r="R26" s="45">
        <f t="shared" ref="R26" si="212">SUBTOTAL(9,R24:R25)</f>
        <v>0</v>
      </c>
      <c r="S26" s="45">
        <f t="shared" ref="S26" si="213">SUBTOTAL(9,S24:S25)</f>
        <v>0</v>
      </c>
      <c r="T26" s="46">
        <f t="shared" ref="T26" si="214">SUBTOTAL(9,T24:T25)</f>
        <v>0</v>
      </c>
      <c r="U26" s="46">
        <f t="shared" ref="U26" si="215">SUBTOTAL(9,U24:U25)</f>
        <v>0</v>
      </c>
      <c r="V26" s="46">
        <f t="shared" ref="V26" si="216">SUBTOTAL(9,V24:V25)</f>
        <v>0</v>
      </c>
      <c r="W26" s="46">
        <f t="shared" ref="W26" si="217">SUBTOTAL(9,W24:W25)</f>
        <v>0</v>
      </c>
      <c r="X26" s="47">
        <f t="shared" ref="X26" si="218">SUBTOTAL(9,X24:X25)</f>
        <v>0</v>
      </c>
      <c r="Y26" s="45">
        <f t="shared" ref="Y26" si="219">SUBTOTAL(9,Y24:Y25)</f>
        <v>0</v>
      </c>
      <c r="Z26" s="45">
        <f t="shared" ref="Z26" si="220">SUBTOTAL(9,Z24:Z25)</f>
        <v>40.25</v>
      </c>
      <c r="AA26" s="45">
        <f t="shared" ref="AA26" si="221">SUBTOTAL(9,AA24:AA25)</f>
        <v>0</v>
      </c>
      <c r="AB26" s="45">
        <f t="shared" ref="AB26" si="222">SUBTOTAL(9,AB24:AB25)</f>
        <v>0</v>
      </c>
      <c r="AC26" s="45">
        <f t="shared" ref="AC26" si="223">SUBTOTAL(9,AC24:AC25)</f>
        <v>855.43000000000006</v>
      </c>
      <c r="AD26" s="48"/>
      <c r="AE26" s="48"/>
      <c r="AF26" s="45">
        <f t="shared" ref="AF26" si="224">SUBTOTAL(9,AF24:AF25)</f>
        <v>3565.86</v>
      </c>
      <c r="AG26" s="44">
        <f t="shared" ref="AG26" si="225">SUBTOTAL(9,AG24:AG25)</f>
        <v>2424.7848000000004</v>
      </c>
      <c r="AH26" s="44">
        <f t="shared" ref="AH26" si="226">SUBTOTAL(9,AH24:AH25)</f>
        <v>427.90320000000003</v>
      </c>
      <c r="AI26" s="44">
        <f t="shared" ref="AI26" si="227">SUBTOTAL(9,AI24:AI25)</f>
        <v>713.17200000000003</v>
      </c>
      <c r="AJ26" s="45">
        <f t="shared" ref="AJ26" si="228">SUBTOTAL(9,AJ24:AJ25)</f>
        <v>0</v>
      </c>
      <c r="AK26" s="44">
        <f t="shared" ref="AK26" si="229">SUBTOTAL(9,AK24:AK25)</f>
        <v>40046.214285714283</v>
      </c>
      <c r="AL26" s="44">
        <f t="shared" ref="AL26" si="230">SUBTOTAL(9,AL24:AL25)</f>
        <v>39150.534285714282</v>
      </c>
      <c r="AM26" s="44">
        <f t="shared" ref="AM26" si="231">SUBTOTAL(9,AM24:AM25)</f>
        <v>4698.064114285713</v>
      </c>
      <c r="AN26" s="44">
        <f t="shared" ref="AN26" si="232">SUBTOTAL(9,AN24:AN25)</f>
        <v>43848.598399999988</v>
      </c>
      <c r="AO26" s="49">
        <f t="shared" ref="R26:BP26" si="233">SUBTOTAL(9,AO24:AO25)</f>
        <v>275</v>
      </c>
      <c r="AP26" s="49">
        <f t="shared" si="233"/>
        <v>185</v>
      </c>
      <c r="AQ26" s="49">
        <f t="shared" si="233"/>
        <v>0</v>
      </c>
      <c r="AR26" s="49">
        <f t="shared" si="233"/>
        <v>0</v>
      </c>
      <c r="AS26" s="49">
        <f t="shared" si="233"/>
        <v>0</v>
      </c>
      <c r="AT26" s="49">
        <f t="shared" si="233"/>
        <v>0</v>
      </c>
      <c r="AU26" s="49">
        <f>SUBTOTAL(9,AU24:AU25)</f>
        <v>0</v>
      </c>
      <c r="AV26" s="49">
        <f t="shared" si="233"/>
        <v>0</v>
      </c>
      <c r="AW26" s="49">
        <f t="shared" si="233"/>
        <v>0</v>
      </c>
      <c r="AX26" s="49">
        <f t="shared" si="233"/>
        <v>0</v>
      </c>
      <c r="AY26" s="49">
        <f t="shared" si="233"/>
        <v>0</v>
      </c>
      <c r="AZ26" s="44">
        <f t="shared" si="233"/>
        <v>0</v>
      </c>
      <c r="BA26" s="48">
        <f t="shared" si="233"/>
        <v>130</v>
      </c>
      <c r="BB26" s="48">
        <f t="shared" si="233"/>
        <v>0</v>
      </c>
      <c r="BC26" s="44">
        <f t="shared" si="233"/>
        <v>0</v>
      </c>
      <c r="BD26" s="44">
        <f t="shared" si="233"/>
        <v>0</v>
      </c>
      <c r="BE26" s="49">
        <f>SUBTOTAL(9,BE24:BE25)</f>
        <v>0</v>
      </c>
      <c r="BF26" s="49">
        <f t="shared" si="233"/>
        <v>0</v>
      </c>
      <c r="BG26" s="49">
        <f t="shared" si="233"/>
        <v>0</v>
      </c>
      <c r="BH26" s="49">
        <f t="shared" si="233"/>
        <v>0</v>
      </c>
      <c r="BI26" s="49">
        <f t="shared" si="233"/>
        <v>0</v>
      </c>
      <c r="BJ26" s="49">
        <f t="shared" si="233"/>
        <v>0</v>
      </c>
      <c r="BK26" s="49">
        <f t="shared" si="233"/>
        <v>0</v>
      </c>
      <c r="BL26" s="49">
        <f t="shared" si="233"/>
        <v>0</v>
      </c>
      <c r="BM26" s="49">
        <f t="shared" si="233"/>
        <v>0</v>
      </c>
      <c r="BN26" s="49">
        <f t="shared" si="233"/>
        <v>0</v>
      </c>
      <c r="BO26" s="49">
        <f t="shared" si="233"/>
        <v>0</v>
      </c>
      <c r="BP26" s="49">
        <f t="shared" si="233"/>
        <v>0</v>
      </c>
      <c r="BQ26" s="44">
        <f>SUBTOTAL(9,BQ24:BQ25)</f>
        <v>130</v>
      </c>
    </row>
    <row r="27" spans="1:124" x14ac:dyDescent="0.25">
      <c r="A27" s="190">
        <f>+A24+1</f>
        <v>43531</v>
      </c>
      <c r="B27" s="32" t="s">
        <v>43</v>
      </c>
      <c r="C27" s="33">
        <v>69673.87</v>
      </c>
      <c r="D27" s="34">
        <v>12203.99</v>
      </c>
      <c r="E27" s="34">
        <v>12204</v>
      </c>
      <c r="F27" s="35">
        <v>43531</v>
      </c>
      <c r="G27" s="33"/>
      <c r="H27" s="33">
        <f>IF(E27-D27&gt;0,E27-D27,0)</f>
        <v>1.0000000000218279E-2</v>
      </c>
      <c r="I27" s="34"/>
      <c r="J27" s="34"/>
      <c r="K27" s="34">
        <v>2544.38</v>
      </c>
      <c r="L27" s="34"/>
      <c r="M27" s="36">
        <f>(+K27)*M$5</f>
        <v>54.704169999999998</v>
      </c>
      <c r="N27" s="36">
        <f>(+K27)*N$5</f>
        <v>12.721900000000002</v>
      </c>
      <c r="O27" s="36">
        <f>+K27-M27-N27+P27</f>
        <v>2476.9539300000001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f>84.25+185</f>
        <v>269.25</v>
      </c>
      <c r="AA27" s="34"/>
      <c r="AB27" s="34"/>
      <c r="AC27" s="34">
        <v>156.25</v>
      </c>
      <c r="AD27" s="38" t="s">
        <v>138</v>
      </c>
      <c r="AE27" s="38">
        <v>54500</v>
      </c>
      <c r="AF27" s="34">
        <v>5398.37</v>
      </c>
      <c r="AG27" s="33">
        <f>(AF27*0.8)*0.85</f>
        <v>3670.8915999999999</v>
      </c>
      <c r="AH27" s="33">
        <f>(AF27*0.8)*0.15</f>
        <v>647.80439999999999</v>
      </c>
      <c r="AI27" s="33">
        <f>AF27*0.2</f>
        <v>1079.674</v>
      </c>
      <c r="AJ27" s="34">
        <v>0</v>
      </c>
      <c r="AK27" s="33">
        <f t="shared" ref="AK27:AK28" si="234">(C27-AF27-AJ27)/1.12</f>
        <v>57388.839285714275</v>
      </c>
      <c r="AL27" s="33">
        <f t="shared" ref="AL27:AL28" si="235">AK27-SUM(Y27:AC27)</f>
        <v>56963.339285714275</v>
      </c>
      <c r="AM27" s="33">
        <f t="shared" ref="AM27:AM28" si="236">+AL27*0.12</f>
        <v>6835.6007142857125</v>
      </c>
      <c r="AN27" s="33">
        <f t="shared" si="85"/>
        <v>63798.939999999988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41">
        <f>AZ27+BA27+BB27+BD27-BC27</f>
        <v>0</v>
      </c>
      <c r="BS27" s="145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</row>
    <row r="28" spans="1:124" ht="15.75" thickBot="1" x14ac:dyDescent="0.3">
      <c r="A28" s="191"/>
      <c r="B28" s="15" t="s">
        <v>44</v>
      </c>
      <c r="C28" s="33">
        <v>16636.349999999999</v>
      </c>
      <c r="D28" s="34">
        <v>10149.950000000001</v>
      </c>
      <c r="E28" s="34">
        <v>10150</v>
      </c>
      <c r="F28" s="35">
        <v>43532</v>
      </c>
      <c r="G28" s="33"/>
      <c r="H28" s="33">
        <f>IF(E28-D28&gt;0,E28-D28,0)</f>
        <v>4.9999999999272404E-2</v>
      </c>
      <c r="I28" s="34"/>
      <c r="J28" s="34"/>
      <c r="K28" s="34">
        <v>4121.25</v>
      </c>
      <c r="L28" s="34"/>
      <c r="M28" s="36">
        <f>(+K28)*M$5</f>
        <v>88.606874999999988</v>
      </c>
      <c r="N28" s="36">
        <f>(+K28)*N$5</f>
        <v>20.606249999999999</v>
      </c>
      <c r="O28" s="36">
        <f>+K28-M28-N28+P28</f>
        <v>4012.0368750000002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f>7+92.5</f>
        <v>99.5</v>
      </c>
      <c r="AA28" s="34"/>
      <c r="AB28" s="34"/>
      <c r="AC28" s="34">
        <v>69.650000000000006</v>
      </c>
      <c r="AD28" s="38" t="s">
        <v>141</v>
      </c>
      <c r="AE28" s="38">
        <v>2196</v>
      </c>
      <c r="AF28" s="34">
        <v>1107.1300000000001</v>
      </c>
      <c r="AG28" s="33">
        <f>(AF28*0.8)*0.85</f>
        <v>752.84840000000008</v>
      </c>
      <c r="AH28" s="33">
        <f>(AF28*0.8)*0.15</f>
        <v>132.85560000000001</v>
      </c>
      <c r="AI28" s="33">
        <f>AF28*0.2</f>
        <v>221.42600000000004</v>
      </c>
      <c r="AJ28" s="34">
        <v>0</v>
      </c>
      <c r="AK28" s="33">
        <f t="shared" si="234"/>
        <v>13865.374999999996</v>
      </c>
      <c r="AL28" s="33">
        <f t="shared" si="235"/>
        <v>13696.224999999997</v>
      </c>
      <c r="AM28" s="33">
        <f t="shared" si="236"/>
        <v>1643.5469999999996</v>
      </c>
      <c r="AN28" s="33">
        <f t="shared" si="85"/>
        <v>15339.771999999997</v>
      </c>
      <c r="AO28" s="39"/>
      <c r="AP28" s="40">
        <v>455</v>
      </c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455</v>
      </c>
      <c r="BA28" s="38">
        <v>750</v>
      </c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1">
        <f>AZ28+BA28+BB28+BD28-BC28</f>
        <v>1205</v>
      </c>
      <c r="BS28" s="145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</row>
    <row r="29" spans="1:124" ht="15.75" thickBot="1" x14ac:dyDescent="0.3">
      <c r="A29" s="42"/>
      <c r="B29" s="43"/>
      <c r="C29" s="44">
        <f>SUBTOTAL(9,C27:C28)</f>
        <v>86310.22</v>
      </c>
      <c r="D29" s="45">
        <f t="shared" ref="D29" si="237">SUBTOTAL(9,D27:D28)</f>
        <v>22353.940000000002</v>
      </c>
      <c r="E29" s="45">
        <f>SUBTOTAL(9,E27:E28)</f>
        <v>22354</v>
      </c>
      <c r="F29" s="47"/>
      <c r="G29" s="45">
        <f t="shared" ref="G29" si="238">SUBTOTAL(9,G27:G28)</f>
        <v>0</v>
      </c>
      <c r="H29" s="45">
        <f t="shared" ref="H29" si="239">SUBTOTAL(9,H27:H28)</f>
        <v>5.9999999999490683E-2</v>
      </c>
      <c r="I29" s="45">
        <f t="shared" ref="I29" si="240">SUBTOTAL(9,I27:I28)</f>
        <v>0</v>
      </c>
      <c r="J29" s="45">
        <f t="shared" ref="J29" si="241">SUBTOTAL(9,J27:J28)</f>
        <v>0</v>
      </c>
      <c r="K29" s="159">
        <f t="shared" ref="K29" si="242">SUBTOTAL(9,K27:K28)</f>
        <v>6665.63</v>
      </c>
      <c r="L29" s="45">
        <f t="shared" ref="L29" si="243">SUBTOTAL(9,L27:L28)</f>
        <v>0</v>
      </c>
      <c r="M29" s="46">
        <f t="shared" ref="M29" si="244">SUBTOTAL(9,M27:M28)</f>
        <v>143.31104499999998</v>
      </c>
      <c r="N29" s="46">
        <f t="shared" ref="N29" si="245">SUBTOTAL(9,N27:N28)</f>
        <v>33.328150000000001</v>
      </c>
      <c r="O29" s="46">
        <f t="shared" ref="O29" si="246">SUBTOTAL(9,O27:O28)</f>
        <v>6488.9908050000004</v>
      </c>
      <c r="P29" s="46">
        <f t="shared" ref="P29" si="247">SUBTOTAL(9,P27:P28)</f>
        <v>0</v>
      </c>
      <c r="Q29" s="47">
        <f t="shared" ref="Q29" si="248">SUBTOTAL(9,Q27:Q28)</f>
        <v>0</v>
      </c>
      <c r="R29" s="45">
        <f t="shared" ref="R29" si="249">SUBTOTAL(9,R27:R28)</f>
        <v>0</v>
      </c>
      <c r="S29" s="45">
        <f t="shared" ref="S29" si="250">SUBTOTAL(9,S27:S28)</f>
        <v>0</v>
      </c>
      <c r="T29" s="46">
        <f t="shared" ref="T29" si="251">SUBTOTAL(9,T27:T28)</f>
        <v>0</v>
      </c>
      <c r="U29" s="46">
        <f t="shared" ref="U29" si="252">SUBTOTAL(9,U27:U28)</f>
        <v>0</v>
      </c>
      <c r="V29" s="46">
        <f t="shared" ref="V29" si="253">SUBTOTAL(9,V27:V28)</f>
        <v>0</v>
      </c>
      <c r="W29" s="46">
        <f t="shared" ref="W29" si="254">SUBTOTAL(9,W27:W28)</f>
        <v>0</v>
      </c>
      <c r="X29" s="47">
        <f t="shared" ref="X29" si="255">SUBTOTAL(9,X27:X28)</f>
        <v>0</v>
      </c>
      <c r="Y29" s="45">
        <f t="shared" ref="Y29" si="256">SUBTOTAL(9,Y27:Y28)</f>
        <v>0</v>
      </c>
      <c r="Z29" s="45">
        <f t="shared" ref="Z29" si="257">SUBTOTAL(9,Z27:Z28)</f>
        <v>368.75</v>
      </c>
      <c r="AA29" s="45">
        <f t="shared" ref="AA29" si="258">SUBTOTAL(9,AA27:AA28)</f>
        <v>0</v>
      </c>
      <c r="AB29" s="45">
        <f t="shared" ref="AB29" si="259">SUBTOTAL(9,AB27:AB28)</f>
        <v>0</v>
      </c>
      <c r="AC29" s="45">
        <f t="shared" ref="AC29" si="260">SUBTOTAL(9,AC27:AC28)</f>
        <v>225.9</v>
      </c>
      <c r="AD29" s="48"/>
      <c r="AE29" s="48"/>
      <c r="AF29" s="45">
        <f t="shared" ref="AF29" si="261">SUBTOTAL(9,AF27:AF28)</f>
        <v>6505.5</v>
      </c>
      <c r="AG29" s="44">
        <f t="shared" ref="AG29" si="262">SUBTOTAL(9,AG27:AG28)</f>
        <v>4423.74</v>
      </c>
      <c r="AH29" s="44">
        <f t="shared" ref="AH29" si="263">SUBTOTAL(9,AH27:AH28)</f>
        <v>780.66</v>
      </c>
      <c r="AI29" s="44">
        <f t="shared" ref="AI29" si="264">SUBTOTAL(9,AI27:AI28)</f>
        <v>1301.0999999999999</v>
      </c>
      <c r="AJ29" s="45">
        <f t="shared" ref="AJ29" si="265">SUBTOTAL(9,AJ27:AJ28)</f>
        <v>0</v>
      </c>
      <c r="AK29" s="44">
        <f t="shared" ref="AK29" si="266">SUBTOTAL(9,AK27:AK28)</f>
        <v>71254.214285714275</v>
      </c>
      <c r="AL29" s="44">
        <f t="shared" ref="AL29" si="267">SUBTOTAL(9,AL27:AL28)</f>
        <v>70659.564285714267</v>
      </c>
      <c r="AM29" s="44">
        <f t="shared" ref="AM29" si="268">SUBTOTAL(9,AM27:AM28)</f>
        <v>8479.1477142857111</v>
      </c>
      <c r="AN29" s="44">
        <f t="shared" ref="AN29" si="269">SUBTOTAL(9,AN27:AN28)</f>
        <v>79138.711999999985</v>
      </c>
      <c r="AO29" s="49">
        <f t="shared" ref="R29:BP29" si="270">SUBTOTAL(9,AO27:AO28)</f>
        <v>0</v>
      </c>
      <c r="AP29" s="49">
        <f t="shared" si="270"/>
        <v>455</v>
      </c>
      <c r="AQ29" s="49">
        <f t="shared" si="270"/>
        <v>0</v>
      </c>
      <c r="AR29" s="49">
        <f t="shared" si="270"/>
        <v>0</v>
      </c>
      <c r="AS29" s="49">
        <f t="shared" si="270"/>
        <v>0</v>
      </c>
      <c r="AT29" s="49">
        <f t="shared" si="270"/>
        <v>0</v>
      </c>
      <c r="AU29" s="49">
        <f>SUBTOTAL(9,AU27:AU28)</f>
        <v>0</v>
      </c>
      <c r="AV29" s="49">
        <f t="shared" si="270"/>
        <v>0</v>
      </c>
      <c r="AW29" s="49">
        <f t="shared" si="270"/>
        <v>0</v>
      </c>
      <c r="AX29" s="49">
        <f t="shared" si="270"/>
        <v>0</v>
      </c>
      <c r="AY29" s="49">
        <f t="shared" si="270"/>
        <v>0</v>
      </c>
      <c r="AZ29" s="44">
        <f t="shared" si="270"/>
        <v>455</v>
      </c>
      <c r="BA29" s="48">
        <f t="shared" si="270"/>
        <v>750</v>
      </c>
      <c r="BB29" s="48">
        <f t="shared" si="270"/>
        <v>0</v>
      </c>
      <c r="BC29" s="44">
        <f t="shared" si="270"/>
        <v>0</v>
      </c>
      <c r="BD29" s="44">
        <f t="shared" si="270"/>
        <v>0</v>
      </c>
      <c r="BE29" s="49">
        <f>SUBTOTAL(9,BE27:BE28)</f>
        <v>0</v>
      </c>
      <c r="BF29" s="49">
        <f t="shared" si="270"/>
        <v>0</v>
      </c>
      <c r="BG29" s="49">
        <f t="shared" si="270"/>
        <v>0</v>
      </c>
      <c r="BH29" s="49">
        <f t="shared" si="270"/>
        <v>0</v>
      </c>
      <c r="BI29" s="49">
        <f t="shared" si="270"/>
        <v>0</v>
      </c>
      <c r="BJ29" s="49">
        <f t="shared" si="270"/>
        <v>0</v>
      </c>
      <c r="BK29" s="49">
        <f t="shared" si="270"/>
        <v>0</v>
      </c>
      <c r="BL29" s="49">
        <f t="shared" si="270"/>
        <v>0</v>
      </c>
      <c r="BM29" s="49">
        <f t="shared" si="270"/>
        <v>0</v>
      </c>
      <c r="BN29" s="49">
        <f t="shared" si="270"/>
        <v>0</v>
      </c>
      <c r="BO29" s="49">
        <f t="shared" si="270"/>
        <v>0</v>
      </c>
      <c r="BP29" s="49">
        <f t="shared" si="270"/>
        <v>0</v>
      </c>
      <c r="BQ29" s="44">
        <f>SUBTOTAL(9,BQ27:BQ28)</f>
        <v>1205</v>
      </c>
    </row>
    <row r="30" spans="1:124" x14ac:dyDescent="0.25">
      <c r="A30" s="190">
        <f>+A27+1</f>
        <v>43532</v>
      </c>
      <c r="B30" s="32" t="s">
        <v>43</v>
      </c>
      <c r="C30" s="33">
        <v>38656.6</v>
      </c>
      <c r="D30" s="34">
        <v>23696.9</v>
      </c>
      <c r="E30" s="34">
        <v>23700</v>
      </c>
      <c r="F30" s="35">
        <v>43532</v>
      </c>
      <c r="G30" s="33">
        <f>IF(E30-D30&lt;0,E30-D30,0)*-1</f>
        <v>0</v>
      </c>
      <c r="H30" s="33">
        <f>IF(E30-D30&gt;0,E30-D30,0)</f>
        <v>3.0999999999985448</v>
      </c>
      <c r="I30" s="34"/>
      <c r="J30" s="34"/>
      <c r="K30" s="34">
        <v>8852.02</v>
      </c>
      <c r="L30" s="34"/>
      <c r="M30" s="36">
        <f>(+K30)*M$5</f>
        <v>190.31843000000001</v>
      </c>
      <c r="N30" s="36">
        <f>(+K30)*N$5</f>
        <v>44.260100000000001</v>
      </c>
      <c r="O30" s="36">
        <f>+K30-M30-N30+P30</f>
        <v>8617.4414700000016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f>83+72+92.5</f>
        <v>247.5</v>
      </c>
      <c r="AA30" s="34"/>
      <c r="AB30" s="34"/>
      <c r="AC30" s="34">
        <v>270.18</v>
      </c>
      <c r="AD30" s="38" t="s">
        <v>141</v>
      </c>
      <c r="AE30" s="38">
        <v>5590</v>
      </c>
      <c r="AF30" s="34">
        <v>2354.71</v>
      </c>
      <c r="AG30" s="33">
        <f>(AF30*0.8)*0.85</f>
        <v>1601.2028</v>
      </c>
      <c r="AH30" s="33">
        <f>(AF30*0.8)*0.15</f>
        <v>282.5652</v>
      </c>
      <c r="AI30" s="33">
        <f>AF30*0.2</f>
        <v>470.94200000000001</v>
      </c>
      <c r="AJ30" s="34">
        <v>0</v>
      </c>
      <c r="AK30" s="33">
        <f t="shared" ref="AK30:AK31" si="271">(C30-AF30-AJ30)/1.12</f>
        <v>32412.401785714283</v>
      </c>
      <c r="AL30" s="33">
        <f t="shared" ref="AL30:AL31" si="272">AK30-SUM(Y30:AC30)</f>
        <v>31894.721785714282</v>
      </c>
      <c r="AM30" s="33">
        <f t="shared" ref="AM30:AM31" si="273">+AL30*0.12</f>
        <v>3827.3666142857137</v>
      </c>
      <c r="AN30" s="33">
        <f t="shared" ref="AN30:AN31" si="274">+AM30+AL30+AJ30</f>
        <v>35722.088399999993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41">
        <f>AZ30+BA30+BB30+BD30-BC30</f>
        <v>0</v>
      </c>
      <c r="BS30" s="145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</row>
    <row r="31" spans="1:124" ht="15.75" thickBot="1" x14ac:dyDescent="0.3">
      <c r="A31" s="191"/>
      <c r="B31" s="15" t="s">
        <v>44</v>
      </c>
      <c r="C31" s="33">
        <v>84806.88</v>
      </c>
      <c r="D31" s="34">
        <v>17548.509999999998</v>
      </c>
      <c r="E31" s="34">
        <v>17550</v>
      </c>
      <c r="F31" s="35">
        <v>43533</v>
      </c>
      <c r="G31" s="33">
        <f>IF(E31-D31&lt;0,E31-D31,0)*-1</f>
        <v>0</v>
      </c>
      <c r="H31" s="33">
        <f>IF(E31-D31&gt;0,E31-D31,0)</f>
        <v>1.4900000000016007</v>
      </c>
      <c r="I31" s="34"/>
      <c r="J31" s="34"/>
      <c r="K31" s="34">
        <v>14391.08</v>
      </c>
      <c r="L31" s="34"/>
      <c r="M31" s="36">
        <f>(+K31)*M$5</f>
        <v>309.40821999999997</v>
      </c>
      <c r="N31" s="36">
        <f>(+K31)*N$5</f>
        <v>71.955399999999997</v>
      </c>
      <c r="O31" s="36">
        <f>+K31-M31-N31+P31</f>
        <v>14009.71638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f>11.25+38+185</f>
        <v>234.25</v>
      </c>
      <c r="AA31" s="34"/>
      <c r="AB31" s="34"/>
      <c r="AC31" s="34">
        <v>133.04</v>
      </c>
      <c r="AD31" s="38" t="s">
        <v>139</v>
      </c>
      <c r="AE31" s="38">
        <v>52500</v>
      </c>
      <c r="AF31" s="34">
        <v>6436.59</v>
      </c>
      <c r="AG31" s="33">
        <f>(AF31*0.8)*0.85</f>
        <v>4376.8812000000007</v>
      </c>
      <c r="AH31" s="33">
        <f>(AF31*0.8)*0.15</f>
        <v>772.39080000000013</v>
      </c>
      <c r="AI31" s="33">
        <f>AF31*0.2</f>
        <v>1287.3180000000002</v>
      </c>
      <c r="AJ31" s="34">
        <v>0</v>
      </c>
      <c r="AK31" s="33">
        <f t="shared" si="271"/>
        <v>69973.47321428571</v>
      </c>
      <c r="AL31" s="33">
        <f t="shared" si="272"/>
        <v>69606.183214285717</v>
      </c>
      <c r="AM31" s="33">
        <f t="shared" si="273"/>
        <v>8352.741985714285</v>
      </c>
      <c r="AN31" s="33">
        <f t="shared" si="274"/>
        <v>77958.925199999998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1">
        <f>AZ31+BA31+BB31+BD31-BC31</f>
        <v>0</v>
      </c>
      <c r="BS31" s="145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</row>
    <row r="32" spans="1:124" ht="15.75" thickBot="1" x14ac:dyDescent="0.3">
      <c r="A32" s="42"/>
      <c r="B32" s="43"/>
      <c r="C32" s="44">
        <f>SUBTOTAL(9,C30:C31)</f>
        <v>123463.48000000001</v>
      </c>
      <c r="D32" s="45">
        <f t="shared" ref="D32" si="275">SUBTOTAL(9,D30:D31)</f>
        <v>41245.410000000003</v>
      </c>
      <c r="E32" s="45">
        <f>SUBTOTAL(9,E30:E31)</f>
        <v>41250</v>
      </c>
      <c r="F32" s="47"/>
      <c r="G32" s="45">
        <f t="shared" ref="G32" si="276">SUBTOTAL(9,G30:G31)</f>
        <v>0</v>
      </c>
      <c r="H32" s="45">
        <f t="shared" ref="H32" si="277">SUBTOTAL(9,H30:H31)</f>
        <v>4.5900000000001455</v>
      </c>
      <c r="I32" s="45">
        <f t="shared" ref="I32" si="278">SUBTOTAL(9,I30:I31)</f>
        <v>0</v>
      </c>
      <c r="J32" s="45">
        <f t="shared" ref="J32" si="279">SUBTOTAL(9,J30:J31)</f>
        <v>0</v>
      </c>
      <c r="K32" s="159">
        <f t="shared" ref="K32" si="280">SUBTOTAL(9,K30:K31)</f>
        <v>23243.1</v>
      </c>
      <c r="L32" s="45">
        <f t="shared" ref="L32" si="281">SUBTOTAL(9,L30:L31)</f>
        <v>0</v>
      </c>
      <c r="M32" s="46">
        <f t="shared" ref="M32" si="282">SUBTOTAL(9,M30:M31)</f>
        <v>499.72664999999995</v>
      </c>
      <c r="N32" s="46">
        <f t="shared" ref="N32" si="283">SUBTOTAL(9,N30:N31)</f>
        <v>116.21549999999999</v>
      </c>
      <c r="O32" s="46">
        <f t="shared" ref="O32" si="284">SUBTOTAL(9,O30:O31)</f>
        <v>22627.157850000003</v>
      </c>
      <c r="P32" s="46">
        <f t="shared" ref="P32" si="285">SUBTOTAL(9,P30:P31)</f>
        <v>0</v>
      </c>
      <c r="Q32" s="47">
        <f t="shared" ref="Q32" si="286">SUBTOTAL(9,Q30:Q31)</f>
        <v>0</v>
      </c>
      <c r="R32" s="45">
        <f t="shared" ref="R32" si="287">SUBTOTAL(9,R30:R31)</f>
        <v>0</v>
      </c>
      <c r="S32" s="45">
        <f t="shared" ref="S32" si="288">SUBTOTAL(9,S30:S31)</f>
        <v>0</v>
      </c>
      <c r="T32" s="46">
        <f t="shared" ref="T32" si="289">SUBTOTAL(9,T30:T31)</f>
        <v>0</v>
      </c>
      <c r="U32" s="46">
        <f t="shared" ref="U32" si="290">SUBTOTAL(9,U30:U31)</f>
        <v>0</v>
      </c>
      <c r="V32" s="46">
        <f t="shared" ref="V32" si="291">SUBTOTAL(9,V30:V31)</f>
        <v>0</v>
      </c>
      <c r="W32" s="46">
        <f t="shared" ref="W32" si="292">SUBTOTAL(9,W30:W31)</f>
        <v>0</v>
      </c>
      <c r="X32" s="47">
        <f t="shared" ref="X32" si="293">SUBTOTAL(9,X30:X31)</f>
        <v>0</v>
      </c>
      <c r="Y32" s="45">
        <f t="shared" ref="Y32" si="294">SUBTOTAL(9,Y30:Y31)</f>
        <v>0</v>
      </c>
      <c r="Z32" s="45">
        <f t="shared" ref="Z32" si="295">SUBTOTAL(9,Z30:Z31)</f>
        <v>481.75</v>
      </c>
      <c r="AA32" s="45">
        <f t="shared" ref="AA32" si="296">SUBTOTAL(9,AA30:AA31)</f>
        <v>0</v>
      </c>
      <c r="AB32" s="45">
        <f t="shared" ref="AB32" si="297">SUBTOTAL(9,AB30:AB31)</f>
        <v>0</v>
      </c>
      <c r="AC32" s="45">
        <f t="shared" ref="AC32" si="298">SUBTOTAL(9,AC30:AC31)</f>
        <v>403.22</v>
      </c>
      <c r="AD32" s="48"/>
      <c r="AE32" s="48"/>
      <c r="AF32" s="45">
        <f t="shared" ref="AF32" si="299">SUBTOTAL(9,AF30:AF31)</f>
        <v>8791.2999999999993</v>
      </c>
      <c r="AG32" s="44">
        <f t="shared" ref="AG32" si="300">SUBTOTAL(9,AG30:AG31)</f>
        <v>5978.0840000000007</v>
      </c>
      <c r="AH32" s="44">
        <f t="shared" ref="AH32" si="301">SUBTOTAL(9,AH30:AH31)</f>
        <v>1054.9560000000001</v>
      </c>
      <c r="AI32" s="44">
        <f t="shared" ref="AI32" si="302">SUBTOTAL(9,AI30:AI31)</f>
        <v>1758.2600000000002</v>
      </c>
      <c r="AJ32" s="45">
        <f t="shared" ref="AJ32" si="303">SUBTOTAL(9,AJ30:AJ31)</f>
        <v>0</v>
      </c>
      <c r="AK32" s="44">
        <f t="shared" ref="AK32" si="304">SUBTOTAL(9,AK30:AK31)</f>
        <v>102385.875</v>
      </c>
      <c r="AL32" s="44">
        <f t="shared" ref="AL32" si="305">SUBTOTAL(9,AL30:AL31)</f>
        <v>101500.905</v>
      </c>
      <c r="AM32" s="44">
        <f t="shared" ref="AM32" si="306">SUBTOTAL(9,AM30:AM31)</f>
        <v>12180.1086</v>
      </c>
      <c r="AN32" s="44">
        <f t="shared" ref="AN32" si="307">SUBTOTAL(9,AN30:AN31)</f>
        <v>113681.01359999999</v>
      </c>
      <c r="AO32" s="49">
        <f t="shared" ref="R32:BP32" si="308">SUBTOTAL(9,AO30:AO31)</f>
        <v>0</v>
      </c>
      <c r="AP32" s="49">
        <f t="shared" si="308"/>
        <v>0</v>
      </c>
      <c r="AQ32" s="49">
        <f t="shared" si="308"/>
        <v>0</v>
      </c>
      <c r="AR32" s="49">
        <f t="shared" si="308"/>
        <v>0</v>
      </c>
      <c r="AS32" s="49">
        <f t="shared" si="308"/>
        <v>0</v>
      </c>
      <c r="AT32" s="49">
        <f t="shared" si="308"/>
        <v>0</v>
      </c>
      <c r="AU32" s="49">
        <f>SUBTOTAL(9,AU30:AU31)</f>
        <v>0</v>
      </c>
      <c r="AV32" s="49">
        <f t="shared" si="308"/>
        <v>0</v>
      </c>
      <c r="AW32" s="49">
        <f t="shared" si="308"/>
        <v>0</v>
      </c>
      <c r="AX32" s="49">
        <f t="shared" si="308"/>
        <v>0</v>
      </c>
      <c r="AY32" s="49">
        <f t="shared" si="308"/>
        <v>0</v>
      </c>
      <c r="AZ32" s="44">
        <f t="shared" si="308"/>
        <v>0</v>
      </c>
      <c r="BA32" s="48">
        <f t="shared" si="308"/>
        <v>0</v>
      </c>
      <c r="BB32" s="48">
        <f t="shared" si="308"/>
        <v>0</v>
      </c>
      <c r="BC32" s="44">
        <f t="shared" si="308"/>
        <v>0</v>
      </c>
      <c r="BD32" s="44">
        <f t="shared" si="308"/>
        <v>0</v>
      </c>
      <c r="BE32" s="49">
        <f>SUBTOTAL(9,BE30:BE31)</f>
        <v>0</v>
      </c>
      <c r="BF32" s="49">
        <f t="shared" si="308"/>
        <v>0</v>
      </c>
      <c r="BG32" s="49">
        <f t="shared" si="308"/>
        <v>0</v>
      </c>
      <c r="BH32" s="49">
        <f t="shared" si="308"/>
        <v>0</v>
      </c>
      <c r="BI32" s="49">
        <f t="shared" si="308"/>
        <v>0</v>
      </c>
      <c r="BJ32" s="49">
        <f t="shared" si="308"/>
        <v>0</v>
      </c>
      <c r="BK32" s="49">
        <f t="shared" si="308"/>
        <v>0</v>
      </c>
      <c r="BL32" s="49">
        <f t="shared" si="308"/>
        <v>0</v>
      </c>
      <c r="BM32" s="49">
        <f t="shared" si="308"/>
        <v>0</v>
      </c>
      <c r="BN32" s="49">
        <f t="shared" si="308"/>
        <v>0</v>
      </c>
      <c r="BO32" s="49">
        <f t="shared" si="308"/>
        <v>0</v>
      </c>
      <c r="BP32" s="49">
        <f t="shared" si="308"/>
        <v>0</v>
      </c>
      <c r="BQ32" s="44">
        <f>SUBTOTAL(9,BQ30:BQ31)</f>
        <v>0</v>
      </c>
    </row>
    <row r="33" spans="1:124" x14ac:dyDescent="0.25">
      <c r="A33" s="190">
        <f>+A30+1</f>
        <v>43533</v>
      </c>
      <c r="B33" s="32" t="s">
        <v>43</v>
      </c>
      <c r="C33" s="33" t="s">
        <v>135</v>
      </c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 t="shared" ref="AL33:AL34" si="309">AK33-SUM(Y33:AC33)</f>
        <v>0</v>
      </c>
      <c r="AM33" s="33">
        <f t="shared" ref="AM33:AM34" si="310">+AL33*0.12</f>
        <v>0</v>
      </c>
      <c r="AN33" s="33">
        <f t="shared" si="85"/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41">
        <f>AZ33+BA33+BB33+BD33-BC33</f>
        <v>0</v>
      </c>
      <c r="BS33" s="145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</row>
    <row r="34" spans="1:124" ht="15.75" thickBot="1" x14ac:dyDescent="0.3">
      <c r="A34" s="191"/>
      <c r="B34" s="15" t="s">
        <v>44</v>
      </c>
      <c r="C34" s="33">
        <v>7646.36</v>
      </c>
      <c r="D34" s="34">
        <v>3713.11</v>
      </c>
      <c r="E34" s="34">
        <v>3714</v>
      </c>
      <c r="F34" s="35">
        <v>43533</v>
      </c>
      <c r="G34" s="33">
        <f>IF(E34-D34&lt;0,E34-D34,0)*-1</f>
        <v>0</v>
      </c>
      <c r="H34" s="33">
        <f>IF(E34-D34&gt;0,E34-D34,0)</f>
        <v>0.88999999999987267</v>
      </c>
      <c r="I34" s="34"/>
      <c r="J34" s="34"/>
      <c r="K34" s="34">
        <v>0</v>
      </c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f>13.25+38</f>
        <v>51.25</v>
      </c>
      <c r="AA34" s="34"/>
      <c r="AB34" s="34"/>
      <c r="AC34" s="34"/>
      <c r="AD34" s="38" t="s">
        <v>141</v>
      </c>
      <c r="AE34" s="38">
        <v>3882</v>
      </c>
      <c r="AF34" s="34">
        <v>304.36</v>
      </c>
      <c r="AG34" s="33">
        <f>(AF34*0.8)*0.85</f>
        <v>206.96480000000003</v>
      </c>
      <c r="AH34" s="33">
        <f>(AF34*0.8)*0.15</f>
        <v>36.523200000000003</v>
      </c>
      <c r="AI34" s="33">
        <f>AF34*0.2</f>
        <v>60.872000000000007</v>
      </c>
      <c r="AJ34" s="34">
        <v>0</v>
      </c>
      <c r="AK34" s="33">
        <f t="shared" ref="AK34" si="311">(C34-AF34-AJ34)/1.12</f>
        <v>6555.3571428571422</v>
      </c>
      <c r="AL34" s="33">
        <f t="shared" si="309"/>
        <v>6504.1071428571422</v>
      </c>
      <c r="AM34" s="33">
        <f t="shared" si="310"/>
        <v>780.49285714285702</v>
      </c>
      <c r="AN34" s="33">
        <f t="shared" si="85"/>
        <v>7284.5999999999995</v>
      </c>
      <c r="AO34" s="39"/>
      <c r="AP34" s="40"/>
      <c r="AQ34" s="40">
        <v>750</v>
      </c>
      <c r="AR34" s="40">
        <v>568</v>
      </c>
      <c r="AS34" s="40"/>
      <c r="AT34" s="40"/>
      <c r="AU34" s="40"/>
      <c r="AV34" s="40"/>
      <c r="AW34" s="40"/>
      <c r="AX34" s="40"/>
      <c r="AY34" s="40"/>
      <c r="AZ34" s="33">
        <f>SUM(AO34:AY34)</f>
        <v>1318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0</v>
      </c>
      <c r="BM34" s="39"/>
      <c r="BN34" s="39"/>
      <c r="BO34" s="39"/>
      <c r="BP34" s="39"/>
      <c r="BQ34" s="41">
        <f>AZ34+BA34+BB34+BD34-BC34</f>
        <v>1318</v>
      </c>
      <c r="BS34" s="145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</row>
    <row r="35" spans="1:124" s="120" customFormat="1" ht="15.75" thickBot="1" x14ac:dyDescent="0.3">
      <c r="A35" s="42"/>
      <c r="B35" s="43"/>
      <c r="C35" s="44">
        <f t="shared" ref="C35:Y35" si="312">SUBTOTAL(9,C33:C34)</f>
        <v>7646.36</v>
      </c>
      <c r="D35" s="45">
        <f t="shared" ref="D35" si="313">SUBTOTAL(9,D33:D34)</f>
        <v>3713.11</v>
      </c>
      <c r="E35" s="45">
        <f>SUBTOTAL(9,E33:E34)</f>
        <v>3714</v>
      </c>
      <c r="F35" s="47"/>
      <c r="G35" s="45">
        <f t="shared" ref="G35" si="314">SUBTOTAL(9,G33:G34)</f>
        <v>0</v>
      </c>
      <c r="H35" s="45">
        <f t="shared" ref="H35" si="315">SUBTOTAL(9,H33:H34)</f>
        <v>0.88999999999987267</v>
      </c>
      <c r="I35" s="45">
        <f t="shared" ref="I35" si="316">SUBTOTAL(9,I33:I34)</f>
        <v>0</v>
      </c>
      <c r="J35" s="45">
        <f t="shared" ref="J35" si="317">SUBTOTAL(9,J33:J34)</f>
        <v>0</v>
      </c>
      <c r="K35" s="159">
        <f t="shared" ref="K35" si="318">SUBTOTAL(9,K33:K34)</f>
        <v>0</v>
      </c>
      <c r="L35" s="45">
        <f t="shared" ref="L35" si="319">SUBTOTAL(9,L33:L34)</f>
        <v>0</v>
      </c>
      <c r="M35" s="46">
        <f t="shared" ref="M35" si="320">SUBTOTAL(9,M33:M34)</f>
        <v>0</v>
      </c>
      <c r="N35" s="46">
        <f t="shared" ref="N35" si="321">SUBTOTAL(9,N33:N34)</f>
        <v>0</v>
      </c>
      <c r="O35" s="46">
        <f t="shared" ref="O35" si="322">SUBTOTAL(9,O33:O34)</f>
        <v>0</v>
      </c>
      <c r="P35" s="46">
        <f t="shared" ref="P35" si="323">SUBTOTAL(9,P33:P34)</f>
        <v>0</v>
      </c>
      <c r="Q35" s="47">
        <f t="shared" ref="Q35" si="324">SUBTOTAL(9,Q33:Q34)</f>
        <v>0</v>
      </c>
      <c r="R35" s="45">
        <f t="shared" ref="R35" si="325">SUBTOTAL(9,R33:R34)</f>
        <v>0</v>
      </c>
      <c r="S35" s="45">
        <f t="shared" ref="S35" si="326">SUBTOTAL(9,S33:S34)</f>
        <v>0</v>
      </c>
      <c r="T35" s="46">
        <f t="shared" ref="T35" si="327">SUBTOTAL(9,T33:T34)</f>
        <v>0</v>
      </c>
      <c r="U35" s="46">
        <f t="shared" ref="U35" si="328">SUBTOTAL(9,U33:U34)</f>
        <v>0</v>
      </c>
      <c r="V35" s="46">
        <f t="shared" ref="V35" si="329">SUBTOTAL(9,V33:V34)</f>
        <v>0</v>
      </c>
      <c r="W35" s="46">
        <f t="shared" ref="W35" si="330">SUBTOTAL(9,W33:W34)</f>
        <v>0</v>
      </c>
      <c r="X35" s="47">
        <f t="shared" ref="X35" si="331">SUBTOTAL(9,X33:X34)</f>
        <v>0</v>
      </c>
      <c r="Y35" s="45">
        <f t="shared" ref="Y35" si="332">SUBTOTAL(9,Y33:Y34)</f>
        <v>0</v>
      </c>
      <c r="Z35" s="45">
        <f t="shared" ref="Z35" si="333">SUBTOTAL(9,Z33:Z34)</f>
        <v>51.25</v>
      </c>
      <c r="AA35" s="45">
        <f t="shared" ref="AA35" si="334">SUBTOTAL(9,AA33:AA34)</f>
        <v>0</v>
      </c>
      <c r="AB35" s="45">
        <f t="shared" ref="AB35" si="335">SUBTOTAL(9,AB33:AB34)</f>
        <v>0</v>
      </c>
      <c r="AC35" s="45">
        <f t="shared" ref="AC35" si="336">SUBTOTAL(9,AC33:AC34)</f>
        <v>0</v>
      </c>
      <c r="AD35" s="48"/>
      <c r="AE35" s="48"/>
      <c r="AF35" s="45">
        <f t="shared" ref="AF35" si="337">SUBTOTAL(9,AF33:AF34)</f>
        <v>304.36</v>
      </c>
      <c r="AG35" s="44">
        <f t="shared" ref="AG35" si="338">SUBTOTAL(9,AG33:AG34)</f>
        <v>206.96480000000003</v>
      </c>
      <c r="AH35" s="44">
        <f t="shared" ref="AH35" si="339">SUBTOTAL(9,AH33:AH34)</f>
        <v>36.523200000000003</v>
      </c>
      <c r="AI35" s="44">
        <f t="shared" ref="AI35" si="340">SUBTOTAL(9,AI33:AI34)</f>
        <v>60.872000000000007</v>
      </c>
      <c r="AJ35" s="45">
        <f t="shared" ref="AJ35" si="341">SUBTOTAL(9,AJ33:AJ34)</f>
        <v>0</v>
      </c>
      <c r="AK35" s="44">
        <f t="shared" ref="AK35" si="342">SUBTOTAL(9,AK33:AK34)</f>
        <v>6555.3571428571422</v>
      </c>
      <c r="AL35" s="44">
        <f t="shared" ref="AL35" si="343">SUBTOTAL(9,AL33:AL34)</f>
        <v>6504.1071428571422</v>
      </c>
      <c r="AM35" s="44">
        <f t="shared" ref="AM35" si="344">SUBTOTAL(9,AM33:AM34)</f>
        <v>780.49285714285702</v>
      </c>
      <c r="AN35" s="44">
        <f t="shared" ref="AN35" si="345">SUBTOTAL(9,AN33:AN34)</f>
        <v>7284.5999999999995</v>
      </c>
      <c r="AO35" s="49">
        <f t="shared" ref="AG35:BP35" si="346">SUBTOTAL(9,AO33:AO34)</f>
        <v>0</v>
      </c>
      <c r="AP35" s="49">
        <f t="shared" si="346"/>
        <v>0</v>
      </c>
      <c r="AQ35" s="49">
        <f t="shared" si="346"/>
        <v>750</v>
      </c>
      <c r="AR35" s="49">
        <f t="shared" si="346"/>
        <v>568</v>
      </c>
      <c r="AS35" s="49">
        <f t="shared" si="346"/>
        <v>0</v>
      </c>
      <c r="AT35" s="49">
        <f t="shared" si="346"/>
        <v>0</v>
      </c>
      <c r="AU35" s="49">
        <f>SUBTOTAL(9,AU33:AU34)</f>
        <v>0</v>
      </c>
      <c r="AV35" s="49">
        <f t="shared" si="346"/>
        <v>0</v>
      </c>
      <c r="AW35" s="49">
        <f t="shared" si="346"/>
        <v>0</v>
      </c>
      <c r="AX35" s="49">
        <f t="shared" si="346"/>
        <v>0</v>
      </c>
      <c r="AY35" s="49">
        <f t="shared" si="346"/>
        <v>0</v>
      </c>
      <c r="AZ35" s="44">
        <f t="shared" si="346"/>
        <v>1318</v>
      </c>
      <c r="BA35" s="48">
        <f t="shared" si="346"/>
        <v>0</v>
      </c>
      <c r="BB35" s="48">
        <f t="shared" si="346"/>
        <v>0</v>
      </c>
      <c r="BC35" s="44">
        <f t="shared" si="346"/>
        <v>0</v>
      </c>
      <c r="BD35" s="44">
        <f t="shared" si="346"/>
        <v>0</v>
      </c>
      <c r="BE35" s="49">
        <f>SUBTOTAL(9,BE33:BE34)</f>
        <v>0</v>
      </c>
      <c r="BF35" s="49">
        <f t="shared" si="346"/>
        <v>0</v>
      </c>
      <c r="BG35" s="49">
        <f t="shared" si="346"/>
        <v>0</v>
      </c>
      <c r="BH35" s="49">
        <f t="shared" si="346"/>
        <v>0</v>
      </c>
      <c r="BI35" s="49">
        <f t="shared" si="346"/>
        <v>0</v>
      </c>
      <c r="BJ35" s="49">
        <f t="shared" si="346"/>
        <v>0</v>
      </c>
      <c r="BK35" s="49">
        <f t="shared" si="346"/>
        <v>0</v>
      </c>
      <c r="BL35" s="49">
        <f t="shared" si="346"/>
        <v>0</v>
      </c>
      <c r="BM35" s="49">
        <f t="shared" si="346"/>
        <v>0</v>
      </c>
      <c r="BN35" s="49">
        <f t="shared" si="346"/>
        <v>0</v>
      </c>
      <c r="BO35" s="49">
        <f t="shared" si="346"/>
        <v>0</v>
      </c>
      <c r="BP35" s="49">
        <f t="shared" si="346"/>
        <v>0</v>
      </c>
      <c r="BQ35" s="44">
        <f>SUBTOTAL(9,BQ33:BQ34)</f>
        <v>1318</v>
      </c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</row>
    <row r="36" spans="1:124" x14ac:dyDescent="0.25">
      <c r="A36" s="190">
        <f>+A33+1</f>
        <v>43534</v>
      </c>
      <c r="B36" s="15" t="s">
        <v>43</v>
      </c>
      <c r="C36" s="33" t="s">
        <v>136</v>
      </c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v>0</v>
      </c>
      <c r="AL36" s="33">
        <f t="shared" ref="AL36:AL37" si="347">AK36-SUM(Y36:AC36)</f>
        <v>0</v>
      </c>
      <c r="AM36" s="33">
        <f t="shared" ref="AM36:AM37" si="348">+AL36*0.12</f>
        <v>0</v>
      </c>
      <c r="AN36" s="33">
        <f t="shared" ref="AN36:AN37" si="349">+AM36+AL36+AJ36</f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41">
        <f>AZ36+BA36+BB36+BD36-BC36</f>
        <v>0</v>
      </c>
      <c r="BS36" s="145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</row>
    <row r="37" spans="1:124" ht="15.75" thickBot="1" x14ac:dyDescent="0.3">
      <c r="A37" s="191"/>
      <c r="B37" s="15" t="s">
        <v>44</v>
      </c>
      <c r="C37" s="33"/>
      <c r="D37" s="34"/>
      <c r="E37" s="34"/>
      <c r="F37" s="35"/>
      <c r="G37" s="33">
        <f>IF(E37-D37&lt;0,E37-D37,0)*-1</f>
        <v>0</v>
      </c>
      <c r="H37" s="33">
        <f>IF(E37-D37&gt;0,E37-D37,0)</f>
        <v>0</v>
      </c>
      <c r="I37" s="34"/>
      <c r="J37" s="34"/>
      <c r="K37" s="34"/>
      <c r="L37" s="34"/>
      <c r="M37" s="36">
        <f>(+K37)*M$5</f>
        <v>0</v>
      </c>
      <c r="N37" s="36">
        <f>(+K37)*N$5</f>
        <v>0</v>
      </c>
      <c r="O37" s="36">
        <f>+K37-M37-N37+P37</f>
        <v>0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/>
      <c r="AF37" s="34"/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f t="shared" ref="AK37" si="350">(C37-AF37-AJ37)/1.12</f>
        <v>0</v>
      </c>
      <c r="AL37" s="33">
        <f t="shared" si="347"/>
        <v>0</v>
      </c>
      <c r="AM37" s="33">
        <f t="shared" si="348"/>
        <v>0</v>
      </c>
      <c r="AN37" s="33">
        <f t="shared" si="349"/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1">
        <f>AZ37+BA37+BB37+BD37-BC37</f>
        <v>0</v>
      </c>
      <c r="BS37" s="145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</row>
    <row r="38" spans="1:124" ht="15.75" thickBot="1" x14ac:dyDescent="0.3">
      <c r="A38" s="42"/>
      <c r="B38" s="43"/>
      <c r="C38" s="44">
        <f>SUBTOTAL(9,C36:C37)</f>
        <v>0</v>
      </c>
      <c r="D38" s="45">
        <f t="shared" ref="D38" si="351">SUBTOTAL(9,D36:D37)</f>
        <v>0</v>
      </c>
      <c r="E38" s="45">
        <f>SUBTOTAL(9,E36:E37)</f>
        <v>0</v>
      </c>
      <c r="F38" s="47"/>
      <c r="G38" s="45">
        <f t="shared" ref="G38" si="352">SUBTOTAL(9,G36:G37)</f>
        <v>0</v>
      </c>
      <c r="H38" s="45">
        <f t="shared" ref="H38" si="353">SUBTOTAL(9,H36:H37)</f>
        <v>0</v>
      </c>
      <c r="I38" s="45">
        <f t="shared" ref="I38" si="354">SUBTOTAL(9,I36:I37)</f>
        <v>0</v>
      </c>
      <c r="J38" s="45">
        <f t="shared" ref="J38" si="355">SUBTOTAL(9,J36:J37)</f>
        <v>0</v>
      </c>
      <c r="K38" s="159">
        <f t="shared" ref="K38" si="356">SUBTOTAL(9,K36:K37)</f>
        <v>0</v>
      </c>
      <c r="L38" s="45">
        <f t="shared" ref="L38" si="357">SUBTOTAL(9,L36:L37)</f>
        <v>0</v>
      </c>
      <c r="M38" s="46">
        <f t="shared" ref="M38" si="358">SUBTOTAL(9,M36:M37)</f>
        <v>0</v>
      </c>
      <c r="N38" s="46">
        <f t="shared" ref="N38" si="359">SUBTOTAL(9,N36:N37)</f>
        <v>0</v>
      </c>
      <c r="O38" s="46">
        <f t="shared" ref="O38" si="360">SUBTOTAL(9,O36:O37)</f>
        <v>0</v>
      </c>
      <c r="P38" s="46">
        <f t="shared" ref="P38" si="361">SUBTOTAL(9,P36:P37)</f>
        <v>0</v>
      </c>
      <c r="Q38" s="47">
        <f t="shared" ref="Q38" si="362">SUBTOTAL(9,Q36:Q37)</f>
        <v>0</v>
      </c>
      <c r="R38" s="45">
        <f t="shared" ref="R38" si="363">SUBTOTAL(9,R36:R37)</f>
        <v>0</v>
      </c>
      <c r="S38" s="45">
        <f t="shared" ref="S38" si="364">SUBTOTAL(9,S36:S37)</f>
        <v>0</v>
      </c>
      <c r="T38" s="46">
        <f t="shared" ref="T38" si="365">SUBTOTAL(9,T36:T37)</f>
        <v>0</v>
      </c>
      <c r="U38" s="46">
        <f t="shared" ref="U38" si="366">SUBTOTAL(9,U36:U37)</f>
        <v>0</v>
      </c>
      <c r="V38" s="46">
        <f t="shared" ref="V38" si="367">SUBTOTAL(9,V36:V37)</f>
        <v>0</v>
      </c>
      <c r="W38" s="46">
        <f t="shared" ref="W38" si="368">SUBTOTAL(9,W36:W37)</f>
        <v>0</v>
      </c>
      <c r="X38" s="47">
        <f t="shared" ref="X38" si="369">SUBTOTAL(9,X36:X37)</f>
        <v>0</v>
      </c>
      <c r="Y38" s="45">
        <f t="shared" ref="Y38" si="370">SUBTOTAL(9,Y36:Y37)</f>
        <v>0</v>
      </c>
      <c r="Z38" s="45">
        <f t="shared" ref="Z38" si="371">SUBTOTAL(9,Z36:Z37)</f>
        <v>0</v>
      </c>
      <c r="AA38" s="45">
        <f t="shared" ref="AA38" si="372">SUBTOTAL(9,AA36:AA37)</f>
        <v>0</v>
      </c>
      <c r="AB38" s="45">
        <f t="shared" ref="AB38" si="373">SUBTOTAL(9,AB36:AB37)</f>
        <v>0</v>
      </c>
      <c r="AC38" s="45">
        <f t="shared" ref="AC38" si="374">SUBTOTAL(9,AC36:AC37)</f>
        <v>0</v>
      </c>
      <c r="AD38" s="48"/>
      <c r="AE38" s="48"/>
      <c r="AF38" s="45">
        <f t="shared" ref="AF38" si="375">SUBTOTAL(9,AF36:AF37)</f>
        <v>0</v>
      </c>
      <c r="AG38" s="44">
        <f t="shared" ref="AG38" si="376">SUBTOTAL(9,AG36:AG37)</f>
        <v>0</v>
      </c>
      <c r="AH38" s="44">
        <f t="shared" ref="AH38" si="377">SUBTOTAL(9,AH36:AH37)</f>
        <v>0</v>
      </c>
      <c r="AI38" s="44">
        <f t="shared" ref="AI38" si="378">SUBTOTAL(9,AI36:AI37)</f>
        <v>0</v>
      </c>
      <c r="AJ38" s="45">
        <f t="shared" ref="AJ38" si="379">SUBTOTAL(9,AJ36:AJ37)</f>
        <v>0</v>
      </c>
      <c r="AK38" s="44">
        <f t="shared" ref="AK38" si="380">SUBTOTAL(9,AK36:AK37)</f>
        <v>0</v>
      </c>
      <c r="AL38" s="44">
        <f t="shared" ref="AL38" si="381">SUBTOTAL(9,AL36:AL37)</f>
        <v>0</v>
      </c>
      <c r="AM38" s="44">
        <f t="shared" ref="AM38" si="382">SUBTOTAL(9,AM36:AM37)</f>
        <v>0</v>
      </c>
      <c r="AN38" s="44">
        <f t="shared" ref="AN38" si="383">SUBTOTAL(9,AN36:AN37)</f>
        <v>0</v>
      </c>
      <c r="AO38" s="49">
        <f t="shared" ref="R38:BP38" si="384">SUBTOTAL(9,AO36:AO37)</f>
        <v>0</v>
      </c>
      <c r="AP38" s="49">
        <f t="shared" si="384"/>
        <v>0</v>
      </c>
      <c r="AQ38" s="49">
        <f t="shared" si="384"/>
        <v>0</v>
      </c>
      <c r="AR38" s="49">
        <f t="shared" si="384"/>
        <v>0</v>
      </c>
      <c r="AS38" s="49">
        <f t="shared" si="384"/>
        <v>0</v>
      </c>
      <c r="AT38" s="49">
        <f t="shared" si="384"/>
        <v>0</v>
      </c>
      <c r="AU38" s="49">
        <f>SUBTOTAL(9,AU36:AU37)</f>
        <v>0</v>
      </c>
      <c r="AV38" s="49">
        <f t="shared" si="384"/>
        <v>0</v>
      </c>
      <c r="AW38" s="49">
        <f t="shared" si="384"/>
        <v>0</v>
      </c>
      <c r="AX38" s="49">
        <f t="shared" si="384"/>
        <v>0</v>
      </c>
      <c r="AY38" s="49">
        <f t="shared" si="384"/>
        <v>0</v>
      </c>
      <c r="AZ38" s="44">
        <f t="shared" si="384"/>
        <v>0</v>
      </c>
      <c r="BA38" s="48">
        <f t="shared" si="384"/>
        <v>0</v>
      </c>
      <c r="BB38" s="48">
        <f t="shared" si="384"/>
        <v>0</v>
      </c>
      <c r="BC38" s="44">
        <f t="shared" si="384"/>
        <v>0</v>
      </c>
      <c r="BD38" s="44">
        <f t="shared" si="384"/>
        <v>0</v>
      </c>
      <c r="BE38" s="49">
        <f>SUBTOTAL(9,BE36:BE37)</f>
        <v>0</v>
      </c>
      <c r="BF38" s="49">
        <f t="shared" si="384"/>
        <v>0</v>
      </c>
      <c r="BG38" s="49">
        <f t="shared" si="384"/>
        <v>0</v>
      </c>
      <c r="BH38" s="49">
        <f t="shared" si="384"/>
        <v>0</v>
      </c>
      <c r="BI38" s="49">
        <f t="shared" si="384"/>
        <v>0</v>
      </c>
      <c r="BJ38" s="49">
        <f t="shared" si="384"/>
        <v>0</v>
      </c>
      <c r="BK38" s="49">
        <f t="shared" si="384"/>
        <v>0</v>
      </c>
      <c r="BL38" s="49">
        <f t="shared" si="384"/>
        <v>0</v>
      </c>
      <c r="BM38" s="49">
        <f t="shared" si="384"/>
        <v>0</v>
      </c>
      <c r="BN38" s="49">
        <f t="shared" si="384"/>
        <v>0</v>
      </c>
      <c r="BO38" s="49">
        <f t="shared" si="384"/>
        <v>0</v>
      </c>
      <c r="BP38" s="49">
        <f t="shared" si="384"/>
        <v>0</v>
      </c>
      <c r="BQ38" s="44">
        <f>SUBTOTAL(9,BQ36:BQ37)</f>
        <v>0</v>
      </c>
    </row>
    <row r="39" spans="1:124" x14ac:dyDescent="0.25">
      <c r="A39" s="190">
        <f>+A36+1</f>
        <v>43535</v>
      </c>
      <c r="B39" s="16" t="s">
        <v>43</v>
      </c>
      <c r="C39" s="33">
        <v>10819.66</v>
      </c>
      <c r="D39" s="34">
        <v>6144.84</v>
      </c>
      <c r="E39" s="34">
        <v>6145</v>
      </c>
      <c r="F39" s="35">
        <v>43535</v>
      </c>
      <c r="G39" s="33">
        <f>IF(E39-D39&lt;0,E39-D39,0)*-1</f>
        <v>0</v>
      </c>
      <c r="H39" s="33">
        <f>IF(E39-D39&gt;0,E39-D39,0)</f>
        <v>0.15999999999985448</v>
      </c>
      <c r="I39" s="34"/>
      <c r="J39" s="34"/>
      <c r="K39" s="34">
        <v>4144.74</v>
      </c>
      <c r="L39" s="34"/>
      <c r="M39" s="36">
        <f>(+K39)*M$5</f>
        <v>89.111909999999995</v>
      </c>
      <c r="N39" s="36">
        <f>(+K39)*N$5</f>
        <v>20.723700000000001</v>
      </c>
      <c r="O39" s="36">
        <f>+K39-M39-N39+P39</f>
        <v>4034.9043899999997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11.25</v>
      </c>
      <c r="AA39" s="34"/>
      <c r="AB39" s="34"/>
      <c r="AC39" s="34">
        <v>245.83</v>
      </c>
      <c r="AD39" s="38" t="s">
        <v>141</v>
      </c>
      <c r="AE39" s="38">
        <v>273</v>
      </c>
      <c r="AF39" s="34">
        <v>783.16</v>
      </c>
      <c r="AG39" s="33">
        <f>(AF39*0.8)*0.85</f>
        <v>532.54880000000003</v>
      </c>
      <c r="AH39" s="33">
        <f>(AF39*0.8)*0.15</f>
        <v>93.979200000000006</v>
      </c>
      <c r="AI39" s="33">
        <f>AF39*0.2</f>
        <v>156.63200000000001</v>
      </c>
      <c r="AJ39" s="34"/>
      <c r="AK39" s="33">
        <f t="shared" ref="AK39:AK40" si="385">(C39-AF39-AJ39)/1.12</f>
        <v>8961.1607142857138</v>
      </c>
      <c r="AL39" s="33">
        <f t="shared" ref="AL39:AL40" si="386">AK39-SUM(Y39:AC39)</f>
        <v>8704.0807142857138</v>
      </c>
      <c r="AM39" s="33">
        <f t="shared" ref="AM39:AM40" si="387">+AL39*0.12</f>
        <v>1044.4896857142855</v>
      </c>
      <c r="AN39" s="33">
        <f t="shared" si="85"/>
        <v>9748.5703999999987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41">
        <f>AZ39+BA39+BB39+BD39-BC39</f>
        <v>0</v>
      </c>
      <c r="BS39" s="145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</row>
    <row r="40" spans="1:124" ht="15.75" thickBot="1" x14ac:dyDescent="0.3">
      <c r="A40" s="191"/>
      <c r="B40" s="16" t="s">
        <v>44</v>
      </c>
      <c r="C40" s="33">
        <v>11982.4</v>
      </c>
      <c r="D40" s="34">
        <v>8612.42</v>
      </c>
      <c r="E40" s="34">
        <v>8607</v>
      </c>
      <c r="F40" s="35">
        <v>43536</v>
      </c>
      <c r="G40" s="33">
        <f>IF(E40-D40&lt;0,E40-D40,0)*-1</f>
        <v>5.4200000000000728</v>
      </c>
      <c r="H40" s="33">
        <f>IF(E40-D40&gt;0,E40-D40,0)</f>
        <v>0</v>
      </c>
      <c r="I40" s="34"/>
      <c r="J40" s="34"/>
      <c r="K40" s="34">
        <v>1780.98</v>
      </c>
      <c r="L40" s="34"/>
      <c r="M40" s="36">
        <f>(+K40)*M$5</f>
        <v>38.291069999999998</v>
      </c>
      <c r="N40" s="36">
        <f>(+K40)*N$5</f>
        <v>8.9048999999999996</v>
      </c>
      <c r="O40" s="36">
        <f>+K40-M40-N40+P40</f>
        <v>1733.78403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311</v>
      </c>
      <c r="AA40" s="34"/>
      <c r="AB40" s="34"/>
      <c r="AC40" s="34"/>
      <c r="AD40" s="38" t="s">
        <v>141</v>
      </c>
      <c r="AE40" s="38">
        <v>1278</v>
      </c>
      <c r="AF40" s="34">
        <v>813.4</v>
      </c>
      <c r="AG40" s="33">
        <f>(AF40*0.8)*0.85</f>
        <v>553.11199999999997</v>
      </c>
      <c r="AH40" s="33">
        <f>(AF40*0.8)*0.15</f>
        <v>97.608000000000004</v>
      </c>
      <c r="AI40" s="33">
        <f>AF40*0.2</f>
        <v>162.68</v>
      </c>
      <c r="AJ40" s="34"/>
      <c r="AK40" s="33">
        <f t="shared" si="385"/>
        <v>9972.3214285714275</v>
      </c>
      <c r="AL40" s="33">
        <f t="shared" si="386"/>
        <v>9661.3214285714275</v>
      </c>
      <c r="AM40" s="33">
        <f t="shared" si="387"/>
        <v>1159.3585714285712</v>
      </c>
      <c r="AN40" s="33">
        <f t="shared" si="85"/>
        <v>10820.679999999998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1">
        <f>AZ40+BA40+BB40+BD40-BC40</f>
        <v>0</v>
      </c>
      <c r="BS40" s="145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</row>
    <row r="41" spans="1:124" ht="15.75" thickBot="1" x14ac:dyDescent="0.3">
      <c r="A41" s="42"/>
      <c r="B41" s="43"/>
      <c r="C41" s="44">
        <f>SUBTOTAL(9,C39:C40)</f>
        <v>22802.059999999998</v>
      </c>
      <c r="D41" s="45">
        <f t="shared" ref="D41" si="388">SUBTOTAL(9,D39:D40)</f>
        <v>14757.26</v>
      </c>
      <c r="E41" s="45">
        <f>SUBTOTAL(9,E39:E40)</f>
        <v>14752</v>
      </c>
      <c r="F41" s="47"/>
      <c r="G41" s="45">
        <f t="shared" ref="G41" si="389">SUBTOTAL(9,G39:G40)</f>
        <v>5.4200000000000728</v>
      </c>
      <c r="H41" s="45">
        <f t="shared" ref="H41" si="390">SUBTOTAL(9,H39:H40)</f>
        <v>0.15999999999985448</v>
      </c>
      <c r="I41" s="45">
        <f t="shared" ref="I41" si="391">SUBTOTAL(9,I39:I40)</f>
        <v>0</v>
      </c>
      <c r="J41" s="45">
        <f t="shared" ref="J41" si="392">SUBTOTAL(9,J39:J40)</f>
        <v>0</v>
      </c>
      <c r="K41" s="159">
        <f t="shared" ref="K41" si="393">SUBTOTAL(9,K39:K40)</f>
        <v>5925.7199999999993</v>
      </c>
      <c r="L41" s="45">
        <f t="shared" ref="L41" si="394">SUBTOTAL(9,L39:L40)</f>
        <v>0</v>
      </c>
      <c r="M41" s="46">
        <f t="shared" ref="M41" si="395">SUBTOTAL(9,M39:M40)</f>
        <v>127.40297999999999</v>
      </c>
      <c r="N41" s="46">
        <f t="shared" ref="N41" si="396">SUBTOTAL(9,N39:N40)</f>
        <v>29.628599999999999</v>
      </c>
      <c r="O41" s="46">
        <f t="shared" ref="O41" si="397">SUBTOTAL(9,O39:O40)</f>
        <v>5768.6884199999995</v>
      </c>
      <c r="P41" s="46">
        <f t="shared" ref="P41" si="398">SUBTOTAL(9,P39:P40)</f>
        <v>0</v>
      </c>
      <c r="Q41" s="47">
        <f t="shared" ref="Q41" si="399">SUBTOTAL(9,Q39:Q40)</f>
        <v>0</v>
      </c>
      <c r="R41" s="45">
        <f t="shared" ref="R41" si="400">SUBTOTAL(9,R39:R40)</f>
        <v>0</v>
      </c>
      <c r="S41" s="45">
        <f t="shared" ref="S41" si="401">SUBTOTAL(9,S39:S40)</f>
        <v>0</v>
      </c>
      <c r="T41" s="46">
        <f t="shared" ref="T41" si="402">SUBTOTAL(9,T39:T40)</f>
        <v>0</v>
      </c>
      <c r="U41" s="46">
        <f t="shared" ref="U41" si="403">SUBTOTAL(9,U39:U40)</f>
        <v>0</v>
      </c>
      <c r="V41" s="46">
        <f t="shared" ref="V41" si="404">SUBTOTAL(9,V39:V40)</f>
        <v>0</v>
      </c>
      <c r="W41" s="46">
        <f t="shared" ref="W41" si="405">SUBTOTAL(9,W39:W40)</f>
        <v>0</v>
      </c>
      <c r="X41" s="47">
        <f t="shared" ref="X41" si="406">SUBTOTAL(9,X39:X40)</f>
        <v>0</v>
      </c>
      <c r="Y41" s="45">
        <f t="shared" ref="Y41" si="407">SUBTOTAL(9,Y39:Y40)</f>
        <v>0</v>
      </c>
      <c r="Z41" s="45">
        <f t="shared" ref="Z41" si="408">SUBTOTAL(9,Z39:Z40)</f>
        <v>322.25</v>
      </c>
      <c r="AA41" s="45">
        <f t="shared" ref="AA41" si="409">SUBTOTAL(9,AA39:AA40)</f>
        <v>0</v>
      </c>
      <c r="AB41" s="45">
        <f t="shared" ref="AB41" si="410">SUBTOTAL(9,AB39:AB40)</f>
        <v>0</v>
      </c>
      <c r="AC41" s="45">
        <f t="shared" ref="AC41" si="411">SUBTOTAL(9,AC39:AC40)</f>
        <v>245.83</v>
      </c>
      <c r="AD41" s="48"/>
      <c r="AE41" s="48"/>
      <c r="AF41" s="45">
        <f t="shared" ref="AF41" si="412">SUBTOTAL(9,AF39:AF40)</f>
        <v>1596.56</v>
      </c>
      <c r="AG41" s="44">
        <f t="shared" ref="AG41" si="413">SUBTOTAL(9,AG39:AG40)</f>
        <v>1085.6608000000001</v>
      </c>
      <c r="AH41" s="44">
        <f t="shared" ref="AH41" si="414">SUBTOTAL(9,AH39:AH40)</f>
        <v>191.5872</v>
      </c>
      <c r="AI41" s="44">
        <f t="shared" ref="AI41" si="415">SUBTOTAL(9,AI39:AI40)</f>
        <v>319.31200000000001</v>
      </c>
      <c r="AJ41" s="45">
        <f t="shared" ref="AJ41" si="416">SUBTOTAL(9,AJ39:AJ40)</f>
        <v>0</v>
      </c>
      <c r="AK41" s="44">
        <f t="shared" ref="AK41" si="417">SUBTOTAL(9,AK39:AK40)</f>
        <v>18933.482142857141</v>
      </c>
      <c r="AL41" s="44">
        <f t="shared" ref="AL41" si="418">SUBTOTAL(9,AL39:AL40)</f>
        <v>18365.402142857143</v>
      </c>
      <c r="AM41" s="44">
        <f t="shared" ref="AM41" si="419">SUBTOTAL(9,AM39:AM40)</f>
        <v>2203.8482571428567</v>
      </c>
      <c r="AN41" s="44">
        <f t="shared" ref="AN41" si="420">SUBTOTAL(9,AN39:AN40)</f>
        <v>20569.250399999997</v>
      </c>
      <c r="AO41" s="49">
        <f t="shared" ref="R41:BP41" si="421">SUBTOTAL(9,AO39:AO40)</f>
        <v>0</v>
      </c>
      <c r="AP41" s="49">
        <f t="shared" si="421"/>
        <v>0</v>
      </c>
      <c r="AQ41" s="49">
        <f t="shared" si="421"/>
        <v>0</v>
      </c>
      <c r="AR41" s="49">
        <f t="shared" si="421"/>
        <v>0</v>
      </c>
      <c r="AS41" s="49">
        <f t="shared" si="421"/>
        <v>0</v>
      </c>
      <c r="AT41" s="49">
        <f t="shared" si="421"/>
        <v>0</v>
      </c>
      <c r="AU41" s="49">
        <f>SUBTOTAL(9,AU39:AU40)</f>
        <v>0</v>
      </c>
      <c r="AV41" s="49">
        <f t="shared" si="421"/>
        <v>0</v>
      </c>
      <c r="AW41" s="49">
        <f t="shared" si="421"/>
        <v>0</v>
      </c>
      <c r="AX41" s="49">
        <f t="shared" si="421"/>
        <v>0</v>
      </c>
      <c r="AY41" s="49">
        <f t="shared" si="421"/>
        <v>0</v>
      </c>
      <c r="AZ41" s="44">
        <f t="shared" si="421"/>
        <v>0</v>
      </c>
      <c r="BA41" s="48">
        <f t="shared" si="421"/>
        <v>0</v>
      </c>
      <c r="BB41" s="48">
        <f t="shared" si="421"/>
        <v>0</v>
      </c>
      <c r="BC41" s="44">
        <f t="shared" si="421"/>
        <v>0</v>
      </c>
      <c r="BD41" s="44">
        <f t="shared" si="421"/>
        <v>0</v>
      </c>
      <c r="BE41" s="49">
        <f>SUBTOTAL(9,BE39:BE40)</f>
        <v>0</v>
      </c>
      <c r="BF41" s="49">
        <f t="shared" si="421"/>
        <v>0</v>
      </c>
      <c r="BG41" s="49">
        <f t="shared" si="421"/>
        <v>0</v>
      </c>
      <c r="BH41" s="49">
        <f t="shared" si="421"/>
        <v>0</v>
      </c>
      <c r="BI41" s="49">
        <f t="shared" si="421"/>
        <v>0</v>
      </c>
      <c r="BJ41" s="49">
        <f t="shared" si="421"/>
        <v>0</v>
      </c>
      <c r="BK41" s="49">
        <f t="shared" si="421"/>
        <v>0</v>
      </c>
      <c r="BL41" s="49">
        <f t="shared" si="421"/>
        <v>0</v>
      </c>
      <c r="BM41" s="49">
        <f t="shared" si="421"/>
        <v>0</v>
      </c>
      <c r="BN41" s="49">
        <f t="shared" si="421"/>
        <v>0</v>
      </c>
      <c r="BO41" s="49">
        <f t="shared" si="421"/>
        <v>0</v>
      </c>
      <c r="BP41" s="49">
        <f t="shared" si="421"/>
        <v>0</v>
      </c>
      <c r="BQ41" s="44">
        <f>SUBTOTAL(9,BQ39:BQ40)</f>
        <v>0</v>
      </c>
    </row>
    <row r="42" spans="1:124" x14ac:dyDescent="0.25">
      <c r="A42" s="190">
        <f>+A39+1</f>
        <v>43536</v>
      </c>
      <c r="B42" s="15" t="s">
        <v>43</v>
      </c>
      <c r="C42" s="33">
        <v>28049.14</v>
      </c>
      <c r="D42" s="34">
        <v>15046.9</v>
      </c>
      <c r="E42" s="34">
        <v>15050</v>
      </c>
      <c r="F42" s="35">
        <v>43536</v>
      </c>
      <c r="G42" s="33">
        <f>IF(E42-D42&lt;0,E42-D42,0)*-1</f>
        <v>0</v>
      </c>
      <c r="H42" s="33">
        <f>IF(E42-D42&gt;0,E42-D42,0)</f>
        <v>3.1000000000003638</v>
      </c>
      <c r="I42" s="34"/>
      <c r="J42" s="34"/>
      <c r="K42" s="34">
        <v>9307.9500000000007</v>
      </c>
      <c r="L42" s="34"/>
      <c r="M42" s="36">
        <f>(+K42)*M$5</f>
        <v>200.120925</v>
      </c>
      <c r="N42" s="36">
        <f>(+K42)*N$5</f>
        <v>46.539750000000005</v>
      </c>
      <c r="O42" s="36">
        <f>+K42-M42-N42+P42</f>
        <v>9061.2893250000016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34</v>
      </c>
      <c r="AA42" s="34"/>
      <c r="AB42" s="34"/>
      <c r="AC42" s="34">
        <v>289.29000000000002</v>
      </c>
      <c r="AD42" s="38" t="s">
        <v>141</v>
      </c>
      <c r="AE42" s="38">
        <v>3371</v>
      </c>
      <c r="AF42" s="34">
        <v>1931.71</v>
      </c>
      <c r="AG42" s="33">
        <f>(AF42*0.8)*0.85</f>
        <v>1313.5628000000002</v>
      </c>
      <c r="AH42" s="33">
        <f>(AF42*0.8)*0.15</f>
        <v>231.80520000000001</v>
      </c>
      <c r="AI42" s="33">
        <f>AF42*0.2</f>
        <v>386.34200000000004</v>
      </c>
      <c r="AJ42" s="34"/>
      <c r="AK42" s="33">
        <f t="shared" ref="AK42:AK43" si="422">(C42-AF42-AJ42)/1.12</f>
        <v>23319.133928571428</v>
      </c>
      <c r="AL42" s="33">
        <f t="shared" ref="AL42:AL43" si="423">AK42-SUM(Y42:AC42)</f>
        <v>22995.843928571427</v>
      </c>
      <c r="AM42" s="33">
        <f t="shared" ref="AM42:AM43" si="424">+AL42*0.12</f>
        <v>2759.5012714285713</v>
      </c>
      <c r="AN42" s="33">
        <f t="shared" ref="AN42:AN43" si="425">+AM42+AL42+AJ42</f>
        <v>25755.345199999996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41">
        <f>AZ42+BA42+BB42+BD42-BC42</f>
        <v>0</v>
      </c>
      <c r="BS42" s="145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</row>
    <row r="43" spans="1:124" ht="15.75" thickBot="1" x14ac:dyDescent="0.3">
      <c r="A43" s="191"/>
      <c r="B43" s="15" t="s">
        <v>44</v>
      </c>
      <c r="C43" s="33">
        <v>28371.88</v>
      </c>
      <c r="D43" s="34">
        <v>9781.8700000000008</v>
      </c>
      <c r="E43" s="34">
        <v>9782</v>
      </c>
      <c r="F43" s="35">
        <v>43537</v>
      </c>
      <c r="G43" s="33">
        <f>IF(E43-D43&lt;0,E43-D43,0)*-1</f>
        <v>0</v>
      </c>
      <c r="H43" s="33">
        <f>IF(E43-D43&gt;0,E43-D43,0)</f>
        <v>0.12999999999919964</v>
      </c>
      <c r="I43" s="34"/>
      <c r="J43" s="34"/>
      <c r="K43" s="34">
        <v>16869.189999999999</v>
      </c>
      <c r="L43" s="34"/>
      <c r="M43" s="36">
        <f>(+K43)*M$5</f>
        <v>362.68758499999996</v>
      </c>
      <c r="N43" s="36">
        <f>(+K43)*N$5</f>
        <v>84.345950000000002</v>
      </c>
      <c r="O43" s="36">
        <f>+K43-M43-N43+P43</f>
        <v>16422.156465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10.5</v>
      </c>
      <c r="AA43" s="34"/>
      <c r="AB43" s="34"/>
      <c r="AC43" s="34">
        <v>122.32</v>
      </c>
      <c r="AD43" s="38" t="s">
        <v>141</v>
      </c>
      <c r="AE43" s="38">
        <v>1588</v>
      </c>
      <c r="AF43" s="34">
        <v>2107.27</v>
      </c>
      <c r="AG43" s="33">
        <f>(AF43*0.8)*0.85</f>
        <v>1432.9436000000001</v>
      </c>
      <c r="AH43" s="33">
        <f>(AF43*0.8)*0.15</f>
        <v>252.8724</v>
      </c>
      <c r="AI43" s="33">
        <f>AF43*0.2</f>
        <v>421.45400000000001</v>
      </c>
      <c r="AJ43" s="34"/>
      <c r="AK43" s="33">
        <f t="shared" si="422"/>
        <v>23450.544642857141</v>
      </c>
      <c r="AL43" s="33">
        <f t="shared" si="423"/>
        <v>23317.724642857142</v>
      </c>
      <c r="AM43" s="33">
        <f t="shared" si="424"/>
        <v>2798.126957142857</v>
      </c>
      <c r="AN43" s="33">
        <f t="shared" si="425"/>
        <v>26115.851599999998</v>
      </c>
      <c r="AO43" s="39">
        <v>1090</v>
      </c>
      <c r="AP43" s="40"/>
      <c r="AQ43" s="40">
        <v>1255</v>
      </c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2345</v>
      </c>
      <c r="BA43" s="38">
        <v>255</v>
      </c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41">
        <f>AZ43+BA43+BB43+BD43-BC43</f>
        <v>2600</v>
      </c>
      <c r="BS43" s="145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</row>
    <row r="44" spans="1:124" ht="15.75" thickBot="1" x14ac:dyDescent="0.3">
      <c r="A44" s="42"/>
      <c r="B44" s="43"/>
      <c r="C44" s="44">
        <f>SUBTOTAL(9,C42:C43)</f>
        <v>56421.020000000004</v>
      </c>
      <c r="D44" s="45">
        <f t="shared" ref="D44" si="426">SUBTOTAL(9,D42:D43)</f>
        <v>24828.77</v>
      </c>
      <c r="E44" s="45">
        <f>SUBTOTAL(9,E42:E43)</f>
        <v>24832</v>
      </c>
      <c r="F44" s="47"/>
      <c r="G44" s="45">
        <f t="shared" ref="G44" si="427">SUBTOTAL(9,G42:G43)</f>
        <v>0</v>
      </c>
      <c r="H44" s="45">
        <f t="shared" ref="H44" si="428">SUBTOTAL(9,H42:H43)</f>
        <v>3.2299999999995634</v>
      </c>
      <c r="I44" s="45">
        <f t="shared" ref="I44" si="429">SUBTOTAL(9,I42:I43)</f>
        <v>0</v>
      </c>
      <c r="J44" s="45">
        <f t="shared" ref="J44" si="430">SUBTOTAL(9,J42:J43)</f>
        <v>0</v>
      </c>
      <c r="K44" s="159">
        <f t="shared" ref="K44" si="431">SUBTOTAL(9,K42:K43)</f>
        <v>26177.14</v>
      </c>
      <c r="L44" s="45">
        <f t="shared" ref="L44" si="432">SUBTOTAL(9,L42:L43)</f>
        <v>0</v>
      </c>
      <c r="M44" s="46">
        <f t="shared" ref="M44" si="433">SUBTOTAL(9,M42:M43)</f>
        <v>562.80850999999996</v>
      </c>
      <c r="N44" s="46">
        <f t="shared" ref="N44" si="434">SUBTOTAL(9,N42:N43)</f>
        <v>130.88570000000001</v>
      </c>
      <c r="O44" s="46">
        <f t="shared" ref="O44" si="435">SUBTOTAL(9,O42:O43)</f>
        <v>25483.445790000002</v>
      </c>
      <c r="P44" s="46">
        <f t="shared" ref="P44" si="436">SUBTOTAL(9,P42:P43)</f>
        <v>0</v>
      </c>
      <c r="Q44" s="47">
        <f t="shared" ref="Q44" si="437">SUBTOTAL(9,Q42:Q43)</f>
        <v>0</v>
      </c>
      <c r="R44" s="45">
        <f t="shared" ref="R44" si="438">SUBTOTAL(9,R42:R43)</f>
        <v>0</v>
      </c>
      <c r="S44" s="45">
        <f t="shared" ref="S44" si="439">SUBTOTAL(9,S42:S43)</f>
        <v>0</v>
      </c>
      <c r="T44" s="46">
        <f t="shared" ref="T44" si="440">SUBTOTAL(9,T42:T43)</f>
        <v>0</v>
      </c>
      <c r="U44" s="46">
        <f t="shared" ref="U44" si="441">SUBTOTAL(9,U42:U43)</f>
        <v>0</v>
      </c>
      <c r="V44" s="46">
        <f t="shared" ref="V44" si="442">SUBTOTAL(9,V42:V43)</f>
        <v>0</v>
      </c>
      <c r="W44" s="46">
        <f t="shared" ref="W44" si="443">SUBTOTAL(9,W42:W43)</f>
        <v>0</v>
      </c>
      <c r="X44" s="47">
        <f t="shared" ref="X44" si="444">SUBTOTAL(9,X42:X43)</f>
        <v>0</v>
      </c>
      <c r="Y44" s="45">
        <f t="shared" ref="Y44" si="445">SUBTOTAL(9,Y42:Y43)</f>
        <v>0</v>
      </c>
      <c r="Z44" s="45">
        <f t="shared" ref="Z44" si="446">SUBTOTAL(9,Z42:Z43)</f>
        <v>44.5</v>
      </c>
      <c r="AA44" s="45">
        <f t="shared" ref="AA44" si="447">SUBTOTAL(9,AA42:AA43)</f>
        <v>0</v>
      </c>
      <c r="AB44" s="45">
        <f t="shared" ref="AB44" si="448">SUBTOTAL(9,AB42:AB43)</f>
        <v>0</v>
      </c>
      <c r="AC44" s="45">
        <f t="shared" ref="AC44" si="449">SUBTOTAL(9,AC42:AC43)</f>
        <v>411.61</v>
      </c>
      <c r="AD44" s="48"/>
      <c r="AE44" s="48"/>
      <c r="AF44" s="45">
        <f t="shared" ref="AF44" si="450">SUBTOTAL(9,AF42:AF43)</f>
        <v>4038.98</v>
      </c>
      <c r="AG44" s="44">
        <f t="shared" ref="AG44" si="451">SUBTOTAL(9,AG42:AG43)</f>
        <v>2746.5064000000002</v>
      </c>
      <c r="AH44" s="44">
        <f t="shared" ref="AH44" si="452">SUBTOTAL(9,AH42:AH43)</f>
        <v>484.67759999999998</v>
      </c>
      <c r="AI44" s="44">
        <f t="shared" ref="AI44" si="453">SUBTOTAL(9,AI42:AI43)</f>
        <v>807.79600000000005</v>
      </c>
      <c r="AJ44" s="45">
        <f t="shared" ref="AJ44" si="454">SUBTOTAL(9,AJ42:AJ43)</f>
        <v>0</v>
      </c>
      <c r="AK44" s="44">
        <f t="shared" ref="AK44" si="455">SUBTOTAL(9,AK42:AK43)</f>
        <v>46769.678571428565</v>
      </c>
      <c r="AL44" s="44">
        <f t="shared" ref="AL44" si="456">SUBTOTAL(9,AL42:AL43)</f>
        <v>46313.568571428565</v>
      </c>
      <c r="AM44" s="44">
        <f t="shared" ref="AM44" si="457">SUBTOTAL(9,AM42:AM43)</f>
        <v>5557.6282285714278</v>
      </c>
      <c r="AN44" s="44">
        <f t="shared" ref="AN44" si="458">SUBTOTAL(9,AN42:AN43)</f>
        <v>51871.196799999991</v>
      </c>
      <c r="AO44" s="49">
        <f t="shared" ref="R44:BP44" si="459">SUBTOTAL(9,AO42:AO43)</f>
        <v>1090</v>
      </c>
      <c r="AP44" s="49">
        <f t="shared" si="459"/>
        <v>0</v>
      </c>
      <c r="AQ44" s="49">
        <f t="shared" si="459"/>
        <v>1255</v>
      </c>
      <c r="AR44" s="49">
        <f t="shared" si="459"/>
        <v>0</v>
      </c>
      <c r="AS44" s="49">
        <f t="shared" si="459"/>
        <v>0</v>
      </c>
      <c r="AT44" s="49">
        <f t="shared" si="459"/>
        <v>0</v>
      </c>
      <c r="AU44" s="49">
        <f>SUBTOTAL(9,AU42:AU43)</f>
        <v>0</v>
      </c>
      <c r="AV44" s="49">
        <f t="shared" si="459"/>
        <v>0</v>
      </c>
      <c r="AW44" s="49">
        <f t="shared" si="459"/>
        <v>0</v>
      </c>
      <c r="AX44" s="49">
        <f t="shared" si="459"/>
        <v>0</v>
      </c>
      <c r="AY44" s="49">
        <f t="shared" si="459"/>
        <v>0</v>
      </c>
      <c r="AZ44" s="44">
        <f t="shared" si="459"/>
        <v>2345</v>
      </c>
      <c r="BA44" s="48">
        <f t="shared" si="459"/>
        <v>255</v>
      </c>
      <c r="BB44" s="48">
        <f t="shared" si="459"/>
        <v>0</v>
      </c>
      <c r="BC44" s="44">
        <f t="shared" si="459"/>
        <v>0</v>
      </c>
      <c r="BD44" s="44">
        <f t="shared" si="459"/>
        <v>0</v>
      </c>
      <c r="BE44" s="49">
        <f>SUBTOTAL(9,BE42:BE43)</f>
        <v>0</v>
      </c>
      <c r="BF44" s="49">
        <f t="shared" si="459"/>
        <v>0</v>
      </c>
      <c r="BG44" s="49">
        <f t="shared" si="459"/>
        <v>0</v>
      </c>
      <c r="BH44" s="49">
        <f t="shared" si="459"/>
        <v>0</v>
      </c>
      <c r="BI44" s="49">
        <f t="shared" si="459"/>
        <v>0</v>
      </c>
      <c r="BJ44" s="49">
        <f t="shared" si="459"/>
        <v>0</v>
      </c>
      <c r="BK44" s="49">
        <f t="shared" si="459"/>
        <v>0</v>
      </c>
      <c r="BL44" s="49">
        <f t="shared" si="459"/>
        <v>0</v>
      </c>
      <c r="BM44" s="49">
        <f t="shared" si="459"/>
        <v>0</v>
      </c>
      <c r="BN44" s="49">
        <f t="shared" si="459"/>
        <v>0</v>
      </c>
      <c r="BO44" s="49">
        <f t="shared" si="459"/>
        <v>0</v>
      </c>
      <c r="BP44" s="49">
        <f t="shared" si="459"/>
        <v>0</v>
      </c>
      <c r="BQ44" s="44">
        <f>SUBTOTAL(9,BQ42:BQ43)</f>
        <v>2600</v>
      </c>
    </row>
    <row r="45" spans="1:124" x14ac:dyDescent="0.25">
      <c r="A45" s="190">
        <f>+A42+1</f>
        <v>43537</v>
      </c>
      <c r="B45" s="15" t="s">
        <v>43</v>
      </c>
      <c r="C45" s="33">
        <v>37608.21</v>
      </c>
      <c r="D45" s="34">
        <v>20050.740000000002</v>
      </c>
      <c r="E45" s="34">
        <v>20055</v>
      </c>
      <c r="F45" s="35">
        <v>43537</v>
      </c>
      <c r="G45" s="33">
        <v>0</v>
      </c>
      <c r="H45" s="33">
        <f>IF(E45-D45&gt;0,E45-D45,0)</f>
        <v>4.2599999999983993</v>
      </c>
      <c r="I45" s="34"/>
      <c r="J45" s="34"/>
      <c r="K45" s="34">
        <v>15838.22</v>
      </c>
      <c r="L45" s="34"/>
      <c r="M45" s="36">
        <f>(+K45)*M$5</f>
        <v>340.52172999999993</v>
      </c>
      <c r="N45" s="36">
        <f>(+K45)*N$5</f>
        <v>79.191099999999992</v>
      </c>
      <c r="O45" s="36">
        <f>+K45-M45-N45+P45</f>
        <v>15418.507169999999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f>98.5+27.75+88</f>
        <v>214.25</v>
      </c>
      <c r="AA45" s="34"/>
      <c r="AB45" s="34"/>
      <c r="AC45" s="34"/>
      <c r="AD45" s="38" t="s">
        <v>141</v>
      </c>
      <c r="AE45" s="38">
        <v>1505</v>
      </c>
      <c r="AF45" s="34">
        <v>2378.21</v>
      </c>
      <c r="AG45" s="33">
        <f>(AF45*0.8)*0.85</f>
        <v>1617.1828</v>
      </c>
      <c r="AH45" s="33">
        <f>(AF45*0.8)*0.15</f>
        <v>285.3852</v>
      </c>
      <c r="AI45" s="33">
        <f>AF45*0.2</f>
        <v>475.64200000000005</v>
      </c>
      <c r="AJ45" s="34"/>
      <c r="AK45" s="33">
        <f t="shared" ref="AK45:AK46" si="460">(C45-AF45-AJ45)/1.12</f>
        <v>31455.357142857141</v>
      </c>
      <c r="AL45" s="33">
        <f t="shared" ref="AL45:AL46" si="461">AK45-SUM(Y45:AC45)</f>
        <v>31241.107142857141</v>
      </c>
      <c r="AM45" s="33">
        <f t="shared" ref="AM45:AM46" si="462">+AL45*0.12</f>
        <v>3748.9328571428568</v>
      </c>
      <c r="AN45" s="33">
        <f t="shared" ref="AN44:AN74" si="463">+AM45+AL45+AJ45</f>
        <v>34990.04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41">
        <f>AZ45+BA45+BB45+BD45-BC45</f>
        <v>0</v>
      </c>
      <c r="BS45" s="145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</row>
    <row r="46" spans="1:124" ht="15.75" thickBot="1" x14ac:dyDescent="0.3">
      <c r="A46" s="191"/>
      <c r="B46" s="15" t="s">
        <v>44</v>
      </c>
      <c r="C46" s="33">
        <v>18606.169999999998</v>
      </c>
      <c r="D46" s="34">
        <v>11709.69</v>
      </c>
      <c r="E46" s="34">
        <v>11710</v>
      </c>
      <c r="F46" s="35">
        <v>43538</v>
      </c>
      <c r="G46" s="33">
        <f>IF(E46-D46&lt;0,E46-D46,0)*-1</f>
        <v>0</v>
      </c>
      <c r="H46" s="33">
        <f>IF(E46-D46&gt;0,E46-D46,0)</f>
        <v>0.30999999999949068</v>
      </c>
      <c r="I46" s="34"/>
      <c r="J46" s="34"/>
      <c r="K46" s="34">
        <v>6072.77</v>
      </c>
      <c r="L46" s="34"/>
      <c r="M46" s="36">
        <f>(+K46)*M$5</f>
        <v>130.56455500000001</v>
      </c>
      <c r="N46" s="36">
        <f>(+K46)*N$5</f>
        <v>30.363850000000003</v>
      </c>
      <c r="O46" s="36">
        <f>+K46-M46-N46+P46</f>
        <v>5911.8415950000008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38</v>
      </c>
      <c r="AA46" s="34"/>
      <c r="AB46" s="34"/>
      <c r="AC46" s="34">
        <v>60.71</v>
      </c>
      <c r="AD46" s="38" t="s">
        <v>141</v>
      </c>
      <c r="AE46" s="38">
        <v>725</v>
      </c>
      <c r="AF46" s="34">
        <v>1402.6</v>
      </c>
      <c r="AG46" s="33">
        <f>(AF46*0.8)*0.85</f>
        <v>953.76799999999992</v>
      </c>
      <c r="AH46" s="33">
        <f>(AF46*0.8)*0.15</f>
        <v>168.31199999999998</v>
      </c>
      <c r="AI46" s="33">
        <f>AF46*0.2</f>
        <v>280.52</v>
      </c>
      <c r="AJ46" s="34"/>
      <c r="AK46" s="33">
        <f t="shared" si="460"/>
        <v>15360.330357142855</v>
      </c>
      <c r="AL46" s="33">
        <f t="shared" si="461"/>
        <v>15261.620357142856</v>
      </c>
      <c r="AM46" s="33">
        <f t="shared" si="462"/>
        <v>1831.3944428571426</v>
      </c>
      <c r="AN46" s="33">
        <f t="shared" si="463"/>
        <v>17093.014799999997</v>
      </c>
      <c r="AO46" s="39">
        <v>200</v>
      </c>
      <c r="AP46" s="40">
        <v>306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506</v>
      </c>
      <c r="BA46" s="38">
        <v>245</v>
      </c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41">
        <f>AZ46+BA46+BB46+BD46-BC46</f>
        <v>751</v>
      </c>
      <c r="BS46" s="145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</row>
    <row r="47" spans="1:124" ht="15.75" thickBot="1" x14ac:dyDescent="0.3">
      <c r="A47" s="42"/>
      <c r="B47" s="43"/>
      <c r="C47" s="44">
        <f>SUBTOTAL(9,C45:C46)</f>
        <v>56214.38</v>
      </c>
      <c r="D47" s="45">
        <f t="shared" ref="D47" si="464">SUBTOTAL(9,D45:D46)</f>
        <v>31760.43</v>
      </c>
      <c r="E47" s="45">
        <f>SUBTOTAL(9,E45:E46)</f>
        <v>31765</v>
      </c>
      <c r="F47" s="47"/>
      <c r="G47" s="45">
        <f t="shared" ref="G47" si="465">SUBTOTAL(9,G45:G46)</f>
        <v>0</v>
      </c>
      <c r="H47" s="45">
        <f t="shared" ref="H47" si="466">SUBTOTAL(9,H45:H46)</f>
        <v>4.56999999999789</v>
      </c>
      <c r="I47" s="45">
        <f t="shared" ref="I47" si="467">SUBTOTAL(9,I45:I46)</f>
        <v>0</v>
      </c>
      <c r="J47" s="45">
        <f t="shared" ref="J47" si="468">SUBTOTAL(9,J45:J46)</f>
        <v>0</v>
      </c>
      <c r="K47" s="159">
        <f t="shared" ref="K47" si="469">SUBTOTAL(9,K45:K46)</f>
        <v>21910.989999999998</v>
      </c>
      <c r="L47" s="45">
        <f t="shared" ref="L47" si="470">SUBTOTAL(9,L45:L46)</f>
        <v>0</v>
      </c>
      <c r="M47" s="46">
        <f t="shared" ref="M47" si="471">SUBTOTAL(9,M45:M46)</f>
        <v>471.08628499999998</v>
      </c>
      <c r="N47" s="46">
        <f t="shared" ref="N47" si="472">SUBTOTAL(9,N45:N46)</f>
        <v>109.55494999999999</v>
      </c>
      <c r="O47" s="46">
        <f t="shared" ref="O47" si="473">SUBTOTAL(9,O45:O46)</f>
        <v>21330.348764999999</v>
      </c>
      <c r="P47" s="46">
        <f t="shared" ref="P47" si="474">SUBTOTAL(9,P45:P46)</f>
        <v>0</v>
      </c>
      <c r="Q47" s="47">
        <f t="shared" ref="Q47" si="475">SUBTOTAL(9,Q45:Q46)</f>
        <v>0</v>
      </c>
      <c r="R47" s="45">
        <f t="shared" ref="R47" si="476">SUBTOTAL(9,R45:R46)</f>
        <v>0</v>
      </c>
      <c r="S47" s="45">
        <f t="shared" ref="S47" si="477">SUBTOTAL(9,S45:S46)</f>
        <v>0</v>
      </c>
      <c r="T47" s="46">
        <f t="shared" ref="T47" si="478">SUBTOTAL(9,T45:T46)</f>
        <v>0</v>
      </c>
      <c r="U47" s="46">
        <f t="shared" ref="U47" si="479">SUBTOTAL(9,U45:U46)</f>
        <v>0</v>
      </c>
      <c r="V47" s="46">
        <f t="shared" ref="V47" si="480">SUBTOTAL(9,V45:V46)</f>
        <v>0</v>
      </c>
      <c r="W47" s="46">
        <f t="shared" ref="W47" si="481">SUBTOTAL(9,W45:W46)</f>
        <v>0</v>
      </c>
      <c r="X47" s="47">
        <f t="shared" ref="X47" si="482">SUBTOTAL(9,X45:X46)</f>
        <v>0</v>
      </c>
      <c r="Y47" s="45">
        <f t="shared" ref="Y47" si="483">SUBTOTAL(9,Y45:Y46)</f>
        <v>0</v>
      </c>
      <c r="Z47" s="45">
        <f t="shared" ref="Z47" si="484">SUBTOTAL(9,Z45:Z46)</f>
        <v>252.25</v>
      </c>
      <c r="AA47" s="45">
        <f t="shared" ref="AA47" si="485">SUBTOTAL(9,AA45:AA46)</f>
        <v>0</v>
      </c>
      <c r="AB47" s="45">
        <f t="shared" ref="AB47" si="486">SUBTOTAL(9,AB45:AB46)</f>
        <v>0</v>
      </c>
      <c r="AC47" s="45">
        <f t="shared" ref="AC47" si="487">SUBTOTAL(9,AC45:AC46)</f>
        <v>60.71</v>
      </c>
      <c r="AD47" s="48"/>
      <c r="AE47" s="48"/>
      <c r="AF47" s="45">
        <f t="shared" ref="AF47" si="488">SUBTOTAL(9,AF45:AF46)</f>
        <v>3780.81</v>
      </c>
      <c r="AG47" s="44">
        <f t="shared" ref="AG47" si="489">SUBTOTAL(9,AG45:AG46)</f>
        <v>2570.9508000000001</v>
      </c>
      <c r="AH47" s="44">
        <f t="shared" ref="AH47" si="490">SUBTOTAL(9,AH45:AH46)</f>
        <v>453.69719999999995</v>
      </c>
      <c r="AI47" s="44">
        <f t="shared" ref="AI47" si="491">SUBTOTAL(9,AI45:AI46)</f>
        <v>756.16200000000003</v>
      </c>
      <c r="AJ47" s="45">
        <f t="shared" ref="AJ47" si="492">SUBTOTAL(9,AJ45:AJ46)</f>
        <v>0</v>
      </c>
      <c r="AK47" s="44">
        <f t="shared" ref="AK47" si="493">SUBTOTAL(9,AK45:AK46)</f>
        <v>46815.6875</v>
      </c>
      <c r="AL47" s="44">
        <f t="shared" ref="AL47" si="494">SUBTOTAL(9,AL45:AL46)</f>
        <v>46502.727499999994</v>
      </c>
      <c r="AM47" s="44">
        <f t="shared" ref="AM47" si="495">SUBTOTAL(9,AM45:AM46)</f>
        <v>5580.327299999999</v>
      </c>
      <c r="AN47" s="44">
        <f t="shared" ref="AN47" si="496">SUBTOTAL(9,AN45:AN46)</f>
        <v>52083.054799999998</v>
      </c>
      <c r="AO47" s="49">
        <f t="shared" ref="R47:BP47" si="497">SUBTOTAL(9,AO45:AO46)</f>
        <v>200</v>
      </c>
      <c r="AP47" s="49">
        <f t="shared" si="497"/>
        <v>306</v>
      </c>
      <c r="AQ47" s="49">
        <f t="shared" si="497"/>
        <v>0</v>
      </c>
      <c r="AR47" s="49">
        <f t="shared" si="497"/>
        <v>0</v>
      </c>
      <c r="AS47" s="49">
        <f t="shared" si="497"/>
        <v>0</v>
      </c>
      <c r="AT47" s="49">
        <f t="shared" si="497"/>
        <v>0</v>
      </c>
      <c r="AU47" s="49">
        <f>SUBTOTAL(9,AU45:AU46)</f>
        <v>0</v>
      </c>
      <c r="AV47" s="49">
        <f t="shared" si="497"/>
        <v>0</v>
      </c>
      <c r="AW47" s="49">
        <f t="shared" si="497"/>
        <v>0</v>
      </c>
      <c r="AX47" s="49">
        <f t="shared" si="497"/>
        <v>0</v>
      </c>
      <c r="AY47" s="49">
        <f t="shared" si="497"/>
        <v>0</v>
      </c>
      <c r="AZ47" s="44">
        <f t="shared" si="497"/>
        <v>506</v>
      </c>
      <c r="BA47" s="48">
        <f t="shared" si="497"/>
        <v>245</v>
      </c>
      <c r="BB47" s="48">
        <f t="shared" si="497"/>
        <v>0</v>
      </c>
      <c r="BC47" s="44">
        <f t="shared" si="497"/>
        <v>0</v>
      </c>
      <c r="BD47" s="44">
        <f t="shared" si="497"/>
        <v>0</v>
      </c>
      <c r="BE47" s="49">
        <f>SUBTOTAL(9,BE45:BE46)</f>
        <v>0</v>
      </c>
      <c r="BF47" s="49">
        <f t="shared" si="497"/>
        <v>0</v>
      </c>
      <c r="BG47" s="49">
        <f t="shared" si="497"/>
        <v>0</v>
      </c>
      <c r="BH47" s="49">
        <f t="shared" si="497"/>
        <v>0</v>
      </c>
      <c r="BI47" s="49">
        <f t="shared" si="497"/>
        <v>0</v>
      </c>
      <c r="BJ47" s="49">
        <f t="shared" si="497"/>
        <v>0</v>
      </c>
      <c r="BK47" s="49">
        <f t="shared" si="497"/>
        <v>0</v>
      </c>
      <c r="BL47" s="49">
        <f t="shared" si="497"/>
        <v>0</v>
      </c>
      <c r="BM47" s="49">
        <f t="shared" si="497"/>
        <v>0</v>
      </c>
      <c r="BN47" s="49">
        <f t="shared" si="497"/>
        <v>0</v>
      </c>
      <c r="BO47" s="49">
        <f t="shared" si="497"/>
        <v>0</v>
      </c>
      <c r="BP47" s="49">
        <f t="shared" si="497"/>
        <v>0</v>
      </c>
      <c r="BQ47" s="44">
        <f>SUBTOTAL(9,BQ45:BQ46)</f>
        <v>751</v>
      </c>
    </row>
    <row r="48" spans="1:124" x14ac:dyDescent="0.25">
      <c r="A48" s="190">
        <f>A45+1</f>
        <v>43538</v>
      </c>
      <c r="B48" s="16" t="s">
        <v>43</v>
      </c>
      <c r="C48" s="33">
        <v>41586.57</v>
      </c>
      <c r="D48" s="34">
        <v>26524.19</v>
      </c>
      <c r="E48" s="34">
        <v>26525</v>
      </c>
      <c r="F48" s="35">
        <v>43538</v>
      </c>
      <c r="G48" s="33"/>
      <c r="H48" s="33">
        <f>IF(E48-D48&gt;0,E48-D48,0)</f>
        <v>0.81000000000130967</v>
      </c>
      <c r="I48" s="34"/>
      <c r="J48" s="34">
        <v>0</v>
      </c>
      <c r="K48" s="34">
        <v>6321.13</v>
      </c>
      <c r="L48" s="34"/>
      <c r="M48" s="36">
        <f>(+K48)*M$5</f>
        <v>135.90429499999999</v>
      </c>
      <c r="N48" s="36">
        <f>(+K48)*N$5</f>
        <v>31.605650000000001</v>
      </c>
      <c r="O48" s="36">
        <f>+K48-M48-N48+P48</f>
        <v>6153.6200549999994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64.75</v>
      </c>
      <c r="AA48" s="34">
        <v>31.5</v>
      </c>
      <c r="AB48" s="34"/>
      <c r="AC48" s="34">
        <v>350</v>
      </c>
      <c r="AD48" s="38" t="s">
        <v>141</v>
      </c>
      <c r="AE48" s="38">
        <v>8295</v>
      </c>
      <c r="AF48" s="34">
        <v>2412.5700000000002</v>
      </c>
      <c r="AG48" s="33">
        <f>(AF48*0.8)*0.85</f>
        <v>1640.5476000000001</v>
      </c>
      <c r="AH48" s="33">
        <f>(AF48*0.8)*0.15</f>
        <v>289.50840000000005</v>
      </c>
      <c r="AI48" s="33">
        <f>AF48*0.2</f>
        <v>482.51400000000007</v>
      </c>
      <c r="AJ48" s="34"/>
      <c r="AK48" s="33">
        <f>(C48-AF48-AJ48)/1.12</f>
        <v>34976.78571428571</v>
      </c>
      <c r="AL48" s="33">
        <f>AK48-SUM(Y48:AC48)</f>
        <v>34530.53571428571</v>
      </c>
      <c r="AM48" s="33">
        <f>+AL48*0.12</f>
        <v>4143.6642857142851</v>
      </c>
      <c r="AN48" s="33">
        <f>+AM48+AL48+AJ48</f>
        <v>38674.199999999997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41">
        <f>AZ48+BA48+BB48+BD48-BC48</f>
        <v>0</v>
      </c>
      <c r="BS48" s="145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</row>
    <row r="49" spans="1:96" ht="15.75" thickBot="1" x14ac:dyDescent="0.3">
      <c r="A49" s="191"/>
      <c r="B49" s="16" t="s">
        <v>44</v>
      </c>
      <c r="C49" s="33">
        <v>31806.33</v>
      </c>
      <c r="D49" s="34">
        <v>15800.53</v>
      </c>
      <c r="E49" s="34">
        <v>15801</v>
      </c>
      <c r="F49" s="35">
        <v>43539</v>
      </c>
      <c r="G49" s="33"/>
      <c r="H49" s="33">
        <f>IF(E49-D49&gt;0,E49-D49,0)</f>
        <v>0.46999999999934516</v>
      </c>
      <c r="I49" s="34"/>
      <c r="J49" s="34"/>
      <c r="K49" s="34">
        <v>8757.85</v>
      </c>
      <c r="L49" s="34"/>
      <c r="M49" s="36">
        <f>(+K49)*M$5</f>
        <v>188.29377499999998</v>
      </c>
      <c r="N49" s="36">
        <f>(+K49)*N$5</f>
        <v>43.789250000000003</v>
      </c>
      <c r="O49" s="36">
        <f>+K49-M49-N49+P49</f>
        <v>8525.7669750000005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f>94.75+46</f>
        <v>140.75</v>
      </c>
      <c r="AA49" s="34"/>
      <c r="AB49" s="34"/>
      <c r="AC49" s="34">
        <v>94.2</v>
      </c>
      <c r="AD49" s="38" t="s">
        <v>141</v>
      </c>
      <c r="AE49" s="38">
        <v>7013</v>
      </c>
      <c r="AF49" s="34">
        <v>1941.85</v>
      </c>
      <c r="AG49" s="33">
        <f>(AF49*0.8)*0.85</f>
        <v>1320.4580000000001</v>
      </c>
      <c r="AH49" s="33">
        <f>(AF49*0.8)*0.15</f>
        <v>233.02199999999999</v>
      </c>
      <c r="AI49" s="33">
        <f>AF49*0.2</f>
        <v>388.37</v>
      </c>
      <c r="AJ49" s="34"/>
      <c r="AK49" s="33">
        <f>(C49-AF49-AJ49)/1.12</f>
        <v>26664.714285714286</v>
      </c>
      <c r="AL49" s="33">
        <f>AK49-SUM(Y49:AC49)</f>
        <v>26429.764285714286</v>
      </c>
      <c r="AM49" s="33">
        <f>+AL49*0.12</f>
        <v>3171.5717142857143</v>
      </c>
      <c r="AN49" s="33">
        <f>+AM49+AL49+AJ49</f>
        <v>29601.335999999999</v>
      </c>
      <c r="AO49" s="39">
        <f>98+200</f>
        <v>298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298</v>
      </c>
      <c r="BA49" s="38">
        <f>185+185</f>
        <v>370</v>
      </c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1">
        <f>AZ49+BA49+BB49+BD49-BC49</f>
        <v>668</v>
      </c>
      <c r="BS49" s="145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</row>
    <row r="50" spans="1:96" ht="15.75" thickBot="1" x14ac:dyDescent="0.3">
      <c r="A50" s="42"/>
      <c r="B50" s="43"/>
      <c r="C50" s="44">
        <f>SUBTOTAL(9,C48:C49)</f>
        <v>73392.899999999994</v>
      </c>
      <c r="D50" s="45">
        <f t="shared" ref="D50" si="498">SUBTOTAL(9,D48:D49)</f>
        <v>42324.72</v>
      </c>
      <c r="E50" s="45">
        <f>SUBTOTAL(9,E48:E49)</f>
        <v>42326</v>
      </c>
      <c r="F50" s="47"/>
      <c r="G50" s="45">
        <f t="shared" ref="G50" si="499">SUBTOTAL(9,G48:G49)</f>
        <v>0</v>
      </c>
      <c r="H50" s="45">
        <f t="shared" ref="H50" si="500">SUBTOTAL(9,H48:H49)</f>
        <v>1.2800000000006548</v>
      </c>
      <c r="I50" s="45">
        <f t="shared" ref="I50" si="501">SUBTOTAL(9,I48:I49)</f>
        <v>0</v>
      </c>
      <c r="J50" s="45">
        <f t="shared" ref="J50" si="502">SUBTOTAL(9,J48:J49)</f>
        <v>0</v>
      </c>
      <c r="K50" s="159">
        <f t="shared" ref="K50" si="503">SUBTOTAL(9,K48:K49)</f>
        <v>15078.98</v>
      </c>
      <c r="L50" s="45">
        <f t="shared" ref="L50" si="504">SUBTOTAL(9,L48:L49)</f>
        <v>0</v>
      </c>
      <c r="M50" s="46">
        <f t="shared" ref="M50" si="505">SUBTOTAL(9,M48:M49)</f>
        <v>324.19806999999997</v>
      </c>
      <c r="N50" s="46">
        <f t="shared" ref="N50" si="506">SUBTOTAL(9,N48:N49)</f>
        <v>75.394900000000007</v>
      </c>
      <c r="O50" s="46">
        <f t="shared" ref="O50" si="507">SUBTOTAL(9,O48:O49)</f>
        <v>14679.38703</v>
      </c>
      <c r="P50" s="46">
        <f t="shared" ref="P50" si="508">SUBTOTAL(9,P48:P49)</f>
        <v>0</v>
      </c>
      <c r="Q50" s="47">
        <f t="shared" ref="Q50" si="509">SUBTOTAL(9,Q48:Q49)</f>
        <v>0</v>
      </c>
      <c r="R50" s="45">
        <f t="shared" ref="R50" si="510">SUBTOTAL(9,R48:R49)</f>
        <v>0</v>
      </c>
      <c r="S50" s="45">
        <f t="shared" ref="S50" si="511">SUBTOTAL(9,S48:S49)</f>
        <v>0</v>
      </c>
      <c r="T50" s="46">
        <f t="shared" ref="T50" si="512">SUBTOTAL(9,T48:T49)</f>
        <v>0</v>
      </c>
      <c r="U50" s="46">
        <f t="shared" ref="U50" si="513">SUBTOTAL(9,U48:U49)</f>
        <v>0</v>
      </c>
      <c r="V50" s="46">
        <f t="shared" ref="V50" si="514">SUBTOTAL(9,V48:V49)</f>
        <v>0</v>
      </c>
      <c r="W50" s="46">
        <f t="shared" ref="W50" si="515">SUBTOTAL(9,W48:W49)</f>
        <v>0</v>
      </c>
      <c r="X50" s="47">
        <f t="shared" ref="X50" si="516">SUBTOTAL(9,X48:X49)</f>
        <v>0</v>
      </c>
      <c r="Y50" s="45">
        <f t="shared" ref="Y50" si="517">SUBTOTAL(9,Y48:Y49)</f>
        <v>0</v>
      </c>
      <c r="Z50" s="45">
        <f t="shared" ref="Z50" si="518">SUBTOTAL(9,Z48:Z49)</f>
        <v>205.5</v>
      </c>
      <c r="AA50" s="45">
        <f t="shared" ref="AA50" si="519">SUBTOTAL(9,AA48:AA49)</f>
        <v>31.5</v>
      </c>
      <c r="AB50" s="45">
        <f t="shared" ref="AB50" si="520">SUBTOTAL(9,AB48:AB49)</f>
        <v>0</v>
      </c>
      <c r="AC50" s="45">
        <f t="shared" ref="AC50" si="521">SUBTOTAL(9,AC48:AC49)</f>
        <v>444.2</v>
      </c>
      <c r="AD50" s="48"/>
      <c r="AE50" s="48"/>
      <c r="AF50" s="45">
        <f t="shared" ref="AF50" si="522">SUBTOTAL(9,AF48:AF49)</f>
        <v>4354.42</v>
      </c>
      <c r="AG50" s="44">
        <f t="shared" ref="AG50" si="523">SUBTOTAL(9,AG48:AG49)</f>
        <v>2961.0056000000004</v>
      </c>
      <c r="AH50" s="44">
        <f t="shared" ref="AH50" si="524">SUBTOTAL(9,AH48:AH49)</f>
        <v>522.5304000000001</v>
      </c>
      <c r="AI50" s="44">
        <f t="shared" ref="AI50" si="525">SUBTOTAL(9,AI48:AI49)</f>
        <v>870.88400000000001</v>
      </c>
      <c r="AJ50" s="45">
        <f t="shared" ref="AJ50" si="526">SUBTOTAL(9,AJ48:AJ49)</f>
        <v>0</v>
      </c>
      <c r="AK50" s="44">
        <f t="shared" ref="AK50" si="527">SUBTOTAL(9,AK48:AK49)</f>
        <v>61641.5</v>
      </c>
      <c r="AL50" s="44">
        <f t="shared" ref="AL50" si="528">SUBTOTAL(9,AL48:AL49)</f>
        <v>60960.299999999996</v>
      </c>
      <c r="AM50" s="44">
        <f t="shared" ref="AM50" si="529">SUBTOTAL(9,AM48:AM49)</f>
        <v>7315.235999999999</v>
      </c>
      <c r="AN50" s="44">
        <f t="shared" ref="AN50" si="530">SUBTOTAL(9,AN48:AN49)</f>
        <v>68275.535999999993</v>
      </c>
      <c r="AO50" s="49">
        <f t="shared" ref="R50:BP50" si="531">SUBTOTAL(9,AO48:AO49)</f>
        <v>298</v>
      </c>
      <c r="AP50" s="49">
        <f t="shared" si="531"/>
        <v>0</v>
      </c>
      <c r="AQ50" s="49">
        <f t="shared" si="531"/>
        <v>0</v>
      </c>
      <c r="AR50" s="49">
        <f t="shared" si="531"/>
        <v>0</v>
      </c>
      <c r="AS50" s="49">
        <f t="shared" si="531"/>
        <v>0</v>
      </c>
      <c r="AT50" s="49">
        <f t="shared" si="531"/>
        <v>0</v>
      </c>
      <c r="AU50" s="49">
        <f>SUBTOTAL(9,AU48:AU49)</f>
        <v>0</v>
      </c>
      <c r="AV50" s="49">
        <f t="shared" si="531"/>
        <v>0</v>
      </c>
      <c r="AW50" s="49">
        <f t="shared" si="531"/>
        <v>0</v>
      </c>
      <c r="AX50" s="49">
        <f t="shared" si="531"/>
        <v>0</v>
      </c>
      <c r="AY50" s="49">
        <f t="shared" si="531"/>
        <v>0</v>
      </c>
      <c r="AZ50" s="44">
        <f t="shared" si="531"/>
        <v>298</v>
      </c>
      <c r="BA50" s="48">
        <f t="shared" si="531"/>
        <v>370</v>
      </c>
      <c r="BB50" s="48">
        <f t="shared" si="531"/>
        <v>0</v>
      </c>
      <c r="BC50" s="44">
        <f t="shared" si="531"/>
        <v>0</v>
      </c>
      <c r="BD50" s="44">
        <f t="shared" si="531"/>
        <v>0</v>
      </c>
      <c r="BE50" s="49">
        <f>SUBTOTAL(9,BE48:BE49)</f>
        <v>0</v>
      </c>
      <c r="BF50" s="49">
        <f t="shared" si="531"/>
        <v>0</v>
      </c>
      <c r="BG50" s="49">
        <f t="shared" si="531"/>
        <v>0</v>
      </c>
      <c r="BH50" s="49">
        <f t="shared" si="531"/>
        <v>0</v>
      </c>
      <c r="BI50" s="49">
        <f t="shared" si="531"/>
        <v>0</v>
      </c>
      <c r="BJ50" s="49">
        <f t="shared" si="531"/>
        <v>0</v>
      </c>
      <c r="BK50" s="49">
        <f t="shared" si="531"/>
        <v>0</v>
      </c>
      <c r="BL50" s="49">
        <f t="shared" si="531"/>
        <v>0</v>
      </c>
      <c r="BM50" s="49">
        <f t="shared" si="531"/>
        <v>0</v>
      </c>
      <c r="BN50" s="49">
        <f t="shared" si="531"/>
        <v>0</v>
      </c>
      <c r="BO50" s="49">
        <f t="shared" si="531"/>
        <v>0</v>
      </c>
      <c r="BP50" s="49">
        <f t="shared" si="531"/>
        <v>0</v>
      </c>
      <c r="BQ50" s="44">
        <f>SUBTOTAL(9,BQ48:BQ49)</f>
        <v>668</v>
      </c>
    </row>
    <row r="51" spans="1:96" x14ac:dyDescent="0.25">
      <c r="A51" s="190">
        <f>+A48+1</f>
        <v>43539</v>
      </c>
      <c r="B51" s="16" t="s">
        <v>43</v>
      </c>
      <c r="C51" s="33">
        <v>36258.89</v>
      </c>
      <c r="D51" s="34">
        <v>27286.85</v>
      </c>
      <c r="E51" s="34">
        <v>27287</v>
      </c>
      <c r="F51" s="35">
        <v>43539</v>
      </c>
      <c r="G51" s="33">
        <f>IF(E51-D51&lt;0,E51-D51,0)*-1</f>
        <v>0</v>
      </c>
      <c r="H51" s="33">
        <f>IF(E51-D51&gt;0,E51-D51,0)</f>
        <v>0.15000000000145519</v>
      </c>
      <c r="I51" s="34"/>
      <c r="J51" s="34"/>
      <c r="K51" s="34">
        <v>6611.99</v>
      </c>
      <c r="L51" s="34"/>
      <c r="M51" s="36">
        <f>(+K51)*M$5</f>
        <v>142.15778499999999</v>
      </c>
      <c r="N51" s="36">
        <f>(+K51)*N$5</f>
        <v>33.059950000000001</v>
      </c>
      <c r="O51" s="36">
        <f>+K51-M51-N51+P51</f>
        <v>6436.7722649999996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v>94.75</v>
      </c>
      <c r="AA51" s="34"/>
      <c r="AB51" s="34"/>
      <c r="AC51" s="34">
        <v>450.3</v>
      </c>
      <c r="AD51" s="38" t="s">
        <v>141</v>
      </c>
      <c r="AE51" s="38">
        <v>1815</v>
      </c>
      <c r="AF51" s="34">
        <v>2396.06</v>
      </c>
      <c r="AG51" s="33">
        <f>(AF51*0.8)*0.85</f>
        <v>1629.3208</v>
      </c>
      <c r="AH51" s="33">
        <f>(AF51*0.8)*0.15</f>
        <v>287.52719999999999</v>
      </c>
      <c r="AI51" s="33">
        <f>AF51*0.2</f>
        <v>479.21199999999999</v>
      </c>
      <c r="AJ51" s="34"/>
      <c r="AK51" s="33">
        <f>(C51-AF51-AJ51)/1.12</f>
        <v>30234.669642857141</v>
      </c>
      <c r="AL51" s="33">
        <f>AK51-SUM(Y51:AC51)</f>
        <v>29689.619642857142</v>
      </c>
      <c r="AM51" s="33">
        <f>+AL51*0.12</f>
        <v>3562.7543571428569</v>
      </c>
      <c r="AN51" s="33">
        <f>+AM51+AL51+AJ51</f>
        <v>33252.373999999996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41">
        <f>AZ51+BA51+BB51+BD51-BC51</f>
        <v>0</v>
      </c>
      <c r="BS51" s="145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</row>
    <row r="52" spans="1:96" ht="15.75" thickBot="1" x14ac:dyDescent="0.3">
      <c r="A52" s="191"/>
      <c r="B52" s="16" t="s">
        <v>44</v>
      </c>
      <c r="C52" s="33">
        <v>30891.05</v>
      </c>
      <c r="D52" s="34">
        <v>16815.099999999999</v>
      </c>
      <c r="E52" s="34">
        <v>16815</v>
      </c>
      <c r="F52" s="35">
        <v>43542</v>
      </c>
      <c r="G52" s="33">
        <f>IF(E52-D52&lt;0,E52-D52,0)*-1</f>
        <v>9.9999999998544808E-2</v>
      </c>
      <c r="H52" s="33">
        <f>IF(E52-D52&gt;0,E52-D52,0)</f>
        <v>0</v>
      </c>
      <c r="I52" s="34"/>
      <c r="J52" s="34"/>
      <c r="K52" s="34">
        <v>9856.9500000000007</v>
      </c>
      <c r="L52" s="34"/>
      <c r="M52" s="36">
        <f>(+K52)*M$5</f>
        <v>211.92442499999999</v>
      </c>
      <c r="N52" s="36">
        <f>(+K52)*N$5</f>
        <v>49.284750000000003</v>
      </c>
      <c r="O52" s="36">
        <f>+K52-M52-N52+P52</f>
        <v>9595.7408250000008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f>135+38</f>
        <v>173</v>
      </c>
      <c r="AA52" s="34"/>
      <c r="AB52" s="34"/>
      <c r="AC52" s="34"/>
      <c r="AD52" s="38" t="s">
        <v>141</v>
      </c>
      <c r="AE52" s="38">
        <v>4046</v>
      </c>
      <c r="AF52" s="34">
        <v>2153.0500000000002</v>
      </c>
      <c r="AG52" s="33">
        <f>(AF52*0.8)*0.85</f>
        <v>1464.0740000000003</v>
      </c>
      <c r="AH52" s="33">
        <f>(AF52*0.8)*0.15</f>
        <v>258.36600000000004</v>
      </c>
      <c r="AI52" s="33">
        <f>AF52*0.2</f>
        <v>430.61000000000007</v>
      </c>
      <c r="AJ52" s="34"/>
      <c r="AK52" s="33">
        <f>(C52-AF52-AJ52)/1.12</f>
        <v>25658.928571428569</v>
      </c>
      <c r="AL52" s="33">
        <f>AK52-SUM(Y52:AC52)</f>
        <v>25485.928571428569</v>
      </c>
      <c r="AM52" s="33">
        <f>+AL52*0.12</f>
        <v>3058.3114285714282</v>
      </c>
      <c r="AN52" s="33">
        <f>+AM52+AL52+AJ52</f>
        <v>28544.239999999998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1">
        <f>AZ52+BA52+BB52+BD52-BC52</f>
        <v>0</v>
      </c>
      <c r="BS52" s="145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</row>
    <row r="53" spans="1:96" ht="15.75" thickBot="1" x14ac:dyDescent="0.3">
      <c r="A53" s="42"/>
      <c r="B53" s="43"/>
      <c r="C53" s="44">
        <f>SUBTOTAL(9,C51:C52)</f>
        <v>67149.94</v>
      </c>
      <c r="D53" s="45">
        <f t="shared" ref="D53" si="532">SUBTOTAL(9,D51:D52)</f>
        <v>44101.95</v>
      </c>
      <c r="E53" s="45">
        <f>SUBTOTAL(9,E51:E52)</f>
        <v>44102</v>
      </c>
      <c r="F53" s="47"/>
      <c r="G53" s="45">
        <f t="shared" ref="G53" si="533">SUBTOTAL(9,G51:G52)</f>
        <v>9.9999999998544808E-2</v>
      </c>
      <c r="H53" s="45">
        <f t="shared" ref="H53" si="534">SUBTOTAL(9,H51:H52)</f>
        <v>0.15000000000145519</v>
      </c>
      <c r="I53" s="45">
        <f t="shared" ref="I53" si="535">SUBTOTAL(9,I51:I52)</f>
        <v>0</v>
      </c>
      <c r="J53" s="45">
        <f t="shared" ref="J53" si="536">SUBTOTAL(9,J51:J52)</f>
        <v>0</v>
      </c>
      <c r="K53" s="159">
        <f t="shared" ref="K53" si="537">SUBTOTAL(9,K51:K52)</f>
        <v>16468.940000000002</v>
      </c>
      <c r="L53" s="45">
        <f t="shared" ref="L53" si="538">SUBTOTAL(9,L51:L52)</f>
        <v>0</v>
      </c>
      <c r="M53" s="46">
        <f t="shared" ref="M53" si="539">SUBTOTAL(9,M51:M52)</f>
        <v>354.08220999999998</v>
      </c>
      <c r="N53" s="46">
        <f t="shared" ref="N53" si="540">SUBTOTAL(9,N51:N52)</f>
        <v>82.344700000000003</v>
      </c>
      <c r="O53" s="46">
        <f t="shared" ref="O53" si="541">SUBTOTAL(9,O51:O52)</f>
        <v>16032.51309</v>
      </c>
      <c r="P53" s="46">
        <f t="shared" ref="P53" si="542">SUBTOTAL(9,P51:P52)</f>
        <v>0</v>
      </c>
      <c r="Q53" s="47">
        <f t="shared" ref="Q53" si="543">SUBTOTAL(9,Q51:Q52)</f>
        <v>0</v>
      </c>
      <c r="R53" s="45">
        <f t="shared" ref="R53" si="544">SUBTOTAL(9,R51:R52)</f>
        <v>0</v>
      </c>
      <c r="S53" s="45">
        <f t="shared" ref="S53" si="545">SUBTOTAL(9,S51:S52)</f>
        <v>0</v>
      </c>
      <c r="T53" s="46">
        <f t="shared" ref="T53" si="546">SUBTOTAL(9,T51:T52)</f>
        <v>0</v>
      </c>
      <c r="U53" s="46">
        <f t="shared" ref="U53" si="547">SUBTOTAL(9,U51:U52)</f>
        <v>0</v>
      </c>
      <c r="V53" s="46">
        <f t="shared" ref="V53" si="548">SUBTOTAL(9,V51:V52)</f>
        <v>0</v>
      </c>
      <c r="W53" s="46">
        <f t="shared" ref="W53" si="549">SUBTOTAL(9,W51:W52)</f>
        <v>0</v>
      </c>
      <c r="X53" s="47">
        <f t="shared" ref="X53" si="550">SUBTOTAL(9,X51:X52)</f>
        <v>0</v>
      </c>
      <c r="Y53" s="45">
        <f t="shared" ref="Y53" si="551">SUBTOTAL(9,Y51:Y52)</f>
        <v>0</v>
      </c>
      <c r="Z53" s="45">
        <f t="shared" ref="Z53" si="552">SUBTOTAL(9,Z51:Z52)</f>
        <v>267.75</v>
      </c>
      <c r="AA53" s="45">
        <f t="shared" ref="AA53" si="553">SUBTOTAL(9,AA51:AA52)</f>
        <v>0</v>
      </c>
      <c r="AB53" s="45">
        <f t="shared" ref="AB53" si="554">SUBTOTAL(9,AB51:AB52)</f>
        <v>0</v>
      </c>
      <c r="AC53" s="45">
        <f t="shared" ref="AC53" si="555">SUBTOTAL(9,AC51:AC52)</f>
        <v>450.3</v>
      </c>
      <c r="AD53" s="48"/>
      <c r="AE53" s="48"/>
      <c r="AF53" s="45">
        <f t="shared" ref="AF53" si="556">SUBTOTAL(9,AF51:AF52)</f>
        <v>4549.1100000000006</v>
      </c>
      <c r="AG53" s="44">
        <f t="shared" ref="AG53" si="557">SUBTOTAL(9,AG51:AG52)</f>
        <v>3093.3948</v>
      </c>
      <c r="AH53" s="44">
        <f t="shared" ref="AH53" si="558">SUBTOTAL(9,AH51:AH52)</f>
        <v>545.89319999999998</v>
      </c>
      <c r="AI53" s="44">
        <f t="shared" ref="AI53" si="559">SUBTOTAL(9,AI51:AI52)</f>
        <v>909.82200000000012</v>
      </c>
      <c r="AJ53" s="45">
        <f t="shared" ref="AJ53" si="560">SUBTOTAL(9,AJ51:AJ52)</f>
        <v>0</v>
      </c>
      <c r="AK53" s="44">
        <f t="shared" ref="AK53" si="561">SUBTOTAL(9,AK51:AK52)</f>
        <v>55893.59821428571</v>
      </c>
      <c r="AL53" s="44">
        <f t="shared" ref="AL53" si="562">SUBTOTAL(9,AL51:AL52)</f>
        <v>55175.548214285707</v>
      </c>
      <c r="AM53" s="44">
        <f t="shared" ref="AM53" si="563">SUBTOTAL(9,AM51:AM52)</f>
        <v>6621.0657857142851</v>
      </c>
      <c r="AN53" s="44">
        <f t="shared" ref="AN53" si="564">SUBTOTAL(9,AN51:AN52)</f>
        <v>61796.613999999994</v>
      </c>
      <c r="AO53" s="49">
        <f t="shared" ref="R53:BP53" si="565">SUBTOTAL(9,AO51:AO52)</f>
        <v>0</v>
      </c>
      <c r="AP53" s="49">
        <f t="shared" si="565"/>
        <v>0</v>
      </c>
      <c r="AQ53" s="49">
        <f t="shared" si="565"/>
        <v>0</v>
      </c>
      <c r="AR53" s="49">
        <f t="shared" si="565"/>
        <v>0</v>
      </c>
      <c r="AS53" s="49">
        <f t="shared" si="565"/>
        <v>0</v>
      </c>
      <c r="AT53" s="49">
        <f t="shared" si="565"/>
        <v>0</v>
      </c>
      <c r="AU53" s="49">
        <f>SUBTOTAL(9,AU51:AU52)</f>
        <v>0</v>
      </c>
      <c r="AV53" s="49">
        <f t="shared" si="565"/>
        <v>0</v>
      </c>
      <c r="AW53" s="49">
        <f t="shared" si="565"/>
        <v>0</v>
      </c>
      <c r="AX53" s="49">
        <f t="shared" si="565"/>
        <v>0</v>
      </c>
      <c r="AY53" s="49">
        <f t="shared" si="565"/>
        <v>0</v>
      </c>
      <c r="AZ53" s="44">
        <f t="shared" si="565"/>
        <v>0</v>
      </c>
      <c r="BA53" s="48">
        <f t="shared" si="565"/>
        <v>0</v>
      </c>
      <c r="BB53" s="48">
        <f t="shared" si="565"/>
        <v>0</v>
      </c>
      <c r="BC53" s="44">
        <f t="shared" si="565"/>
        <v>0</v>
      </c>
      <c r="BD53" s="44">
        <f t="shared" si="565"/>
        <v>0</v>
      </c>
      <c r="BE53" s="49">
        <f>SUBTOTAL(9,BE51:BE52)</f>
        <v>0</v>
      </c>
      <c r="BF53" s="49">
        <f t="shared" si="565"/>
        <v>0</v>
      </c>
      <c r="BG53" s="49">
        <f t="shared" si="565"/>
        <v>0</v>
      </c>
      <c r="BH53" s="49">
        <f t="shared" si="565"/>
        <v>0</v>
      </c>
      <c r="BI53" s="49">
        <f t="shared" si="565"/>
        <v>0</v>
      </c>
      <c r="BJ53" s="49">
        <f t="shared" si="565"/>
        <v>0</v>
      </c>
      <c r="BK53" s="49">
        <f t="shared" si="565"/>
        <v>0</v>
      </c>
      <c r="BL53" s="49">
        <f t="shared" si="565"/>
        <v>0</v>
      </c>
      <c r="BM53" s="49">
        <f t="shared" si="565"/>
        <v>0</v>
      </c>
      <c r="BN53" s="49">
        <f t="shared" si="565"/>
        <v>0</v>
      </c>
      <c r="BO53" s="49">
        <f t="shared" si="565"/>
        <v>0</v>
      </c>
      <c r="BP53" s="49">
        <f t="shared" si="565"/>
        <v>0</v>
      </c>
      <c r="BQ53" s="44">
        <f>SUBTOTAL(9,BQ51:BQ52)</f>
        <v>0</v>
      </c>
    </row>
    <row r="54" spans="1:96" x14ac:dyDescent="0.25">
      <c r="A54" s="190">
        <f>+A51+1</f>
        <v>43540</v>
      </c>
      <c r="B54" s="16" t="s">
        <v>43</v>
      </c>
      <c r="C54" s="33" t="s">
        <v>135</v>
      </c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>AK54-SUM(Y54:AC54)</f>
        <v>0</v>
      </c>
      <c r="AM54" s="33">
        <f>+AL54*0.12</f>
        <v>0</v>
      </c>
      <c r="AN54" s="33">
        <f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41">
        <f>AZ54+BA54+BB54+BD54-BC54</f>
        <v>0</v>
      </c>
      <c r="BS54" s="145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</row>
    <row r="55" spans="1:96" ht="15.75" thickBot="1" x14ac:dyDescent="0.3">
      <c r="A55" s="191"/>
      <c r="B55" s="16" t="s">
        <v>44</v>
      </c>
      <c r="C55" s="33">
        <v>10749.11</v>
      </c>
      <c r="D55" s="34">
        <v>6972.05</v>
      </c>
      <c r="E55" s="34">
        <v>6980</v>
      </c>
      <c r="F55" s="35">
        <v>43542</v>
      </c>
      <c r="G55" s="33">
        <f>IF(E55-D55&lt;0,E55-D55,0)*-1</f>
        <v>0</v>
      </c>
      <c r="H55" s="33">
        <f>IF(E55-D55&gt;0,E55-D55,0)</f>
        <v>7.9499999999998181</v>
      </c>
      <c r="I55" s="34"/>
      <c r="J55" s="34"/>
      <c r="K55" s="34">
        <v>506.52</v>
      </c>
      <c r="L55" s="34"/>
      <c r="M55" s="36">
        <f>(+K55)*M$5</f>
        <v>10.890179999999999</v>
      </c>
      <c r="N55" s="36">
        <f>(+K55)*N$5</f>
        <v>2.5326</v>
      </c>
      <c r="O55" s="36">
        <f>+K55-M55-N55+P55</f>
        <v>493.09721999999999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>
        <v>45.54</v>
      </c>
      <c r="AD55" s="38" t="s">
        <v>141</v>
      </c>
      <c r="AE55" s="38">
        <v>3225</v>
      </c>
      <c r="AF55" s="34">
        <v>541.42999999999995</v>
      </c>
      <c r="AG55" s="33">
        <f>(AF55*0.8)*0.85</f>
        <v>368.17239999999998</v>
      </c>
      <c r="AH55" s="33">
        <f>(AF55*0.8)*0.15</f>
        <v>64.971599999999995</v>
      </c>
      <c r="AI55" s="33">
        <f>AF55*0.2</f>
        <v>108.286</v>
      </c>
      <c r="AJ55" s="34"/>
      <c r="AK55" s="33">
        <f>(C55-AF55-AJ55)/1.12</f>
        <v>9114</v>
      </c>
      <c r="AL55" s="33">
        <f>AK55-SUM(Y55:AC55)</f>
        <v>9068.4599999999991</v>
      </c>
      <c r="AM55" s="33">
        <f>+AL55*0.12</f>
        <v>1088.2151999999999</v>
      </c>
      <c r="AN55" s="33">
        <f>+AM55+AL55+AJ55</f>
        <v>10156.6752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>
        <v>140</v>
      </c>
      <c r="BG55" s="39"/>
      <c r="BH55" s="39"/>
      <c r="BI55" s="39"/>
      <c r="BJ55" s="39"/>
      <c r="BK55" s="39"/>
      <c r="BL55" s="39">
        <v>295</v>
      </c>
      <c r="BM55" s="39"/>
      <c r="BN55" s="39"/>
      <c r="BO55" s="39"/>
      <c r="BP55" s="39"/>
      <c r="BQ55" s="41">
        <f>AZ55+BA55+BB55+BD55-BC55</f>
        <v>0</v>
      </c>
      <c r="BS55" s="145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</row>
    <row r="56" spans="1:96" ht="15.75" thickBot="1" x14ac:dyDescent="0.3">
      <c r="A56" s="42"/>
      <c r="B56" s="43"/>
      <c r="C56" s="44">
        <f>SUBTOTAL(9,C54:C55)</f>
        <v>10749.11</v>
      </c>
      <c r="D56" s="45">
        <f t="shared" ref="D56" si="566">SUBTOTAL(9,D54:D55)</f>
        <v>6972.05</v>
      </c>
      <c r="E56" s="45">
        <f>SUBTOTAL(9,E54:E55)</f>
        <v>6980</v>
      </c>
      <c r="F56" s="47"/>
      <c r="G56" s="45">
        <f t="shared" ref="G56" si="567">SUBTOTAL(9,G54:G55)</f>
        <v>0</v>
      </c>
      <c r="H56" s="45">
        <f t="shared" ref="H56" si="568">SUBTOTAL(9,H54:H55)</f>
        <v>7.9499999999998181</v>
      </c>
      <c r="I56" s="45">
        <f t="shared" ref="I56" si="569">SUBTOTAL(9,I54:I55)</f>
        <v>0</v>
      </c>
      <c r="J56" s="45">
        <f t="shared" ref="J56" si="570">SUBTOTAL(9,J54:J55)</f>
        <v>0</v>
      </c>
      <c r="K56" s="159">
        <f t="shared" ref="K56" si="571">SUBTOTAL(9,K54:K55)</f>
        <v>506.52</v>
      </c>
      <c r="L56" s="45">
        <f t="shared" ref="L56" si="572">SUBTOTAL(9,L54:L55)</f>
        <v>0</v>
      </c>
      <c r="M56" s="46">
        <f t="shared" ref="M56" si="573">SUBTOTAL(9,M54:M55)</f>
        <v>10.890179999999999</v>
      </c>
      <c r="N56" s="46">
        <f t="shared" ref="N56" si="574">SUBTOTAL(9,N54:N55)</f>
        <v>2.5326</v>
      </c>
      <c r="O56" s="46">
        <f t="shared" ref="O56" si="575">SUBTOTAL(9,O54:O55)</f>
        <v>493.09721999999999</v>
      </c>
      <c r="P56" s="46">
        <f t="shared" ref="P56" si="576">SUBTOTAL(9,P54:P55)</f>
        <v>0</v>
      </c>
      <c r="Q56" s="47">
        <f t="shared" ref="Q56" si="577">SUBTOTAL(9,Q54:Q55)</f>
        <v>0</v>
      </c>
      <c r="R56" s="45">
        <f t="shared" ref="R56" si="578">SUBTOTAL(9,R54:R55)</f>
        <v>0</v>
      </c>
      <c r="S56" s="45">
        <f t="shared" ref="S56" si="579">SUBTOTAL(9,S54:S55)</f>
        <v>0</v>
      </c>
      <c r="T56" s="46">
        <f t="shared" ref="T56" si="580">SUBTOTAL(9,T54:T55)</f>
        <v>0</v>
      </c>
      <c r="U56" s="46">
        <f t="shared" ref="U56" si="581">SUBTOTAL(9,U54:U55)</f>
        <v>0</v>
      </c>
      <c r="V56" s="46">
        <f t="shared" ref="V56" si="582">SUBTOTAL(9,V54:V55)</f>
        <v>0</v>
      </c>
      <c r="W56" s="46">
        <f t="shared" ref="W56" si="583">SUBTOTAL(9,W54:W55)</f>
        <v>0</v>
      </c>
      <c r="X56" s="47">
        <f t="shared" ref="X56" si="584">SUBTOTAL(9,X54:X55)</f>
        <v>0</v>
      </c>
      <c r="Y56" s="45">
        <f t="shared" ref="Y56" si="585">SUBTOTAL(9,Y54:Y55)</f>
        <v>0</v>
      </c>
      <c r="Z56" s="45">
        <f t="shared" ref="Z56" si="586">SUBTOTAL(9,Z54:Z55)</f>
        <v>0</v>
      </c>
      <c r="AA56" s="45">
        <f t="shared" ref="AA56" si="587">SUBTOTAL(9,AA54:AA55)</f>
        <v>0</v>
      </c>
      <c r="AB56" s="45">
        <f t="shared" ref="AB56" si="588">SUBTOTAL(9,AB54:AB55)</f>
        <v>0</v>
      </c>
      <c r="AC56" s="45">
        <f t="shared" ref="AC56" si="589">SUBTOTAL(9,AC54:AC55)</f>
        <v>45.54</v>
      </c>
      <c r="AD56" s="48"/>
      <c r="AE56" s="48"/>
      <c r="AF56" s="45">
        <f t="shared" ref="AF56" si="590">SUBTOTAL(9,AF54:AF55)</f>
        <v>541.42999999999995</v>
      </c>
      <c r="AG56" s="44">
        <f t="shared" ref="AG56" si="591">SUBTOTAL(9,AG54:AG55)</f>
        <v>368.17239999999998</v>
      </c>
      <c r="AH56" s="44">
        <f t="shared" ref="AH56" si="592">SUBTOTAL(9,AH54:AH55)</f>
        <v>64.971599999999995</v>
      </c>
      <c r="AI56" s="44">
        <f t="shared" ref="AI56" si="593">SUBTOTAL(9,AI54:AI55)</f>
        <v>108.286</v>
      </c>
      <c r="AJ56" s="45">
        <f t="shared" ref="AJ56" si="594">SUBTOTAL(9,AJ54:AJ55)</f>
        <v>0</v>
      </c>
      <c r="AK56" s="44">
        <f t="shared" ref="AK56" si="595">SUBTOTAL(9,AK54:AK55)</f>
        <v>9114</v>
      </c>
      <c r="AL56" s="44">
        <f t="shared" ref="AL56" si="596">SUBTOTAL(9,AL54:AL55)</f>
        <v>9068.4599999999991</v>
      </c>
      <c r="AM56" s="44">
        <f t="shared" ref="AM56" si="597">SUBTOTAL(9,AM54:AM55)</f>
        <v>1088.2151999999999</v>
      </c>
      <c r="AN56" s="44">
        <f t="shared" ref="AN56" si="598">SUBTOTAL(9,AN54:AN55)</f>
        <v>10156.6752</v>
      </c>
      <c r="AO56" s="49">
        <f t="shared" ref="R56:BP56" si="599">SUBTOTAL(9,AO54:AO55)</f>
        <v>0</v>
      </c>
      <c r="AP56" s="49">
        <f t="shared" si="599"/>
        <v>0</v>
      </c>
      <c r="AQ56" s="49">
        <f t="shared" si="599"/>
        <v>0</v>
      </c>
      <c r="AR56" s="49">
        <f t="shared" si="599"/>
        <v>0</v>
      </c>
      <c r="AS56" s="49">
        <f t="shared" si="599"/>
        <v>0</v>
      </c>
      <c r="AT56" s="49">
        <f t="shared" si="599"/>
        <v>0</v>
      </c>
      <c r="AU56" s="49">
        <f>SUBTOTAL(9,AU54:AU55)</f>
        <v>0</v>
      </c>
      <c r="AV56" s="49">
        <f t="shared" si="599"/>
        <v>0</v>
      </c>
      <c r="AW56" s="49">
        <f t="shared" si="599"/>
        <v>0</v>
      </c>
      <c r="AX56" s="49">
        <f t="shared" si="599"/>
        <v>0</v>
      </c>
      <c r="AY56" s="49">
        <f t="shared" si="599"/>
        <v>0</v>
      </c>
      <c r="AZ56" s="44">
        <f t="shared" si="599"/>
        <v>0</v>
      </c>
      <c r="BA56" s="48">
        <f t="shared" si="599"/>
        <v>0</v>
      </c>
      <c r="BB56" s="48">
        <f t="shared" si="599"/>
        <v>0</v>
      </c>
      <c r="BC56" s="44">
        <f t="shared" si="599"/>
        <v>0</v>
      </c>
      <c r="BD56" s="44">
        <f t="shared" si="599"/>
        <v>0</v>
      </c>
      <c r="BE56" s="49">
        <f>SUBTOTAL(9,BE54:BE55)</f>
        <v>0</v>
      </c>
      <c r="BF56" s="49">
        <f t="shared" si="599"/>
        <v>140</v>
      </c>
      <c r="BG56" s="49">
        <f t="shared" si="599"/>
        <v>0</v>
      </c>
      <c r="BH56" s="49">
        <f t="shared" si="599"/>
        <v>0</v>
      </c>
      <c r="BI56" s="49">
        <f t="shared" si="599"/>
        <v>0</v>
      </c>
      <c r="BJ56" s="49">
        <f t="shared" si="599"/>
        <v>0</v>
      </c>
      <c r="BK56" s="49">
        <f t="shared" si="599"/>
        <v>0</v>
      </c>
      <c r="BL56" s="49">
        <f t="shared" si="599"/>
        <v>295</v>
      </c>
      <c r="BM56" s="49">
        <f t="shared" si="599"/>
        <v>0</v>
      </c>
      <c r="BN56" s="49">
        <f t="shared" si="599"/>
        <v>0</v>
      </c>
      <c r="BO56" s="49">
        <f t="shared" si="599"/>
        <v>0</v>
      </c>
      <c r="BP56" s="49">
        <f t="shared" si="599"/>
        <v>0</v>
      </c>
      <c r="BQ56" s="44">
        <f>SUBTOTAL(9,BQ54:BQ55)</f>
        <v>0</v>
      </c>
    </row>
    <row r="57" spans="1:96" x14ac:dyDescent="0.25">
      <c r="A57" s="190">
        <f>+A54+1</f>
        <v>43541</v>
      </c>
      <c r="B57" s="16" t="s">
        <v>43</v>
      </c>
      <c r="C57" s="33" t="s">
        <v>136</v>
      </c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>AK57-SUM(Y57:AC57)</f>
        <v>0</v>
      </c>
      <c r="AM57" s="33">
        <f>+AL57*0.12</f>
        <v>0</v>
      </c>
      <c r="AN57" s="33">
        <f t="shared" si="463"/>
        <v>0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41">
        <f>AZ57+BA57+BB57+BD57-BC57</f>
        <v>0</v>
      </c>
      <c r="BS57" s="145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</row>
    <row r="58" spans="1:96" ht="15.75" thickBot="1" x14ac:dyDescent="0.3">
      <c r="A58" s="191"/>
      <c r="B58" s="16" t="s">
        <v>44</v>
      </c>
      <c r="C58" s="163"/>
      <c r="D58" s="34"/>
      <c r="E58" s="34"/>
      <c r="F58" s="35"/>
      <c r="G58" s="33"/>
      <c r="H58" s="33">
        <f>IF(E58-D58&gt;0,E58-D58,0)</f>
        <v>0</v>
      </c>
      <c r="I58" s="34"/>
      <c r="J58" s="34"/>
      <c r="K58" s="34"/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/>
      <c r="AD58" s="38"/>
      <c r="AE58" s="38"/>
      <c r="AF58" s="34"/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>(C58-AF58-AJ58)/1.12</f>
        <v>0</v>
      </c>
      <c r="AL58" s="33">
        <f>AK58-SUM(Y58:AC58)</f>
        <v>0</v>
      </c>
      <c r="AM58" s="33">
        <f>+AL58*0.12</f>
        <v>0</v>
      </c>
      <c r="AN58" s="33">
        <f t="shared" ref="AN58" si="600">+AM58+AL58+AJ58</f>
        <v>0</v>
      </c>
      <c r="AO58" s="39"/>
      <c r="AP58" s="40">
        <v>0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1">
        <f>AZ58+BA58+BB58+BD58-BC58</f>
        <v>0</v>
      </c>
      <c r="BS58" s="145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</row>
    <row r="59" spans="1:96" ht="15.75" thickBot="1" x14ac:dyDescent="0.3">
      <c r="A59" s="42"/>
      <c r="B59" s="43"/>
      <c r="C59" s="44">
        <f>SUBTOTAL(9,C57:C58)</f>
        <v>0</v>
      </c>
      <c r="D59" s="45">
        <f t="shared" ref="D59" si="601">SUBTOTAL(9,D57:D58)</f>
        <v>0</v>
      </c>
      <c r="E59" s="45">
        <f>SUBTOTAL(9,E57:E58)</f>
        <v>0</v>
      </c>
      <c r="F59" s="47"/>
      <c r="G59" s="45">
        <f t="shared" ref="G59" si="602">SUBTOTAL(9,G57:G58)</f>
        <v>0</v>
      </c>
      <c r="H59" s="45">
        <f t="shared" ref="H59" si="603">SUBTOTAL(9,H57:H58)</f>
        <v>0</v>
      </c>
      <c r="I59" s="45">
        <f t="shared" ref="I59" si="604">SUBTOTAL(9,I57:I58)</f>
        <v>0</v>
      </c>
      <c r="J59" s="45">
        <f t="shared" ref="J59" si="605">SUBTOTAL(9,J57:J58)</f>
        <v>0</v>
      </c>
      <c r="K59" s="159">
        <f t="shared" ref="K59" si="606">SUBTOTAL(9,K57:K58)</f>
        <v>0</v>
      </c>
      <c r="L59" s="45">
        <f t="shared" ref="L59" si="607">SUBTOTAL(9,L57:L58)</f>
        <v>0</v>
      </c>
      <c r="M59" s="46">
        <f t="shared" ref="M59" si="608">SUBTOTAL(9,M57:M58)</f>
        <v>0</v>
      </c>
      <c r="N59" s="46">
        <f t="shared" ref="N59" si="609">SUBTOTAL(9,N57:N58)</f>
        <v>0</v>
      </c>
      <c r="O59" s="46">
        <f t="shared" ref="O59" si="610">SUBTOTAL(9,O57:O58)</f>
        <v>0</v>
      </c>
      <c r="P59" s="46">
        <f t="shared" ref="P59" si="611">SUBTOTAL(9,P57:P58)</f>
        <v>0</v>
      </c>
      <c r="Q59" s="47">
        <f t="shared" ref="Q59" si="612">SUBTOTAL(9,Q57:Q58)</f>
        <v>0</v>
      </c>
      <c r="R59" s="45">
        <f t="shared" ref="R59" si="613">SUBTOTAL(9,R57:R58)</f>
        <v>0</v>
      </c>
      <c r="S59" s="45">
        <f t="shared" ref="S59" si="614">SUBTOTAL(9,S57:S58)</f>
        <v>0</v>
      </c>
      <c r="T59" s="46">
        <f t="shared" ref="T59" si="615">SUBTOTAL(9,T57:T58)</f>
        <v>0</v>
      </c>
      <c r="U59" s="46">
        <f t="shared" ref="U59" si="616">SUBTOTAL(9,U57:U58)</f>
        <v>0</v>
      </c>
      <c r="V59" s="46">
        <f t="shared" ref="V59" si="617">SUBTOTAL(9,V57:V58)</f>
        <v>0</v>
      </c>
      <c r="W59" s="46">
        <f t="shared" ref="W59" si="618">SUBTOTAL(9,W57:W58)</f>
        <v>0</v>
      </c>
      <c r="X59" s="47">
        <f t="shared" ref="X59" si="619">SUBTOTAL(9,X57:X58)</f>
        <v>0</v>
      </c>
      <c r="Y59" s="45">
        <f t="shared" ref="Y59" si="620">SUBTOTAL(9,Y57:Y58)</f>
        <v>0</v>
      </c>
      <c r="Z59" s="45">
        <f t="shared" ref="Z59" si="621">SUBTOTAL(9,Z57:Z58)</f>
        <v>0</v>
      </c>
      <c r="AA59" s="45">
        <f t="shared" ref="AA59" si="622">SUBTOTAL(9,AA57:AA58)</f>
        <v>0</v>
      </c>
      <c r="AB59" s="45">
        <f t="shared" ref="AB59" si="623">SUBTOTAL(9,AB57:AB58)</f>
        <v>0</v>
      </c>
      <c r="AC59" s="45">
        <f t="shared" ref="AC59" si="624">SUBTOTAL(9,AC57:AC58)</f>
        <v>0</v>
      </c>
      <c r="AD59" s="48"/>
      <c r="AE59" s="48"/>
      <c r="AF59" s="45">
        <f t="shared" ref="AF59" si="625">SUBTOTAL(9,AF57:AF58)</f>
        <v>0</v>
      </c>
      <c r="AG59" s="44">
        <f t="shared" ref="AG59" si="626">SUBTOTAL(9,AG57:AG58)</f>
        <v>0</v>
      </c>
      <c r="AH59" s="44">
        <f t="shared" ref="AH59" si="627">SUBTOTAL(9,AH57:AH58)</f>
        <v>0</v>
      </c>
      <c r="AI59" s="44">
        <f t="shared" ref="AI59" si="628">SUBTOTAL(9,AI57:AI58)</f>
        <v>0</v>
      </c>
      <c r="AJ59" s="45">
        <f t="shared" ref="AJ59" si="629">SUBTOTAL(9,AJ57:AJ58)</f>
        <v>0</v>
      </c>
      <c r="AK59" s="44">
        <f t="shared" ref="AK59" si="630">SUBTOTAL(9,AK57:AK58)</f>
        <v>0</v>
      </c>
      <c r="AL59" s="44">
        <f t="shared" ref="AL59" si="631">SUBTOTAL(9,AL57:AL58)</f>
        <v>0</v>
      </c>
      <c r="AM59" s="44">
        <f t="shared" ref="AM59" si="632">SUBTOTAL(9,AM57:AM58)</f>
        <v>0</v>
      </c>
      <c r="AN59" s="44">
        <f t="shared" ref="AN59" si="633">SUBTOTAL(9,AN57:AN58)</f>
        <v>0</v>
      </c>
      <c r="AO59" s="49">
        <f t="shared" ref="R59:BP59" si="634">SUBTOTAL(9,AO57:AO58)</f>
        <v>0</v>
      </c>
      <c r="AP59" s="49">
        <f t="shared" si="634"/>
        <v>0</v>
      </c>
      <c r="AQ59" s="49">
        <f t="shared" si="634"/>
        <v>0</v>
      </c>
      <c r="AR59" s="49">
        <f t="shared" si="634"/>
        <v>0</v>
      </c>
      <c r="AS59" s="49">
        <f t="shared" si="634"/>
        <v>0</v>
      </c>
      <c r="AT59" s="49">
        <f t="shared" si="634"/>
        <v>0</v>
      </c>
      <c r="AU59" s="49">
        <f>SUBTOTAL(9,AU57:AU58)</f>
        <v>0</v>
      </c>
      <c r="AV59" s="49">
        <f t="shared" si="634"/>
        <v>0</v>
      </c>
      <c r="AW59" s="49">
        <f t="shared" si="634"/>
        <v>0</v>
      </c>
      <c r="AX59" s="49">
        <f t="shared" si="634"/>
        <v>0</v>
      </c>
      <c r="AY59" s="49">
        <f t="shared" si="634"/>
        <v>0</v>
      </c>
      <c r="AZ59" s="44">
        <f t="shared" si="634"/>
        <v>0</v>
      </c>
      <c r="BA59" s="48">
        <f t="shared" si="634"/>
        <v>0</v>
      </c>
      <c r="BB59" s="48">
        <f t="shared" si="634"/>
        <v>0</v>
      </c>
      <c r="BC59" s="44">
        <f t="shared" si="634"/>
        <v>0</v>
      </c>
      <c r="BD59" s="44">
        <f t="shared" si="634"/>
        <v>0</v>
      </c>
      <c r="BE59" s="49">
        <f>SUBTOTAL(9,BE57:BE58)</f>
        <v>0</v>
      </c>
      <c r="BF59" s="49">
        <f t="shared" si="634"/>
        <v>0</v>
      </c>
      <c r="BG59" s="49">
        <f t="shared" si="634"/>
        <v>0</v>
      </c>
      <c r="BH59" s="49">
        <f t="shared" si="634"/>
        <v>0</v>
      </c>
      <c r="BI59" s="49">
        <f t="shared" si="634"/>
        <v>0</v>
      </c>
      <c r="BJ59" s="49">
        <f t="shared" si="634"/>
        <v>0</v>
      </c>
      <c r="BK59" s="49">
        <f t="shared" si="634"/>
        <v>0</v>
      </c>
      <c r="BL59" s="49">
        <f t="shared" si="634"/>
        <v>0</v>
      </c>
      <c r="BM59" s="49">
        <f t="shared" si="634"/>
        <v>0</v>
      </c>
      <c r="BN59" s="49">
        <f t="shared" si="634"/>
        <v>0</v>
      </c>
      <c r="BO59" s="49">
        <f t="shared" si="634"/>
        <v>0</v>
      </c>
      <c r="BP59" s="49">
        <f t="shared" si="634"/>
        <v>0</v>
      </c>
      <c r="BQ59" s="44">
        <f>SUBTOTAL(9,BQ57:BQ58)</f>
        <v>0</v>
      </c>
    </row>
    <row r="60" spans="1:96" x14ac:dyDescent="0.25">
      <c r="A60" s="190">
        <f>A57+1</f>
        <v>43542</v>
      </c>
      <c r="B60" s="16" t="s">
        <v>43</v>
      </c>
      <c r="C60" s="33">
        <v>46668.25</v>
      </c>
      <c r="D60" s="34">
        <v>17507.66</v>
      </c>
      <c r="E60" s="34">
        <v>17512</v>
      </c>
      <c r="F60" s="35">
        <v>43542</v>
      </c>
      <c r="G60" s="33"/>
      <c r="H60" s="33">
        <f>IF(E60-D60&gt;0,E60-D60,0)</f>
        <v>4.3400000000001455</v>
      </c>
      <c r="I60" s="34"/>
      <c r="J60" s="34"/>
      <c r="K60" s="34">
        <v>718.93</v>
      </c>
      <c r="L60" s="34"/>
      <c r="M60" s="36">
        <f>(+K60)*M$5</f>
        <v>15.456994999999997</v>
      </c>
      <c r="N60" s="36">
        <f>(+K60)*N$5</f>
        <v>3.5946499999999997</v>
      </c>
      <c r="O60" s="36">
        <f>+K60-M60-N60+P60</f>
        <v>699.87835499999994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13</v>
      </c>
      <c r="AA60" s="34"/>
      <c r="AB60" s="34"/>
      <c r="AC60" s="34">
        <v>348.66</v>
      </c>
      <c r="AD60" s="38" t="s">
        <v>140</v>
      </c>
      <c r="AE60" s="38">
        <v>28080</v>
      </c>
      <c r="AF60" s="34">
        <v>3249.32</v>
      </c>
      <c r="AG60" s="33">
        <f>(AF60*0.8)*0.85</f>
        <v>2209.5376000000001</v>
      </c>
      <c r="AH60" s="33">
        <f>(AF60*0.8)*0.15</f>
        <v>389.91840000000002</v>
      </c>
      <c r="AI60" s="33">
        <f>AF60*0.2</f>
        <v>649.86400000000003</v>
      </c>
      <c r="AJ60" s="34"/>
      <c r="AK60" s="33">
        <f>(C60-AF60-AJ60)/1.12</f>
        <v>38766.901785714283</v>
      </c>
      <c r="AL60" s="33">
        <f>AK60-SUM(Y60:AC60)</f>
        <v>38405.241785714279</v>
      </c>
      <c r="AM60" s="33">
        <f>+AL60*0.12</f>
        <v>4608.6290142857133</v>
      </c>
      <c r="AN60" s="33">
        <f t="shared" ref="AN60:AN61" si="635">+AM60+AL60+AJ60</f>
        <v>43013.87079999999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41">
        <f>AZ60+BA60+BB60+BD60-BC60</f>
        <v>0</v>
      </c>
      <c r="BS60" s="145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</row>
    <row r="61" spans="1:96" ht="15.75" thickBot="1" x14ac:dyDescent="0.3">
      <c r="A61" s="191"/>
      <c r="B61" s="16" t="s">
        <v>44</v>
      </c>
      <c r="C61" s="33">
        <v>15681.18</v>
      </c>
      <c r="D61" s="34">
        <v>10816.14</v>
      </c>
      <c r="E61" s="34">
        <v>10822</v>
      </c>
      <c r="F61" s="35">
        <v>43543</v>
      </c>
      <c r="G61" s="33"/>
      <c r="H61" s="33">
        <f>IF(E61-D61&gt;0,E61-D61,0)</f>
        <v>5.8600000000005821</v>
      </c>
      <c r="I61" s="34"/>
      <c r="J61" s="34"/>
      <c r="K61" s="34">
        <v>1623.04</v>
      </c>
      <c r="L61" s="34"/>
      <c r="M61" s="36">
        <f>(+K61)*M$5</f>
        <v>34.895359999999997</v>
      </c>
      <c r="N61" s="36">
        <f>(+K61)*N$5</f>
        <v>8.1151999999999997</v>
      </c>
      <c r="O61" s="36">
        <f>+K61-M61-N61+P61</f>
        <v>1580.02944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156</v>
      </c>
      <c r="AA61" s="34"/>
      <c r="AB61" s="34"/>
      <c r="AC61" s="34"/>
      <c r="AD61" s="38" t="s">
        <v>141</v>
      </c>
      <c r="AE61" s="38">
        <v>3086</v>
      </c>
      <c r="AF61" s="34">
        <v>960.18</v>
      </c>
      <c r="AG61" s="33">
        <f>(AF61*0.8)*0.85</f>
        <v>652.92240000000004</v>
      </c>
      <c r="AH61" s="33">
        <f>(AF61*0.8)*0.15</f>
        <v>115.2216</v>
      </c>
      <c r="AI61" s="33">
        <f>AF61*0.2</f>
        <v>192.036</v>
      </c>
      <c r="AJ61" s="34"/>
      <c r="AK61" s="33">
        <f>(C61-AF61-AJ61)/1.12</f>
        <v>13143.749999999998</v>
      </c>
      <c r="AL61" s="33">
        <f>AK61-SUM(Y61:AC61)</f>
        <v>12987.749999999998</v>
      </c>
      <c r="AM61" s="33">
        <f>+AL61*0.12</f>
        <v>1558.5299999999997</v>
      </c>
      <c r="AN61" s="33">
        <f t="shared" si="635"/>
        <v>14546.279999999999</v>
      </c>
      <c r="AO61" s="39">
        <v>275</v>
      </c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275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1">
        <f>AZ61+BA61+BB61+BD61-BC61</f>
        <v>275</v>
      </c>
      <c r="BS61" s="145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</row>
    <row r="62" spans="1:96" ht="15.75" thickBot="1" x14ac:dyDescent="0.3">
      <c r="A62" s="42"/>
      <c r="B62" s="43"/>
      <c r="C62" s="44">
        <f>SUBTOTAL(9,C60:C61)</f>
        <v>62349.43</v>
      </c>
      <c r="D62" s="45">
        <f t="shared" ref="D62" si="636">SUBTOTAL(9,D60:D61)</f>
        <v>28323.8</v>
      </c>
      <c r="E62" s="45">
        <f>SUBTOTAL(9,E60:E61)</f>
        <v>28334</v>
      </c>
      <c r="F62" s="47"/>
      <c r="G62" s="45">
        <f t="shared" ref="G62" si="637">SUBTOTAL(9,G60:G61)</f>
        <v>0</v>
      </c>
      <c r="H62" s="45">
        <f t="shared" ref="H62" si="638">SUBTOTAL(9,H60:H61)</f>
        <v>10.200000000000728</v>
      </c>
      <c r="I62" s="45">
        <f t="shared" ref="I62" si="639">SUBTOTAL(9,I60:I61)</f>
        <v>0</v>
      </c>
      <c r="J62" s="45">
        <f t="shared" ref="J62" si="640">SUBTOTAL(9,J60:J61)</f>
        <v>0</v>
      </c>
      <c r="K62" s="159">
        <f t="shared" ref="K62" si="641">SUBTOTAL(9,K60:K61)</f>
        <v>2341.9699999999998</v>
      </c>
      <c r="L62" s="45">
        <f t="shared" ref="L62" si="642">SUBTOTAL(9,L60:L61)</f>
        <v>0</v>
      </c>
      <c r="M62" s="46">
        <f t="shared" ref="M62" si="643">SUBTOTAL(9,M60:M61)</f>
        <v>50.352354999999996</v>
      </c>
      <c r="N62" s="46">
        <f t="shared" ref="N62" si="644">SUBTOTAL(9,N60:N61)</f>
        <v>11.709849999999999</v>
      </c>
      <c r="O62" s="46">
        <f t="shared" ref="O62" si="645">SUBTOTAL(9,O60:O61)</f>
        <v>2279.9077950000001</v>
      </c>
      <c r="P62" s="46">
        <f t="shared" ref="P62" si="646">SUBTOTAL(9,P60:P61)</f>
        <v>0</v>
      </c>
      <c r="Q62" s="47">
        <f t="shared" ref="Q62" si="647">SUBTOTAL(9,Q60:Q61)</f>
        <v>0</v>
      </c>
      <c r="R62" s="45">
        <f t="shared" ref="R62" si="648">SUBTOTAL(9,R60:R61)</f>
        <v>0</v>
      </c>
      <c r="S62" s="45">
        <f t="shared" ref="S62" si="649">SUBTOTAL(9,S60:S61)</f>
        <v>0</v>
      </c>
      <c r="T62" s="46">
        <f t="shared" ref="T62" si="650">SUBTOTAL(9,T60:T61)</f>
        <v>0</v>
      </c>
      <c r="U62" s="46">
        <f t="shared" ref="U62" si="651">SUBTOTAL(9,U60:U61)</f>
        <v>0</v>
      </c>
      <c r="V62" s="46">
        <f t="shared" ref="V62" si="652">SUBTOTAL(9,V60:V61)</f>
        <v>0</v>
      </c>
      <c r="W62" s="46">
        <f t="shared" ref="W62" si="653">SUBTOTAL(9,W60:W61)</f>
        <v>0</v>
      </c>
      <c r="X62" s="47">
        <f t="shared" ref="X62" si="654">SUBTOTAL(9,X60:X61)</f>
        <v>0</v>
      </c>
      <c r="Y62" s="45">
        <f t="shared" ref="Y62" si="655">SUBTOTAL(9,Y60:Y61)</f>
        <v>0</v>
      </c>
      <c r="Z62" s="45">
        <f t="shared" ref="Z62" si="656">SUBTOTAL(9,Z60:Z61)</f>
        <v>169</v>
      </c>
      <c r="AA62" s="45">
        <f t="shared" ref="AA62" si="657">SUBTOTAL(9,AA60:AA61)</f>
        <v>0</v>
      </c>
      <c r="AB62" s="45">
        <f t="shared" ref="AB62" si="658">SUBTOTAL(9,AB60:AB61)</f>
        <v>0</v>
      </c>
      <c r="AC62" s="45">
        <f t="shared" ref="AC62" si="659">SUBTOTAL(9,AC60:AC61)</f>
        <v>348.66</v>
      </c>
      <c r="AD62" s="48"/>
      <c r="AE62" s="48"/>
      <c r="AF62" s="45">
        <f t="shared" ref="AF62" si="660">SUBTOTAL(9,AF60:AF61)</f>
        <v>4209.5</v>
      </c>
      <c r="AG62" s="44">
        <f t="shared" ref="AG62" si="661">SUBTOTAL(9,AG60:AG61)</f>
        <v>2862.46</v>
      </c>
      <c r="AH62" s="44">
        <f t="shared" ref="AH62" si="662">SUBTOTAL(9,AH60:AH61)</f>
        <v>505.14</v>
      </c>
      <c r="AI62" s="44">
        <f t="shared" ref="AI62" si="663">SUBTOTAL(9,AI60:AI61)</f>
        <v>841.90000000000009</v>
      </c>
      <c r="AJ62" s="45">
        <f t="shared" ref="AJ62" si="664">SUBTOTAL(9,AJ60:AJ61)</f>
        <v>0</v>
      </c>
      <c r="AK62" s="44">
        <f t="shared" ref="AK62" si="665">SUBTOTAL(9,AK60:AK61)</f>
        <v>51910.651785714283</v>
      </c>
      <c r="AL62" s="44">
        <f t="shared" ref="AL62" si="666">SUBTOTAL(9,AL60:AL61)</f>
        <v>51392.991785714279</v>
      </c>
      <c r="AM62" s="44">
        <f t="shared" ref="AM62" si="667">SUBTOTAL(9,AM60:AM61)</f>
        <v>6167.1590142857131</v>
      </c>
      <c r="AN62" s="44">
        <f t="shared" ref="AN62" si="668">SUBTOTAL(9,AN60:AN61)</f>
        <v>57560.150799999989</v>
      </c>
      <c r="AO62" s="49">
        <f t="shared" ref="R62:BP62" si="669">SUBTOTAL(9,AO60:AO61)</f>
        <v>275</v>
      </c>
      <c r="AP62" s="49">
        <f t="shared" si="669"/>
        <v>0</v>
      </c>
      <c r="AQ62" s="49">
        <f t="shared" si="669"/>
        <v>0</v>
      </c>
      <c r="AR62" s="49">
        <f t="shared" si="669"/>
        <v>0</v>
      </c>
      <c r="AS62" s="49">
        <f t="shared" si="669"/>
        <v>0</v>
      </c>
      <c r="AT62" s="49">
        <f t="shared" si="669"/>
        <v>0</v>
      </c>
      <c r="AU62" s="49">
        <f>SUBTOTAL(9,AU60:AU61)</f>
        <v>0</v>
      </c>
      <c r="AV62" s="49">
        <f t="shared" si="669"/>
        <v>0</v>
      </c>
      <c r="AW62" s="49">
        <f t="shared" si="669"/>
        <v>0</v>
      </c>
      <c r="AX62" s="49">
        <f t="shared" si="669"/>
        <v>0</v>
      </c>
      <c r="AY62" s="49">
        <f t="shared" si="669"/>
        <v>0</v>
      </c>
      <c r="AZ62" s="44">
        <f t="shared" si="669"/>
        <v>275</v>
      </c>
      <c r="BA62" s="48">
        <f t="shared" si="669"/>
        <v>0</v>
      </c>
      <c r="BB62" s="48">
        <f t="shared" si="669"/>
        <v>0</v>
      </c>
      <c r="BC62" s="44">
        <f t="shared" si="669"/>
        <v>0</v>
      </c>
      <c r="BD62" s="44">
        <f t="shared" si="669"/>
        <v>0</v>
      </c>
      <c r="BE62" s="49">
        <f>SUBTOTAL(9,BE60:BE61)</f>
        <v>0</v>
      </c>
      <c r="BF62" s="49">
        <f t="shared" si="669"/>
        <v>0</v>
      </c>
      <c r="BG62" s="49">
        <f t="shared" si="669"/>
        <v>0</v>
      </c>
      <c r="BH62" s="49">
        <f t="shared" si="669"/>
        <v>0</v>
      </c>
      <c r="BI62" s="49">
        <f t="shared" si="669"/>
        <v>0</v>
      </c>
      <c r="BJ62" s="49">
        <f t="shared" si="669"/>
        <v>0</v>
      </c>
      <c r="BK62" s="49">
        <f t="shared" si="669"/>
        <v>0</v>
      </c>
      <c r="BL62" s="49">
        <f t="shared" si="669"/>
        <v>0</v>
      </c>
      <c r="BM62" s="49">
        <f t="shared" si="669"/>
        <v>0</v>
      </c>
      <c r="BN62" s="49">
        <f t="shared" si="669"/>
        <v>0</v>
      </c>
      <c r="BO62" s="49">
        <f t="shared" si="669"/>
        <v>0</v>
      </c>
      <c r="BP62" s="49">
        <f t="shared" si="669"/>
        <v>0</v>
      </c>
      <c r="BQ62" s="44">
        <f>SUBTOTAL(9,BQ60:BQ61)</f>
        <v>275</v>
      </c>
    </row>
    <row r="63" spans="1:96" x14ac:dyDescent="0.25">
      <c r="A63" s="190">
        <f>+A60+1</f>
        <v>43543</v>
      </c>
      <c r="B63" s="16" t="s">
        <v>43</v>
      </c>
      <c r="C63" s="33">
        <v>44995.23</v>
      </c>
      <c r="D63" s="34">
        <v>10656.86</v>
      </c>
      <c r="E63" s="34">
        <v>10657</v>
      </c>
      <c r="F63" s="35">
        <v>43543</v>
      </c>
      <c r="G63" s="33">
        <f>IF(E63-D63&lt;0,E63-D63,0)*-1</f>
        <v>0</v>
      </c>
      <c r="H63" s="33">
        <f>IF(E63-D63&gt;0,E63-D63,0)</f>
        <v>0.13999999999941792</v>
      </c>
      <c r="I63" s="34"/>
      <c r="J63" s="34"/>
      <c r="K63" s="34">
        <v>5664.49</v>
      </c>
      <c r="L63" s="34"/>
      <c r="M63" s="36">
        <f>(+K63)*M$5</f>
        <v>121.78653499999999</v>
      </c>
      <c r="N63" s="36">
        <f>(+K63)*N$5</f>
        <v>28.32245</v>
      </c>
      <c r="O63" s="36">
        <f>+K63-M63-N63+P63</f>
        <v>5514.3810149999999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f>171+14.5+32</f>
        <v>217.5</v>
      </c>
      <c r="AA63" s="34"/>
      <c r="AB63" s="34"/>
      <c r="AC63" s="34">
        <v>234.38</v>
      </c>
      <c r="AD63" s="38" t="s">
        <v>140</v>
      </c>
      <c r="AE63" s="38">
        <v>28222</v>
      </c>
      <c r="AF63" s="34">
        <v>3454.72</v>
      </c>
      <c r="AG63" s="33">
        <f>(AF63*0.8)*0.85</f>
        <v>2349.2095999999997</v>
      </c>
      <c r="AH63" s="33">
        <f>(AF63*0.8)*0.15</f>
        <v>414.56639999999999</v>
      </c>
      <c r="AI63" s="33">
        <f>AF63*0.2</f>
        <v>690.94399999999996</v>
      </c>
      <c r="AJ63" s="34"/>
      <c r="AK63" s="33">
        <f>(C63-AF63-AJ63)/1.12</f>
        <v>37089.741071428572</v>
      </c>
      <c r="AL63" s="33">
        <f>AK63-SUM(Y63:AC63)</f>
        <v>36637.861071428575</v>
      </c>
      <c r="AM63" s="33">
        <f>+AL63*0.12</f>
        <v>4396.5433285714289</v>
      </c>
      <c r="AN63" s="33">
        <f t="shared" si="463"/>
        <v>41034.404400000007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41">
        <f>AZ63+BA63+BB63+BD63-BC63</f>
        <v>0</v>
      </c>
      <c r="BS63" s="145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</row>
    <row r="64" spans="1:96" ht="15.75" thickBot="1" x14ac:dyDescent="0.3">
      <c r="A64" s="191"/>
      <c r="B64" s="16" t="s">
        <v>44</v>
      </c>
      <c r="C64" s="33">
        <v>15302.63</v>
      </c>
      <c r="D64" s="34">
        <v>11818.14</v>
      </c>
      <c r="E64" s="34">
        <v>11820</v>
      </c>
      <c r="F64" s="35">
        <v>43544</v>
      </c>
      <c r="G64" s="33">
        <f>IF(E64-D64&lt;0,E64-D64,0)*-1</f>
        <v>0</v>
      </c>
      <c r="H64" s="33">
        <f>IF(E64-D64&gt;0,E64-D64,0)</f>
        <v>1.8600000000005821</v>
      </c>
      <c r="I64" s="34"/>
      <c r="J64" s="34"/>
      <c r="K64" s="34">
        <v>942.24</v>
      </c>
      <c r="L64" s="34"/>
      <c r="M64" s="36">
        <f>(+K64)*M$5</f>
        <v>20.25816</v>
      </c>
      <c r="N64" s="36">
        <f>(+K64)*N$5</f>
        <v>4.7111999999999998</v>
      </c>
      <c r="O64" s="36">
        <f>+K64-M64-N64+P64</f>
        <v>917.27064000000007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31.25</v>
      </c>
      <c r="AD64" s="38" t="s">
        <v>141</v>
      </c>
      <c r="AE64" s="38">
        <v>2511</v>
      </c>
      <c r="AF64" s="34">
        <v>964.38</v>
      </c>
      <c r="AG64" s="33">
        <f>(AF64*0.8)*0.85</f>
        <v>655.77840000000003</v>
      </c>
      <c r="AH64" s="33">
        <f>(AF64*0.8)*0.15</f>
        <v>115.7256</v>
      </c>
      <c r="AI64" s="33">
        <f>AF64*0.2</f>
        <v>192.876</v>
      </c>
      <c r="AJ64" s="34"/>
      <c r="AK64" s="33">
        <f>(C64-AF64-AJ64)/1.12</f>
        <v>12802.008928571428</v>
      </c>
      <c r="AL64" s="33">
        <f>AK64-SUM(Y64:AC64)</f>
        <v>12770.758928571428</v>
      </c>
      <c r="AM64" s="33">
        <f>+AL64*0.12</f>
        <v>1532.4910714285713</v>
      </c>
      <c r="AN64" s="33">
        <f t="shared" si="463"/>
        <v>14303.249999999998</v>
      </c>
      <c r="AO64" s="39">
        <v>40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40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>
        <v>215</v>
      </c>
      <c r="BI64" s="39"/>
      <c r="BJ64" s="39"/>
      <c r="BK64" s="39"/>
      <c r="BL64" s="39"/>
      <c r="BM64" s="39"/>
      <c r="BN64" s="39"/>
      <c r="BO64" s="39"/>
      <c r="BP64" s="39"/>
      <c r="BQ64" s="41">
        <f>AZ64+BA64+BB64+BD64-BC64</f>
        <v>40</v>
      </c>
      <c r="BS64" s="145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</row>
    <row r="65" spans="1:96" ht="15.75" thickBot="1" x14ac:dyDescent="0.3">
      <c r="A65" s="42"/>
      <c r="B65" s="43"/>
      <c r="C65" s="44">
        <f>SUBTOTAL(9,C63:C64)</f>
        <v>60297.86</v>
      </c>
      <c r="D65" s="45">
        <f t="shared" ref="D65" si="670">SUBTOTAL(9,D63:D64)</f>
        <v>22475</v>
      </c>
      <c r="E65" s="45">
        <f>SUBTOTAL(9,E63:E64)</f>
        <v>22477</v>
      </c>
      <c r="F65" s="47"/>
      <c r="G65" s="45">
        <f t="shared" ref="G65" si="671">SUBTOTAL(9,G63:G64)</f>
        <v>0</v>
      </c>
      <c r="H65" s="45">
        <f t="shared" ref="H65" si="672">SUBTOTAL(9,H63:H64)</f>
        <v>2</v>
      </c>
      <c r="I65" s="45">
        <f t="shared" ref="I65" si="673">SUBTOTAL(9,I63:I64)</f>
        <v>0</v>
      </c>
      <c r="J65" s="45">
        <f t="shared" ref="J65" si="674">SUBTOTAL(9,J63:J64)</f>
        <v>0</v>
      </c>
      <c r="K65" s="159">
        <f t="shared" ref="K65" si="675">SUBTOTAL(9,K63:K64)</f>
        <v>6606.73</v>
      </c>
      <c r="L65" s="45">
        <f t="shared" ref="L65" si="676">SUBTOTAL(9,L63:L64)</f>
        <v>0</v>
      </c>
      <c r="M65" s="46">
        <f t="shared" ref="M65" si="677">SUBTOTAL(9,M63:M64)</f>
        <v>142.04469499999999</v>
      </c>
      <c r="N65" s="46">
        <f t="shared" ref="N65" si="678">SUBTOTAL(9,N63:N64)</f>
        <v>33.033650000000002</v>
      </c>
      <c r="O65" s="46">
        <f t="shared" ref="O65" si="679">SUBTOTAL(9,O63:O64)</f>
        <v>6431.6516549999997</v>
      </c>
      <c r="P65" s="46">
        <f t="shared" ref="P65" si="680">SUBTOTAL(9,P63:P64)</f>
        <v>0</v>
      </c>
      <c r="Q65" s="47">
        <f t="shared" ref="Q65" si="681">SUBTOTAL(9,Q63:Q64)</f>
        <v>0</v>
      </c>
      <c r="R65" s="45">
        <f t="shared" ref="R65" si="682">SUBTOTAL(9,R63:R64)</f>
        <v>0</v>
      </c>
      <c r="S65" s="45">
        <f t="shared" ref="S65" si="683">SUBTOTAL(9,S63:S64)</f>
        <v>0</v>
      </c>
      <c r="T65" s="46">
        <f t="shared" ref="T65" si="684">SUBTOTAL(9,T63:T64)</f>
        <v>0</v>
      </c>
      <c r="U65" s="46">
        <f t="shared" ref="U65" si="685">SUBTOTAL(9,U63:U64)</f>
        <v>0</v>
      </c>
      <c r="V65" s="46">
        <f t="shared" ref="V65" si="686">SUBTOTAL(9,V63:V64)</f>
        <v>0</v>
      </c>
      <c r="W65" s="46">
        <f t="shared" ref="W65" si="687">SUBTOTAL(9,W63:W64)</f>
        <v>0</v>
      </c>
      <c r="X65" s="47">
        <f t="shared" ref="X65" si="688">SUBTOTAL(9,X63:X64)</f>
        <v>0</v>
      </c>
      <c r="Y65" s="45">
        <f t="shared" ref="Y65" si="689">SUBTOTAL(9,Y63:Y64)</f>
        <v>0</v>
      </c>
      <c r="Z65" s="45">
        <f t="shared" ref="Z65" si="690">SUBTOTAL(9,Z63:Z64)</f>
        <v>217.5</v>
      </c>
      <c r="AA65" s="45">
        <f t="shared" ref="AA65" si="691">SUBTOTAL(9,AA63:AA64)</f>
        <v>0</v>
      </c>
      <c r="AB65" s="45">
        <f t="shared" ref="AB65" si="692">SUBTOTAL(9,AB63:AB64)</f>
        <v>0</v>
      </c>
      <c r="AC65" s="45">
        <f t="shared" ref="AC65" si="693">SUBTOTAL(9,AC63:AC64)</f>
        <v>265.63</v>
      </c>
      <c r="AD65" s="48"/>
      <c r="AE65" s="48"/>
      <c r="AF65" s="45">
        <f t="shared" ref="AF65" si="694">SUBTOTAL(9,AF63:AF64)</f>
        <v>4419.0999999999995</v>
      </c>
      <c r="AG65" s="44">
        <f t="shared" ref="AG65" si="695">SUBTOTAL(9,AG63:AG64)</f>
        <v>3004.9879999999998</v>
      </c>
      <c r="AH65" s="44">
        <f t="shared" ref="AH65" si="696">SUBTOTAL(9,AH63:AH64)</f>
        <v>530.29200000000003</v>
      </c>
      <c r="AI65" s="44">
        <f t="shared" ref="AI65" si="697">SUBTOTAL(9,AI63:AI64)</f>
        <v>883.81999999999994</v>
      </c>
      <c r="AJ65" s="45">
        <f t="shared" ref="AJ65" si="698">SUBTOTAL(9,AJ63:AJ64)</f>
        <v>0</v>
      </c>
      <c r="AK65" s="44">
        <f t="shared" ref="AK65" si="699">SUBTOTAL(9,AK63:AK64)</f>
        <v>49891.75</v>
      </c>
      <c r="AL65" s="44">
        <f t="shared" ref="AL65" si="700">SUBTOTAL(9,AL63:AL64)</f>
        <v>49408.62</v>
      </c>
      <c r="AM65" s="44">
        <f t="shared" ref="AM65" si="701">SUBTOTAL(9,AM63:AM64)</f>
        <v>5929.0344000000005</v>
      </c>
      <c r="AN65" s="44">
        <f t="shared" ref="AN65" si="702">SUBTOTAL(9,AN63:AN64)</f>
        <v>55337.654400000007</v>
      </c>
      <c r="AO65" s="49">
        <f t="shared" ref="R65:BP65" si="703">SUBTOTAL(9,AO63:AO64)</f>
        <v>40</v>
      </c>
      <c r="AP65" s="49">
        <f t="shared" si="703"/>
        <v>0</v>
      </c>
      <c r="AQ65" s="49">
        <f t="shared" si="703"/>
        <v>0</v>
      </c>
      <c r="AR65" s="49">
        <f t="shared" si="703"/>
        <v>0</v>
      </c>
      <c r="AS65" s="49">
        <f t="shared" si="703"/>
        <v>0</v>
      </c>
      <c r="AT65" s="49">
        <f t="shared" si="703"/>
        <v>0</v>
      </c>
      <c r="AU65" s="49">
        <f>SUBTOTAL(9,AU63:AU64)</f>
        <v>0</v>
      </c>
      <c r="AV65" s="49">
        <f t="shared" si="703"/>
        <v>0</v>
      </c>
      <c r="AW65" s="49">
        <f t="shared" si="703"/>
        <v>0</v>
      </c>
      <c r="AX65" s="49">
        <f t="shared" si="703"/>
        <v>0</v>
      </c>
      <c r="AY65" s="49">
        <f t="shared" si="703"/>
        <v>0</v>
      </c>
      <c r="AZ65" s="44">
        <f t="shared" si="703"/>
        <v>40</v>
      </c>
      <c r="BA65" s="48">
        <f t="shared" si="703"/>
        <v>0</v>
      </c>
      <c r="BB65" s="48">
        <f t="shared" si="703"/>
        <v>0</v>
      </c>
      <c r="BC65" s="44">
        <f t="shared" si="703"/>
        <v>0</v>
      </c>
      <c r="BD65" s="44">
        <f t="shared" si="703"/>
        <v>0</v>
      </c>
      <c r="BE65" s="49">
        <f>SUBTOTAL(9,BE63:BE64)</f>
        <v>0</v>
      </c>
      <c r="BF65" s="49">
        <f t="shared" si="703"/>
        <v>0</v>
      </c>
      <c r="BG65" s="49" t="s">
        <v>1</v>
      </c>
      <c r="BH65" s="49">
        <f t="shared" si="703"/>
        <v>215</v>
      </c>
      <c r="BI65" s="49">
        <f t="shared" si="703"/>
        <v>0</v>
      </c>
      <c r="BJ65" s="49">
        <f t="shared" si="703"/>
        <v>0</v>
      </c>
      <c r="BK65" s="49">
        <f t="shared" si="703"/>
        <v>0</v>
      </c>
      <c r="BL65" s="49">
        <f t="shared" si="703"/>
        <v>0</v>
      </c>
      <c r="BM65" s="49">
        <f t="shared" si="703"/>
        <v>0</v>
      </c>
      <c r="BN65" s="49">
        <f t="shared" si="703"/>
        <v>0</v>
      </c>
      <c r="BO65" s="49">
        <f t="shared" si="703"/>
        <v>0</v>
      </c>
      <c r="BP65" s="49">
        <f t="shared" si="703"/>
        <v>0</v>
      </c>
      <c r="BQ65" s="44">
        <f>SUBTOTAL(9,BQ63:BQ64)</f>
        <v>40</v>
      </c>
    </row>
    <row r="66" spans="1:96" x14ac:dyDescent="0.25">
      <c r="A66" s="190">
        <f>A63+1</f>
        <v>43544</v>
      </c>
      <c r="B66" s="16" t="s">
        <v>43</v>
      </c>
      <c r="C66" s="33">
        <v>65282.48</v>
      </c>
      <c r="D66" s="34">
        <v>7377.18</v>
      </c>
      <c r="E66" s="34">
        <v>7378</v>
      </c>
      <c r="F66" s="35">
        <v>43544</v>
      </c>
      <c r="G66" s="33">
        <f>IF(E66-D66&lt;0,E66-D66,0)*-1</f>
        <v>0</v>
      </c>
      <c r="H66" s="33">
        <f>IF(E66-D66&gt;0,E66-D66,0)</f>
        <v>0.81999999999970896</v>
      </c>
      <c r="I66" s="34"/>
      <c r="J66" s="34"/>
      <c r="K66" s="34">
        <v>8630.24</v>
      </c>
      <c r="L66" s="34"/>
      <c r="M66" s="36">
        <f>(+K66)*M$5</f>
        <v>185.55015999999998</v>
      </c>
      <c r="N66" s="36">
        <f>(+K66)*N$5</f>
        <v>43.151200000000003</v>
      </c>
      <c r="O66" s="36">
        <f>+K66-M66-N66+P66</f>
        <v>8401.5386399999988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47.75</v>
      </c>
      <c r="AA66" s="34"/>
      <c r="AB66" s="34"/>
      <c r="AC66" s="34">
        <v>587.30999999999995</v>
      </c>
      <c r="AD66" s="38" t="s">
        <v>140</v>
      </c>
      <c r="AE66" s="38">
        <v>48640</v>
      </c>
      <c r="AF66" s="34">
        <v>5249.17</v>
      </c>
      <c r="AG66" s="33">
        <f>(AF66*0.8)*0.85</f>
        <v>3569.4356000000002</v>
      </c>
      <c r="AH66" s="33">
        <f>(AF66*0.8)*0.15</f>
        <v>629.90039999999999</v>
      </c>
      <c r="AI66" s="33">
        <f>AF66*0.2</f>
        <v>1049.8340000000001</v>
      </c>
      <c r="AJ66" s="34"/>
      <c r="AK66" s="33">
        <f>(C66-AF66-AJ66)/1.12</f>
        <v>53601.169642857145</v>
      </c>
      <c r="AL66" s="33">
        <f>AK66-SUM(Y66:AC66)</f>
        <v>52966.109642857147</v>
      </c>
      <c r="AM66" s="33">
        <f>+AL66*0.12</f>
        <v>6355.9331571428575</v>
      </c>
      <c r="AN66" s="33">
        <f t="shared" ref="AN66:AN67" si="704">+AM66+AL66+AJ66</f>
        <v>59322.042800000003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41">
        <f>AZ66+BA66+BB66+BD66-BC66</f>
        <v>0</v>
      </c>
      <c r="BS66" s="145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</row>
    <row r="67" spans="1:96" ht="15.75" thickBot="1" x14ac:dyDescent="0.3">
      <c r="A67" s="191"/>
      <c r="B67" s="16" t="s">
        <v>44</v>
      </c>
      <c r="C67" s="33">
        <v>11322.35</v>
      </c>
      <c r="D67" s="34">
        <v>5271.76</v>
      </c>
      <c r="E67" s="34">
        <v>5271</v>
      </c>
      <c r="F67" s="35">
        <v>43545</v>
      </c>
      <c r="G67" s="33">
        <f>IF(E67-D67&lt;0,E67-D67,0)*-1</f>
        <v>0.76000000000021828</v>
      </c>
      <c r="H67" s="33">
        <f>IF(E67-D67&gt;0,E67-D67,0)</f>
        <v>0</v>
      </c>
      <c r="I67" s="34"/>
      <c r="J67" s="34"/>
      <c r="K67" s="34">
        <v>2385.2399999999998</v>
      </c>
      <c r="L67" s="34"/>
      <c r="M67" s="36">
        <f>(+K67)*M$5</f>
        <v>51.282659999999993</v>
      </c>
      <c r="N67" s="36">
        <f>(+K67)*N$5</f>
        <v>11.9262</v>
      </c>
      <c r="O67" s="36">
        <f>+K67-M67-N67+P67</f>
        <v>2322.0311400000001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>
        <v>33</v>
      </c>
      <c r="AB67" s="34"/>
      <c r="AC67" s="34">
        <v>202.38</v>
      </c>
      <c r="AD67" s="38" t="s">
        <v>141</v>
      </c>
      <c r="AE67" s="38">
        <v>3430</v>
      </c>
      <c r="AF67" s="34">
        <v>468.78</v>
      </c>
      <c r="AG67" s="33">
        <f>(AF67*0.8)*0.85</f>
        <v>318.7704</v>
      </c>
      <c r="AH67" s="33">
        <f>(AF67*0.8)*0.15</f>
        <v>56.253599999999999</v>
      </c>
      <c r="AI67" s="33">
        <f>AF67*0.2</f>
        <v>93.756</v>
      </c>
      <c r="AJ67" s="34"/>
      <c r="AK67" s="33">
        <f>(C67-AF67-AJ67)/1.12</f>
        <v>9690.6874999999982</v>
      </c>
      <c r="AL67" s="33">
        <f>AK67-SUM(Y67:AC67)</f>
        <v>9455.307499999999</v>
      </c>
      <c r="AM67" s="33">
        <f>+AL67*0.12</f>
        <v>1134.6368999999997</v>
      </c>
      <c r="AN67" s="33">
        <f t="shared" si="704"/>
        <v>10589.944399999998</v>
      </c>
      <c r="AO67" s="39"/>
      <c r="AP67" s="40">
        <v>135</v>
      </c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135</v>
      </c>
      <c r="BA67" s="38">
        <v>185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5"/>
      <c r="BN67" s="39"/>
      <c r="BO67" s="39"/>
      <c r="BP67" s="39"/>
      <c r="BQ67" s="41">
        <f>AZ67+BA67+BB67+BD67-BC67</f>
        <v>320</v>
      </c>
      <c r="BS67" s="145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</row>
    <row r="68" spans="1:96" ht="15.75" thickBot="1" x14ac:dyDescent="0.3">
      <c r="A68" s="42"/>
      <c r="B68" s="43"/>
      <c r="C68" s="44">
        <f>SUBTOTAL(9,C66:C67)</f>
        <v>76604.83</v>
      </c>
      <c r="D68" s="45">
        <f t="shared" ref="D68" si="705">SUBTOTAL(9,D66:D67)</f>
        <v>12648.94</v>
      </c>
      <c r="E68" s="45">
        <f>SUBTOTAL(9,E66:E67)</f>
        <v>12649</v>
      </c>
      <c r="F68" s="47"/>
      <c r="G68" s="45">
        <f t="shared" ref="G68" si="706">SUBTOTAL(9,G66:G67)</f>
        <v>0.76000000000021828</v>
      </c>
      <c r="H68" s="45">
        <f t="shared" ref="H68" si="707">SUBTOTAL(9,H66:H67)</f>
        <v>0.81999999999970896</v>
      </c>
      <c r="I68" s="45">
        <f t="shared" ref="I68" si="708">SUBTOTAL(9,I66:I67)</f>
        <v>0</v>
      </c>
      <c r="J68" s="45">
        <f t="shared" ref="J68" si="709">SUBTOTAL(9,J66:J67)</f>
        <v>0</v>
      </c>
      <c r="K68" s="159">
        <f t="shared" ref="K68" si="710">SUBTOTAL(9,K66:K67)</f>
        <v>11015.48</v>
      </c>
      <c r="L68" s="45">
        <f t="shared" ref="L68" si="711">SUBTOTAL(9,L66:L67)</f>
        <v>0</v>
      </c>
      <c r="M68" s="46">
        <f t="shared" ref="M68" si="712">SUBTOTAL(9,M66:M67)</f>
        <v>236.83281999999997</v>
      </c>
      <c r="N68" s="46">
        <f t="shared" ref="N68" si="713">SUBTOTAL(9,N66:N67)</f>
        <v>55.077400000000004</v>
      </c>
      <c r="O68" s="46">
        <f t="shared" ref="O68" si="714">SUBTOTAL(9,O66:O67)</f>
        <v>10723.569779999998</v>
      </c>
      <c r="P68" s="46">
        <f t="shared" ref="P68" si="715">SUBTOTAL(9,P66:P67)</f>
        <v>0</v>
      </c>
      <c r="Q68" s="47">
        <f t="shared" ref="Q68" si="716">SUBTOTAL(9,Q66:Q67)</f>
        <v>0</v>
      </c>
      <c r="R68" s="45">
        <f t="shared" ref="R68" si="717">SUBTOTAL(9,R66:R67)</f>
        <v>0</v>
      </c>
      <c r="S68" s="45">
        <f t="shared" ref="S68" si="718">SUBTOTAL(9,S66:S67)</f>
        <v>0</v>
      </c>
      <c r="T68" s="46">
        <f t="shared" ref="T68" si="719">SUBTOTAL(9,T66:T67)</f>
        <v>0</v>
      </c>
      <c r="U68" s="46">
        <f t="shared" ref="U68" si="720">SUBTOTAL(9,U66:U67)</f>
        <v>0</v>
      </c>
      <c r="V68" s="46">
        <f t="shared" ref="V68" si="721">SUBTOTAL(9,V66:V67)</f>
        <v>0</v>
      </c>
      <c r="W68" s="46">
        <f t="shared" ref="W68" si="722">SUBTOTAL(9,W66:W67)</f>
        <v>0</v>
      </c>
      <c r="X68" s="47">
        <f t="shared" ref="X68" si="723">SUBTOTAL(9,X66:X67)</f>
        <v>0</v>
      </c>
      <c r="Y68" s="45">
        <f t="shared" ref="Y68" si="724">SUBTOTAL(9,Y66:Y67)</f>
        <v>0</v>
      </c>
      <c r="Z68" s="45">
        <f t="shared" ref="Z68" si="725">SUBTOTAL(9,Z66:Z67)</f>
        <v>47.75</v>
      </c>
      <c r="AA68" s="45">
        <f t="shared" ref="AA68" si="726">SUBTOTAL(9,AA66:AA67)</f>
        <v>33</v>
      </c>
      <c r="AB68" s="45">
        <f t="shared" ref="AB68" si="727">SUBTOTAL(9,AB66:AB67)</f>
        <v>0</v>
      </c>
      <c r="AC68" s="45">
        <f t="shared" ref="AC68" si="728">SUBTOTAL(9,AC66:AC67)</f>
        <v>789.68999999999994</v>
      </c>
      <c r="AD68" s="48"/>
      <c r="AE68" s="48"/>
      <c r="AF68" s="45">
        <f t="shared" ref="AF68" si="729">SUBTOTAL(9,AF66:AF67)</f>
        <v>5717.95</v>
      </c>
      <c r="AG68" s="44">
        <f t="shared" ref="AG68" si="730">SUBTOTAL(9,AG66:AG67)</f>
        <v>3888.2060000000001</v>
      </c>
      <c r="AH68" s="44">
        <f t="shared" ref="AH68" si="731">SUBTOTAL(9,AH66:AH67)</f>
        <v>686.154</v>
      </c>
      <c r="AI68" s="44">
        <f t="shared" ref="AI68" si="732">SUBTOTAL(9,AI66:AI67)</f>
        <v>1143.5900000000001</v>
      </c>
      <c r="AJ68" s="45">
        <f t="shared" ref="AJ68" si="733">SUBTOTAL(9,AJ66:AJ67)</f>
        <v>0</v>
      </c>
      <c r="AK68" s="44">
        <f t="shared" ref="AK68" si="734">SUBTOTAL(9,AK66:AK67)</f>
        <v>63291.857142857145</v>
      </c>
      <c r="AL68" s="44">
        <f t="shared" ref="AL68" si="735">SUBTOTAL(9,AL66:AL67)</f>
        <v>62421.417142857143</v>
      </c>
      <c r="AM68" s="44">
        <f t="shared" ref="AM68" si="736">SUBTOTAL(9,AM66:AM67)</f>
        <v>7490.570057142857</v>
      </c>
      <c r="AN68" s="44">
        <f t="shared" ref="AN68" si="737">SUBTOTAL(9,AN66:AN67)</f>
        <v>69911.987200000003</v>
      </c>
      <c r="AO68" s="49">
        <f t="shared" ref="R68:BP68" si="738">SUBTOTAL(9,AO66:AO67)</f>
        <v>0</v>
      </c>
      <c r="AP68" s="49">
        <f t="shared" si="738"/>
        <v>135</v>
      </c>
      <c r="AQ68" s="49">
        <f t="shared" si="738"/>
        <v>0</v>
      </c>
      <c r="AR68" s="49">
        <f t="shared" si="738"/>
        <v>0</v>
      </c>
      <c r="AS68" s="49">
        <f t="shared" si="738"/>
        <v>0</v>
      </c>
      <c r="AT68" s="49">
        <f t="shared" si="738"/>
        <v>0</v>
      </c>
      <c r="AU68" s="49">
        <f>SUBTOTAL(9,AU66:AU67)</f>
        <v>0</v>
      </c>
      <c r="AV68" s="49">
        <f t="shared" si="738"/>
        <v>0</v>
      </c>
      <c r="AW68" s="49">
        <f t="shared" si="738"/>
        <v>0</v>
      </c>
      <c r="AX68" s="49">
        <f t="shared" si="738"/>
        <v>0</v>
      </c>
      <c r="AY68" s="49">
        <f t="shared" si="738"/>
        <v>0</v>
      </c>
      <c r="AZ68" s="44">
        <f t="shared" si="738"/>
        <v>135</v>
      </c>
      <c r="BA68" s="48">
        <f t="shared" si="738"/>
        <v>185</v>
      </c>
      <c r="BB68" s="48">
        <f t="shared" si="738"/>
        <v>0</v>
      </c>
      <c r="BC68" s="44">
        <f t="shared" si="738"/>
        <v>0</v>
      </c>
      <c r="BD68" s="44">
        <f t="shared" si="738"/>
        <v>0</v>
      </c>
      <c r="BE68" s="49">
        <f>SUBTOTAL(9,BE66:BE67)</f>
        <v>0</v>
      </c>
      <c r="BF68" s="49">
        <f t="shared" si="738"/>
        <v>0</v>
      </c>
      <c r="BG68" s="49">
        <f t="shared" si="738"/>
        <v>0</v>
      </c>
      <c r="BH68" s="49">
        <f t="shared" si="738"/>
        <v>0</v>
      </c>
      <c r="BI68" s="49">
        <f t="shared" si="738"/>
        <v>0</v>
      </c>
      <c r="BJ68" s="49">
        <f t="shared" si="738"/>
        <v>0</v>
      </c>
      <c r="BK68" s="49">
        <f t="shared" si="738"/>
        <v>0</v>
      </c>
      <c r="BL68" s="49">
        <f t="shared" si="738"/>
        <v>0</v>
      </c>
      <c r="BM68" s="49">
        <f t="shared" si="738"/>
        <v>0</v>
      </c>
      <c r="BN68" s="49">
        <f t="shared" si="738"/>
        <v>0</v>
      </c>
      <c r="BO68" s="49">
        <f t="shared" si="738"/>
        <v>0</v>
      </c>
      <c r="BP68" s="49">
        <f t="shared" si="738"/>
        <v>0</v>
      </c>
      <c r="BQ68" s="44">
        <f>SUBTOTAL(9,BQ66:BQ67)</f>
        <v>320</v>
      </c>
    </row>
    <row r="69" spans="1:96" x14ac:dyDescent="0.25">
      <c r="A69" s="190">
        <f>+A66+1</f>
        <v>43545</v>
      </c>
      <c r="B69" s="16" t="s">
        <v>43</v>
      </c>
      <c r="C69" s="33">
        <v>50821.18</v>
      </c>
      <c r="D69" s="34">
        <v>15800.26</v>
      </c>
      <c r="E69" s="34">
        <v>15803</v>
      </c>
      <c r="F69" s="35">
        <v>43545</v>
      </c>
      <c r="G69" s="33">
        <f>IF(E69-D69&lt;0,E69-D69,0)*-1</f>
        <v>0</v>
      </c>
      <c r="H69" s="33">
        <f>IF(E69-D69&gt;0,E69-D69,0)</f>
        <v>2.7399999999997817</v>
      </c>
      <c r="I69" s="34"/>
      <c r="J69" s="34"/>
      <c r="K69" s="34">
        <v>6622.86</v>
      </c>
      <c r="L69" s="34"/>
      <c r="M69" s="36">
        <f>(+K69)*M$5</f>
        <v>142.39148999999998</v>
      </c>
      <c r="N69" s="36">
        <f>(+K69)*N$5</f>
        <v>33.1143</v>
      </c>
      <c r="O69" s="36">
        <f>+K69-M69-N69+P69</f>
        <v>6447.3542099999995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28.75</v>
      </c>
      <c r="AA69" s="34"/>
      <c r="AB69" s="34"/>
      <c r="AC69" s="34">
        <v>55.06</v>
      </c>
      <c r="AD69" s="38" t="s">
        <v>140</v>
      </c>
      <c r="AE69" s="38">
        <v>28314.25</v>
      </c>
      <c r="AF69" s="34">
        <v>3721.84</v>
      </c>
      <c r="AG69" s="33">
        <f>(AF69*0.8)*0.85</f>
        <v>2530.8512000000001</v>
      </c>
      <c r="AH69" s="33">
        <f>(AF69*0.8)*0.15</f>
        <v>446.62080000000003</v>
      </c>
      <c r="AI69" s="33">
        <f>AF69*0.2</f>
        <v>744.36800000000005</v>
      </c>
      <c r="AJ69" s="34"/>
      <c r="AK69" s="33">
        <f>(C69-AF69-AJ69)/1.12</f>
        <v>42052.982142857138</v>
      </c>
      <c r="AL69" s="33">
        <f>AK69-SUM(Y69:AC69)</f>
        <v>41969.17214285714</v>
      </c>
      <c r="AM69" s="33">
        <f>+AL69*0.12</f>
        <v>5036.3006571428568</v>
      </c>
      <c r="AN69" s="33">
        <f t="shared" ref="AN69:AN70" si="739">+AM69+AL69+AJ69</f>
        <v>47005.472799999996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41">
        <f>AZ69+BA69+BB69+BD69-BC69</f>
        <v>0</v>
      </c>
      <c r="BS69" s="145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</row>
    <row r="70" spans="1:96" ht="15.75" thickBot="1" x14ac:dyDescent="0.3">
      <c r="A70" s="191"/>
      <c r="B70" s="16" t="s">
        <v>44</v>
      </c>
      <c r="C70" s="33">
        <v>21423.01</v>
      </c>
      <c r="D70" s="34">
        <v>12641.35</v>
      </c>
      <c r="E70" s="34">
        <v>12647</v>
      </c>
      <c r="F70" s="35">
        <v>43546</v>
      </c>
      <c r="G70" s="33">
        <f>IF(E70-D70&lt;0,E70-D70,0)*-1</f>
        <v>0</v>
      </c>
      <c r="H70" s="33">
        <f>IF(E70-D70&gt;0,E70-D70,0)</f>
        <v>5.6499999999996362</v>
      </c>
      <c r="I70" s="34"/>
      <c r="J70" s="34"/>
      <c r="K70" s="34">
        <v>6169.99</v>
      </c>
      <c r="L70" s="34"/>
      <c r="M70" s="36">
        <f>(+K70)*M$5</f>
        <v>132.65478499999998</v>
      </c>
      <c r="N70" s="36">
        <f>(+K70)*N$5</f>
        <v>30.84995</v>
      </c>
      <c r="O70" s="36">
        <f>+K70-M70-N70+P70</f>
        <v>6006.4852650000003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180.5</v>
      </c>
      <c r="AA70" s="34"/>
      <c r="AB70" s="34"/>
      <c r="AC70" s="34">
        <v>115.18</v>
      </c>
      <c r="AD70" s="38" t="s">
        <v>141</v>
      </c>
      <c r="AE70" s="38">
        <v>2316</v>
      </c>
      <c r="AF70" s="34">
        <v>1441.12</v>
      </c>
      <c r="AG70" s="33">
        <f>(AF70*0.8)*0.85</f>
        <v>979.96159999999998</v>
      </c>
      <c r="AH70" s="33">
        <f>(AF70*0.8)*0.15</f>
        <v>172.93439999999998</v>
      </c>
      <c r="AI70" s="33">
        <f>AF70*0.2</f>
        <v>288.22399999999999</v>
      </c>
      <c r="AJ70" s="34"/>
      <c r="AK70" s="33">
        <f>(C70-AF70-AJ70)/1.12</f>
        <v>17840.973214285714</v>
      </c>
      <c r="AL70" s="33">
        <f>AK70-SUM(Y70:AC70)</f>
        <v>17545.293214285713</v>
      </c>
      <c r="AM70" s="33">
        <f>+AL70*0.12</f>
        <v>2105.4351857142856</v>
      </c>
      <c r="AN70" s="33">
        <f t="shared" si="739"/>
        <v>19650.7284</v>
      </c>
      <c r="AO70" s="39">
        <v>215</v>
      </c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215</v>
      </c>
      <c r="BA70" s="38">
        <v>1950</v>
      </c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41">
        <f>AZ70+BA70+BB70+BD70-BC70</f>
        <v>2165</v>
      </c>
      <c r="BS70" s="145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</row>
    <row r="71" spans="1:96" ht="15.75" thickBot="1" x14ac:dyDescent="0.3">
      <c r="A71" s="42"/>
      <c r="B71" s="43"/>
      <c r="C71" s="44">
        <f>SUBTOTAL(9,C69:C70)</f>
        <v>72244.19</v>
      </c>
      <c r="D71" s="45">
        <f t="shared" ref="D71" si="740">SUBTOTAL(9,D69:D70)</f>
        <v>28441.61</v>
      </c>
      <c r="E71" s="45">
        <f>SUBTOTAL(9,E69:E70)</f>
        <v>28450</v>
      </c>
      <c r="F71" s="47"/>
      <c r="G71" s="45">
        <f t="shared" ref="G71" si="741">SUBTOTAL(9,G69:G70)</f>
        <v>0</v>
      </c>
      <c r="H71" s="45">
        <f t="shared" ref="H71" si="742">SUBTOTAL(9,H69:H70)</f>
        <v>8.3899999999994179</v>
      </c>
      <c r="I71" s="45">
        <f t="shared" ref="I71" si="743">SUBTOTAL(9,I69:I70)</f>
        <v>0</v>
      </c>
      <c r="J71" s="45">
        <f t="shared" ref="J71" si="744">SUBTOTAL(9,J69:J70)</f>
        <v>0</v>
      </c>
      <c r="K71" s="159">
        <f t="shared" ref="K71" si="745">SUBTOTAL(9,K69:K70)</f>
        <v>12792.849999999999</v>
      </c>
      <c r="L71" s="45">
        <f t="shared" ref="L71" si="746">SUBTOTAL(9,L69:L70)</f>
        <v>0</v>
      </c>
      <c r="M71" s="46">
        <f t="shared" ref="M71" si="747">SUBTOTAL(9,M69:M70)</f>
        <v>275.04627499999992</v>
      </c>
      <c r="N71" s="46">
        <f t="shared" ref="N71" si="748">SUBTOTAL(9,N69:N70)</f>
        <v>63.96425</v>
      </c>
      <c r="O71" s="46">
        <f t="shared" ref="O71" si="749">SUBTOTAL(9,O69:O70)</f>
        <v>12453.839475000001</v>
      </c>
      <c r="P71" s="46">
        <f t="shared" ref="P71" si="750">SUBTOTAL(9,P69:P70)</f>
        <v>0</v>
      </c>
      <c r="Q71" s="47">
        <f t="shared" ref="Q71" si="751">SUBTOTAL(9,Q69:Q70)</f>
        <v>0</v>
      </c>
      <c r="R71" s="45">
        <f t="shared" ref="R71" si="752">SUBTOTAL(9,R69:R70)</f>
        <v>0</v>
      </c>
      <c r="S71" s="45">
        <f t="shared" ref="S71" si="753">SUBTOTAL(9,S69:S70)</f>
        <v>0</v>
      </c>
      <c r="T71" s="46">
        <f t="shared" ref="T71" si="754">SUBTOTAL(9,T69:T70)</f>
        <v>0</v>
      </c>
      <c r="U71" s="46">
        <f t="shared" ref="U71" si="755">SUBTOTAL(9,U69:U70)</f>
        <v>0</v>
      </c>
      <c r="V71" s="46">
        <f t="shared" ref="V71" si="756">SUBTOTAL(9,V69:V70)</f>
        <v>0</v>
      </c>
      <c r="W71" s="46">
        <f t="shared" ref="W71" si="757">SUBTOTAL(9,W69:W70)</f>
        <v>0</v>
      </c>
      <c r="X71" s="47">
        <f t="shared" ref="X71" si="758">SUBTOTAL(9,X69:X70)</f>
        <v>0</v>
      </c>
      <c r="Y71" s="45">
        <f t="shared" ref="Y71" si="759">SUBTOTAL(9,Y69:Y70)</f>
        <v>0</v>
      </c>
      <c r="Z71" s="45">
        <f t="shared" ref="Z71" si="760">SUBTOTAL(9,Z69:Z70)</f>
        <v>209.25</v>
      </c>
      <c r="AA71" s="45">
        <f t="shared" ref="AA71" si="761">SUBTOTAL(9,AA69:AA70)</f>
        <v>0</v>
      </c>
      <c r="AB71" s="45">
        <f t="shared" ref="AB71" si="762">SUBTOTAL(9,AB69:AB70)</f>
        <v>0</v>
      </c>
      <c r="AC71" s="45">
        <f t="shared" ref="AC71" si="763">SUBTOTAL(9,AC69:AC70)</f>
        <v>170.24</v>
      </c>
      <c r="AD71" s="48"/>
      <c r="AE71" s="48"/>
      <c r="AF71" s="45">
        <f t="shared" ref="AF71" si="764">SUBTOTAL(9,AF69:AF70)</f>
        <v>5162.96</v>
      </c>
      <c r="AG71" s="44">
        <f t="shared" ref="AG71" si="765">SUBTOTAL(9,AG69:AG70)</f>
        <v>3510.8128000000002</v>
      </c>
      <c r="AH71" s="44">
        <f t="shared" ref="AH71" si="766">SUBTOTAL(9,AH69:AH70)</f>
        <v>619.55520000000001</v>
      </c>
      <c r="AI71" s="44">
        <f t="shared" ref="AI71" si="767">SUBTOTAL(9,AI69:AI70)</f>
        <v>1032.5920000000001</v>
      </c>
      <c r="AJ71" s="45">
        <f t="shared" ref="AJ71" si="768">SUBTOTAL(9,AJ69:AJ70)</f>
        <v>0</v>
      </c>
      <c r="AK71" s="44">
        <f t="shared" ref="AK71" si="769">SUBTOTAL(9,AK69:AK70)</f>
        <v>59893.955357142855</v>
      </c>
      <c r="AL71" s="44">
        <f t="shared" ref="AL71" si="770">SUBTOTAL(9,AL69:AL70)</f>
        <v>59514.46535714285</v>
      </c>
      <c r="AM71" s="44">
        <f t="shared" ref="AM71" si="771">SUBTOTAL(9,AM69:AM70)</f>
        <v>7141.7358428571424</v>
      </c>
      <c r="AN71" s="44">
        <f t="shared" ref="AN71" si="772">SUBTOTAL(9,AN69:AN70)</f>
        <v>66656.201199999996</v>
      </c>
      <c r="AO71" s="49">
        <f t="shared" ref="R71:BP71" si="773">SUBTOTAL(9,AO69:AO70)</f>
        <v>215</v>
      </c>
      <c r="AP71" s="49">
        <f t="shared" si="773"/>
        <v>0</v>
      </c>
      <c r="AQ71" s="49">
        <f t="shared" si="773"/>
        <v>0</v>
      </c>
      <c r="AR71" s="49">
        <f t="shared" si="773"/>
        <v>0</v>
      </c>
      <c r="AS71" s="49">
        <f t="shared" si="773"/>
        <v>0</v>
      </c>
      <c r="AT71" s="49">
        <f t="shared" si="773"/>
        <v>0</v>
      </c>
      <c r="AU71" s="49">
        <f>SUBTOTAL(9,AU69:AU70)</f>
        <v>0</v>
      </c>
      <c r="AV71" s="49">
        <f t="shared" si="773"/>
        <v>0</v>
      </c>
      <c r="AW71" s="49">
        <f t="shared" si="773"/>
        <v>0</v>
      </c>
      <c r="AX71" s="49">
        <f t="shared" si="773"/>
        <v>0</v>
      </c>
      <c r="AY71" s="49">
        <f t="shared" si="773"/>
        <v>0</v>
      </c>
      <c r="AZ71" s="44">
        <f t="shared" si="773"/>
        <v>215</v>
      </c>
      <c r="BA71" s="48">
        <f t="shared" si="773"/>
        <v>1950</v>
      </c>
      <c r="BB71" s="48">
        <f t="shared" si="773"/>
        <v>0</v>
      </c>
      <c r="BC71" s="44">
        <f t="shared" si="773"/>
        <v>0</v>
      </c>
      <c r="BD71" s="44">
        <f t="shared" si="773"/>
        <v>0</v>
      </c>
      <c r="BE71" s="49">
        <f>SUBTOTAL(9,BE69:BE70)</f>
        <v>0</v>
      </c>
      <c r="BF71" s="49">
        <f t="shared" si="773"/>
        <v>0</v>
      </c>
      <c r="BG71" s="49">
        <f t="shared" si="773"/>
        <v>0</v>
      </c>
      <c r="BH71" s="49">
        <f t="shared" si="773"/>
        <v>0</v>
      </c>
      <c r="BI71" s="49">
        <f t="shared" si="773"/>
        <v>0</v>
      </c>
      <c r="BJ71" s="49">
        <f t="shared" si="773"/>
        <v>0</v>
      </c>
      <c r="BK71" s="49">
        <f t="shared" si="773"/>
        <v>0</v>
      </c>
      <c r="BL71" s="49">
        <f t="shared" si="773"/>
        <v>0</v>
      </c>
      <c r="BM71" s="49">
        <f t="shared" si="773"/>
        <v>0</v>
      </c>
      <c r="BN71" s="49">
        <f t="shared" si="773"/>
        <v>0</v>
      </c>
      <c r="BO71" s="49">
        <f t="shared" si="773"/>
        <v>0</v>
      </c>
      <c r="BP71" s="49">
        <f t="shared" si="773"/>
        <v>0</v>
      </c>
      <c r="BQ71" s="44">
        <f>SUBTOTAL(9,BQ69:BQ70)</f>
        <v>2165</v>
      </c>
    </row>
    <row r="72" spans="1:96" x14ac:dyDescent="0.25">
      <c r="A72" s="190">
        <f>+A69+1</f>
        <v>43546</v>
      </c>
      <c r="B72" s="16" t="s">
        <v>43</v>
      </c>
      <c r="C72" s="33">
        <v>37112.769999999997</v>
      </c>
      <c r="D72" s="34">
        <v>23495.47</v>
      </c>
      <c r="E72" s="34">
        <v>23500</v>
      </c>
      <c r="F72" s="35">
        <v>43546</v>
      </c>
      <c r="G72" s="33">
        <f>IF(E72-D72&lt;0,E72-D72,0)*-1</f>
        <v>0</v>
      </c>
      <c r="H72" s="33">
        <f>IF(E72-D72&gt;0,E72-D72,0)</f>
        <v>4.5299999999988358</v>
      </c>
      <c r="I72" s="34"/>
      <c r="J72" s="34"/>
      <c r="K72" s="34">
        <v>8426.82</v>
      </c>
      <c r="L72" s="34"/>
      <c r="M72" s="36">
        <f>(+K72)*M$5</f>
        <v>181.17662999999999</v>
      </c>
      <c r="N72" s="36">
        <f>(+K72)*N$5</f>
        <v>42.134099999999997</v>
      </c>
      <c r="O72" s="36">
        <f>+K72-M72-N72+P72</f>
        <v>8203.5092700000005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f>102.5+647.5</f>
        <v>750</v>
      </c>
      <c r="AA72" s="34"/>
      <c r="AB72" s="34"/>
      <c r="AC72" s="34">
        <v>447.48</v>
      </c>
      <c r="AD72" s="38" t="s">
        <v>141</v>
      </c>
      <c r="AE72" s="38">
        <v>3993</v>
      </c>
      <c r="AF72" s="34">
        <v>2530.25</v>
      </c>
      <c r="AG72" s="33">
        <f>(AF72*0.8)*0.85</f>
        <v>1720.57</v>
      </c>
      <c r="AH72" s="33">
        <f>(AF72*0.8)*0.15</f>
        <v>303.63</v>
      </c>
      <c r="AI72" s="33">
        <f>AF72*0.2</f>
        <v>506.05</v>
      </c>
      <c r="AJ72" s="34"/>
      <c r="AK72" s="33">
        <f t="shared" ref="AK72" si="774">(C72-AF72-AJ72)/1.12</f>
        <v>30877.249999999993</v>
      </c>
      <c r="AL72" s="33">
        <f t="shared" ref="AL72" si="775">AK72-SUM(Y72:AC72)</f>
        <v>29679.769999999993</v>
      </c>
      <c r="AM72" s="33">
        <f t="shared" ref="AM72" si="776">+AL72*0.12</f>
        <v>3561.5723999999991</v>
      </c>
      <c r="AN72" s="33">
        <f t="shared" si="463"/>
        <v>33241.342399999994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41">
        <f>AZ72+BA72+BB72+BD72-BC72</f>
        <v>0</v>
      </c>
      <c r="BS72" s="145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</row>
    <row r="73" spans="1:96" ht="15.75" thickBot="1" x14ac:dyDescent="0.3">
      <c r="A73" s="191"/>
      <c r="B73" s="16" t="s">
        <v>44</v>
      </c>
      <c r="C73" s="33">
        <v>21070.29</v>
      </c>
      <c r="D73" s="34">
        <v>14299.05</v>
      </c>
      <c r="E73" s="34">
        <v>14300</v>
      </c>
      <c r="F73" s="35">
        <v>43549</v>
      </c>
      <c r="G73" s="33">
        <f>IF(E73-D73&lt;0,E73-D73,0)*-1</f>
        <v>0</v>
      </c>
      <c r="H73" s="33">
        <f>IF(E73-D73&gt;0,E73-D73,0)</f>
        <v>0.9500000000007276</v>
      </c>
      <c r="I73" s="34"/>
      <c r="J73" s="34"/>
      <c r="K73" s="34">
        <v>3947.35</v>
      </c>
      <c r="L73" s="34"/>
      <c r="M73" s="36">
        <f>(+K73)*M$5</f>
        <v>84.868024999999989</v>
      </c>
      <c r="N73" s="36">
        <f>(+K73)*N$5</f>
        <v>19.736750000000001</v>
      </c>
      <c r="O73" s="36">
        <f>+K73-M73-N73+P73</f>
        <v>3842.7452249999997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f>177+370</f>
        <v>547</v>
      </c>
      <c r="AA73" s="34"/>
      <c r="AB73" s="34"/>
      <c r="AC73" s="34">
        <v>100.89</v>
      </c>
      <c r="AD73" s="38" t="s">
        <v>141</v>
      </c>
      <c r="AE73" s="38">
        <v>2176</v>
      </c>
      <c r="AF73" s="34">
        <v>1384.83</v>
      </c>
      <c r="AG73" s="33">
        <f>(AF73*0.8)*0.85</f>
        <v>941.68439999999998</v>
      </c>
      <c r="AH73" s="33">
        <f>(AF73*0.8)*0.15</f>
        <v>166.17959999999999</v>
      </c>
      <c r="AI73" s="33">
        <f>AF73*0.2</f>
        <v>276.96600000000001</v>
      </c>
      <c r="AJ73" s="34"/>
      <c r="AK73" s="33">
        <f t="shared" ref="AK73" si="777">(C73-AF73-AJ73)/1.12</f>
        <v>17576.303571428569</v>
      </c>
      <c r="AL73" s="33">
        <f t="shared" ref="AL73" si="778">AK73-SUM(Y73:AC73)</f>
        <v>16928.413571428569</v>
      </c>
      <c r="AM73" s="33">
        <f t="shared" ref="AM73" si="779">+AL73*0.12</f>
        <v>2031.4096285714284</v>
      </c>
      <c r="AN73" s="33">
        <f t="shared" si="463"/>
        <v>18959.823199999999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41">
        <f>AZ73+BA73+BB73+BD73-BC73</f>
        <v>0</v>
      </c>
      <c r="BS73" s="145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</row>
    <row r="74" spans="1:96" ht="15.75" thickBot="1" x14ac:dyDescent="0.3">
      <c r="A74" s="42"/>
      <c r="B74" s="43"/>
      <c r="C74" s="44">
        <f>SUBTOTAL(9,C72:C73)</f>
        <v>58183.06</v>
      </c>
      <c r="D74" s="45">
        <f t="shared" ref="D74" si="780">SUBTOTAL(9,D72:D73)</f>
        <v>37794.520000000004</v>
      </c>
      <c r="E74" s="45">
        <f>SUBTOTAL(9,E72:E73)</f>
        <v>37800</v>
      </c>
      <c r="F74" s="47"/>
      <c r="G74" s="45">
        <f t="shared" ref="G74" si="781">SUBTOTAL(9,G72:G73)</f>
        <v>0</v>
      </c>
      <c r="H74" s="45">
        <f t="shared" ref="H74" si="782">SUBTOTAL(9,H72:H73)</f>
        <v>5.4799999999995634</v>
      </c>
      <c r="I74" s="45">
        <f t="shared" ref="I74" si="783">SUBTOTAL(9,I72:I73)</f>
        <v>0</v>
      </c>
      <c r="J74" s="45">
        <f t="shared" ref="J74" si="784">SUBTOTAL(9,J72:J73)</f>
        <v>0</v>
      </c>
      <c r="K74" s="159">
        <f t="shared" ref="K74" si="785">SUBTOTAL(9,K72:K73)</f>
        <v>12374.17</v>
      </c>
      <c r="L74" s="45">
        <f t="shared" ref="L74" si="786">SUBTOTAL(9,L72:L73)</f>
        <v>0</v>
      </c>
      <c r="M74" s="46">
        <f t="shared" ref="M74" si="787">SUBTOTAL(9,M72:M73)</f>
        <v>266.04465499999998</v>
      </c>
      <c r="N74" s="46">
        <f t="shared" ref="N74" si="788">SUBTOTAL(9,N72:N73)</f>
        <v>61.870849999999997</v>
      </c>
      <c r="O74" s="46">
        <f t="shared" ref="O74" si="789">SUBTOTAL(9,O72:O73)</f>
        <v>12046.254495000001</v>
      </c>
      <c r="P74" s="46">
        <f t="shared" ref="P74" si="790">SUBTOTAL(9,P72:P73)</f>
        <v>0</v>
      </c>
      <c r="Q74" s="47">
        <f t="shared" ref="Q74" si="791">SUBTOTAL(9,Q72:Q73)</f>
        <v>0</v>
      </c>
      <c r="R74" s="45">
        <f t="shared" ref="R74" si="792">SUBTOTAL(9,R72:R73)</f>
        <v>0</v>
      </c>
      <c r="S74" s="45">
        <f t="shared" ref="S74" si="793">SUBTOTAL(9,S72:S73)</f>
        <v>0</v>
      </c>
      <c r="T74" s="46">
        <f t="shared" ref="T74" si="794">SUBTOTAL(9,T72:T73)</f>
        <v>0</v>
      </c>
      <c r="U74" s="46">
        <f t="shared" ref="U74" si="795">SUBTOTAL(9,U72:U73)</f>
        <v>0</v>
      </c>
      <c r="V74" s="46">
        <f t="shared" ref="V74" si="796">SUBTOTAL(9,V72:V73)</f>
        <v>0</v>
      </c>
      <c r="W74" s="46">
        <f t="shared" ref="W74" si="797">SUBTOTAL(9,W72:W73)</f>
        <v>0</v>
      </c>
      <c r="X74" s="47">
        <f t="shared" ref="X74" si="798">SUBTOTAL(9,X72:X73)</f>
        <v>0</v>
      </c>
      <c r="Y74" s="45">
        <f t="shared" ref="Y74" si="799">SUBTOTAL(9,Y72:Y73)</f>
        <v>0</v>
      </c>
      <c r="Z74" s="45">
        <f t="shared" ref="Z74" si="800">SUBTOTAL(9,Z72:Z73)</f>
        <v>1297</v>
      </c>
      <c r="AA74" s="45">
        <f t="shared" ref="AA74" si="801">SUBTOTAL(9,AA72:AA73)</f>
        <v>0</v>
      </c>
      <c r="AB74" s="45">
        <f t="shared" ref="AB74" si="802">SUBTOTAL(9,AB72:AB73)</f>
        <v>0</v>
      </c>
      <c r="AC74" s="45">
        <f t="shared" ref="AC74" si="803">SUBTOTAL(9,AC72:AC73)</f>
        <v>548.37</v>
      </c>
      <c r="AD74" s="48"/>
      <c r="AE74" s="48"/>
      <c r="AF74" s="45">
        <f t="shared" ref="AF74" si="804">SUBTOTAL(9,AF72:AF73)</f>
        <v>3915.08</v>
      </c>
      <c r="AG74" s="44">
        <f t="shared" ref="AG74" si="805">SUBTOTAL(9,AG72:AG73)</f>
        <v>2662.2543999999998</v>
      </c>
      <c r="AH74" s="44">
        <f t="shared" ref="AH74" si="806">SUBTOTAL(9,AH72:AH73)</f>
        <v>469.80959999999999</v>
      </c>
      <c r="AI74" s="44">
        <f t="shared" ref="AI74" si="807">SUBTOTAL(9,AI72:AI73)</f>
        <v>783.01600000000008</v>
      </c>
      <c r="AJ74" s="45">
        <f t="shared" ref="AJ74" si="808">SUBTOTAL(9,AJ72:AJ73)</f>
        <v>0</v>
      </c>
      <c r="AK74" s="44">
        <f t="shared" ref="AK74" si="809">SUBTOTAL(9,AK72:AK73)</f>
        <v>48453.553571428565</v>
      </c>
      <c r="AL74" s="44">
        <f t="shared" ref="AL74" si="810">SUBTOTAL(9,AL72:AL73)</f>
        <v>46608.183571428563</v>
      </c>
      <c r="AM74" s="44">
        <f t="shared" ref="AM74" si="811">SUBTOTAL(9,AM72:AM73)</f>
        <v>5592.9820285714277</v>
      </c>
      <c r="AN74" s="44">
        <f t="shared" ref="AN74" si="812">SUBTOTAL(9,AN72:AN73)</f>
        <v>52201.165599999993</v>
      </c>
      <c r="AO74" s="49">
        <f t="shared" ref="R74:BP74" si="813">SUBTOTAL(9,AO72:AO73)</f>
        <v>0</v>
      </c>
      <c r="AP74" s="49">
        <f t="shared" si="813"/>
        <v>0</v>
      </c>
      <c r="AQ74" s="49">
        <f t="shared" si="813"/>
        <v>0</v>
      </c>
      <c r="AR74" s="49">
        <f t="shared" si="813"/>
        <v>0</v>
      </c>
      <c r="AS74" s="49">
        <f t="shared" si="813"/>
        <v>0</v>
      </c>
      <c r="AT74" s="49">
        <f t="shared" si="813"/>
        <v>0</v>
      </c>
      <c r="AU74" s="49">
        <f>SUBTOTAL(9,AU72:AU73)</f>
        <v>0</v>
      </c>
      <c r="AV74" s="49">
        <f t="shared" si="813"/>
        <v>0</v>
      </c>
      <c r="AW74" s="49">
        <f t="shared" si="813"/>
        <v>0</v>
      </c>
      <c r="AX74" s="49">
        <f t="shared" si="813"/>
        <v>0</v>
      </c>
      <c r="AY74" s="49">
        <f t="shared" si="813"/>
        <v>0</v>
      </c>
      <c r="AZ74" s="44">
        <f t="shared" si="813"/>
        <v>0</v>
      </c>
      <c r="BA74" s="48">
        <f t="shared" si="813"/>
        <v>0</v>
      </c>
      <c r="BB74" s="48">
        <f t="shared" si="813"/>
        <v>0</v>
      </c>
      <c r="BC74" s="44">
        <f t="shared" si="813"/>
        <v>0</v>
      </c>
      <c r="BD74" s="44">
        <f t="shared" si="813"/>
        <v>0</v>
      </c>
      <c r="BE74" s="49">
        <f>SUBTOTAL(9,BE72:BE73)</f>
        <v>0</v>
      </c>
      <c r="BF74" s="49">
        <f t="shared" si="813"/>
        <v>0</v>
      </c>
      <c r="BG74" s="49">
        <f t="shared" si="813"/>
        <v>0</v>
      </c>
      <c r="BH74" s="49">
        <f t="shared" si="813"/>
        <v>0</v>
      </c>
      <c r="BI74" s="49">
        <f t="shared" si="813"/>
        <v>0</v>
      </c>
      <c r="BJ74" s="49">
        <f t="shared" si="813"/>
        <v>0</v>
      </c>
      <c r="BK74" s="49">
        <f t="shared" si="813"/>
        <v>0</v>
      </c>
      <c r="BL74" s="49">
        <f t="shared" si="813"/>
        <v>0</v>
      </c>
      <c r="BM74" s="49">
        <f t="shared" si="813"/>
        <v>0</v>
      </c>
      <c r="BN74" s="49">
        <f t="shared" si="813"/>
        <v>0</v>
      </c>
      <c r="BO74" s="49">
        <f t="shared" si="813"/>
        <v>0</v>
      </c>
      <c r="BP74" s="49">
        <f t="shared" si="813"/>
        <v>0</v>
      </c>
      <c r="BQ74" s="44">
        <f>SUBTOTAL(9,BQ72:BQ73)</f>
        <v>0</v>
      </c>
    </row>
    <row r="75" spans="1:96" x14ac:dyDescent="0.25">
      <c r="A75" s="190">
        <f>+A72+1</f>
        <v>43547</v>
      </c>
      <c r="B75" s="16" t="s">
        <v>43</v>
      </c>
      <c r="C75" s="33" t="s">
        <v>135</v>
      </c>
      <c r="D75" s="34"/>
      <c r="E75" s="34"/>
      <c r="F75" s="35"/>
      <c r="G75" s="33"/>
      <c r="H75" s="33">
        <f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v>0</v>
      </c>
      <c r="AL75" s="33">
        <f t="shared" ref="AL75:AL76" si="814">AK75-SUM(Y75:AC75)</f>
        <v>0</v>
      </c>
      <c r="AM75" s="33">
        <f t="shared" ref="AM75:AM76" si="815">+AL75*0.12</f>
        <v>0</v>
      </c>
      <c r="AN75" s="33">
        <f t="shared" ref="AN75:AN76" si="816"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41">
        <f>AZ75+BA75+BB75+BD75-BC75</f>
        <v>0</v>
      </c>
      <c r="BS75" s="145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</row>
    <row r="76" spans="1:96" ht="15.75" thickBot="1" x14ac:dyDescent="0.3">
      <c r="A76" s="191"/>
      <c r="B76" s="16" t="s">
        <v>44</v>
      </c>
      <c r="C76" s="33">
        <v>4932.8</v>
      </c>
      <c r="D76" s="34">
        <v>2182.73</v>
      </c>
      <c r="E76" s="34">
        <v>2185</v>
      </c>
      <c r="F76" s="35">
        <v>43521</v>
      </c>
      <c r="G76" s="33"/>
      <c r="H76" s="33">
        <f>IF(E76-D76&gt;0,E76-D76,0)</f>
        <v>2.2699999999999818</v>
      </c>
      <c r="I76" s="34"/>
      <c r="J76" s="34"/>
      <c r="K76" s="34">
        <v>718.93</v>
      </c>
      <c r="L76" s="34"/>
      <c r="M76" s="36">
        <f>(+K76)*M$5</f>
        <v>15.456994999999997</v>
      </c>
      <c r="N76" s="36">
        <f>(+K76)*N$5</f>
        <v>3.5946499999999997</v>
      </c>
      <c r="O76" s="36">
        <f>+K76-M76-N76+P76</f>
        <v>699.87835499999994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32</v>
      </c>
      <c r="AA76" s="34"/>
      <c r="AB76" s="34"/>
      <c r="AC76" s="34">
        <v>57.14</v>
      </c>
      <c r="AD76" s="38" t="s">
        <v>141</v>
      </c>
      <c r="AE76" s="38">
        <v>1942</v>
      </c>
      <c r="AF76" s="34">
        <v>240.09</v>
      </c>
      <c r="AG76" s="33">
        <f>(AF76*0.8)*0.85</f>
        <v>163.2612</v>
      </c>
      <c r="AH76" s="33">
        <f>(AF76*0.8)*0.15</f>
        <v>28.8108</v>
      </c>
      <c r="AI76" s="33">
        <f>AF76*0.2</f>
        <v>48.018000000000001</v>
      </c>
      <c r="AJ76" s="34"/>
      <c r="AK76" s="33">
        <f t="shared" ref="AK76" si="817">(C76-AF76-AJ76)/1.12</f>
        <v>4189.9196428571422</v>
      </c>
      <c r="AL76" s="33">
        <f t="shared" si="814"/>
        <v>4100.7796428571419</v>
      </c>
      <c r="AM76" s="33">
        <f t="shared" si="815"/>
        <v>492.09355714285698</v>
      </c>
      <c r="AN76" s="33">
        <f t="shared" si="816"/>
        <v>4592.8731999999991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41">
        <f>AZ76+BA76+BB76+BD76-BC76</f>
        <v>0</v>
      </c>
      <c r="BS76" s="145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</row>
    <row r="77" spans="1:96" ht="15.75" thickBot="1" x14ac:dyDescent="0.3">
      <c r="A77" s="42"/>
      <c r="B77" s="43"/>
      <c r="C77" s="44">
        <f>SUBTOTAL(9,C75:C76)</f>
        <v>4932.8</v>
      </c>
      <c r="D77" s="45">
        <f t="shared" ref="D77" si="818">SUBTOTAL(9,D75:D76)</f>
        <v>2182.73</v>
      </c>
      <c r="E77" s="45">
        <f>SUBTOTAL(9,E75:E76)</f>
        <v>2185</v>
      </c>
      <c r="F77" s="47"/>
      <c r="G77" s="45">
        <f t="shared" ref="G77" si="819">SUBTOTAL(9,G75:G76)</f>
        <v>0</v>
      </c>
      <c r="H77" s="45">
        <f t="shared" ref="H77" si="820">SUBTOTAL(9,H75:H76)</f>
        <v>2.2699999999999818</v>
      </c>
      <c r="I77" s="45">
        <f t="shared" ref="I77" si="821">SUBTOTAL(9,I75:I76)</f>
        <v>0</v>
      </c>
      <c r="J77" s="45">
        <f t="shared" ref="J77" si="822">SUBTOTAL(9,J75:J76)</f>
        <v>0</v>
      </c>
      <c r="K77" s="159">
        <f t="shared" ref="K77" si="823">SUBTOTAL(9,K75:K76)</f>
        <v>718.93</v>
      </c>
      <c r="L77" s="45">
        <f t="shared" ref="L77" si="824">SUBTOTAL(9,L75:L76)</f>
        <v>0</v>
      </c>
      <c r="M77" s="46">
        <f t="shared" ref="M77" si="825">SUBTOTAL(9,M75:M76)</f>
        <v>15.456994999999997</v>
      </c>
      <c r="N77" s="46">
        <f t="shared" ref="N77" si="826">SUBTOTAL(9,N75:N76)</f>
        <v>3.5946499999999997</v>
      </c>
      <c r="O77" s="46">
        <f t="shared" ref="O77" si="827">SUBTOTAL(9,O75:O76)</f>
        <v>699.87835499999994</v>
      </c>
      <c r="P77" s="46">
        <f t="shared" ref="P77" si="828">SUBTOTAL(9,P75:P76)</f>
        <v>0</v>
      </c>
      <c r="Q77" s="47">
        <f t="shared" ref="Q77" si="829">SUBTOTAL(9,Q75:Q76)</f>
        <v>0</v>
      </c>
      <c r="R77" s="45">
        <f t="shared" ref="R77" si="830">SUBTOTAL(9,R75:R76)</f>
        <v>0</v>
      </c>
      <c r="S77" s="45">
        <f t="shared" ref="S77" si="831">SUBTOTAL(9,S75:S76)</f>
        <v>0</v>
      </c>
      <c r="T77" s="46">
        <f t="shared" ref="T77" si="832">SUBTOTAL(9,T75:T76)</f>
        <v>0</v>
      </c>
      <c r="U77" s="46">
        <f t="shared" ref="U77" si="833">SUBTOTAL(9,U75:U76)</f>
        <v>0</v>
      </c>
      <c r="V77" s="46">
        <f t="shared" ref="V77" si="834">SUBTOTAL(9,V75:V76)</f>
        <v>0</v>
      </c>
      <c r="W77" s="46">
        <f t="shared" ref="W77" si="835">SUBTOTAL(9,W75:W76)</f>
        <v>0</v>
      </c>
      <c r="X77" s="47">
        <f t="shared" ref="X77" si="836">SUBTOTAL(9,X75:X76)</f>
        <v>0</v>
      </c>
      <c r="Y77" s="45">
        <f t="shared" ref="Y77" si="837">SUBTOTAL(9,Y75:Y76)</f>
        <v>0</v>
      </c>
      <c r="Z77" s="45">
        <f t="shared" ref="Z77" si="838">SUBTOTAL(9,Z75:Z76)</f>
        <v>32</v>
      </c>
      <c r="AA77" s="45">
        <f t="shared" ref="AA77" si="839">SUBTOTAL(9,AA75:AA76)</f>
        <v>0</v>
      </c>
      <c r="AB77" s="45">
        <f t="shared" ref="AB77" si="840">SUBTOTAL(9,AB75:AB76)</f>
        <v>0</v>
      </c>
      <c r="AC77" s="45">
        <f t="shared" ref="AC77" si="841">SUBTOTAL(9,AC75:AC76)</f>
        <v>57.14</v>
      </c>
      <c r="AD77" s="48"/>
      <c r="AE77" s="48"/>
      <c r="AF77" s="45">
        <f t="shared" ref="AF77" si="842">SUBTOTAL(9,AF75:AF76)</f>
        <v>240.09</v>
      </c>
      <c r="AG77" s="44">
        <f t="shared" ref="AG77" si="843">SUBTOTAL(9,AG75:AG76)</f>
        <v>163.2612</v>
      </c>
      <c r="AH77" s="44">
        <f t="shared" ref="AH77" si="844">SUBTOTAL(9,AH75:AH76)</f>
        <v>28.8108</v>
      </c>
      <c r="AI77" s="44">
        <f t="shared" ref="AI77" si="845">SUBTOTAL(9,AI75:AI76)</f>
        <v>48.018000000000001</v>
      </c>
      <c r="AJ77" s="45">
        <f t="shared" ref="AJ77" si="846">SUBTOTAL(9,AJ75:AJ76)</f>
        <v>0</v>
      </c>
      <c r="AK77" s="44">
        <f t="shared" ref="AK77" si="847">SUBTOTAL(9,AK75:AK76)</f>
        <v>4189.9196428571422</v>
      </c>
      <c r="AL77" s="44">
        <f t="shared" ref="AL77" si="848">SUBTOTAL(9,AL75:AL76)</f>
        <v>4100.7796428571419</v>
      </c>
      <c r="AM77" s="44">
        <f t="shared" ref="AM77" si="849">SUBTOTAL(9,AM75:AM76)</f>
        <v>492.09355714285698</v>
      </c>
      <c r="AN77" s="44">
        <f t="shared" ref="AN77" si="850">SUBTOTAL(9,AN75:AN76)</f>
        <v>4592.8731999999991</v>
      </c>
      <c r="AO77" s="49">
        <f t="shared" ref="R77:BP77" si="851">SUBTOTAL(9,AO75:AO76)</f>
        <v>0</v>
      </c>
      <c r="AP77" s="49">
        <f t="shared" si="851"/>
        <v>0</v>
      </c>
      <c r="AQ77" s="49">
        <f t="shared" si="851"/>
        <v>0</v>
      </c>
      <c r="AR77" s="49">
        <f t="shared" si="851"/>
        <v>0</v>
      </c>
      <c r="AS77" s="49">
        <f t="shared" si="851"/>
        <v>0</v>
      </c>
      <c r="AT77" s="49">
        <f t="shared" si="851"/>
        <v>0</v>
      </c>
      <c r="AU77" s="49">
        <f>SUBTOTAL(9,AU75:AU76)</f>
        <v>0</v>
      </c>
      <c r="AV77" s="49">
        <f t="shared" si="851"/>
        <v>0</v>
      </c>
      <c r="AW77" s="49">
        <f t="shared" si="851"/>
        <v>0</v>
      </c>
      <c r="AX77" s="49">
        <f t="shared" si="851"/>
        <v>0</v>
      </c>
      <c r="AY77" s="49">
        <f t="shared" si="851"/>
        <v>0</v>
      </c>
      <c r="AZ77" s="44">
        <f t="shared" si="851"/>
        <v>0</v>
      </c>
      <c r="BA77" s="48">
        <f t="shared" si="851"/>
        <v>0</v>
      </c>
      <c r="BB77" s="48">
        <f t="shared" si="851"/>
        <v>0</v>
      </c>
      <c r="BC77" s="44">
        <f t="shared" si="851"/>
        <v>0</v>
      </c>
      <c r="BD77" s="44">
        <f t="shared" si="851"/>
        <v>0</v>
      </c>
      <c r="BE77" s="49">
        <f>SUBTOTAL(9,BE75:BE76)</f>
        <v>0</v>
      </c>
      <c r="BF77" s="49">
        <f t="shared" si="851"/>
        <v>0</v>
      </c>
      <c r="BG77" s="49">
        <f t="shared" si="851"/>
        <v>0</v>
      </c>
      <c r="BH77" s="49">
        <f t="shared" si="851"/>
        <v>0</v>
      </c>
      <c r="BI77" s="49">
        <f t="shared" si="851"/>
        <v>0</v>
      </c>
      <c r="BJ77" s="49">
        <f t="shared" si="851"/>
        <v>0</v>
      </c>
      <c r="BK77" s="49">
        <f t="shared" si="851"/>
        <v>0</v>
      </c>
      <c r="BL77" s="49">
        <f t="shared" si="851"/>
        <v>0</v>
      </c>
      <c r="BM77" s="49">
        <f t="shared" si="851"/>
        <v>0</v>
      </c>
      <c r="BN77" s="49">
        <f t="shared" si="851"/>
        <v>0</v>
      </c>
      <c r="BO77" s="49">
        <f t="shared" si="851"/>
        <v>0</v>
      </c>
      <c r="BP77" s="49">
        <f t="shared" si="851"/>
        <v>0</v>
      </c>
      <c r="BQ77" s="44">
        <f>SUBTOTAL(9,BQ75:BQ76)</f>
        <v>0</v>
      </c>
    </row>
    <row r="78" spans="1:96" x14ac:dyDescent="0.25">
      <c r="A78" s="190">
        <f>+A75+1</f>
        <v>43548</v>
      </c>
      <c r="B78" s="16" t="s">
        <v>43</v>
      </c>
      <c r="C78" s="33" t="s">
        <v>136</v>
      </c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 t="shared" ref="AL78:AL79" si="852">AK78-SUM(Y78:AC78)</f>
        <v>0</v>
      </c>
      <c r="AM78" s="33">
        <f t="shared" ref="AM78:AM79" si="853">+AL78*0.12</f>
        <v>0</v>
      </c>
      <c r="AN78" s="33">
        <f t="shared" ref="AN77:AN102" si="854"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41">
        <f>AZ78+BA78+BB78+BD78-BC78</f>
        <v>0</v>
      </c>
      <c r="BS78" s="145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</row>
    <row r="79" spans="1:96" ht="15.75" thickBot="1" x14ac:dyDescent="0.3">
      <c r="A79" s="191"/>
      <c r="B79" s="16" t="s">
        <v>44</v>
      </c>
      <c r="C79" s="33"/>
      <c r="D79" s="34"/>
      <c r="E79" s="34"/>
      <c r="F79" s="35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f t="shared" ref="AK79" si="855">(C79-AF79-AJ79)/1.12</f>
        <v>0</v>
      </c>
      <c r="AL79" s="33">
        <f t="shared" si="852"/>
        <v>0</v>
      </c>
      <c r="AM79" s="33">
        <f t="shared" si="853"/>
        <v>0</v>
      </c>
      <c r="AN79" s="33">
        <f t="shared" si="854"/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41">
        <f>AZ79+BA79+BB79+BD79-BC79</f>
        <v>0</v>
      </c>
      <c r="BS79" s="145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</row>
    <row r="80" spans="1:96" ht="15.75" thickBot="1" x14ac:dyDescent="0.3">
      <c r="A80" s="42"/>
      <c r="B80" s="43"/>
      <c r="C80" s="44">
        <f>SUBTOTAL(9,C78:C79)</f>
        <v>0</v>
      </c>
      <c r="D80" s="45">
        <f t="shared" ref="D80" si="856">SUBTOTAL(9,D78:D79)</f>
        <v>0</v>
      </c>
      <c r="E80" s="45">
        <f>SUBTOTAL(9,E78:E79)</f>
        <v>0</v>
      </c>
      <c r="F80" s="47"/>
      <c r="G80" s="45">
        <f t="shared" ref="G80" si="857">SUBTOTAL(9,G78:G79)</f>
        <v>0</v>
      </c>
      <c r="H80" s="45">
        <f t="shared" ref="H80" si="858">SUBTOTAL(9,H78:H79)</f>
        <v>0</v>
      </c>
      <c r="I80" s="45">
        <f t="shared" ref="I80" si="859">SUBTOTAL(9,I78:I79)</f>
        <v>0</v>
      </c>
      <c r="J80" s="45">
        <f t="shared" ref="J80" si="860">SUBTOTAL(9,J78:J79)</f>
        <v>0</v>
      </c>
      <c r="K80" s="159">
        <f t="shared" ref="K80" si="861">SUBTOTAL(9,K78:K79)</f>
        <v>0</v>
      </c>
      <c r="L80" s="45">
        <f t="shared" ref="L80" si="862">SUBTOTAL(9,L78:L79)</f>
        <v>0</v>
      </c>
      <c r="M80" s="46">
        <f t="shared" ref="M80" si="863">SUBTOTAL(9,M78:M79)</f>
        <v>0</v>
      </c>
      <c r="N80" s="46">
        <f t="shared" ref="N80" si="864">SUBTOTAL(9,N78:N79)</f>
        <v>0</v>
      </c>
      <c r="O80" s="46">
        <f t="shared" ref="O80" si="865">SUBTOTAL(9,O78:O79)</f>
        <v>0</v>
      </c>
      <c r="P80" s="46">
        <f t="shared" ref="P80" si="866">SUBTOTAL(9,P78:P79)</f>
        <v>0</v>
      </c>
      <c r="Q80" s="47">
        <f t="shared" ref="Q80" si="867">SUBTOTAL(9,Q78:Q79)</f>
        <v>0</v>
      </c>
      <c r="R80" s="45">
        <f t="shared" ref="R80" si="868">SUBTOTAL(9,R78:R79)</f>
        <v>0</v>
      </c>
      <c r="S80" s="45">
        <f t="shared" ref="S80" si="869">SUBTOTAL(9,S78:S79)</f>
        <v>0</v>
      </c>
      <c r="T80" s="46">
        <f t="shared" ref="T80" si="870">SUBTOTAL(9,T78:T79)</f>
        <v>0</v>
      </c>
      <c r="U80" s="46">
        <f t="shared" ref="U80" si="871">SUBTOTAL(9,U78:U79)</f>
        <v>0</v>
      </c>
      <c r="V80" s="46">
        <f t="shared" ref="V80" si="872">SUBTOTAL(9,V78:V79)</f>
        <v>0</v>
      </c>
      <c r="W80" s="46">
        <f t="shared" ref="W80" si="873">SUBTOTAL(9,W78:W79)</f>
        <v>0</v>
      </c>
      <c r="X80" s="47">
        <f t="shared" ref="X80" si="874">SUBTOTAL(9,X78:X79)</f>
        <v>0</v>
      </c>
      <c r="Y80" s="45">
        <f t="shared" ref="Y80" si="875">SUBTOTAL(9,Y78:Y79)</f>
        <v>0</v>
      </c>
      <c r="Z80" s="45">
        <f t="shared" ref="Z80" si="876">SUBTOTAL(9,Z78:Z79)</f>
        <v>0</v>
      </c>
      <c r="AA80" s="45">
        <f t="shared" ref="AA80" si="877">SUBTOTAL(9,AA78:AA79)</f>
        <v>0</v>
      </c>
      <c r="AB80" s="45">
        <f t="shared" ref="AB80" si="878">SUBTOTAL(9,AB78:AB79)</f>
        <v>0</v>
      </c>
      <c r="AC80" s="45">
        <f t="shared" ref="AC80" si="879">SUBTOTAL(9,AC78:AC79)</f>
        <v>0</v>
      </c>
      <c r="AD80" s="48"/>
      <c r="AE80" s="48"/>
      <c r="AF80" s="45">
        <f t="shared" ref="AF80" si="880">SUBTOTAL(9,AF78:AF79)</f>
        <v>0</v>
      </c>
      <c r="AG80" s="44">
        <f t="shared" ref="AG80" si="881">SUBTOTAL(9,AG78:AG79)</f>
        <v>0</v>
      </c>
      <c r="AH80" s="44">
        <f t="shared" ref="AH80" si="882">SUBTOTAL(9,AH78:AH79)</f>
        <v>0</v>
      </c>
      <c r="AI80" s="44">
        <f t="shared" ref="AI80" si="883">SUBTOTAL(9,AI78:AI79)</f>
        <v>0</v>
      </c>
      <c r="AJ80" s="45">
        <f t="shared" ref="AJ80" si="884">SUBTOTAL(9,AJ78:AJ79)</f>
        <v>0</v>
      </c>
      <c r="AK80" s="44">
        <f t="shared" ref="AK80" si="885">SUBTOTAL(9,AK78:AK79)</f>
        <v>0</v>
      </c>
      <c r="AL80" s="44">
        <f t="shared" ref="AL80" si="886">SUBTOTAL(9,AL78:AL79)</f>
        <v>0</v>
      </c>
      <c r="AM80" s="44">
        <f t="shared" ref="AM80" si="887">SUBTOTAL(9,AM78:AM79)</f>
        <v>0</v>
      </c>
      <c r="AN80" s="44">
        <f t="shared" ref="AN80" si="888">SUBTOTAL(9,AN78:AN79)</f>
        <v>0</v>
      </c>
      <c r="AO80" s="49">
        <f t="shared" ref="R80:BP80" si="889">SUBTOTAL(9,AO78:AO79)</f>
        <v>0</v>
      </c>
      <c r="AP80" s="49">
        <f t="shared" si="889"/>
        <v>0</v>
      </c>
      <c r="AQ80" s="49">
        <f t="shared" si="889"/>
        <v>0</v>
      </c>
      <c r="AR80" s="49">
        <f t="shared" si="889"/>
        <v>0</v>
      </c>
      <c r="AS80" s="49">
        <f t="shared" si="889"/>
        <v>0</v>
      </c>
      <c r="AT80" s="49">
        <f t="shared" si="889"/>
        <v>0</v>
      </c>
      <c r="AU80" s="49">
        <f>SUBTOTAL(9,AU78:AU79)</f>
        <v>0</v>
      </c>
      <c r="AV80" s="49">
        <f t="shared" si="889"/>
        <v>0</v>
      </c>
      <c r="AW80" s="49">
        <f t="shared" si="889"/>
        <v>0</v>
      </c>
      <c r="AX80" s="49">
        <f t="shared" si="889"/>
        <v>0</v>
      </c>
      <c r="AY80" s="49">
        <f t="shared" si="889"/>
        <v>0</v>
      </c>
      <c r="AZ80" s="44">
        <f t="shared" si="889"/>
        <v>0</v>
      </c>
      <c r="BA80" s="48">
        <f t="shared" si="889"/>
        <v>0</v>
      </c>
      <c r="BB80" s="48">
        <f t="shared" si="889"/>
        <v>0</v>
      </c>
      <c r="BC80" s="44">
        <f t="shared" si="889"/>
        <v>0</v>
      </c>
      <c r="BD80" s="44">
        <f t="shared" si="889"/>
        <v>0</v>
      </c>
      <c r="BE80" s="49">
        <f>SUBTOTAL(9,BE78:BE79)</f>
        <v>0</v>
      </c>
      <c r="BF80" s="49">
        <f t="shared" si="889"/>
        <v>0</v>
      </c>
      <c r="BG80" s="49">
        <f t="shared" si="889"/>
        <v>0</v>
      </c>
      <c r="BH80" s="49">
        <f t="shared" si="889"/>
        <v>0</v>
      </c>
      <c r="BI80" s="49">
        <f t="shared" si="889"/>
        <v>0</v>
      </c>
      <c r="BJ80" s="49">
        <f t="shared" si="889"/>
        <v>0</v>
      </c>
      <c r="BK80" s="49">
        <f t="shared" si="889"/>
        <v>0</v>
      </c>
      <c r="BL80" s="49">
        <f t="shared" si="889"/>
        <v>0</v>
      </c>
      <c r="BM80" s="49">
        <f t="shared" si="889"/>
        <v>0</v>
      </c>
      <c r="BN80" s="49">
        <f t="shared" si="889"/>
        <v>0</v>
      </c>
      <c r="BO80" s="49">
        <f t="shared" si="889"/>
        <v>0</v>
      </c>
      <c r="BP80" s="49">
        <f t="shared" si="889"/>
        <v>0</v>
      </c>
      <c r="BQ80" s="44">
        <f>SUBTOTAL(9,BQ78:BQ79)</f>
        <v>0</v>
      </c>
    </row>
    <row r="81" spans="1:96" x14ac:dyDescent="0.25">
      <c r="A81" s="190">
        <f>+A78+1</f>
        <v>43549</v>
      </c>
      <c r="B81" s="16" t="s">
        <v>43</v>
      </c>
      <c r="C81" s="33">
        <v>17710.97</v>
      </c>
      <c r="D81" s="34">
        <v>9681.7800000000007</v>
      </c>
      <c r="E81" s="34">
        <v>9682</v>
      </c>
      <c r="F81" s="35">
        <v>43549</v>
      </c>
      <c r="G81" s="33">
        <f>IF(E81-D81&lt;0,E81-D81,0)*-1</f>
        <v>0</v>
      </c>
      <c r="H81" s="33">
        <f>IF(E81-D81&gt;0,E81-D81,0)</f>
        <v>0.21999999999934516</v>
      </c>
      <c r="I81" s="34"/>
      <c r="J81" s="34"/>
      <c r="K81" s="34">
        <v>4602.25</v>
      </c>
      <c r="L81" s="34"/>
      <c r="M81" s="36">
        <f>(+K81)*M$5</f>
        <v>98.948374999999999</v>
      </c>
      <c r="N81" s="36">
        <f>(+K81)*N$5</f>
        <v>23.01125</v>
      </c>
      <c r="O81" s="36">
        <f>+K81-M81-N81+P81</f>
        <v>4480.2903750000005</v>
      </c>
      <c r="P81" s="36">
        <f>L81-(L81*(M$5+N$5))</f>
        <v>0</v>
      </c>
      <c r="Q81" s="116"/>
      <c r="R81" s="34"/>
      <c r="S81" s="34"/>
      <c r="T81" s="36"/>
      <c r="U81" s="36"/>
      <c r="V81" s="36"/>
      <c r="W81" s="36"/>
      <c r="X81" s="37"/>
      <c r="Y81" s="34"/>
      <c r="Z81" s="34">
        <v>38</v>
      </c>
      <c r="AA81" s="34"/>
      <c r="AB81" s="34"/>
      <c r="AC81" s="34">
        <v>110.94</v>
      </c>
      <c r="AD81" s="38" t="s">
        <v>141</v>
      </c>
      <c r="AE81" s="38">
        <v>3728</v>
      </c>
      <c r="AF81" s="34">
        <v>1034.53</v>
      </c>
      <c r="AG81" s="33">
        <f>(AF81*0.8)*0.85</f>
        <v>703.48040000000003</v>
      </c>
      <c r="AH81" s="33">
        <f>(AF81*0.8)*0.15</f>
        <v>124.14359999999999</v>
      </c>
      <c r="AI81" s="33">
        <f>AF81*0.2</f>
        <v>206.90600000000001</v>
      </c>
      <c r="AJ81" s="34"/>
      <c r="AK81" s="33">
        <f t="shared" ref="AK81:AK82" si="890">(C81-AF81-AJ81)/1.12</f>
        <v>14889.678571428572</v>
      </c>
      <c r="AL81" s="33">
        <f t="shared" ref="AL81:AL82" si="891">AK81-SUM(Y81:AC81)</f>
        <v>14740.738571428572</v>
      </c>
      <c r="AM81" s="33">
        <f t="shared" ref="AM81:AM82" si="892">+AL81*0.12</f>
        <v>1768.8886285714286</v>
      </c>
      <c r="AN81" s="33">
        <f t="shared" ref="AN81:AN82" si="893">+AM81+AL81+AJ81</f>
        <v>16509.627199999999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41">
        <f>AZ81+BA81+BB81+BD81-BC81</f>
        <v>0</v>
      </c>
      <c r="BS81" s="145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</row>
    <row r="82" spans="1:96" ht="15.75" thickBot="1" x14ac:dyDescent="0.3">
      <c r="A82" s="191"/>
      <c r="B82" s="16" t="s">
        <v>44</v>
      </c>
      <c r="C82" s="33">
        <v>27066.26</v>
      </c>
      <c r="D82" s="34">
        <v>8844.06</v>
      </c>
      <c r="E82" s="34">
        <v>8845</v>
      </c>
      <c r="F82" s="35">
        <v>43550</v>
      </c>
      <c r="G82" s="33">
        <f>IF(E82-D82&lt;0,E82-D82,0)*-1</f>
        <v>0</v>
      </c>
      <c r="H82" s="33">
        <f>IF(E82-D82&gt;0,E82-D82,0)</f>
        <v>0.94000000000050932</v>
      </c>
      <c r="I82" s="34"/>
      <c r="J82" s="34"/>
      <c r="K82" s="34">
        <v>16120.45</v>
      </c>
      <c r="L82" s="34"/>
      <c r="M82" s="36">
        <f>(+K82)*M$5</f>
        <v>346.589675</v>
      </c>
      <c r="N82" s="36">
        <f>(+K82)*N$5</f>
        <v>80.602250000000012</v>
      </c>
      <c r="O82" s="36">
        <f>+K82-M82-N82+P82</f>
        <v>15693.258075000002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f>12.75+126</f>
        <v>138.75</v>
      </c>
      <c r="AA82" s="34"/>
      <c r="AB82" s="34"/>
      <c r="AC82" s="34"/>
      <c r="AD82" s="38" t="s">
        <v>141</v>
      </c>
      <c r="AE82" s="38">
        <v>1963</v>
      </c>
      <c r="AF82" s="34">
        <v>1962.26</v>
      </c>
      <c r="AG82" s="33">
        <f>(AF82*0.8)*0.85</f>
        <v>1334.3368</v>
      </c>
      <c r="AH82" s="33">
        <f>(AF82*0.8)*0.15</f>
        <v>235.47119999999998</v>
      </c>
      <c r="AI82" s="33">
        <f>AF82*0.2</f>
        <v>392.452</v>
      </c>
      <c r="AJ82" s="34"/>
      <c r="AK82" s="33">
        <f t="shared" si="890"/>
        <v>22414.285714285714</v>
      </c>
      <c r="AL82" s="33">
        <f t="shared" si="891"/>
        <v>22275.535714285714</v>
      </c>
      <c r="AM82" s="33">
        <f t="shared" si="892"/>
        <v>2673.0642857142857</v>
      </c>
      <c r="AN82" s="33">
        <f t="shared" si="893"/>
        <v>24948.6</v>
      </c>
      <c r="AO82" s="39">
        <f>185+295</f>
        <v>480</v>
      </c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480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41">
        <f>AZ82+BA82+BB82+BD82-BC82</f>
        <v>480</v>
      </c>
      <c r="BS82" s="145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</row>
    <row r="83" spans="1:96" ht="15.75" thickBot="1" x14ac:dyDescent="0.3">
      <c r="A83" s="42"/>
      <c r="B83" s="43"/>
      <c r="C83" s="44">
        <f>SUBTOTAL(9,C81:C82)</f>
        <v>44777.229999999996</v>
      </c>
      <c r="D83" s="45">
        <f t="shared" ref="D83" si="894">SUBTOTAL(9,D81:D82)</f>
        <v>18525.84</v>
      </c>
      <c r="E83" s="45">
        <f>SUBTOTAL(9,E81:E82)</f>
        <v>18527</v>
      </c>
      <c r="F83" s="47"/>
      <c r="G83" s="45">
        <f t="shared" ref="G83" si="895">SUBTOTAL(9,G81:G82)</f>
        <v>0</v>
      </c>
      <c r="H83" s="45">
        <f t="shared" ref="H83" si="896">SUBTOTAL(9,H81:H82)</f>
        <v>1.1599999999998545</v>
      </c>
      <c r="I83" s="45">
        <f t="shared" ref="I83" si="897">SUBTOTAL(9,I81:I82)</f>
        <v>0</v>
      </c>
      <c r="J83" s="45">
        <f t="shared" ref="J83" si="898">SUBTOTAL(9,J81:J82)</f>
        <v>0</v>
      </c>
      <c r="K83" s="159">
        <f t="shared" ref="K83" si="899">SUBTOTAL(9,K81:K82)</f>
        <v>20722.7</v>
      </c>
      <c r="L83" s="45">
        <f t="shared" ref="L83" si="900">SUBTOTAL(9,L81:L82)</f>
        <v>0</v>
      </c>
      <c r="M83" s="46">
        <f t="shared" ref="M83" si="901">SUBTOTAL(9,M81:M82)</f>
        <v>445.53805</v>
      </c>
      <c r="N83" s="46">
        <f t="shared" ref="N83" si="902">SUBTOTAL(9,N81:N82)</f>
        <v>103.61350000000002</v>
      </c>
      <c r="O83" s="46">
        <f t="shared" ref="O83" si="903">SUBTOTAL(9,O81:O82)</f>
        <v>20173.548450000002</v>
      </c>
      <c r="P83" s="46">
        <f t="shared" ref="P83" si="904">SUBTOTAL(9,P81:P82)</f>
        <v>0</v>
      </c>
      <c r="Q83" s="47">
        <f t="shared" ref="Q83" si="905">SUBTOTAL(9,Q81:Q82)</f>
        <v>0</v>
      </c>
      <c r="R83" s="45">
        <f t="shared" ref="R83" si="906">SUBTOTAL(9,R81:R82)</f>
        <v>0</v>
      </c>
      <c r="S83" s="45">
        <f t="shared" ref="S83" si="907">SUBTOTAL(9,S81:S82)</f>
        <v>0</v>
      </c>
      <c r="T83" s="46">
        <f t="shared" ref="T83" si="908">SUBTOTAL(9,T81:T82)</f>
        <v>0</v>
      </c>
      <c r="U83" s="46">
        <f t="shared" ref="U83" si="909">SUBTOTAL(9,U81:U82)</f>
        <v>0</v>
      </c>
      <c r="V83" s="46">
        <f t="shared" ref="V83" si="910">SUBTOTAL(9,V81:V82)</f>
        <v>0</v>
      </c>
      <c r="W83" s="46">
        <f t="shared" ref="W83" si="911">SUBTOTAL(9,W81:W82)</f>
        <v>0</v>
      </c>
      <c r="X83" s="47">
        <f t="shared" ref="X83" si="912">SUBTOTAL(9,X81:X82)</f>
        <v>0</v>
      </c>
      <c r="Y83" s="45">
        <f t="shared" ref="Y83" si="913">SUBTOTAL(9,Y81:Y82)</f>
        <v>0</v>
      </c>
      <c r="Z83" s="45">
        <f t="shared" ref="Z83" si="914">SUBTOTAL(9,Z81:Z82)</f>
        <v>176.75</v>
      </c>
      <c r="AA83" s="45">
        <f t="shared" ref="AA83" si="915">SUBTOTAL(9,AA81:AA82)</f>
        <v>0</v>
      </c>
      <c r="AB83" s="45">
        <f t="shared" ref="AB83" si="916">SUBTOTAL(9,AB81:AB82)</f>
        <v>0</v>
      </c>
      <c r="AC83" s="45">
        <f t="shared" ref="AC83" si="917">SUBTOTAL(9,AC81:AC82)</f>
        <v>110.94</v>
      </c>
      <c r="AD83" s="48"/>
      <c r="AE83" s="48"/>
      <c r="AF83" s="45">
        <f t="shared" ref="AF83" si="918">SUBTOTAL(9,AF81:AF82)</f>
        <v>2996.79</v>
      </c>
      <c r="AG83" s="44">
        <f t="shared" ref="AG83" si="919">SUBTOTAL(9,AG81:AG82)</f>
        <v>2037.8172</v>
      </c>
      <c r="AH83" s="44">
        <f t="shared" ref="AH83" si="920">SUBTOTAL(9,AH81:AH82)</f>
        <v>359.61479999999995</v>
      </c>
      <c r="AI83" s="44">
        <f t="shared" ref="AI83" si="921">SUBTOTAL(9,AI81:AI82)</f>
        <v>599.35799999999995</v>
      </c>
      <c r="AJ83" s="45">
        <f t="shared" ref="AJ83" si="922">SUBTOTAL(9,AJ81:AJ82)</f>
        <v>0</v>
      </c>
      <c r="AK83" s="44">
        <f t="shared" ref="AK83" si="923">SUBTOTAL(9,AK81:AK82)</f>
        <v>37303.96428571429</v>
      </c>
      <c r="AL83" s="44">
        <f t="shared" ref="AL83" si="924">SUBTOTAL(9,AL81:AL82)</f>
        <v>37016.274285714288</v>
      </c>
      <c r="AM83" s="44">
        <f t="shared" ref="AM83" si="925">SUBTOTAL(9,AM81:AM82)</f>
        <v>4441.9529142857145</v>
      </c>
      <c r="AN83" s="44">
        <f t="shared" ref="AN83" si="926">SUBTOTAL(9,AN81:AN82)</f>
        <v>41458.227199999994</v>
      </c>
      <c r="AO83" s="49">
        <f t="shared" ref="R83:BP83" si="927">SUBTOTAL(9,AO81:AO82)</f>
        <v>480</v>
      </c>
      <c r="AP83" s="49">
        <f t="shared" si="927"/>
        <v>0</v>
      </c>
      <c r="AQ83" s="49">
        <f t="shared" si="927"/>
        <v>0</v>
      </c>
      <c r="AR83" s="49">
        <f t="shared" si="927"/>
        <v>0</v>
      </c>
      <c r="AS83" s="49">
        <f t="shared" si="927"/>
        <v>0</v>
      </c>
      <c r="AT83" s="49">
        <f t="shared" si="927"/>
        <v>0</v>
      </c>
      <c r="AU83" s="49">
        <f>SUBTOTAL(9,AU81:AU82)</f>
        <v>0</v>
      </c>
      <c r="AV83" s="49">
        <f t="shared" si="927"/>
        <v>0</v>
      </c>
      <c r="AW83" s="49">
        <f t="shared" si="927"/>
        <v>0</v>
      </c>
      <c r="AX83" s="49">
        <f t="shared" si="927"/>
        <v>0</v>
      </c>
      <c r="AY83" s="49">
        <f t="shared" si="927"/>
        <v>0</v>
      </c>
      <c r="AZ83" s="44">
        <f t="shared" si="927"/>
        <v>480</v>
      </c>
      <c r="BA83" s="48" t="s">
        <v>1</v>
      </c>
      <c r="BB83" s="48">
        <f t="shared" si="927"/>
        <v>0</v>
      </c>
      <c r="BC83" s="44">
        <f t="shared" si="927"/>
        <v>0</v>
      </c>
      <c r="BD83" s="44">
        <f t="shared" si="927"/>
        <v>0</v>
      </c>
      <c r="BE83" s="49">
        <f>SUBTOTAL(9,BE81:BE82)</f>
        <v>0</v>
      </c>
      <c r="BF83" s="49"/>
      <c r="BG83" s="49">
        <f t="shared" si="927"/>
        <v>0</v>
      </c>
      <c r="BH83" s="49">
        <f t="shared" si="927"/>
        <v>0</v>
      </c>
      <c r="BI83" s="49">
        <f t="shared" si="927"/>
        <v>0</v>
      </c>
      <c r="BJ83" s="49">
        <f t="shared" si="927"/>
        <v>0</v>
      </c>
      <c r="BK83" s="49">
        <f t="shared" si="927"/>
        <v>0</v>
      </c>
      <c r="BL83" s="49">
        <f t="shared" si="927"/>
        <v>0</v>
      </c>
      <c r="BM83" s="49">
        <f t="shared" si="927"/>
        <v>0</v>
      </c>
      <c r="BN83" s="49">
        <f t="shared" si="927"/>
        <v>0</v>
      </c>
      <c r="BO83" s="49">
        <f t="shared" si="927"/>
        <v>0</v>
      </c>
      <c r="BP83" s="49">
        <f t="shared" si="927"/>
        <v>0</v>
      </c>
      <c r="BQ83" s="44">
        <f>SUBTOTAL(9,BQ81:BQ82)</f>
        <v>480</v>
      </c>
    </row>
    <row r="84" spans="1:96" x14ac:dyDescent="0.25">
      <c r="A84" s="190">
        <f>+A81+1</f>
        <v>43550</v>
      </c>
      <c r="B84" s="32" t="s">
        <v>43</v>
      </c>
      <c r="C84" s="33">
        <v>12209.32</v>
      </c>
      <c r="D84" s="34">
        <v>6494.43</v>
      </c>
      <c r="E84" s="34">
        <v>6495</v>
      </c>
      <c r="F84" s="35">
        <v>43550</v>
      </c>
      <c r="G84" s="33">
        <f>IF(E84-D84&lt;0,E84-D84,0)*-1</f>
        <v>0</v>
      </c>
      <c r="H84" s="33">
        <f>IF(E84-D84&gt;0,E84-D84,0)</f>
        <v>0.56999999999970896</v>
      </c>
      <c r="I84" s="34"/>
      <c r="J84" s="34"/>
      <c r="K84" s="34">
        <v>3758.03</v>
      </c>
      <c r="L84" s="34"/>
      <c r="M84" s="36">
        <f>(+K84)*M$5</f>
        <v>80.797645000000003</v>
      </c>
      <c r="N84" s="36">
        <f>(+K84)*N$5</f>
        <v>18.790150000000001</v>
      </c>
      <c r="O84" s="36">
        <f>+K84-M84-N84+P84</f>
        <v>3658.4422050000003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>
        <v>67.86</v>
      </c>
      <c r="AD84" s="38" t="s">
        <v>141</v>
      </c>
      <c r="AE84" s="38">
        <v>1889</v>
      </c>
      <c r="AF84" s="34">
        <v>843.03</v>
      </c>
      <c r="AG84" s="33">
        <f>(AF84*0.8)*0.85</f>
        <v>573.2604</v>
      </c>
      <c r="AH84" s="33">
        <f>(AF84*0.8)*0.15</f>
        <v>101.16359999999999</v>
      </c>
      <c r="AI84" s="33">
        <f>AF84*0.2</f>
        <v>168.60599999999999</v>
      </c>
      <c r="AJ84" s="34"/>
      <c r="AK84" s="33">
        <f t="shared" ref="AK84:AK85" si="928">(C84-AF84-AJ84)/1.12</f>
        <v>10148.473214285712</v>
      </c>
      <c r="AL84" s="33">
        <f t="shared" ref="AL84:AL85" si="929">AK84-SUM(Y84:AC84)</f>
        <v>10080.613214285711</v>
      </c>
      <c r="AM84" s="33">
        <f t="shared" ref="AM84:AM85" si="930">+AL84*0.12</f>
        <v>1209.6735857142853</v>
      </c>
      <c r="AN84" s="33">
        <f t="shared" si="854"/>
        <v>11290.286799999996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41">
        <f>AZ84+BA84+BB84+BD84-BC84</f>
        <v>0</v>
      </c>
      <c r="BS84" s="145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</row>
    <row r="85" spans="1:96" ht="15.75" thickBot="1" x14ac:dyDescent="0.3">
      <c r="A85" s="191"/>
      <c r="B85" s="15" t="s">
        <v>44</v>
      </c>
      <c r="C85" s="33">
        <v>13574.14</v>
      </c>
      <c r="D85" s="34">
        <v>8856.48</v>
      </c>
      <c r="E85" s="34">
        <v>8855</v>
      </c>
      <c r="F85" s="35">
        <v>43551</v>
      </c>
      <c r="G85" s="33">
        <f>IF(E85-D85&lt;0,E85-D85,0)*-1</f>
        <v>1.4799999999995634</v>
      </c>
      <c r="H85" s="33">
        <f>IF(E85-D85&gt;0,E85-D85,0)</f>
        <v>0</v>
      </c>
      <c r="I85" s="34"/>
      <c r="J85" s="34"/>
      <c r="K85" s="34">
        <v>1718.89</v>
      </c>
      <c r="L85" s="34"/>
      <c r="M85" s="36">
        <f>(+K85)*M$5</f>
        <v>36.956134999999996</v>
      </c>
      <c r="N85" s="36">
        <f>(+K85)*N$5</f>
        <v>8.5944500000000001</v>
      </c>
      <c r="O85" s="36">
        <f>+K85-M85-N85+P85</f>
        <v>1673.3394150000001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27</v>
      </c>
      <c r="AA85" s="34"/>
      <c r="AB85" s="34"/>
      <c r="AC85" s="34">
        <v>147.77000000000001</v>
      </c>
      <c r="AD85" s="38" t="s">
        <v>141</v>
      </c>
      <c r="AE85" s="38">
        <v>2824</v>
      </c>
      <c r="AF85" s="34">
        <v>728.8</v>
      </c>
      <c r="AG85" s="33">
        <f>(AF85*0.8)*0.85</f>
        <v>495.58399999999995</v>
      </c>
      <c r="AH85" s="33">
        <f>(AF85*0.8)*0.15</f>
        <v>87.455999999999989</v>
      </c>
      <c r="AI85" s="33">
        <f>AF85*0.2</f>
        <v>145.76</v>
      </c>
      <c r="AJ85" s="34"/>
      <c r="AK85" s="33">
        <f t="shared" si="928"/>
        <v>11469.053571428571</v>
      </c>
      <c r="AL85" s="33">
        <f t="shared" si="929"/>
        <v>11294.28357142857</v>
      </c>
      <c r="AM85" s="33">
        <f t="shared" si="930"/>
        <v>1355.3140285714285</v>
      </c>
      <c r="AN85" s="33">
        <f t="shared" si="854"/>
        <v>12649.597599999999</v>
      </c>
      <c r="AO85" s="39">
        <v>158</v>
      </c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158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41">
        <f>AZ85+BA85+BB85+BD85-BC85</f>
        <v>158</v>
      </c>
      <c r="BS85" s="145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</row>
    <row r="86" spans="1:96" ht="15.75" thickBot="1" x14ac:dyDescent="0.3">
      <c r="A86" s="42"/>
      <c r="B86" s="43"/>
      <c r="C86" s="44">
        <f>SUBTOTAL(9,C84:C85)</f>
        <v>25783.46</v>
      </c>
      <c r="D86" s="45">
        <f t="shared" ref="D86" si="931">SUBTOTAL(9,D84:D85)</f>
        <v>15350.91</v>
      </c>
      <c r="E86" s="45">
        <f>SUBTOTAL(9,E84:E85)</f>
        <v>15350</v>
      </c>
      <c r="F86" s="47"/>
      <c r="G86" s="45">
        <f t="shared" ref="G86" si="932">SUBTOTAL(9,G84:G85)</f>
        <v>1.4799999999995634</v>
      </c>
      <c r="H86" s="45">
        <f t="shared" ref="H86" si="933">SUBTOTAL(9,H84:H85)</f>
        <v>0.56999999999970896</v>
      </c>
      <c r="I86" s="45">
        <f t="shared" ref="I86" si="934">SUBTOTAL(9,I84:I85)</f>
        <v>0</v>
      </c>
      <c r="J86" s="45">
        <f t="shared" ref="J86" si="935">SUBTOTAL(9,J84:J85)</f>
        <v>0</v>
      </c>
      <c r="K86" s="159">
        <f t="shared" ref="K86" si="936">SUBTOTAL(9,K84:K85)</f>
        <v>5476.92</v>
      </c>
      <c r="L86" s="45">
        <f t="shared" ref="L86" si="937">SUBTOTAL(9,L84:L85)</f>
        <v>0</v>
      </c>
      <c r="M86" s="46">
        <f t="shared" ref="M86" si="938">SUBTOTAL(9,M84:M85)</f>
        <v>117.75378000000001</v>
      </c>
      <c r="N86" s="46">
        <f t="shared" ref="N86" si="939">SUBTOTAL(9,N84:N85)</f>
        <v>27.384599999999999</v>
      </c>
      <c r="O86" s="46">
        <f t="shared" ref="O86" si="940">SUBTOTAL(9,O84:O85)</f>
        <v>5331.7816200000007</v>
      </c>
      <c r="P86" s="46">
        <f t="shared" ref="P86" si="941">SUBTOTAL(9,P84:P85)</f>
        <v>0</v>
      </c>
      <c r="Q86" s="47">
        <f t="shared" ref="Q86" si="942">SUBTOTAL(9,Q84:Q85)</f>
        <v>0</v>
      </c>
      <c r="R86" s="45">
        <f t="shared" ref="R86" si="943">SUBTOTAL(9,R84:R85)</f>
        <v>0</v>
      </c>
      <c r="S86" s="45">
        <f t="shared" ref="S86" si="944">SUBTOTAL(9,S84:S85)</f>
        <v>0</v>
      </c>
      <c r="T86" s="46">
        <f t="shared" ref="T86" si="945">SUBTOTAL(9,T84:T85)</f>
        <v>0</v>
      </c>
      <c r="U86" s="46">
        <f t="shared" ref="U86" si="946">SUBTOTAL(9,U84:U85)</f>
        <v>0</v>
      </c>
      <c r="V86" s="46">
        <f t="shared" ref="V86" si="947">SUBTOTAL(9,V84:V85)</f>
        <v>0</v>
      </c>
      <c r="W86" s="46">
        <f t="shared" ref="W86" si="948">SUBTOTAL(9,W84:W85)</f>
        <v>0</v>
      </c>
      <c r="X86" s="47">
        <f t="shared" ref="X86" si="949">SUBTOTAL(9,X84:X85)</f>
        <v>0</v>
      </c>
      <c r="Y86" s="45">
        <f t="shared" ref="Y86" si="950">SUBTOTAL(9,Y84:Y85)</f>
        <v>0</v>
      </c>
      <c r="Z86" s="45">
        <f t="shared" ref="Z86" si="951">SUBTOTAL(9,Z84:Z85)</f>
        <v>27</v>
      </c>
      <c r="AA86" s="45">
        <f t="shared" ref="AA86" si="952">SUBTOTAL(9,AA84:AA85)</f>
        <v>0</v>
      </c>
      <c r="AB86" s="45">
        <f t="shared" ref="AB86" si="953">SUBTOTAL(9,AB84:AB85)</f>
        <v>0</v>
      </c>
      <c r="AC86" s="45">
        <f t="shared" ref="AC86" si="954">SUBTOTAL(9,AC84:AC85)</f>
        <v>215.63</v>
      </c>
      <c r="AD86" s="48"/>
      <c r="AE86" s="48"/>
      <c r="AF86" s="45">
        <f t="shared" ref="AF86" si="955">SUBTOTAL(9,AF84:AF85)</f>
        <v>1571.83</v>
      </c>
      <c r="AG86" s="44">
        <f t="shared" ref="AG86" si="956">SUBTOTAL(9,AG84:AG85)</f>
        <v>1068.8444</v>
      </c>
      <c r="AH86" s="44">
        <f t="shared" ref="AH86" si="957">SUBTOTAL(9,AH84:AH85)</f>
        <v>188.61959999999999</v>
      </c>
      <c r="AI86" s="44">
        <f t="shared" ref="AI86" si="958">SUBTOTAL(9,AI84:AI85)</f>
        <v>314.36599999999999</v>
      </c>
      <c r="AJ86" s="45">
        <f t="shared" ref="AJ86" si="959">SUBTOTAL(9,AJ84:AJ85)</f>
        <v>0</v>
      </c>
      <c r="AK86" s="44">
        <f t="shared" ref="AK86" si="960">SUBTOTAL(9,AK84:AK85)</f>
        <v>21617.526785714283</v>
      </c>
      <c r="AL86" s="44">
        <f t="shared" ref="AL86" si="961">SUBTOTAL(9,AL84:AL85)</f>
        <v>21374.896785714282</v>
      </c>
      <c r="AM86" s="44">
        <f t="shared" ref="AM86" si="962">SUBTOTAL(9,AM84:AM85)</f>
        <v>2564.9876142857138</v>
      </c>
      <c r="AN86" s="44">
        <f t="shared" ref="AN86" si="963">SUBTOTAL(9,AN84:AN85)</f>
        <v>23939.884399999995</v>
      </c>
      <c r="AO86" s="49">
        <f t="shared" ref="R86:BP86" si="964">SUBTOTAL(9,AO84:AO85)</f>
        <v>158</v>
      </c>
      <c r="AP86" s="49">
        <f t="shared" si="964"/>
        <v>0</v>
      </c>
      <c r="AQ86" s="49">
        <f t="shared" si="964"/>
        <v>0</v>
      </c>
      <c r="AR86" s="49">
        <f t="shared" si="964"/>
        <v>0</v>
      </c>
      <c r="AS86" s="49">
        <f t="shared" si="964"/>
        <v>0</v>
      </c>
      <c r="AT86" s="49">
        <f t="shared" si="964"/>
        <v>0</v>
      </c>
      <c r="AU86" s="49">
        <f>SUBTOTAL(9,AU84:AU85)</f>
        <v>0</v>
      </c>
      <c r="AV86" s="49">
        <f t="shared" si="964"/>
        <v>0</v>
      </c>
      <c r="AW86" s="49">
        <f t="shared" si="964"/>
        <v>0</v>
      </c>
      <c r="AX86" s="49">
        <f t="shared" si="964"/>
        <v>0</v>
      </c>
      <c r="AY86" s="49">
        <f t="shared" si="964"/>
        <v>0</v>
      </c>
      <c r="AZ86" s="44">
        <f t="shared" si="964"/>
        <v>158</v>
      </c>
      <c r="BA86" s="48">
        <f t="shared" si="964"/>
        <v>0</v>
      </c>
      <c r="BB86" s="48">
        <f t="shared" si="964"/>
        <v>0</v>
      </c>
      <c r="BC86" s="44">
        <f t="shared" si="964"/>
        <v>0</v>
      </c>
      <c r="BD86" s="44">
        <f t="shared" si="964"/>
        <v>0</v>
      </c>
      <c r="BE86" s="49">
        <f>SUBTOTAL(9,BE84:BE85)</f>
        <v>0</v>
      </c>
      <c r="BF86" s="49">
        <f t="shared" si="964"/>
        <v>0</v>
      </c>
      <c r="BG86" s="49">
        <f t="shared" si="964"/>
        <v>0</v>
      </c>
      <c r="BH86" s="49">
        <f t="shared" si="964"/>
        <v>0</v>
      </c>
      <c r="BI86" s="49">
        <f t="shared" si="964"/>
        <v>0</v>
      </c>
      <c r="BJ86" s="49">
        <f t="shared" si="964"/>
        <v>0</v>
      </c>
      <c r="BK86" s="49">
        <f t="shared" si="964"/>
        <v>0</v>
      </c>
      <c r="BL86" s="49">
        <f t="shared" si="964"/>
        <v>0</v>
      </c>
      <c r="BM86" s="49">
        <f t="shared" si="964"/>
        <v>0</v>
      </c>
      <c r="BN86" s="49">
        <f t="shared" si="964"/>
        <v>0</v>
      </c>
      <c r="BO86" s="49">
        <f t="shared" si="964"/>
        <v>0</v>
      </c>
      <c r="BP86" s="49">
        <f t="shared" si="964"/>
        <v>0</v>
      </c>
      <c r="BQ86" s="44">
        <f>SUBTOTAL(9,BQ84:BQ85)</f>
        <v>158</v>
      </c>
    </row>
    <row r="87" spans="1:96" x14ac:dyDescent="0.25">
      <c r="A87" s="190">
        <f>+A84+1</f>
        <v>43551</v>
      </c>
      <c r="B87" s="15" t="s">
        <v>43</v>
      </c>
      <c r="C87" s="33">
        <v>22756.26</v>
      </c>
      <c r="D87" s="34">
        <v>14149.54</v>
      </c>
      <c r="E87" s="34">
        <v>14150</v>
      </c>
      <c r="F87" s="35">
        <v>43551</v>
      </c>
      <c r="G87" s="33">
        <f>IF(E87-D87&lt;0,E87-D87,0)*-1</f>
        <v>0</v>
      </c>
      <c r="H87" s="33">
        <f>IF(E87-D87&gt;0,E87-D87,0)</f>
        <v>0.45999999999912689</v>
      </c>
      <c r="I87" s="34">
        <v>200</v>
      </c>
      <c r="J87" s="34"/>
      <c r="K87" s="34">
        <v>5651.56</v>
      </c>
      <c r="L87" s="34"/>
      <c r="M87" s="36">
        <f>(+K87)*M$5</f>
        <v>121.50854</v>
      </c>
      <c r="N87" s="36">
        <f>(+K87)*N$5</f>
        <v>28.257800000000003</v>
      </c>
      <c r="O87" s="36">
        <f>+K87-M87-N87+P87</f>
        <v>5501.7936600000003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v>84</v>
      </c>
      <c r="AA87" s="34"/>
      <c r="AB87" s="34"/>
      <c r="AC87" s="34">
        <v>336.16</v>
      </c>
      <c r="AD87" s="38" t="s">
        <v>141</v>
      </c>
      <c r="AE87" s="38">
        <v>2335</v>
      </c>
      <c r="AF87" s="34">
        <v>1589.96</v>
      </c>
      <c r="AG87" s="33">
        <f>(AF87*0.8)*0.85</f>
        <v>1081.1728000000001</v>
      </c>
      <c r="AH87" s="33">
        <f>(AF87*0.8)*0.15</f>
        <v>190.79519999999999</v>
      </c>
      <c r="AI87" s="33">
        <f>AF87*0.2</f>
        <v>317.99200000000002</v>
      </c>
      <c r="AJ87" s="34"/>
      <c r="AK87" s="33">
        <f t="shared" ref="AK87:AK88" si="965">(C87-AF87-AJ87)/1.12</f>
        <v>18898.482142857141</v>
      </c>
      <c r="AL87" s="33">
        <f t="shared" ref="AL87:AL88" si="966">AK87-SUM(Y87:AC87)</f>
        <v>18478.322142857141</v>
      </c>
      <c r="AM87" s="33">
        <f t="shared" ref="AM87:AM88" si="967">+AL87*0.12</f>
        <v>2217.3986571428568</v>
      </c>
      <c r="AN87" s="33">
        <f t="shared" ref="AN87:AN88" si="968">+AM87+AL87+AJ87</f>
        <v>20695.720799999999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41">
        <f>AZ87+BA87+BB87+BD87-BC87</f>
        <v>0</v>
      </c>
      <c r="BS87" s="145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</row>
    <row r="88" spans="1:96" ht="15.75" thickBot="1" x14ac:dyDescent="0.3">
      <c r="A88" s="191"/>
      <c r="B88" s="15" t="s">
        <v>44</v>
      </c>
      <c r="C88" s="33">
        <v>26826.68</v>
      </c>
      <c r="D88" s="34">
        <v>10170.26</v>
      </c>
      <c r="E88" s="34">
        <v>10160</v>
      </c>
      <c r="F88" s="35">
        <v>43552</v>
      </c>
      <c r="G88" s="33">
        <f>IF(E88-D88&lt;0,E88-D88,0)*-1</f>
        <v>10.260000000000218</v>
      </c>
      <c r="H88" s="33">
        <f>IF(E88-D88&gt;0,E88-D88,0)</f>
        <v>0</v>
      </c>
      <c r="I88" s="34"/>
      <c r="J88" s="34"/>
      <c r="K88" s="34">
        <v>10657.84</v>
      </c>
      <c r="L88" s="34"/>
      <c r="M88" s="36">
        <f>(+K88)*M$5</f>
        <v>229.14355999999998</v>
      </c>
      <c r="N88" s="36">
        <f>(+K88)*N$5</f>
        <v>53.289200000000001</v>
      </c>
      <c r="O88" s="36">
        <f>+K88-M88-N88+P88</f>
        <v>10375.40724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20.75</v>
      </c>
      <c r="AA88" s="34"/>
      <c r="AB88" s="34"/>
      <c r="AC88" s="34">
        <v>80.58</v>
      </c>
      <c r="AD88" s="38" t="s">
        <v>141</v>
      </c>
      <c r="AE88" s="38">
        <v>5897.25</v>
      </c>
      <c r="AF88" s="34">
        <v>1592.78</v>
      </c>
      <c r="AG88" s="33">
        <f>(AF88*0.8)*0.85</f>
        <v>1083.0904</v>
      </c>
      <c r="AH88" s="33">
        <f>(AF88*0.8)*0.15</f>
        <v>191.13360000000003</v>
      </c>
      <c r="AI88" s="33">
        <f>AF88*0.2</f>
        <v>318.55600000000004</v>
      </c>
      <c r="AJ88" s="34"/>
      <c r="AK88" s="33">
        <f t="shared" si="965"/>
        <v>22530.267857142855</v>
      </c>
      <c r="AL88" s="33">
        <f t="shared" si="966"/>
        <v>22428.937857142853</v>
      </c>
      <c r="AM88" s="33">
        <f t="shared" si="967"/>
        <v>2691.4725428571423</v>
      </c>
      <c r="AN88" s="33">
        <f t="shared" si="968"/>
        <v>25120.410399999997</v>
      </c>
      <c r="AO88" s="39"/>
      <c r="AP88" s="40">
        <v>98</v>
      </c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98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41">
        <f>AZ88+BA88+BB88+BD88-BC88</f>
        <v>98</v>
      </c>
      <c r="BS88" s="145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</row>
    <row r="89" spans="1:96" ht="15.75" thickBot="1" x14ac:dyDescent="0.3">
      <c r="A89" s="42"/>
      <c r="B89" s="43"/>
      <c r="C89" s="44">
        <f>SUBTOTAL(9,C87:C88)</f>
        <v>49582.94</v>
      </c>
      <c r="D89" s="45">
        <f t="shared" ref="D89" si="969">SUBTOTAL(9,D87:D88)</f>
        <v>24319.800000000003</v>
      </c>
      <c r="E89" s="45">
        <f>SUBTOTAL(9,E87:E88)</f>
        <v>24310</v>
      </c>
      <c r="F89" s="47"/>
      <c r="G89" s="45">
        <f t="shared" ref="G89" si="970">SUBTOTAL(9,G87:G88)</f>
        <v>10.260000000000218</v>
      </c>
      <c r="H89" s="45">
        <f t="shared" ref="H89" si="971">SUBTOTAL(9,H87:H88)</f>
        <v>0.45999999999912689</v>
      </c>
      <c r="I89" s="45">
        <f t="shared" ref="I89" si="972">SUBTOTAL(9,I87:I88)</f>
        <v>200</v>
      </c>
      <c r="J89" s="45">
        <f t="shared" ref="J89" si="973">SUBTOTAL(9,J87:J88)</f>
        <v>0</v>
      </c>
      <c r="K89" s="159">
        <f t="shared" ref="K89" si="974">SUBTOTAL(9,K87:K88)</f>
        <v>16309.400000000001</v>
      </c>
      <c r="L89" s="45">
        <f t="shared" ref="L89" si="975">SUBTOTAL(9,L87:L88)</f>
        <v>0</v>
      </c>
      <c r="M89" s="46">
        <f t="shared" ref="M89" si="976">SUBTOTAL(9,M87:M88)</f>
        <v>350.65209999999996</v>
      </c>
      <c r="N89" s="46">
        <f t="shared" ref="N89" si="977">SUBTOTAL(9,N87:N88)</f>
        <v>81.546999999999997</v>
      </c>
      <c r="O89" s="46">
        <f t="shared" ref="O89" si="978">SUBTOTAL(9,O87:O88)</f>
        <v>15877.2009</v>
      </c>
      <c r="P89" s="46">
        <f t="shared" ref="P89" si="979">SUBTOTAL(9,P87:P88)</f>
        <v>0</v>
      </c>
      <c r="Q89" s="47">
        <f t="shared" ref="Q89" si="980">SUBTOTAL(9,Q87:Q88)</f>
        <v>0</v>
      </c>
      <c r="R89" s="45">
        <f t="shared" ref="R89" si="981">SUBTOTAL(9,R87:R88)</f>
        <v>0</v>
      </c>
      <c r="S89" s="45">
        <f t="shared" ref="S89" si="982">SUBTOTAL(9,S87:S88)</f>
        <v>0</v>
      </c>
      <c r="T89" s="46">
        <f t="shared" ref="T89" si="983">SUBTOTAL(9,T87:T88)</f>
        <v>0</v>
      </c>
      <c r="U89" s="46">
        <f t="shared" ref="U89" si="984">SUBTOTAL(9,U87:U88)</f>
        <v>0</v>
      </c>
      <c r="V89" s="46">
        <f t="shared" ref="V89" si="985">SUBTOTAL(9,V87:V88)</f>
        <v>0</v>
      </c>
      <c r="W89" s="46">
        <f t="shared" ref="W89" si="986">SUBTOTAL(9,W87:W88)</f>
        <v>0</v>
      </c>
      <c r="X89" s="47">
        <f t="shared" ref="X89" si="987">SUBTOTAL(9,X87:X88)</f>
        <v>0</v>
      </c>
      <c r="Y89" s="45">
        <f t="shared" ref="Y89" si="988">SUBTOTAL(9,Y87:Y88)</f>
        <v>0</v>
      </c>
      <c r="Z89" s="45">
        <f t="shared" ref="Z89" si="989">SUBTOTAL(9,Z87:Z88)</f>
        <v>104.75</v>
      </c>
      <c r="AA89" s="45">
        <f t="shared" ref="AA89" si="990">SUBTOTAL(9,AA87:AA88)</f>
        <v>0</v>
      </c>
      <c r="AB89" s="45">
        <f t="shared" ref="AB89" si="991">SUBTOTAL(9,AB87:AB88)</f>
        <v>0</v>
      </c>
      <c r="AC89" s="45">
        <f t="shared" ref="AC89" si="992">SUBTOTAL(9,AC87:AC88)</f>
        <v>416.74</v>
      </c>
      <c r="AD89" s="48"/>
      <c r="AE89" s="48"/>
      <c r="AF89" s="45">
        <f t="shared" ref="AF89" si="993">SUBTOTAL(9,AF87:AF88)</f>
        <v>3182.74</v>
      </c>
      <c r="AG89" s="44">
        <f t="shared" ref="AG89" si="994">SUBTOTAL(9,AG87:AG88)</f>
        <v>2164.2632000000003</v>
      </c>
      <c r="AH89" s="44">
        <f t="shared" ref="AH89" si="995">SUBTOTAL(9,AH87:AH88)</f>
        <v>381.92880000000002</v>
      </c>
      <c r="AI89" s="44">
        <f t="shared" ref="AI89" si="996">SUBTOTAL(9,AI87:AI88)</f>
        <v>636.548</v>
      </c>
      <c r="AJ89" s="45">
        <f t="shared" ref="AJ89" si="997">SUBTOTAL(9,AJ87:AJ88)</f>
        <v>0</v>
      </c>
      <c r="AK89" s="44">
        <f t="shared" ref="AK89" si="998">SUBTOTAL(9,AK87:AK88)</f>
        <v>41428.75</v>
      </c>
      <c r="AL89" s="44">
        <f t="shared" ref="AL89" si="999">SUBTOTAL(9,AL87:AL88)</f>
        <v>40907.259999999995</v>
      </c>
      <c r="AM89" s="44">
        <f t="shared" ref="AM89" si="1000">SUBTOTAL(9,AM87:AM88)</f>
        <v>4908.8711999999996</v>
      </c>
      <c r="AN89" s="44">
        <f t="shared" ref="AN89" si="1001">SUBTOTAL(9,AN87:AN88)</f>
        <v>45816.131199999996</v>
      </c>
      <c r="AO89" s="49">
        <f t="shared" ref="R89:BP89" si="1002">SUBTOTAL(9,AO87:AO88)</f>
        <v>0</v>
      </c>
      <c r="AP89" s="49">
        <f t="shared" si="1002"/>
        <v>98</v>
      </c>
      <c r="AQ89" s="49">
        <f t="shared" si="1002"/>
        <v>0</v>
      </c>
      <c r="AR89" s="49">
        <f t="shared" si="1002"/>
        <v>0</v>
      </c>
      <c r="AS89" s="49">
        <f t="shared" si="1002"/>
        <v>0</v>
      </c>
      <c r="AT89" s="49">
        <f t="shared" si="1002"/>
        <v>0</v>
      </c>
      <c r="AU89" s="49">
        <f>SUBTOTAL(9,AU87:AU88)</f>
        <v>0</v>
      </c>
      <c r="AV89" s="49">
        <f t="shared" si="1002"/>
        <v>0</v>
      </c>
      <c r="AW89" s="49">
        <f t="shared" si="1002"/>
        <v>0</v>
      </c>
      <c r="AX89" s="49">
        <f t="shared" si="1002"/>
        <v>0</v>
      </c>
      <c r="AY89" s="49">
        <f t="shared" si="1002"/>
        <v>0</v>
      </c>
      <c r="AZ89" s="44">
        <f t="shared" si="1002"/>
        <v>98</v>
      </c>
      <c r="BA89" s="48">
        <f t="shared" si="1002"/>
        <v>0</v>
      </c>
      <c r="BB89" s="48">
        <f t="shared" si="1002"/>
        <v>0</v>
      </c>
      <c r="BC89" s="44">
        <f t="shared" si="1002"/>
        <v>0</v>
      </c>
      <c r="BD89" s="44">
        <f t="shared" si="1002"/>
        <v>0</v>
      </c>
      <c r="BE89" s="49">
        <f>SUBTOTAL(9,BE87:BE88)</f>
        <v>0</v>
      </c>
      <c r="BF89" s="49">
        <f t="shared" si="1002"/>
        <v>0</v>
      </c>
      <c r="BG89" s="49">
        <f t="shared" si="1002"/>
        <v>0</v>
      </c>
      <c r="BH89" s="49">
        <f t="shared" si="1002"/>
        <v>0</v>
      </c>
      <c r="BI89" s="49">
        <f t="shared" si="1002"/>
        <v>0</v>
      </c>
      <c r="BJ89" s="49">
        <f t="shared" si="1002"/>
        <v>0</v>
      </c>
      <c r="BK89" s="49">
        <f t="shared" si="1002"/>
        <v>0</v>
      </c>
      <c r="BL89" s="49">
        <f t="shared" si="1002"/>
        <v>0</v>
      </c>
      <c r="BM89" s="49">
        <f t="shared" si="1002"/>
        <v>0</v>
      </c>
      <c r="BN89" s="49">
        <f t="shared" si="1002"/>
        <v>0</v>
      </c>
      <c r="BO89" s="49">
        <f t="shared" si="1002"/>
        <v>0</v>
      </c>
      <c r="BP89" s="49">
        <f t="shared" si="1002"/>
        <v>0</v>
      </c>
      <c r="BQ89" s="44">
        <f>SUBTOTAL(9,BQ87:BQ88)</f>
        <v>98</v>
      </c>
    </row>
    <row r="90" spans="1:96" x14ac:dyDescent="0.25">
      <c r="A90" s="190">
        <f>+A87+1</f>
        <v>43552</v>
      </c>
      <c r="B90" s="16" t="s">
        <v>43</v>
      </c>
      <c r="C90" s="33">
        <v>22344.79</v>
      </c>
      <c r="D90" s="34">
        <v>8091.66</v>
      </c>
      <c r="E90" s="34">
        <v>8092</v>
      </c>
      <c r="F90" s="35">
        <v>43552</v>
      </c>
      <c r="G90" s="33">
        <f>IF(E90-D90&lt;0,E90-D90,0)*-1</f>
        <v>0</v>
      </c>
      <c r="H90" s="33">
        <f>IF(E90-D90&gt;0,E90-D90,0)</f>
        <v>0.34000000000014552</v>
      </c>
      <c r="I90" s="34"/>
      <c r="J90" s="34"/>
      <c r="K90" s="34">
        <v>11351.2</v>
      </c>
      <c r="L90" s="34"/>
      <c r="M90" s="36">
        <f>(+K90)*M$5</f>
        <v>244.05080000000001</v>
      </c>
      <c r="N90" s="36">
        <f>(+K90)*N$5</f>
        <v>56.756000000000007</v>
      </c>
      <c r="O90" s="36">
        <f>+K90-M90-N90+P90</f>
        <v>11050.3932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58</v>
      </c>
      <c r="AA90" s="34"/>
      <c r="AB90" s="34"/>
      <c r="AC90" s="34">
        <v>508.93</v>
      </c>
      <c r="AD90" s="38" t="s">
        <v>141</v>
      </c>
      <c r="AE90" s="38">
        <v>2355</v>
      </c>
      <c r="AF90" s="34">
        <v>1582.15</v>
      </c>
      <c r="AG90" s="33">
        <f>(AF90*0.8)*0.85</f>
        <v>1075.8620000000001</v>
      </c>
      <c r="AH90" s="33">
        <f>(AF90*0.8)*0.15</f>
        <v>189.85800000000003</v>
      </c>
      <c r="AI90" s="33">
        <f>AF90*0.2</f>
        <v>316.43000000000006</v>
      </c>
      <c r="AJ90" s="34"/>
      <c r="AK90" s="33">
        <f>(C90-AF90-AJ90)/1.12</f>
        <v>18538.071428571428</v>
      </c>
      <c r="AL90" s="33">
        <f>AK90-SUM(Y90:AC90)</f>
        <v>17971.141428571427</v>
      </c>
      <c r="AM90" s="33">
        <f>+AL90*0.12</f>
        <v>2156.5369714285712</v>
      </c>
      <c r="AN90" s="33">
        <f t="shared" si="854"/>
        <v>20127.678399999997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41">
        <f>AZ90+BA90+BB90+BD90-BC90</f>
        <v>0</v>
      </c>
      <c r="BS90" s="145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</row>
    <row r="91" spans="1:96" ht="15.75" thickBot="1" x14ac:dyDescent="0.3">
      <c r="A91" s="191"/>
      <c r="B91" s="16" t="s">
        <v>44</v>
      </c>
      <c r="C91" s="33">
        <v>15588.38</v>
      </c>
      <c r="D91" s="34">
        <v>8438.61</v>
      </c>
      <c r="E91" s="34">
        <v>8439</v>
      </c>
      <c r="F91" s="35">
        <v>43553</v>
      </c>
      <c r="G91" s="33">
        <f>IF(E91-D91&lt;0,E91-D91,0)*-1</f>
        <v>0</v>
      </c>
      <c r="H91" s="33">
        <f>IF(E91-D91&gt;0,E91-D91,0)</f>
        <v>0.38999999999941792</v>
      </c>
      <c r="I91" s="34"/>
      <c r="J91" s="34"/>
      <c r="K91" s="34">
        <v>5724.2</v>
      </c>
      <c r="L91" s="34"/>
      <c r="M91" s="36">
        <f>(+K91)*M$5</f>
        <v>123.07029999999999</v>
      </c>
      <c r="N91" s="36">
        <f>(+K91)*N$5</f>
        <v>28.620999999999999</v>
      </c>
      <c r="O91" s="36">
        <f>+K91-M91-N91+P91</f>
        <v>5572.5086999999994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12.75</v>
      </c>
      <c r="AA91" s="34">
        <v>35.5</v>
      </c>
      <c r="AB91" s="34"/>
      <c r="AC91" s="34">
        <v>47.32</v>
      </c>
      <c r="AD91" s="38" t="s">
        <v>141</v>
      </c>
      <c r="AE91" s="38">
        <v>1330</v>
      </c>
      <c r="AF91" s="34">
        <v>1086.77</v>
      </c>
      <c r="AG91" s="33">
        <f>(AF91*0.8)*0.85</f>
        <v>739.00360000000001</v>
      </c>
      <c r="AH91" s="33">
        <f>(AF91*0.8)*0.15</f>
        <v>130.41239999999999</v>
      </c>
      <c r="AI91" s="33">
        <f>AF91*0.2</f>
        <v>217.35400000000001</v>
      </c>
      <c r="AJ91" s="34"/>
      <c r="AK91" s="33">
        <f>(C91-AF91-AJ91)/1.12</f>
        <v>12947.866071428569</v>
      </c>
      <c r="AL91" s="33">
        <f>AK91-SUM(Y91:AC91)</f>
        <v>12852.296071428569</v>
      </c>
      <c r="AM91" s="33">
        <f>+AL91*0.12</f>
        <v>1542.2755285714281</v>
      </c>
      <c r="AN91" s="33">
        <f t="shared" si="854"/>
        <v>14394.571599999997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41">
        <f>AZ91+BA91+BB91+BD91-BC91</f>
        <v>0</v>
      </c>
      <c r="BS91" s="145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</row>
    <row r="92" spans="1:96" ht="15.75" thickBot="1" x14ac:dyDescent="0.3">
      <c r="A92" s="42"/>
      <c r="B92" s="43"/>
      <c r="C92" s="44">
        <f>SUBTOTAL(9,C90:C91)</f>
        <v>37933.17</v>
      </c>
      <c r="D92" s="45">
        <f t="shared" ref="D92" si="1003">SUBTOTAL(9,D90:D91)</f>
        <v>16530.27</v>
      </c>
      <c r="E92" s="45">
        <f>SUBTOTAL(9,E90:E91)</f>
        <v>16531</v>
      </c>
      <c r="F92" s="47"/>
      <c r="G92" s="45">
        <f t="shared" ref="G92" si="1004">SUBTOTAL(9,G90:G91)</f>
        <v>0</v>
      </c>
      <c r="H92" s="45">
        <f t="shared" ref="H92" si="1005">SUBTOTAL(9,H90:H91)</f>
        <v>0.72999999999956344</v>
      </c>
      <c r="I92" s="45">
        <f t="shared" ref="I92" si="1006">SUBTOTAL(9,I90:I91)</f>
        <v>0</v>
      </c>
      <c r="J92" s="45">
        <f t="shared" ref="J92" si="1007">SUBTOTAL(9,J90:J91)</f>
        <v>0</v>
      </c>
      <c r="K92" s="159">
        <f t="shared" ref="K92" si="1008">SUBTOTAL(9,K90:K91)</f>
        <v>17075.400000000001</v>
      </c>
      <c r="L92" s="45">
        <f t="shared" ref="L92" si="1009">SUBTOTAL(9,L90:L91)</f>
        <v>0</v>
      </c>
      <c r="M92" s="46">
        <f t="shared" ref="M92" si="1010">SUBTOTAL(9,M90:M91)</f>
        <v>367.12110000000001</v>
      </c>
      <c r="N92" s="46">
        <f t="shared" ref="N92" si="1011">SUBTOTAL(9,N90:N91)</f>
        <v>85.37700000000001</v>
      </c>
      <c r="O92" s="46">
        <f t="shared" ref="O92" si="1012">SUBTOTAL(9,O90:O91)</f>
        <v>16622.901900000001</v>
      </c>
      <c r="P92" s="46">
        <f t="shared" ref="P92" si="1013">SUBTOTAL(9,P90:P91)</f>
        <v>0</v>
      </c>
      <c r="Q92" s="47">
        <f t="shared" ref="Q92" si="1014">SUBTOTAL(9,Q90:Q91)</f>
        <v>0</v>
      </c>
      <c r="R92" s="45">
        <f t="shared" ref="R92" si="1015">SUBTOTAL(9,R90:R91)</f>
        <v>0</v>
      </c>
      <c r="S92" s="45">
        <f t="shared" ref="S92" si="1016">SUBTOTAL(9,S90:S91)</f>
        <v>0</v>
      </c>
      <c r="T92" s="46">
        <f t="shared" ref="T92" si="1017">SUBTOTAL(9,T90:T91)</f>
        <v>0</v>
      </c>
      <c r="U92" s="46">
        <f t="shared" ref="U92" si="1018">SUBTOTAL(9,U90:U91)</f>
        <v>0</v>
      </c>
      <c r="V92" s="46">
        <f t="shared" ref="V92" si="1019">SUBTOTAL(9,V90:V91)</f>
        <v>0</v>
      </c>
      <c r="W92" s="46">
        <f t="shared" ref="W92" si="1020">SUBTOTAL(9,W90:W91)</f>
        <v>0</v>
      </c>
      <c r="X92" s="47">
        <f t="shared" ref="X92" si="1021">SUBTOTAL(9,X90:X91)</f>
        <v>0</v>
      </c>
      <c r="Y92" s="45">
        <f t="shared" ref="Y92" si="1022">SUBTOTAL(9,Y90:Y91)</f>
        <v>0</v>
      </c>
      <c r="Z92" s="45">
        <f t="shared" ref="Z92" si="1023">SUBTOTAL(9,Z90:Z91)</f>
        <v>70.75</v>
      </c>
      <c r="AA92" s="45">
        <f t="shared" ref="AA92" si="1024">SUBTOTAL(9,AA90:AA91)</f>
        <v>35.5</v>
      </c>
      <c r="AB92" s="45">
        <f t="shared" ref="AB92" si="1025">SUBTOTAL(9,AB90:AB91)</f>
        <v>0</v>
      </c>
      <c r="AC92" s="45">
        <f t="shared" ref="AC92" si="1026">SUBTOTAL(9,AC90:AC91)</f>
        <v>556.25</v>
      </c>
      <c r="AD92" s="48"/>
      <c r="AE92" s="48"/>
      <c r="AF92" s="45">
        <f t="shared" ref="AF92" si="1027">SUBTOTAL(9,AF90:AF91)</f>
        <v>2668.92</v>
      </c>
      <c r="AG92" s="44">
        <f t="shared" ref="AG92" si="1028">SUBTOTAL(9,AG90:AG91)</f>
        <v>1814.8656000000001</v>
      </c>
      <c r="AH92" s="44">
        <f t="shared" ref="AH92" si="1029">SUBTOTAL(9,AH90:AH91)</f>
        <v>320.2704</v>
      </c>
      <c r="AI92" s="44">
        <f t="shared" ref="AI92" si="1030">SUBTOTAL(9,AI90:AI91)</f>
        <v>533.78400000000011</v>
      </c>
      <c r="AJ92" s="45">
        <f t="shared" ref="AJ92" si="1031">SUBTOTAL(9,AJ90:AJ91)</f>
        <v>0</v>
      </c>
      <c r="AK92" s="44">
        <f t="shared" ref="AK92" si="1032">SUBTOTAL(9,AK90:AK91)</f>
        <v>31485.937499999996</v>
      </c>
      <c r="AL92" s="44">
        <f t="shared" ref="AL92" si="1033">SUBTOTAL(9,AL90:AL91)</f>
        <v>30823.437499999996</v>
      </c>
      <c r="AM92" s="44">
        <f t="shared" ref="AM92" si="1034">SUBTOTAL(9,AM90:AM91)</f>
        <v>3698.8124999999991</v>
      </c>
      <c r="AN92" s="44">
        <f t="shared" ref="AN92" si="1035">SUBTOTAL(9,AN90:AN91)</f>
        <v>34522.249999999993</v>
      </c>
      <c r="AO92" s="49">
        <f t="shared" ref="R92:BP92" si="1036">SUBTOTAL(9,AO90:AO91)</f>
        <v>0</v>
      </c>
      <c r="AP92" s="49">
        <f t="shared" si="1036"/>
        <v>0</v>
      </c>
      <c r="AQ92" s="49">
        <f t="shared" si="1036"/>
        <v>0</v>
      </c>
      <c r="AR92" s="49">
        <f t="shared" si="1036"/>
        <v>0</v>
      </c>
      <c r="AS92" s="49">
        <f t="shared" si="1036"/>
        <v>0</v>
      </c>
      <c r="AT92" s="49">
        <f t="shared" si="1036"/>
        <v>0</v>
      </c>
      <c r="AU92" s="49">
        <f>SUBTOTAL(9,AU90:AU91)</f>
        <v>0</v>
      </c>
      <c r="AV92" s="49">
        <f t="shared" si="1036"/>
        <v>0</v>
      </c>
      <c r="AW92" s="49">
        <f t="shared" si="1036"/>
        <v>0</v>
      </c>
      <c r="AX92" s="49">
        <f t="shared" si="1036"/>
        <v>0</v>
      </c>
      <c r="AY92" s="49">
        <f t="shared" si="1036"/>
        <v>0</v>
      </c>
      <c r="AZ92" s="44">
        <f t="shared" si="1036"/>
        <v>0</v>
      </c>
      <c r="BA92" s="48">
        <f t="shared" si="1036"/>
        <v>0</v>
      </c>
      <c r="BB92" s="48">
        <f t="shared" si="1036"/>
        <v>0</v>
      </c>
      <c r="BC92" s="44">
        <f t="shared" si="1036"/>
        <v>0</v>
      </c>
      <c r="BD92" s="44">
        <f t="shared" si="1036"/>
        <v>0</v>
      </c>
      <c r="BE92" s="49">
        <f>SUBTOTAL(9,BE90:BE91)</f>
        <v>0</v>
      </c>
      <c r="BF92" s="49">
        <f t="shared" si="1036"/>
        <v>0</v>
      </c>
      <c r="BG92" s="49">
        <f t="shared" si="1036"/>
        <v>0</v>
      </c>
      <c r="BH92" s="49">
        <f t="shared" si="1036"/>
        <v>0</v>
      </c>
      <c r="BI92" s="49">
        <f t="shared" si="1036"/>
        <v>0</v>
      </c>
      <c r="BJ92" s="49">
        <f t="shared" si="1036"/>
        <v>0</v>
      </c>
      <c r="BK92" s="49">
        <f t="shared" si="1036"/>
        <v>0</v>
      </c>
      <c r="BL92" s="49">
        <f t="shared" si="1036"/>
        <v>0</v>
      </c>
      <c r="BM92" s="49">
        <f t="shared" si="1036"/>
        <v>0</v>
      </c>
      <c r="BN92" s="49">
        <f t="shared" si="1036"/>
        <v>0</v>
      </c>
      <c r="BO92" s="49">
        <f t="shared" si="1036"/>
        <v>0</v>
      </c>
      <c r="BP92" s="49">
        <f t="shared" si="1036"/>
        <v>0</v>
      </c>
      <c r="BQ92" s="44">
        <f>SUBTOTAL(9,BQ90:BQ91)</f>
        <v>0</v>
      </c>
    </row>
    <row r="93" spans="1:96" x14ac:dyDescent="0.25">
      <c r="A93" s="190">
        <f>+A90+1</f>
        <v>43553</v>
      </c>
      <c r="B93" s="16" t="s">
        <v>43</v>
      </c>
      <c r="C93" s="33">
        <v>39827.99</v>
      </c>
      <c r="D93" s="34">
        <v>23039.06</v>
      </c>
      <c r="E93" s="34">
        <v>23043</v>
      </c>
      <c r="F93" s="35">
        <v>43557</v>
      </c>
      <c r="G93" s="33">
        <f>IF(E93-D93&lt;0,E93-D93,0)*-1</f>
        <v>0</v>
      </c>
      <c r="H93" s="33">
        <f>IF(E93-D93&gt;0,E93-D93,0)</f>
        <v>3.9399999999986903</v>
      </c>
      <c r="I93" s="34"/>
      <c r="J93" s="34"/>
      <c r="K93" s="34">
        <v>15875.72</v>
      </c>
      <c r="L93" s="34"/>
      <c r="M93" s="36">
        <f>(+K93)*M$5</f>
        <v>341.32797999999997</v>
      </c>
      <c r="N93" s="36">
        <f>(+K93)*N$5</f>
        <v>79.378599999999992</v>
      </c>
      <c r="O93" s="36">
        <f>+K93-M93-N93+P93</f>
        <v>15455.013419999999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f>55.65+370</f>
        <v>425.65</v>
      </c>
      <c r="AA93" s="34"/>
      <c r="AB93" s="34"/>
      <c r="AC93" s="34">
        <v>67.56</v>
      </c>
      <c r="AD93" s="38" t="s">
        <v>141</v>
      </c>
      <c r="AE93" s="38">
        <v>450</v>
      </c>
      <c r="AF93" s="34">
        <v>2805.53</v>
      </c>
      <c r="AG93" s="33">
        <f>(AF93*0.8)*0.85</f>
        <v>1907.7604000000003</v>
      </c>
      <c r="AH93" s="33">
        <f>(AF93*0.8)*0.15</f>
        <v>336.66360000000003</v>
      </c>
      <c r="AI93" s="33">
        <f>AF93*0.2</f>
        <v>561.10600000000011</v>
      </c>
      <c r="AJ93" s="34"/>
      <c r="AK93" s="33">
        <f t="shared" ref="AK93:AK94" si="1037">(C93-AF93-AJ93)/1.12</f>
        <v>33055.767857142855</v>
      </c>
      <c r="AL93" s="33">
        <f t="shared" ref="AL93:AL94" si="1038">AK93-SUM(Y93:AC93)</f>
        <v>32562.557857142856</v>
      </c>
      <c r="AM93" s="33">
        <f t="shared" ref="AM93:AM97" si="1039">+AL93*0.12</f>
        <v>3907.5069428571423</v>
      </c>
      <c r="AN93" s="33">
        <f t="shared" si="854"/>
        <v>36470.0648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41">
        <f>AZ93+BA93+BB93+BD93-BC93</f>
        <v>0</v>
      </c>
      <c r="BS93" s="145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</row>
    <row r="94" spans="1:96" ht="15.75" thickBot="1" x14ac:dyDescent="0.3">
      <c r="A94" s="191"/>
      <c r="B94" s="16" t="s">
        <v>44</v>
      </c>
      <c r="C94" s="33">
        <v>26421.55</v>
      </c>
      <c r="D94" s="34">
        <v>13588.82</v>
      </c>
      <c r="E94" s="34">
        <v>13590</v>
      </c>
      <c r="F94" s="35">
        <v>43556</v>
      </c>
      <c r="G94" s="33">
        <f>IF(E94-D94&lt;0,E94-D94,0)*-1</f>
        <v>0</v>
      </c>
      <c r="H94" s="33">
        <f>IF(E94-D94&gt;0,E94-D94,0)</f>
        <v>1.180000000000291</v>
      </c>
      <c r="I94" s="34"/>
      <c r="J94" s="34"/>
      <c r="K94" s="34">
        <v>10522.5</v>
      </c>
      <c r="L94" s="34"/>
      <c r="M94" s="36">
        <f>(+K94)*M$5</f>
        <v>226.23374999999999</v>
      </c>
      <c r="N94" s="36">
        <f>(+K94)*N$5</f>
        <v>52.612500000000004</v>
      </c>
      <c r="O94" s="36">
        <f>+K94-M94-N94+P94</f>
        <v>10243.653750000001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f>31.25+38+277.5</f>
        <v>346.75</v>
      </c>
      <c r="AA94" s="34"/>
      <c r="AB94" s="34"/>
      <c r="AC94" s="34">
        <v>33.479999999999997</v>
      </c>
      <c r="AD94" s="38" t="s">
        <v>141</v>
      </c>
      <c r="AE94" s="38">
        <v>1930</v>
      </c>
      <c r="AF94" s="34">
        <v>1953.64</v>
      </c>
      <c r="AG94" s="33">
        <f>(AF94*0.8)*0.85</f>
        <v>1328.4752000000001</v>
      </c>
      <c r="AH94" s="33">
        <f>(AF94*0.8)*0.15</f>
        <v>234.43680000000003</v>
      </c>
      <c r="AI94" s="33">
        <f>AF94*0.2</f>
        <v>390.72800000000007</v>
      </c>
      <c r="AJ94" s="34"/>
      <c r="AK94" s="33">
        <f t="shared" si="1037"/>
        <v>21846.348214285714</v>
      </c>
      <c r="AL94" s="33">
        <f t="shared" si="1038"/>
        <v>21466.118214285714</v>
      </c>
      <c r="AM94" s="33">
        <f t="shared" si="1039"/>
        <v>2575.9341857142858</v>
      </c>
      <c r="AN94" s="33">
        <f t="shared" si="854"/>
        <v>24042.0524</v>
      </c>
      <c r="AO94" s="39"/>
      <c r="AP94" s="40">
        <v>520</v>
      </c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520</v>
      </c>
      <c r="BA94" s="164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41">
        <f>AZ94+BA94+BB94+BD94-BC94</f>
        <v>520</v>
      </c>
      <c r="BS94" s="145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</row>
    <row r="95" spans="1:96" ht="15.75" thickBot="1" x14ac:dyDescent="0.3">
      <c r="A95" s="42"/>
      <c r="B95" s="43"/>
      <c r="C95" s="44">
        <f>SUBTOTAL(9,C93:C94)</f>
        <v>66249.539999999994</v>
      </c>
      <c r="D95" s="45">
        <f t="shared" ref="D95" si="1040">SUBTOTAL(9,D93:D94)</f>
        <v>36627.880000000005</v>
      </c>
      <c r="E95" s="45">
        <f>SUBTOTAL(9,E93:E94)</f>
        <v>36633</v>
      </c>
      <c r="F95" s="47"/>
      <c r="G95" s="45">
        <f t="shared" ref="G95" si="1041">SUBTOTAL(9,G93:G94)</f>
        <v>0</v>
      </c>
      <c r="H95" s="45">
        <f t="shared" ref="H95" si="1042">SUBTOTAL(9,H93:H94)</f>
        <v>5.1199999999989814</v>
      </c>
      <c r="I95" s="45">
        <f t="shared" ref="I95" si="1043">SUBTOTAL(9,I93:I94)</f>
        <v>0</v>
      </c>
      <c r="J95" s="45">
        <f t="shared" ref="J95" si="1044">SUBTOTAL(9,J93:J94)</f>
        <v>0</v>
      </c>
      <c r="K95" s="159">
        <f t="shared" ref="K95" si="1045">SUBTOTAL(9,K93:K94)</f>
        <v>26398.22</v>
      </c>
      <c r="L95" s="45">
        <f t="shared" ref="L95" si="1046">SUBTOTAL(9,L93:L94)</f>
        <v>0</v>
      </c>
      <c r="M95" s="46">
        <f t="shared" ref="M95" si="1047">SUBTOTAL(9,M93:M94)</f>
        <v>567.5617299999999</v>
      </c>
      <c r="N95" s="46">
        <f t="shared" ref="N95" si="1048">SUBTOTAL(9,N93:N94)</f>
        <v>131.99109999999999</v>
      </c>
      <c r="O95" s="46">
        <f t="shared" ref="O95" si="1049">SUBTOTAL(9,O93:O94)</f>
        <v>25698.667170000001</v>
      </c>
      <c r="P95" s="46">
        <f t="shared" ref="P95" si="1050">SUBTOTAL(9,P93:P94)</f>
        <v>0</v>
      </c>
      <c r="Q95" s="47">
        <f t="shared" ref="Q95" si="1051">SUBTOTAL(9,Q93:Q94)</f>
        <v>0</v>
      </c>
      <c r="R95" s="45">
        <f t="shared" ref="R95" si="1052">SUBTOTAL(9,R93:R94)</f>
        <v>0</v>
      </c>
      <c r="S95" s="45">
        <f t="shared" ref="S95" si="1053">SUBTOTAL(9,S93:S94)</f>
        <v>0</v>
      </c>
      <c r="T95" s="46">
        <f t="shared" ref="T95" si="1054">SUBTOTAL(9,T93:T94)</f>
        <v>0</v>
      </c>
      <c r="U95" s="46">
        <f t="shared" ref="U95" si="1055">SUBTOTAL(9,U93:U94)</f>
        <v>0</v>
      </c>
      <c r="V95" s="46">
        <f t="shared" ref="V95" si="1056">SUBTOTAL(9,V93:V94)</f>
        <v>0</v>
      </c>
      <c r="W95" s="46">
        <f t="shared" ref="W95" si="1057">SUBTOTAL(9,W93:W94)</f>
        <v>0</v>
      </c>
      <c r="X95" s="47">
        <f t="shared" ref="X95" si="1058">SUBTOTAL(9,X93:X94)</f>
        <v>0</v>
      </c>
      <c r="Y95" s="45">
        <f t="shared" ref="Y95" si="1059">SUBTOTAL(9,Y93:Y94)</f>
        <v>0</v>
      </c>
      <c r="Z95" s="45">
        <f t="shared" ref="Z95" si="1060">SUBTOTAL(9,Z93:Z94)</f>
        <v>772.4</v>
      </c>
      <c r="AA95" s="45">
        <f t="shared" ref="AA95" si="1061">SUBTOTAL(9,AA93:AA94)</f>
        <v>0</v>
      </c>
      <c r="AB95" s="45">
        <f t="shared" ref="AB95" si="1062">SUBTOTAL(9,AB93:AB94)</f>
        <v>0</v>
      </c>
      <c r="AC95" s="45">
        <f t="shared" ref="AC95" si="1063">SUBTOTAL(9,AC93:AC94)</f>
        <v>101.03999999999999</v>
      </c>
      <c r="AD95" s="48"/>
      <c r="AE95" s="48"/>
      <c r="AF95" s="45">
        <f t="shared" ref="AF95" si="1064">SUBTOTAL(9,AF93:AF94)</f>
        <v>4759.17</v>
      </c>
      <c r="AG95" s="44">
        <f t="shared" ref="AG95" si="1065">SUBTOTAL(9,AG93:AG94)</f>
        <v>3236.2356000000004</v>
      </c>
      <c r="AH95" s="44">
        <f t="shared" ref="AH95" si="1066">SUBTOTAL(9,AH93:AH94)</f>
        <v>571.10040000000004</v>
      </c>
      <c r="AI95" s="44">
        <f t="shared" ref="AI95" si="1067">SUBTOTAL(9,AI93:AI94)</f>
        <v>951.83400000000017</v>
      </c>
      <c r="AJ95" s="45">
        <f t="shared" ref="AJ95" si="1068">SUBTOTAL(9,AJ93:AJ94)</f>
        <v>0</v>
      </c>
      <c r="AK95" s="44">
        <f t="shared" ref="AK95" si="1069">SUBTOTAL(9,AK93:AK94)</f>
        <v>54902.116071428565</v>
      </c>
      <c r="AL95" s="44">
        <f t="shared" ref="AL95" si="1070">SUBTOTAL(9,AL93:AL94)</f>
        <v>54028.67607142857</v>
      </c>
      <c r="AM95" s="44">
        <f t="shared" ref="AM95" si="1071">SUBTOTAL(9,AM93:AM94)</f>
        <v>6483.4411285714286</v>
      </c>
      <c r="AN95" s="44">
        <f t="shared" ref="AN95" si="1072">SUBTOTAL(9,AN93:AN94)</f>
        <v>60512.117200000001</v>
      </c>
      <c r="AO95" s="49">
        <f t="shared" ref="R95:BP95" si="1073">SUBTOTAL(9,AO93:AO94)</f>
        <v>0</v>
      </c>
      <c r="AP95" s="49">
        <f t="shared" si="1073"/>
        <v>520</v>
      </c>
      <c r="AQ95" s="49">
        <f t="shared" si="1073"/>
        <v>0</v>
      </c>
      <c r="AR95" s="49">
        <f t="shared" si="1073"/>
        <v>0</v>
      </c>
      <c r="AS95" s="49">
        <f t="shared" si="1073"/>
        <v>0</v>
      </c>
      <c r="AT95" s="49">
        <f t="shared" si="1073"/>
        <v>0</v>
      </c>
      <c r="AU95" s="49">
        <f>SUBTOTAL(9,AU93:AU94)</f>
        <v>0</v>
      </c>
      <c r="AV95" s="49">
        <f t="shared" si="1073"/>
        <v>0</v>
      </c>
      <c r="AW95" s="49">
        <f t="shared" si="1073"/>
        <v>0</v>
      </c>
      <c r="AX95" s="49">
        <f t="shared" si="1073"/>
        <v>0</v>
      </c>
      <c r="AY95" s="49">
        <f t="shared" si="1073"/>
        <v>0</v>
      </c>
      <c r="AZ95" s="44">
        <f t="shared" si="1073"/>
        <v>520</v>
      </c>
      <c r="BA95" s="48">
        <f t="shared" si="1073"/>
        <v>0</v>
      </c>
      <c r="BB95" s="48">
        <f t="shared" si="1073"/>
        <v>0</v>
      </c>
      <c r="BC95" s="44">
        <f t="shared" si="1073"/>
        <v>0</v>
      </c>
      <c r="BD95" s="44">
        <f t="shared" si="1073"/>
        <v>0</v>
      </c>
      <c r="BE95" s="49">
        <f>SUBTOTAL(9,BE93:BE94)</f>
        <v>0</v>
      </c>
      <c r="BF95" s="49">
        <f t="shared" si="1073"/>
        <v>0</v>
      </c>
      <c r="BG95" s="49">
        <f t="shared" si="1073"/>
        <v>0</v>
      </c>
      <c r="BH95" s="49">
        <f t="shared" si="1073"/>
        <v>0</v>
      </c>
      <c r="BI95" s="49">
        <f t="shared" si="1073"/>
        <v>0</v>
      </c>
      <c r="BJ95" s="49">
        <f t="shared" si="1073"/>
        <v>0</v>
      </c>
      <c r="BK95" s="49">
        <f t="shared" si="1073"/>
        <v>0</v>
      </c>
      <c r="BL95" s="49">
        <f t="shared" si="1073"/>
        <v>0</v>
      </c>
      <c r="BM95" s="49">
        <f t="shared" si="1073"/>
        <v>0</v>
      </c>
      <c r="BN95" s="49">
        <f t="shared" si="1073"/>
        <v>0</v>
      </c>
      <c r="BO95" s="49">
        <f t="shared" si="1073"/>
        <v>0</v>
      </c>
      <c r="BP95" s="49">
        <f t="shared" si="1073"/>
        <v>0</v>
      </c>
      <c r="BQ95" s="44">
        <f>SUBTOTAL(9,BQ93:BQ94)</f>
        <v>520</v>
      </c>
    </row>
    <row r="96" spans="1:96" x14ac:dyDescent="0.25">
      <c r="A96" s="196">
        <f>+A93+1</f>
        <v>43554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074">(C96-AF96-AJ96)/1.12</f>
        <v>0</v>
      </c>
      <c r="AL96" s="33">
        <f t="shared" ref="AL96:AL97" si="1075">AK96-SUM(Y96:AC96)</f>
        <v>0</v>
      </c>
      <c r="AM96" s="33">
        <f t="shared" si="1039"/>
        <v>0</v>
      </c>
      <c r="AN96" s="33">
        <f t="shared" ref="AN96:AN97" si="1076"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41">
        <f>AZ96+BA96+BB96+BD96-BC96</f>
        <v>0</v>
      </c>
      <c r="BS96" s="145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</row>
    <row r="97" spans="1:96" ht="15.75" thickBot="1" x14ac:dyDescent="0.3">
      <c r="A97" s="190"/>
      <c r="B97" s="16" t="s">
        <v>44</v>
      </c>
      <c r="C97" s="33">
        <v>31867.22</v>
      </c>
      <c r="D97" s="34">
        <v>884.2</v>
      </c>
      <c r="E97" s="34">
        <v>885</v>
      </c>
      <c r="F97" s="35">
        <v>43556</v>
      </c>
      <c r="G97" s="33">
        <f>IF(E97-D97&lt;0,E97-D97,0)*-1</f>
        <v>0</v>
      </c>
      <c r="H97" s="33">
        <f>IF(E97-D97&gt;0,E97-D97,0)</f>
        <v>0.79999999999995453</v>
      </c>
      <c r="I97" s="34"/>
      <c r="J97" s="34"/>
      <c r="K97" s="34">
        <v>23807.7</v>
      </c>
      <c r="L97" s="34"/>
      <c r="M97" s="36">
        <f>(+K97)*M$5</f>
        <v>511.86554999999998</v>
      </c>
      <c r="N97" s="36">
        <f>(+K97)*N$5</f>
        <v>119.0385</v>
      </c>
      <c r="O97" s="36">
        <f>+K97-M97-N97+P97</f>
        <v>23176.795950000003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698.75</v>
      </c>
      <c r="AA97" s="34"/>
      <c r="AB97" s="34"/>
      <c r="AC97" s="34">
        <v>53.57</v>
      </c>
      <c r="AD97" s="38" t="s">
        <v>141</v>
      </c>
      <c r="AE97" s="164">
        <v>6423</v>
      </c>
      <c r="AF97" s="34">
        <v>2006.36</v>
      </c>
      <c r="AG97" s="33">
        <f>(AF97*0.8)*0.85</f>
        <v>1364.3247999999999</v>
      </c>
      <c r="AH97" s="33">
        <f>(AF97*0.8)*0.15</f>
        <v>240.76319999999998</v>
      </c>
      <c r="AI97" s="33">
        <f>AF97*0.2</f>
        <v>401.27199999999999</v>
      </c>
      <c r="AJ97" s="34"/>
      <c r="AK97" s="33">
        <f t="shared" si="1074"/>
        <v>26661.482142857141</v>
      </c>
      <c r="AL97" s="33">
        <f t="shared" si="1075"/>
        <v>25909.162142857142</v>
      </c>
      <c r="AM97" s="33">
        <f t="shared" si="1039"/>
        <v>3109.0994571428569</v>
      </c>
      <c r="AN97" s="33">
        <f t="shared" si="1076"/>
        <v>29018.261599999998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41">
        <f>AZ97+BA97+BB97+BD97-BC97</f>
        <v>0</v>
      </c>
      <c r="BS97" s="145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</row>
    <row r="98" spans="1:96" ht="15.75" thickBot="1" x14ac:dyDescent="0.3">
      <c r="A98" s="157"/>
      <c r="B98" s="43"/>
      <c r="C98" s="44">
        <f>SUBTOTAL(9,C96:C97)</f>
        <v>31867.22</v>
      </c>
      <c r="D98" s="45">
        <f t="shared" ref="D98" si="1077">SUBTOTAL(9,D96:D97)</f>
        <v>884.2</v>
      </c>
      <c r="E98" s="45">
        <f>SUBTOTAL(9,E96:E97)</f>
        <v>885</v>
      </c>
      <c r="F98" s="47"/>
      <c r="G98" s="45">
        <f t="shared" ref="G98" si="1078">SUBTOTAL(9,G96:G97)</f>
        <v>0</v>
      </c>
      <c r="H98" s="45">
        <f t="shared" ref="H98" si="1079">SUBTOTAL(9,H96:H97)</f>
        <v>0.79999999999995453</v>
      </c>
      <c r="I98" s="45">
        <f t="shared" ref="I98" si="1080">SUBTOTAL(9,I96:I97)</f>
        <v>0</v>
      </c>
      <c r="J98" s="45">
        <f t="shared" ref="J98" si="1081">SUBTOTAL(9,J96:J97)</f>
        <v>0</v>
      </c>
      <c r="K98" s="159">
        <f t="shared" ref="K98" si="1082">SUBTOTAL(9,K96:K97)</f>
        <v>23807.7</v>
      </c>
      <c r="L98" s="45">
        <f t="shared" ref="L98" si="1083">SUBTOTAL(9,L96:L97)</f>
        <v>0</v>
      </c>
      <c r="M98" s="46">
        <f t="shared" ref="M98" si="1084">SUBTOTAL(9,M96:M97)</f>
        <v>511.86554999999998</v>
      </c>
      <c r="N98" s="46">
        <f t="shared" ref="N98" si="1085">SUBTOTAL(9,N96:N97)</f>
        <v>119.0385</v>
      </c>
      <c r="O98" s="46">
        <f t="shared" ref="O98" si="1086">SUBTOTAL(9,O96:O97)</f>
        <v>23176.795950000003</v>
      </c>
      <c r="P98" s="46">
        <f t="shared" ref="P98" si="1087">SUBTOTAL(9,P96:P97)</f>
        <v>0</v>
      </c>
      <c r="Q98" s="47">
        <f t="shared" ref="Q98" si="1088">SUBTOTAL(9,Q96:Q97)</f>
        <v>0</v>
      </c>
      <c r="R98" s="45">
        <f t="shared" ref="R98" si="1089">SUBTOTAL(9,R96:R97)</f>
        <v>0</v>
      </c>
      <c r="S98" s="45">
        <f t="shared" ref="S98" si="1090">SUBTOTAL(9,S96:S97)</f>
        <v>0</v>
      </c>
      <c r="T98" s="46">
        <f t="shared" ref="T98" si="1091">SUBTOTAL(9,T96:T97)</f>
        <v>0</v>
      </c>
      <c r="U98" s="46">
        <f t="shared" ref="U98" si="1092">SUBTOTAL(9,U96:U97)</f>
        <v>0</v>
      </c>
      <c r="V98" s="46">
        <f t="shared" ref="V98" si="1093">SUBTOTAL(9,V96:V97)</f>
        <v>0</v>
      </c>
      <c r="W98" s="46">
        <f t="shared" ref="W98" si="1094">SUBTOTAL(9,W96:W97)</f>
        <v>0</v>
      </c>
      <c r="X98" s="47">
        <f t="shared" ref="X98" si="1095">SUBTOTAL(9,X96:X97)</f>
        <v>0</v>
      </c>
      <c r="Y98" s="45">
        <f t="shared" ref="Y98" si="1096">SUBTOTAL(9,Y96:Y97)</f>
        <v>0</v>
      </c>
      <c r="Z98" s="45">
        <f t="shared" ref="Z98" si="1097">SUBTOTAL(9,Z96:Z97)</f>
        <v>698.75</v>
      </c>
      <c r="AA98" s="45">
        <f t="shared" ref="AA98" si="1098">SUBTOTAL(9,AA96:AA97)</f>
        <v>0</v>
      </c>
      <c r="AB98" s="45">
        <f t="shared" ref="AB98" si="1099">SUBTOTAL(9,AB96:AB97)</f>
        <v>0</v>
      </c>
      <c r="AC98" s="45">
        <f t="shared" ref="AC98" si="1100">SUBTOTAL(9,AC96:AC97)</f>
        <v>53.57</v>
      </c>
      <c r="AD98" s="48"/>
      <c r="AE98" s="48"/>
      <c r="AF98" s="45">
        <f t="shared" ref="AF98" si="1101">SUBTOTAL(9,AF96:AF97)</f>
        <v>2006.36</v>
      </c>
      <c r="AG98" s="44">
        <f t="shared" ref="AG98" si="1102">SUBTOTAL(9,AG96:AG97)</f>
        <v>1364.3247999999999</v>
      </c>
      <c r="AH98" s="44">
        <f t="shared" ref="AH98" si="1103">SUBTOTAL(9,AH96:AH97)</f>
        <v>240.76319999999998</v>
      </c>
      <c r="AI98" s="44">
        <f t="shared" ref="AI98" si="1104">SUBTOTAL(9,AI96:AI97)</f>
        <v>401.27199999999999</v>
      </c>
      <c r="AJ98" s="45">
        <f t="shared" ref="AJ98" si="1105">SUBTOTAL(9,AJ96:AJ97)</f>
        <v>0</v>
      </c>
      <c r="AK98" s="44">
        <f t="shared" ref="AK98" si="1106">SUBTOTAL(9,AK96:AK97)</f>
        <v>26661.482142857141</v>
      </c>
      <c r="AL98" s="44">
        <f t="shared" ref="AL98" si="1107">SUBTOTAL(9,AL96:AL97)</f>
        <v>25909.162142857142</v>
      </c>
      <c r="AM98" s="44">
        <f t="shared" ref="AM98" si="1108">SUBTOTAL(9,AM96:AM97)</f>
        <v>3109.0994571428569</v>
      </c>
      <c r="AN98" s="44">
        <f t="shared" ref="AN98" si="1109">SUBTOTAL(9,AN96:AN97)</f>
        <v>29018.261599999998</v>
      </c>
      <c r="AO98" s="49">
        <f t="shared" ref="R98:BP98" si="1110">SUBTOTAL(9,AO96:AO97)</f>
        <v>0</v>
      </c>
      <c r="AP98" s="49">
        <f t="shared" si="1110"/>
        <v>0</v>
      </c>
      <c r="AQ98" s="49">
        <f t="shared" si="1110"/>
        <v>0</v>
      </c>
      <c r="AR98" s="49">
        <f t="shared" si="1110"/>
        <v>0</v>
      </c>
      <c r="AS98" s="49">
        <f t="shared" si="1110"/>
        <v>0</v>
      </c>
      <c r="AT98" s="49">
        <f t="shared" si="1110"/>
        <v>0</v>
      </c>
      <c r="AU98" s="49">
        <f>SUBTOTAL(9,AU96:AU97)</f>
        <v>0</v>
      </c>
      <c r="AV98" s="49">
        <f t="shared" si="1110"/>
        <v>0</v>
      </c>
      <c r="AW98" s="49">
        <f t="shared" si="1110"/>
        <v>0</v>
      </c>
      <c r="AX98" s="49">
        <f t="shared" si="1110"/>
        <v>0</v>
      </c>
      <c r="AY98" s="49">
        <f t="shared" si="1110"/>
        <v>0</v>
      </c>
      <c r="AZ98" s="44">
        <f t="shared" si="1110"/>
        <v>0</v>
      </c>
      <c r="BA98" s="48">
        <f t="shared" si="1110"/>
        <v>0</v>
      </c>
      <c r="BB98" s="48">
        <f t="shared" si="1110"/>
        <v>0</v>
      </c>
      <c r="BC98" s="44">
        <f t="shared" si="1110"/>
        <v>0</v>
      </c>
      <c r="BD98" s="44">
        <f t="shared" si="1110"/>
        <v>0</v>
      </c>
      <c r="BE98" s="49">
        <f>SUBTOTAL(9,BE96:BE97)</f>
        <v>0</v>
      </c>
      <c r="BF98" s="49">
        <f t="shared" si="1110"/>
        <v>0</v>
      </c>
      <c r="BG98" s="49">
        <f t="shared" si="1110"/>
        <v>0</v>
      </c>
      <c r="BH98" s="49">
        <f t="shared" si="1110"/>
        <v>0</v>
      </c>
      <c r="BI98" s="49">
        <f t="shared" si="1110"/>
        <v>0</v>
      </c>
      <c r="BJ98" s="49">
        <f t="shared" si="1110"/>
        <v>0</v>
      </c>
      <c r="BK98" s="49">
        <f t="shared" si="1110"/>
        <v>0</v>
      </c>
      <c r="BL98" s="49">
        <f t="shared" si="1110"/>
        <v>0</v>
      </c>
      <c r="BM98" s="49">
        <f t="shared" si="1110"/>
        <v>0</v>
      </c>
      <c r="BN98" s="49">
        <f t="shared" si="1110"/>
        <v>0</v>
      </c>
      <c r="BO98" s="49">
        <f t="shared" si="1110"/>
        <v>0</v>
      </c>
      <c r="BP98" s="49">
        <f t="shared" si="1110"/>
        <v>0</v>
      </c>
      <c r="BQ98" s="158">
        <f>SUBTOTAL(9,BQ96:BQ97)</f>
        <v>0</v>
      </c>
    </row>
    <row r="99" spans="1:96" ht="15" customHeight="1" x14ac:dyDescent="0.25">
      <c r="A99" s="196">
        <f>+A96+1</f>
        <v>43555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854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156">
        <f>AZ99+BA99+BB99+BD99-BC99</f>
        <v>0</v>
      </c>
      <c r="BS99" s="145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</row>
    <row r="100" spans="1:96" ht="15.75" customHeight="1" thickBot="1" x14ac:dyDescent="0.3">
      <c r="A100" s="190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854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>
        <v>0</v>
      </c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156">
        <f>AZ100+BA100+BB100+BD100-BC100</f>
        <v>0</v>
      </c>
      <c r="BS100" s="145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</row>
    <row r="101" spans="1:96" ht="15.75" hidden="1" thickBot="1" x14ac:dyDescent="0.3">
      <c r="A101" s="196">
        <f>A96+1</f>
        <v>43555</v>
      </c>
      <c r="B101" s="16" t="s">
        <v>43</v>
      </c>
      <c r="C101" s="33"/>
      <c r="D101" s="34"/>
      <c r="E101" s="34"/>
      <c r="F101" s="35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854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SUM(BE101:BL101)*0.1+(BM101*0.5)</f>
        <v>0</v>
      </c>
      <c r="BD101" s="33">
        <f>SUM(BE101:BL101)+(BM101*0.5)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41">
        <f>AZ101+BA101+BB101+BD101-BC101</f>
        <v>0</v>
      </c>
      <c r="BS101" s="145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</row>
    <row r="102" spans="1:96" ht="15.75" hidden="1" thickBot="1" x14ac:dyDescent="0.3">
      <c r="A102" s="190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854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41">
        <f>AZ102+BA102+BB102+BD102-BC102</f>
        <v>0</v>
      </c>
      <c r="BS102" s="145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</row>
    <row r="103" spans="1:96" ht="15.75" thickBot="1" x14ac:dyDescent="0.3">
      <c r="A103" s="42"/>
      <c r="B103" s="43"/>
      <c r="C103" s="44">
        <f>SUBTOTAL(9,C101:C102)</f>
        <v>0</v>
      </c>
      <c r="D103" s="45">
        <f t="shared" ref="D103" si="1111">SUBTOTAL(9,D101:D102)</f>
        <v>0</v>
      </c>
      <c r="E103" s="45">
        <f>SUBTOTAL(9,E101:E102)</f>
        <v>0</v>
      </c>
      <c r="F103" s="47"/>
      <c r="G103" s="45">
        <f t="shared" ref="F103:AN103" si="1112">SUBTOTAL(9,G101:G102)</f>
        <v>0</v>
      </c>
      <c r="H103" s="45">
        <f t="shared" si="1112"/>
        <v>0</v>
      </c>
      <c r="I103" s="45">
        <f t="shared" si="1112"/>
        <v>0</v>
      </c>
      <c r="J103" s="45">
        <f t="shared" si="1112"/>
        <v>0</v>
      </c>
      <c r="K103" s="159">
        <f t="shared" si="1112"/>
        <v>0</v>
      </c>
      <c r="L103" s="45">
        <f t="shared" si="1112"/>
        <v>0</v>
      </c>
      <c r="M103" s="46">
        <f t="shared" si="1112"/>
        <v>0</v>
      </c>
      <c r="N103" s="46">
        <f t="shared" si="1112"/>
        <v>0</v>
      </c>
      <c r="O103" s="46">
        <f t="shared" si="1112"/>
        <v>0</v>
      </c>
      <c r="P103" s="46">
        <f t="shared" si="1112"/>
        <v>0</v>
      </c>
      <c r="Q103" s="47">
        <f t="shared" si="1112"/>
        <v>0</v>
      </c>
      <c r="R103" s="45">
        <f t="shared" si="1112"/>
        <v>0</v>
      </c>
      <c r="S103" s="45">
        <f t="shared" si="1112"/>
        <v>0</v>
      </c>
      <c r="T103" s="46">
        <f t="shared" si="1112"/>
        <v>0</v>
      </c>
      <c r="U103" s="46">
        <f t="shared" si="1112"/>
        <v>0</v>
      </c>
      <c r="V103" s="46">
        <f t="shared" si="1112"/>
        <v>0</v>
      </c>
      <c r="W103" s="46">
        <f t="shared" si="1112"/>
        <v>0</v>
      </c>
      <c r="X103" s="47">
        <f t="shared" si="1112"/>
        <v>0</v>
      </c>
      <c r="Y103" s="45">
        <f t="shared" si="1112"/>
        <v>0</v>
      </c>
      <c r="Z103" s="45">
        <f t="shared" si="1112"/>
        <v>0</v>
      </c>
      <c r="AA103" s="45">
        <f t="shared" si="1112"/>
        <v>0</v>
      </c>
      <c r="AB103" s="45">
        <f t="shared" si="1112"/>
        <v>0</v>
      </c>
      <c r="AC103" s="45">
        <f t="shared" si="1112"/>
        <v>0</v>
      </c>
      <c r="AD103" s="48"/>
      <c r="AE103" s="48"/>
      <c r="AF103" s="45">
        <f t="shared" si="1112"/>
        <v>0</v>
      </c>
      <c r="AG103" s="44">
        <f t="shared" si="1112"/>
        <v>0</v>
      </c>
      <c r="AH103" s="44">
        <f t="shared" si="1112"/>
        <v>0</v>
      </c>
      <c r="AI103" s="44">
        <f t="shared" si="1112"/>
        <v>0</v>
      </c>
      <c r="AJ103" s="45">
        <f t="shared" si="1112"/>
        <v>0</v>
      </c>
      <c r="AK103" s="44">
        <f t="shared" si="1112"/>
        <v>0</v>
      </c>
      <c r="AL103" s="44">
        <f t="shared" si="1112"/>
        <v>0</v>
      </c>
      <c r="AM103" s="44">
        <f t="shared" si="1112"/>
        <v>0</v>
      </c>
      <c r="AN103" s="44">
        <f t="shared" si="1112"/>
        <v>0</v>
      </c>
      <c r="AO103" s="49">
        <f t="shared" ref="AO103:AZ103" si="1113">SUBTOTAL(9,AO101:AO102)</f>
        <v>0</v>
      </c>
      <c r="AP103" s="49">
        <f t="shared" si="1113"/>
        <v>0</v>
      </c>
      <c r="AQ103" s="49">
        <f t="shared" si="1113"/>
        <v>0</v>
      </c>
      <c r="AR103" s="49">
        <f t="shared" si="1113"/>
        <v>0</v>
      </c>
      <c r="AS103" s="49">
        <f t="shared" si="1113"/>
        <v>0</v>
      </c>
      <c r="AT103" s="49">
        <f t="shared" si="1113"/>
        <v>0</v>
      </c>
      <c r="AU103" s="49">
        <f t="shared" si="1113"/>
        <v>0</v>
      </c>
      <c r="AV103" s="49">
        <f t="shared" si="1113"/>
        <v>0</v>
      </c>
      <c r="AW103" s="49">
        <f t="shared" si="1113"/>
        <v>0</v>
      </c>
      <c r="AX103" s="49">
        <f t="shared" si="1113"/>
        <v>0</v>
      </c>
      <c r="AY103" s="49">
        <f t="shared" si="1113"/>
        <v>0</v>
      </c>
      <c r="AZ103" s="44">
        <f t="shared" si="1113"/>
        <v>0</v>
      </c>
      <c r="BA103" s="48"/>
      <c r="BB103" s="48">
        <f t="shared" ref="BB103:BQ103" si="1114">SUBTOTAL(9,BB101:BB102)</f>
        <v>0</v>
      </c>
      <c r="BC103" s="44">
        <f t="shared" si="1114"/>
        <v>0</v>
      </c>
      <c r="BD103" s="44">
        <f t="shared" si="1114"/>
        <v>0</v>
      </c>
      <c r="BE103" s="49">
        <f t="shared" si="1114"/>
        <v>0</v>
      </c>
      <c r="BF103" s="49">
        <f t="shared" si="1114"/>
        <v>0</v>
      </c>
      <c r="BG103" s="49">
        <f t="shared" si="1114"/>
        <v>0</v>
      </c>
      <c r="BH103" s="49">
        <f t="shared" si="1114"/>
        <v>0</v>
      </c>
      <c r="BI103" s="49">
        <f t="shared" si="1114"/>
        <v>0</v>
      </c>
      <c r="BJ103" s="49">
        <f t="shared" si="1114"/>
        <v>0</v>
      </c>
      <c r="BK103" s="49">
        <f t="shared" si="1114"/>
        <v>0</v>
      </c>
      <c r="BL103" s="49">
        <f t="shared" si="1114"/>
        <v>0</v>
      </c>
      <c r="BM103" s="49">
        <f t="shared" si="1114"/>
        <v>0</v>
      </c>
      <c r="BN103" s="49">
        <f t="shared" si="1114"/>
        <v>0</v>
      </c>
      <c r="BO103" s="49">
        <f t="shared" si="1114"/>
        <v>0</v>
      </c>
      <c r="BP103" s="49">
        <f t="shared" si="1114"/>
        <v>0</v>
      </c>
      <c r="BQ103" s="44">
        <f t="shared" si="1114"/>
        <v>0</v>
      </c>
    </row>
    <row r="104" spans="1:96" ht="15.75" thickBot="1" x14ac:dyDescent="0.3">
      <c r="A104" s="154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0"/>
    </row>
    <row r="105" spans="1:96" ht="16.5" thickTop="1" thickBot="1" x14ac:dyDescent="0.3">
      <c r="A105" s="56" t="s">
        <v>45</v>
      </c>
      <c r="B105" s="56"/>
      <c r="C105" s="57">
        <f>SUBTOTAL(9,C8:C104)</f>
        <v>1315253.73</v>
      </c>
      <c r="D105" s="57">
        <f>SUBTOTAL(9,D8:D104)</f>
        <v>599904.81999999983</v>
      </c>
      <c r="E105" s="57">
        <f>SUBTOTAL(9,E8:E104)</f>
        <v>599956</v>
      </c>
      <c r="F105" s="57"/>
      <c r="G105" s="57">
        <f t="shared" ref="G105:O105" si="1115">SUBTOTAL(9,G8:G104)</f>
        <v>18.659999999996217</v>
      </c>
      <c r="H105" s="57">
        <f t="shared" si="1115"/>
        <v>69.839999999993097</v>
      </c>
      <c r="I105" s="57">
        <f t="shared" si="1115"/>
        <v>200</v>
      </c>
      <c r="J105" s="57">
        <f t="shared" si="1115"/>
        <v>0</v>
      </c>
      <c r="K105" s="57">
        <f t="shared" si="1115"/>
        <v>334994.51999999996</v>
      </c>
      <c r="L105" s="57">
        <f t="shared" si="1115"/>
        <v>0</v>
      </c>
      <c r="M105" s="57">
        <f t="shared" si="1115"/>
        <v>7202.3821799999987</v>
      </c>
      <c r="N105" s="57">
        <f t="shared" si="1115"/>
        <v>1674.9726000000001</v>
      </c>
      <c r="O105" s="57">
        <f t="shared" si="1115"/>
        <v>326117.16521999997</v>
      </c>
      <c r="P105" s="57"/>
      <c r="Q105" s="57"/>
      <c r="R105" s="57">
        <f t="shared" ref="R105:W105" si="1116">SUBTOTAL(9,R8:R104)</f>
        <v>0</v>
      </c>
      <c r="S105" s="57">
        <f t="shared" si="1116"/>
        <v>0</v>
      </c>
      <c r="T105" s="57">
        <f t="shared" si="1116"/>
        <v>0</v>
      </c>
      <c r="U105" s="57">
        <f t="shared" si="1116"/>
        <v>0</v>
      </c>
      <c r="V105" s="57">
        <f t="shared" si="1116"/>
        <v>0</v>
      </c>
      <c r="W105" s="57">
        <f t="shared" si="1116"/>
        <v>0</v>
      </c>
      <c r="X105" s="57"/>
      <c r="Y105" s="57">
        <f>SUBTOTAL(9,Y8:Y104)</f>
        <v>0</v>
      </c>
      <c r="Z105" s="57">
        <f>SUBTOTAL(9,Z8:Z104)</f>
        <v>6951.9</v>
      </c>
      <c r="AA105" s="57">
        <f>SUBTOTAL(9,AA8:AA104)</f>
        <v>128</v>
      </c>
      <c r="AB105" s="57">
        <f>SUBTOTAL(9,AB8:AB104)</f>
        <v>0</v>
      </c>
      <c r="AC105" s="57">
        <f>SUBTOTAL(9,AC8:AC104)</f>
        <v>8048.03</v>
      </c>
      <c r="AD105" s="57"/>
      <c r="AE105" s="57">
        <f t="shared" ref="AE105:AK105" si="1117">SUBTOTAL(9,AE8:AE104)</f>
        <v>366715.5</v>
      </c>
      <c r="AF105" s="57">
        <f t="shared" si="1117"/>
        <v>91557.439999999973</v>
      </c>
      <c r="AG105" s="57">
        <f t="shared" si="1117"/>
        <v>62259.059200000018</v>
      </c>
      <c r="AH105" s="57">
        <f t="shared" si="1117"/>
        <v>10986.892799999994</v>
      </c>
      <c r="AI105" s="57">
        <f t="shared" si="1117"/>
        <v>18311.487999999998</v>
      </c>
      <c r="AJ105" s="57">
        <f t="shared" si="1117"/>
        <v>0</v>
      </c>
      <c r="AK105" s="57">
        <f t="shared" si="1117"/>
        <v>1092585.9732142854</v>
      </c>
      <c r="AL105" s="57">
        <f>+AL11+AL14+AL17+AL20+AL23+AL26+AL29+AL32+AL35+AL38+AL41+AL44+AL47+AL50+AL53+AL56+AL59+AL62+AL65+AL68+AL71+AL74+AL77+AL80+AL83+AL86+AL89+AL92+AL95+AL98+AL102</f>
        <v>1077458.0432142855</v>
      </c>
      <c r="AM105" s="57">
        <f>+AM11+AM14+AM17+AM20+AM23+AM26+AM29+AM32+AM35+AM38+AM41+AM44+AM47+AM50+AM53+AM56+AM59+AM62+AM65+AM68+AM71+AM74+AM77+AM80+AM83+AM86+AM89+AM92+AM95+AM98+AM102</f>
        <v>129294.96518571427</v>
      </c>
      <c r="AN105" s="57">
        <f>+AN11+AN14+AN17+AN20+AN23+AN26+AN29+AN32+AN35+AN38+AN41+AN44+AN47+AN50+AN53+AN56+AN59+AN62+AN65+AN68+AN71+AN74+AN77+AN80+AN83+AN86+AN89+AN92+AN95+AN98+AN102</f>
        <v>1206753.0083999999</v>
      </c>
      <c r="AO105" s="119">
        <f t="shared" ref="AO105:BQ105" si="1118">SUBTOTAL(9,AO8:AO104)</f>
        <v>3807</v>
      </c>
      <c r="AP105" s="119">
        <f t="shared" si="1118"/>
        <v>2799</v>
      </c>
      <c r="AQ105" s="119">
        <f t="shared" si="1118"/>
        <v>2115</v>
      </c>
      <c r="AR105" s="119">
        <f t="shared" si="1118"/>
        <v>2103</v>
      </c>
      <c r="AS105" s="119">
        <f t="shared" si="1118"/>
        <v>0</v>
      </c>
      <c r="AT105" s="119">
        <f t="shared" si="1118"/>
        <v>0</v>
      </c>
      <c r="AU105" s="134">
        <f t="shared" si="1118"/>
        <v>0</v>
      </c>
      <c r="AV105" s="134">
        <f t="shared" si="1118"/>
        <v>0</v>
      </c>
      <c r="AW105" s="134">
        <f t="shared" si="1118"/>
        <v>0</v>
      </c>
      <c r="AX105" s="134">
        <f t="shared" si="1118"/>
        <v>0</v>
      </c>
      <c r="AY105" s="57">
        <f t="shared" si="1118"/>
        <v>0</v>
      </c>
      <c r="AZ105" s="57">
        <f t="shared" si="1118"/>
        <v>10364</v>
      </c>
      <c r="BA105" s="134">
        <f t="shared" si="1118"/>
        <v>3885</v>
      </c>
      <c r="BB105" s="57">
        <f t="shared" si="1118"/>
        <v>0</v>
      </c>
      <c r="BC105" s="57">
        <f t="shared" si="1118"/>
        <v>0</v>
      </c>
      <c r="BD105" s="57">
        <f t="shared" si="1118"/>
        <v>195</v>
      </c>
      <c r="BE105" s="133">
        <f t="shared" si="1118"/>
        <v>0</v>
      </c>
      <c r="BF105" s="57">
        <f t="shared" si="1118"/>
        <v>140</v>
      </c>
      <c r="BG105" s="57">
        <f t="shared" si="1118"/>
        <v>0</v>
      </c>
      <c r="BH105" s="57">
        <f t="shared" si="1118"/>
        <v>705</v>
      </c>
      <c r="BI105" s="57">
        <f t="shared" si="1118"/>
        <v>0</v>
      </c>
      <c r="BJ105" s="57">
        <f t="shared" si="1118"/>
        <v>0</v>
      </c>
      <c r="BK105" s="57">
        <f t="shared" si="1118"/>
        <v>0</v>
      </c>
      <c r="BL105" s="57">
        <f t="shared" si="1118"/>
        <v>295</v>
      </c>
      <c r="BM105" s="57">
        <f t="shared" si="1118"/>
        <v>0</v>
      </c>
      <c r="BN105" s="57">
        <f t="shared" si="1118"/>
        <v>0</v>
      </c>
      <c r="BO105" s="57">
        <f t="shared" si="1118"/>
        <v>0</v>
      </c>
      <c r="BP105" s="57">
        <f t="shared" si="1118"/>
        <v>0</v>
      </c>
      <c r="BQ105" s="57">
        <f t="shared" si="1118"/>
        <v>14444</v>
      </c>
    </row>
    <row r="106" spans="1:96" ht="15.75" thickTop="1" x14ac:dyDescent="0.25">
      <c r="A106" s="5"/>
      <c r="B106" s="5"/>
      <c r="C106" s="207"/>
      <c r="D106" s="207"/>
      <c r="E106" s="207">
        <f>SUM(E8:E105)/3</f>
        <v>599956</v>
      </c>
      <c r="F106" s="207"/>
      <c r="G106" s="207">
        <f>SUM(G8:G105)/3</f>
        <v>18.659999999996217</v>
      </c>
      <c r="H106" s="207">
        <f>SUM(H8:H105)/3</f>
        <v>69.839999999993097</v>
      </c>
      <c r="I106" s="207">
        <f>SUM(I8:I105)/3</f>
        <v>200</v>
      </c>
      <c r="J106" s="207"/>
      <c r="K106" s="207">
        <f>SUM(K8:K105)/3</f>
        <v>334994.51999999984</v>
      </c>
      <c r="L106" s="207"/>
      <c r="M106" s="207">
        <f>SUM(M8:M105)/3</f>
        <v>7202.3821800000005</v>
      </c>
      <c r="N106" s="207">
        <f>SUM(N8:N105)/3</f>
        <v>1674.9726000000001</v>
      </c>
      <c r="O106" s="207">
        <f>SUM(O8:O105)/3</f>
        <v>326117.16522000008</v>
      </c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>
        <f>SUM(Z8:Z105)/3</f>
        <v>6951.8999999999987</v>
      </c>
      <c r="AA106" s="207">
        <f>SUM(AA8:AA105)/3</f>
        <v>128</v>
      </c>
      <c r="AB106" s="207">
        <f>SUM(AB8:AB105)/3</f>
        <v>0</v>
      </c>
      <c r="AC106" s="207">
        <f>SUM(AC8:AC105)/3</f>
        <v>8048.0299999999979</v>
      </c>
      <c r="AD106" s="207"/>
      <c r="AE106" s="207"/>
      <c r="AF106" s="207"/>
      <c r="AG106" s="207">
        <f>SUM(AG8:AG105)/3</f>
        <v>62259.059199999996</v>
      </c>
      <c r="AH106" s="207">
        <f>SUM(AH8:AH105)/3</f>
        <v>10986.892800000001</v>
      </c>
      <c r="AI106" s="207">
        <f>SUM(AI8:AI105)/3</f>
        <v>18311.487999999998</v>
      </c>
      <c r="AJ106" s="207"/>
      <c r="AK106" s="207">
        <f>SUM(AK8:AK105)/3</f>
        <v>1092585.9732142857</v>
      </c>
      <c r="AL106" s="207">
        <f>SUM(AL8:AL105)/3</f>
        <v>1077458.0432142855</v>
      </c>
      <c r="AM106" s="207">
        <f>SUM(AM8:AM105)/3</f>
        <v>129294.96518571426</v>
      </c>
      <c r="AN106" s="207"/>
      <c r="AO106" s="208"/>
      <c r="AP106" s="208"/>
      <c r="AQ106" s="208"/>
      <c r="AR106" s="208"/>
      <c r="AS106" s="208"/>
      <c r="AT106" s="208"/>
      <c r="AU106" s="209"/>
      <c r="AV106" s="209"/>
      <c r="AW106" s="209"/>
      <c r="AX106" s="209"/>
      <c r="AY106" s="207"/>
      <c r="AZ106" s="207"/>
      <c r="BA106" s="209"/>
      <c r="BB106" s="207"/>
      <c r="BC106" s="207"/>
      <c r="BD106" s="207"/>
      <c r="BE106" s="210"/>
      <c r="BF106" s="207"/>
      <c r="BG106" s="207"/>
      <c r="BH106" s="207"/>
      <c r="BI106" s="207"/>
      <c r="BJ106" s="207"/>
      <c r="BK106" s="207"/>
      <c r="BL106" s="207"/>
      <c r="BM106" s="207"/>
      <c r="BN106" s="207"/>
      <c r="BO106" s="207"/>
      <c r="BP106" s="207"/>
      <c r="BQ106" s="207"/>
    </row>
    <row r="107" spans="1:96" x14ac:dyDescent="0.25">
      <c r="A107" s="4" t="s">
        <v>100</v>
      </c>
      <c r="B107" s="4"/>
      <c r="C107" s="13">
        <f>+AZ105</f>
        <v>10364</v>
      </c>
      <c r="D107" s="146"/>
      <c r="G107" s="146"/>
      <c r="AK107" s="153" t="s">
        <v>120</v>
      </c>
      <c r="AL107" s="153"/>
      <c r="AM107" s="147"/>
      <c r="AN107" s="148"/>
      <c r="AO107" s="149">
        <v>3800</v>
      </c>
      <c r="AP107" s="149">
        <v>2100</v>
      </c>
      <c r="AQ107" s="149">
        <v>2100</v>
      </c>
      <c r="AR107" s="149">
        <v>2100</v>
      </c>
      <c r="AS107" s="149">
        <v>1000</v>
      </c>
      <c r="AT107" s="149">
        <v>1500</v>
      </c>
      <c r="AW107" s="149">
        <v>1500</v>
      </c>
      <c r="AX107" s="149">
        <v>1500</v>
      </c>
      <c r="BD107" s="136" t="s">
        <v>68</v>
      </c>
      <c r="BE107" s="150">
        <f t="shared" ref="BE107:BJ107" si="1119">+BE11+BE14+BE17+BE20+BE23+BE26+BE29+BE32+BE35+BE38+BE41+BE44+BE47+BE50+BE53</f>
        <v>0</v>
      </c>
      <c r="BF107" s="150">
        <f t="shared" si="1119"/>
        <v>0</v>
      </c>
      <c r="BG107" s="150">
        <f t="shared" si="1119"/>
        <v>0</v>
      </c>
      <c r="BH107" s="150">
        <f t="shared" si="1119"/>
        <v>490</v>
      </c>
      <c r="BI107" s="150">
        <f t="shared" si="1119"/>
        <v>0</v>
      </c>
      <c r="BJ107" s="150">
        <f t="shared" si="1119"/>
        <v>0</v>
      </c>
      <c r="BK107" s="137"/>
      <c r="BL107" s="137"/>
      <c r="BM107" s="137"/>
      <c r="BN107" s="137"/>
      <c r="BO107" s="137"/>
      <c r="BP107" s="137"/>
      <c r="BQ107" s="146">
        <f>SUM(BE107:BP107)</f>
        <v>490</v>
      </c>
    </row>
    <row r="108" spans="1:96" x14ac:dyDescent="0.25">
      <c r="A108" s="4" t="s">
        <v>101</v>
      </c>
      <c r="B108" s="4"/>
      <c r="C108" s="13">
        <f>+BD105</f>
        <v>195</v>
      </c>
      <c r="D108" s="146"/>
      <c r="E108" s="146"/>
      <c r="AK108" s="153" t="s">
        <v>121</v>
      </c>
      <c r="AL108" s="153">
        <f>+AL105</f>
        <v>1077458.0432142855</v>
      </c>
      <c r="AM108" s="146"/>
      <c r="AN108" s="148"/>
      <c r="AO108" s="149">
        <f t="shared" ref="AO108:AX108" si="1120">+AO107-AO105</f>
        <v>-7</v>
      </c>
      <c r="AP108" s="149">
        <f t="shared" si="1120"/>
        <v>-699</v>
      </c>
      <c r="AQ108" s="149">
        <f t="shared" si="1120"/>
        <v>-15</v>
      </c>
      <c r="AR108" s="149">
        <f t="shared" si="1120"/>
        <v>-3</v>
      </c>
      <c r="AS108" s="149">
        <f t="shared" si="1120"/>
        <v>1000</v>
      </c>
      <c r="AT108" s="149">
        <f t="shared" si="1120"/>
        <v>1500</v>
      </c>
      <c r="AU108" s="149">
        <f>+AU107-AU105</f>
        <v>0</v>
      </c>
      <c r="AV108" s="149">
        <f t="shared" si="1120"/>
        <v>0</v>
      </c>
      <c r="AW108" s="149">
        <f t="shared" si="1120"/>
        <v>1500</v>
      </c>
      <c r="AX108" s="149">
        <f t="shared" si="1120"/>
        <v>1500</v>
      </c>
      <c r="BD108" s="137" t="s">
        <v>104</v>
      </c>
      <c r="BE108" s="150">
        <f>BE107*0.9</f>
        <v>0</v>
      </c>
      <c r="BF108" s="150">
        <f>BF107*0.9</f>
        <v>0</v>
      </c>
      <c r="BG108" s="150">
        <f t="shared" ref="BG108:BP108" si="1121">BG107*0.9</f>
        <v>0</v>
      </c>
      <c r="BH108" s="150">
        <f t="shared" si="1121"/>
        <v>441</v>
      </c>
      <c r="BI108" s="150">
        <f t="shared" si="1121"/>
        <v>0</v>
      </c>
      <c r="BJ108" s="150">
        <f t="shared" si="1121"/>
        <v>0</v>
      </c>
      <c r="BK108" s="150">
        <f t="shared" si="1121"/>
        <v>0</v>
      </c>
      <c r="BL108" s="150">
        <f t="shared" si="1121"/>
        <v>0</v>
      </c>
      <c r="BM108" s="150">
        <f t="shared" si="1121"/>
        <v>0</v>
      </c>
      <c r="BN108" s="150">
        <f t="shared" si="1121"/>
        <v>0</v>
      </c>
      <c r="BO108" s="150">
        <f t="shared" si="1121"/>
        <v>0</v>
      </c>
      <c r="BP108" s="150">
        <f t="shared" si="1121"/>
        <v>0</v>
      </c>
      <c r="BQ108" s="146">
        <f>SUM(BE108:BP108)</f>
        <v>441</v>
      </c>
    </row>
    <row r="109" spans="1:96" x14ac:dyDescent="0.25">
      <c r="A109" s="4" t="s">
        <v>102</v>
      </c>
      <c r="B109" s="4"/>
      <c r="C109" s="13">
        <f>+BC105</f>
        <v>0</v>
      </c>
      <c r="D109" s="146"/>
      <c r="AK109" s="153" t="s">
        <v>122</v>
      </c>
      <c r="AL109" s="153">
        <f>+AJ105</f>
        <v>0</v>
      </c>
      <c r="AM109" s="147"/>
      <c r="AN109" s="148"/>
      <c r="AO109" s="149">
        <f t="shared" ref="AO109:AX109" si="1122">+AO108*0.9</f>
        <v>-6.3</v>
      </c>
      <c r="AP109" s="149">
        <f t="shared" si="1122"/>
        <v>-629.1</v>
      </c>
      <c r="AQ109" s="149">
        <f t="shared" si="1122"/>
        <v>-13.5</v>
      </c>
      <c r="AR109" s="149">
        <f t="shared" si="1122"/>
        <v>-2.7</v>
      </c>
      <c r="AS109" s="149">
        <f t="shared" si="1122"/>
        <v>900</v>
      </c>
      <c r="AT109" s="149">
        <f t="shared" si="1122"/>
        <v>1350</v>
      </c>
      <c r="AU109" s="149">
        <f>+AU108*0.9</f>
        <v>0</v>
      </c>
      <c r="AV109" s="149">
        <f t="shared" si="1122"/>
        <v>0</v>
      </c>
      <c r="AW109" s="149">
        <f t="shared" si="1122"/>
        <v>1350</v>
      </c>
      <c r="AX109" s="149">
        <f t="shared" si="1122"/>
        <v>1350</v>
      </c>
      <c r="BD109" s="138"/>
      <c r="BE109" s="13"/>
      <c r="BF109" s="13"/>
      <c r="BG109" s="13"/>
      <c r="BH109" s="13"/>
      <c r="BI109" s="13"/>
      <c r="BJ109" s="4"/>
      <c r="BK109" s="4"/>
      <c r="BL109" s="4"/>
      <c r="BM109" s="4"/>
      <c r="BN109" s="4"/>
      <c r="BO109" s="4"/>
      <c r="BP109" s="4"/>
    </row>
    <row r="110" spans="1:96" ht="15.75" thickBot="1" x14ac:dyDescent="0.3">
      <c r="A110" s="4" t="s">
        <v>34</v>
      </c>
      <c r="B110" s="4"/>
      <c r="C110" s="151">
        <f>+BA105</f>
        <v>3885</v>
      </c>
      <c r="D110" s="146"/>
      <c r="E110" s="146"/>
      <c r="AK110" s="153" t="s">
        <v>123</v>
      </c>
      <c r="AL110" s="153">
        <f>+AL108+AL109</f>
        <v>1077458.0432142855</v>
      </c>
      <c r="AM110" s="147"/>
      <c r="AN110" s="148"/>
      <c r="BD110" s="139" t="s">
        <v>69</v>
      </c>
      <c r="BE110" s="152">
        <f t="shared" ref="BE110:BP110" si="1123">BE56+BE59+BE62+BE65+BE68+BE71+BE74+BE77+BE80+BE83+BE86+BE89+BE92+BE95+BE98+BE102</f>
        <v>0</v>
      </c>
      <c r="BF110" s="152">
        <f t="shared" si="1123"/>
        <v>140</v>
      </c>
      <c r="BG110" s="152" t="e">
        <f t="shared" si="1123"/>
        <v>#VALUE!</v>
      </c>
      <c r="BH110" s="152">
        <f t="shared" si="1123"/>
        <v>215</v>
      </c>
      <c r="BI110" s="152">
        <f t="shared" si="1123"/>
        <v>0</v>
      </c>
      <c r="BJ110" s="152">
        <f t="shared" si="1123"/>
        <v>0</v>
      </c>
      <c r="BK110" s="152">
        <f t="shared" si="1123"/>
        <v>0</v>
      </c>
      <c r="BL110" s="152">
        <f t="shared" si="1123"/>
        <v>295</v>
      </c>
      <c r="BM110" s="152">
        <f t="shared" si="1123"/>
        <v>0</v>
      </c>
      <c r="BN110" s="152">
        <f t="shared" si="1123"/>
        <v>0</v>
      </c>
      <c r="BO110" s="152">
        <f t="shared" si="1123"/>
        <v>0</v>
      </c>
      <c r="BP110" s="152">
        <f t="shared" si="1123"/>
        <v>0</v>
      </c>
      <c r="BQ110" s="146" t="e">
        <f>SUM(BE110:BP110)</f>
        <v>#VALUE!</v>
      </c>
    </row>
    <row r="111" spans="1:96" ht="15.75" thickTop="1" x14ac:dyDescent="0.25">
      <c r="C111" s="3">
        <f>+C110+C109+C108+C107+C105</f>
        <v>1329697.73</v>
      </c>
      <c r="D111" s="146"/>
      <c r="AM111" s="147"/>
      <c r="AN111" s="148"/>
      <c r="BD111" s="140" t="s">
        <v>104</v>
      </c>
      <c r="BE111" s="152">
        <f>+BE110*0.9</f>
        <v>0</v>
      </c>
      <c r="BF111" s="152">
        <f t="shared" ref="BF111:BP111" si="1124">+BF110*0.9</f>
        <v>126</v>
      </c>
      <c r="BG111" s="152" t="e">
        <f t="shared" si="1124"/>
        <v>#VALUE!</v>
      </c>
      <c r="BH111" s="152">
        <f t="shared" si="1124"/>
        <v>193.5</v>
      </c>
      <c r="BI111" s="152">
        <f t="shared" si="1124"/>
        <v>0</v>
      </c>
      <c r="BJ111" s="152">
        <f t="shared" si="1124"/>
        <v>0</v>
      </c>
      <c r="BK111" s="152">
        <f t="shared" si="1124"/>
        <v>0</v>
      </c>
      <c r="BL111" s="152">
        <f t="shared" si="1124"/>
        <v>265.5</v>
      </c>
      <c r="BM111" s="152">
        <f t="shared" si="1124"/>
        <v>0</v>
      </c>
      <c r="BN111" s="152">
        <f t="shared" si="1124"/>
        <v>0</v>
      </c>
      <c r="BO111" s="152">
        <f t="shared" si="1124"/>
        <v>0</v>
      </c>
      <c r="BP111" s="152">
        <f t="shared" si="1124"/>
        <v>0</v>
      </c>
      <c r="BQ111" s="146" t="e">
        <f>SUM(BE111:BP111)</f>
        <v>#VALUE!</v>
      </c>
    </row>
    <row r="112" spans="1:96" x14ac:dyDescent="0.25">
      <c r="D112" s="146"/>
      <c r="AM112" s="147"/>
      <c r="AN112" s="148"/>
      <c r="AR112" s="135">
        <v>2230</v>
      </c>
      <c r="BD112" s="141"/>
      <c r="BE112" s="146"/>
      <c r="BF112" s="146"/>
      <c r="BG112" s="146"/>
      <c r="BH112" s="146"/>
      <c r="BI112" s="146"/>
    </row>
    <row r="113" spans="1:68" x14ac:dyDescent="0.25">
      <c r="A113" s="1" t="s">
        <v>117</v>
      </c>
      <c r="C113" s="146"/>
      <c r="D113" s="146"/>
      <c r="AM113" s="147"/>
      <c r="AN113" s="148"/>
      <c r="BD113" s="141"/>
      <c r="BE113" s="146"/>
      <c r="BF113" s="146"/>
      <c r="BG113" s="146"/>
      <c r="BH113" s="146"/>
      <c r="BI113" s="146"/>
    </row>
    <row r="114" spans="1:68" x14ac:dyDescent="0.25">
      <c r="D114" s="195" t="s">
        <v>108</v>
      </c>
      <c r="E114" s="195"/>
      <c r="F114" s="195"/>
      <c r="K114" s="4"/>
      <c r="X114" s="4"/>
      <c r="Y114" s="4"/>
      <c r="Z114" s="4"/>
      <c r="AA114" s="4"/>
      <c r="AB114" s="4"/>
      <c r="AC114" s="4"/>
      <c r="AD114" s="4"/>
      <c r="AE114" s="4"/>
      <c r="AF114" s="4"/>
      <c r="AJ114" s="4"/>
      <c r="AM114" s="146"/>
      <c r="AN114" s="146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138"/>
      <c r="BE114" s="53"/>
      <c r="BF114" s="53"/>
      <c r="BG114" s="53"/>
      <c r="BH114" s="53"/>
      <c r="BI114" s="53"/>
      <c r="BJ114" s="4"/>
      <c r="BK114" s="4"/>
      <c r="BL114" s="4"/>
      <c r="BM114" s="4"/>
      <c r="BN114" s="4"/>
      <c r="BO114" s="4"/>
      <c r="BP114" s="4"/>
    </row>
    <row r="115" spans="1:68" x14ac:dyDescent="0.25">
      <c r="A115" s="135" t="s">
        <v>96</v>
      </c>
      <c r="C115" s="149"/>
      <c r="D115" s="146" t="s">
        <v>109</v>
      </c>
      <c r="E115" s="135" t="s">
        <v>110</v>
      </c>
      <c r="F115" s="135" t="s">
        <v>2</v>
      </c>
      <c r="AI115" s="146"/>
      <c r="BD115" s="141" t="s">
        <v>99</v>
      </c>
      <c r="BE115" s="149"/>
      <c r="BF115" s="149"/>
      <c r="BG115" s="149"/>
    </row>
    <row r="116" spans="1:68" x14ac:dyDescent="0.25">
      <c r="A116" s="135" t="s">
        <v>126</v>
      </c>
      <c r="C116" s="149"/>
      <c r="D116" s="146"/>
      <c r="E116" s="146"/>
      <c r="AM116" s="146"/>
      <c r="AN116" s="146"/>
      <c r="BE116" s="149"/>
      <c r="BF116" s="149"/>
      <c r="BG116" s="149"/>
    </row>
    <row r="117" spans="1:68" x14ac:dyDescent="0.25">
      <c r="D117" s="146"/>
      <c r="E117" s="146"/>
      <c r="AM117" s="146"/>
      <c r="AN117" s="146"/>
      <c r="BE117" s="149"/>
      <c r="BF117" s="149"/>
      <c r="BG117" s="149"/>
    </row>
    <row r="118" spans="1:68" x14ac:dyDescent="0.25">
      <c r="D118" s="146"/>
      <c r="E118" s="146"/>
      <c r="BD118" s="141"/>
      <c r="BE118" s="149"/>
      <c r="BF118" s="149"/>
      <c r="BG118" s="149"/>
    </row>
    <row r="119" spans="1:68" x14ac:dyDescent="0.25">
      <c r="D119" s="146"/>
      <c r="E119" s="146"/>
      <c r="BE119" s="149"/>
      <c r="BF119" s="149"/>
      <c r="BG119" s="149"/>
    </row>
    <row r="120" spans="1:68" x14ac:dyDescent="0.25">
      <c r="D120" s="146"/>
      <c r="E120" s="146"/>
      <c r="BE120" s="149"/>
      <c r="BF120" s="149"/>
      <c r="BG120" s="149"/>
    </row>
    <row r="121" spans="1:68" x14ac:dyDescent="0.25">
      <c r="D121" s="146"/>
      <c r="E121" s="146"/>
      <c r="BE121" s="149"/>
      <c r="BF121" s="149"/>
      <c r="BG121" s="149"/>
    </row>
    <row r="122" spans="1:68" x14ac:dyDescent="0.25">
      <c r="C122" s="146"/>
      <c r="D122" s="146"/>
      <c r="E122" s="146"/>
      <c r="F122" s="146"/>
      <c r="G122" s="146"/>
    </row>
    <row r="123" spans="1:68" x14ac:dyDescent="0.25">
      <c r="C123" s="146"/>
      <c r="D123" s="146"/>
      <c r="E123" s="146"/>
      <c r="F123" s="146"/>
      <c r="G123" s="146"/>
    </row>
    <row r="124" spans="1:68" x14ac:dyDescent="0.25">
      <c r="C124" s="146"/>
      <c r="D124" s="146"/>
      <c r="E124" s="146"/>
      <c r="F124" s="146"/>
      <c r="G124" s="146"/>
    </row>
    <row r="125" spans="1:68" x14ac:dyDescent="0.25">
      <c r="C125" s="146"/>
      <c r="D125" s="146"/>
      <c r="E125" s="146"/>
      <c r="F125" s="146"/>
      <c r="G125" s="146"/>
    </row>
    <row r="126" spans="1:68" x14ac:dyDescent="0.25">
      <c r="C126" s="146"/>
      <c r="D126" s="146"/>
      <c r="E126" s="146"/>
      <c r="F126" s="146"/>
      <c r="G126" s="146"/>
    </row>
    <row r="127" spans="1:68" x14ac:dyDescent="0.25">
      <c r="C127" s="146"/>
      <c r="D127" s="146"/>
      <c r="E127" s="146"/>
      <c r="F127" s="146"/>
      <c r="G127" s="146"/>
    </row>
    <row r="128" spans="1:68" x14ac:dyDescent="0.25">
      <c r="C128" s="146"/>
      <c r="D128" s="146"/>
      <c r="E128" s="146"/>
      <c r="F128" s="146"/>
      <c r="G128" s="146"/>
    </row>
    <row r="129" spans="3:7" x14ac:dyDescent="0.25">
      <c r="C129" s="146"/>
      <c r="D129" s="146"/>
      <c r="E129" s="146"/>
      <c r="F129" s="146"/>
      <c r="G129" s="146"/>
    </row>
    <row r="130" spans="3:7" x14ac:dyDescent="0.25">
      <c r="C130" s="146"/>
      <c r="D130" s="146"/>
      <c r="E130" s="146"/>
      <c r="F130" s="146"/>
      <c r="G130" s="146"/>
    </row>
    <row r="131" spans="3:7" x14ac:dyDescent="0.25">
      <c r="C131" s="146"/>
      <c r="D131" s="146"/>
      <c r="E131" s="146"/>
      <c r="F131" s="146"/>
      <c r="G131" s="146"/>
    </row>
    <row r="132" spans="3:7" x14ac:dyDescent="0.25">
      <c r="C132" s="146"/>
      <c r="D132" s="146"/>
      <c r="E132" s="146"/>
      <c r="F132" s="146"/>
      <c r="G132" s="146"/>
    </row>
    <row r="133" spans="3:7" x14ac:dyDescent="0.25">
      <c r="C133" s="146"/>
      <c r="D133" s="146"/>
      <c r="E133" s="146"/>
      <c r="F133" s="146"/>
      <c r="G133" s="146"/>
    </row>
    <row r="134" spans="3:7" x14ac:dyDescent="0.25">
      <c r="C134" s="146"/>
      <c r="D134" s="146"/>
      <c r="E134" s="146"/>
      <c r="F134" s="146"/>
      <c r="G134" s="146"/>
    </row>
    <row r="135" spans="3:7" x14ac:dyDescent="0.25">
      <c r="C135" s="146"/>
      <c r="D135" s="146"/>
      <c r="E135" s="146"/>
      <c r="F135" s="146"/>
      <c r="G135" s="146"/>
    </row>
    <row r="136" spans="3:7" x14ac:dyDescent="0.25">
      <c r="C136" s="146"/>
      <c r="D136" s="146"/>
      <c r="E136" s="146"/>
      <c r="F136" s="146"/>
      <c r="G136" s="146"/>
    </row>
    <row r="137" spans="3:7" x14ac:dyDescent="0.25">
      <c r="C137" s="146"/>
      <c r="D137" s="146"/>
      <c r="E137" s="146"/>
      <c r="F137" s="146"/>
      <c r="G137" s="146"/>
    </row>
    <row r="138" spans="3:7" x14ac:dyDescent="0.25">
      <c r="C138" s="146"/>
      <c r="D138" s="146"/>
      <c r="E138" s="146"/>
      <c r="F138" s="146"/>
      <c r="G138" s="146"/>
    </row>
    <row r="139" spans="3:7" x14ac:dyDescent="0.25">
      <c r="C139" s="146"/>
      <c r="D139" s="146"/>
      <c r="E139" s="146"/>
      <c r="F139" s="146"/>
      <c r="G139" s="146"/>
    </row>
    <row r="140" spans="3:7" x14ac:dyDescent="0.25">
      <c r="C140" s="146"/>
      <c r="D140" s="146"/>
      <c r="E140" s="146"/>
      <c r="F140" s="146"/>
      <c r="G140" s="146"/>
    </row>
    <row r="141" spans="3:7" x14ac:dyDescent="0.25">
      <c r="C141" s="146"/>
      <c r="D141" s="146"/>
      <c r="E141" s="146"/>
      <c r="F141" s="146"/>
      <c r="G141" s="146"/>
    </row>
    <row r="142" spans="3:7" x14ac:dyDescent="0.25">
      <c r="C142" s="146"/>
      <c r="D142" s="146"/>
      <c r="E142" s="146"/>
      <c r="F142" s="146"/>
      <c r="G142" s="146"/>
    </row>
    <row r="143" spans="3:7" x14ac:dyDescent="0.25">
      <c r="C143" s="146"/>
      <c r="D143" s="146"/>
      <c r="E143" s="146"/>
      <c r="F143" s="146"/>
      <c r="G143" s="146"/>
    </row>
    <row r="144" spans="3:7" x14ac:dyDescent="0.25">
      <c r="C144" s="146"/>
      <c r="D144" s="146"/>
      <c r="E144" s="146"/>
      <c r="F144" s="146"/>
      <c r="G144" s="146"/>
    </row>
    <row r="145" spans="3:7" x14ac:dyDescent="0.25">
      <c r="C145" s="146"/>
      <c r="D145" s="146"/>
      <c r="E145" s="146"/>
      <c r="F145" s="146"/>
      <c r="G145" s="146"/>
    </row>
    <row r="146" spans="3:7" x14ac:dyDescent="0.25">
      <c r="C146" s="146"/>
      <c r="D146" s="146"/>
      <c r="E146" s="146"/>
      <c r="F146" s="146"/>
      <c r="G146" s="146"/>
    </row>
    <row r="147" spans="3:7" x14ac:dyDescent="0.25">
      <c r="C147" s="146"/>
      <c r="D147" s="146"/>
      <c r="E147" s="146"/>
      <c r="F147" s="146"/>
      <c r="G147" s="146"/>
    </row>
    <row r="148" spans="3:7" x14ac:dyDescent="0.25">
      <c r="C148" s="146"/>
      <c r="D148" s="146"/>
      <c r="E148" s="146"/>
      <c r="F148" s="146"/>
      <c r="G148" s="146"/>
    </row>
    <row r="149" spans="3:7" x14ac:dyDescent="0.25">
      <c r="C149" s="146"/>
      <c r="D149" s="146"/>
      <c r="E149" s="146"/>
      <c r="F149" s="146"/>
      <c r="G149" s="146"/>
    </row>
    <row r="150" spans="3:7" x14ac:dyDescent="0.25">
      <c r="C150" s="146"/>
      <c r="D150" s="146"/>
      <c r="E150" s="146"/>
      <c r="F150" s="146"/>
      <c r="G150" s="146"/>
    </row>
    <row r="151" spans="3:7" x14ac:dyDescent="0.25">
      <c r="C151" s="146"/>
      <c r="D151" s="146"/>
      <c r="E151" s="146"/>
      <c r="F151" s="146"/>
      <c r="G151" s="146"/>
    </row>
    <row r="152" spans="3:7" x14ac:dyDescent="0.25">
      <c r="C152" s="146"/>
      <c r="D152" s="146"/>
      <c r="E152" s="146"/>
      <c r="F152" s="146"/>
      <c r="G152" s="146"/>
    </row>
    <row r="153" spans="3:7" x14ac:dyDescent="0.25">
      <c r="C153" s="146"/>
      <c r="D153" s="146"/>
      <c r="E153" s="146"/>
      <c r="F153" s="146"/>
      <c r="G153" s="146"/>
    </row>
    <row r="154" spans="3:7" x14ac:dyDescent="0.25">
      <c r="C154" s="146"/>
      <c r="D154" s="146"/>
      <c r="E154" s="146"/>
      <c r="F154" s="146"/>
      <c r="G154" s="146"/>
    </row>
    <row r="155" spans="3:7" x14ac:dyDescent="0.25">
      <c r="C155" s="146"/>
      <c r="D155" s="146"/>
      <c r="E155" s="146"/>
      <c r="F155" s="146"/>
      <c r="G155" s="146"/>
    </row>
    <row r="156" spans="3:7" x14ac:dyDescent="0.25">
      <c r="C156" s="146"/>
      <c r="D156" s="146"/>
      <c r="E156" s="146"/>
      <c r="F156" s="146"/>
      <c r="G156" s="146"/>
    </row>
    <row r="157" spans="3:7" x14ac:dyDescent="0.25">
      <c r="C157" s="146"/>
      <c r="D157" s="146"/>
      <c r="E157" s="146"/>
      <c r="F157" s="146"/>
      <c r="G157" s="146"/>
    </row>
    <row r="158" spans="3:7" x14ac:dyDescent="0.25">
      <c r="C158" s="146"/>
      <c r="D158" s="146"/>
      <c r="E158" s="146"/>
      <c r="F158" s="146"/>
      <c r="G158" s="146"/>
    </row>
    <row r="159" spans="3:7" x14ac:dyDescent="0.25">
      <c r="C159" s="146"/>
      <c r="D159" s="146"/>
      <c r="E159" s="146"/>
      <c r="F159" s="146"/>
      <c r="G159" s="146"/>
    </row>
    <row r="160" spans="3:7" x14ac:dyDescent="0.25">
      <c r="C160" s="146"/>
      <c r="D160" s="146"/>
      <c r="E160" s="146"/>
      <c r="F160" s="146"/>
      <c r="G160" s="146"/>
    </row>
    <row r="161" spans="3:7" x14ac:dyDescent="0.25">
      <c r="C161" s="146"/>
      <c r="D161" s="146"/>
      <c r="E161" s="146"/>
      <c r="F161" s="146"/>
      <c r="G161" s="146"/>
    </row>
    <row r="162" spans="3:7" x14ac:dyDescent="0.25">
      <c r="C162" s="146"/>
      <c r="D162" s="146"/>
      <c r="E162" s="146"/>
      <c r="F162" s="146"/>
      <c r="G162" s="146"/>
    </row>
    <row r="163" spans="3:7" x14ac:dyDescent="0.25">
      <c r="C163" s="146"/>
      <c r="D163" s="146"/>
      <c r="E163" s="146"/>
      <c r="F163" s="146"/>
      <c r="G163" s="146"/>
    </row>
    <row r="164" spans="3:7" x14ac:dyDescent="0.25">
      <c r="C164" s="146"/>
      <c r="D164" s="146"/>
      <c r="E164" s="146"/>
      <c r="F164" s="146"/>
      <c r="G164" s="146"/>
    </row>
    <row r="165" spans="3:7" x14ac:dyDescent="0.25">
      <c r="C165" s="146"/>
      <c r="D165" s="146"/>
      <c r="E165" s="146"/>
      <c r="F165" s="146"/>
      <c r="G165" s="146"/>
    </row>
    <row r="166" spans="3:7" x14ac:dyDescent="0.25">
      <c r="C166" s="146"/>
      <c r="D166" s="146"/>
      <c r="E166" s="146"/>
      <c r="F166" s="146"/>
      <c r="G166" s="146"/>
    </row>
    <row r="167" spans="3:7" x14ac:dyDescent="0.25">
      <c r="C167" s="146"/>
      <c r="D167" s="146"/>
      <c r="E167" s="146"/>
      <c r="F167" s="146"/>
      <c r="G167" s="146"/>
    </row>
    <row r="168" spans="3:7" x14ac:dyDescent="0.25">
      <c r="C168" s="146"/>
      <c r="D168" s="146"/>
      <c r="E168" s="146"/>
      <c r="F168" s="146"/>
      <c r="G168" s="146"/>
    </row>
    <row r="169" spans="3:7" x14ac:dyDescent="0.25">
      <c r="C169" s="146"/>
      <c r="D169" s="146"/>
      <c r="E169" s="146"/>
      <c r="F169" s="146"/>
      <c r="G169" s="146"/>
    </row>
    <row r="170" spans="3:7" x14ac:dyDescent="0.25">
      <c r="C170" s="146"/>
      <c r="D170" s="146"/>
      <c r="E170" s="146"/>
      <c r="F170" s="146"/>
      <c r="G170" s="146"/>
    </row>
    <row r="171" spans="3:7" x14ac:dyDescent="0.25">
      <c r="C171" s="146"/>
      <c r="D171" s="146"/>
      <c r="E171" s="146"/>
      <c r="F171" s="146"/>
      <c r="G171" s="146"/>
    </row>
    <row r="172" spans="3:7" x14ac:dyDescent="0.25">
      <c r="C172" s="146"/>
      <c r="D172" s="146"/>
      <c r="E172" s="146"/>
      <c r="F172" s="146"/>
      <c r="G172" s="146"/>
    </row>
    <row r="173" spans="3:7" x14ac:dyDescent="0.25">
      <c r="C173" s="146"/>
      <c r="D173" s="146"/>
      <c r="E173" s="146"/>
      <c r="F173" s="146"/>
      <c r="G173" s="146"/>
    </row>
    <row r="174" spans="3:7" x14ac:dyDescent="0.25">
      <c r="C174" s="146"/>
      <c r="D174" s="146"/>
      <c r="E174" s="146"/>
      <c r="F174" s="146"/>
      <c r="G174" s="146"/>
    </row>
    <row r="175" spans="3:7" x14ac:dyDescent="0.25">
      <c r="C175" s="146"/>
      <c r="D175" s="146"/>
      <c r="E175" s="146"/>
      <c r="F175" s="146"/>
      <c r="G175" s="146"/>
    </row>
    <row r="176" spans="3:7" x14ac:dyDescent="0.25">
      <c r="C176" s="146"/>
      <c r="D176" s="146"/>
      <c r="E176" s="146"/>
      <c r="F176" s="146"/>
      <c r="G176" s="146"/>
    </row>
    <row r="177" spans="3:7" x14ac:dyDescent="0.25">
      <c r="C177" s="146"/>
      <c r="D177" s="146"/>
      <c r="E177" s="146"/>
      <c r="F177" s="146"/>
      <c r="G177" s="146"/>
    </row>
    <row r="178" spans="3:7" x14ac:dyDescent="0.25">
      <c r="C178" s="146"/>
      <c r="D178" s="146"/>
      <c r="E178" s="146"/>
      <c r="F178" s="146"/>
      <c r="G178" s="146"/>
    </row>
    <row r="179" spans="3:7" x14ac:dyDescent="0.25">
      <c r="C179" s="146"/>
      <c r="D179" s="146"/>
      <c r="E179" s="146"/>
      <c r="F179" s="146"/>
      <c r="G179" s="146"/>
    </row>
    <row r="180" spans="3:7" x14ac:dyDescent="0.25">
      <c r="C180" s="146"/>
      <c r="D180" s="146"/>
      <c r="E180" s="146"/>
      <c r="F180" s="146"/>
      <c r="G180" s="146"/>
    </row>
    <row r="181" spans="3:7" x14ac:dyDescent="0.25">
      <c r="C181" s="146"/>
      <c r="D181" s="146"/>
      <c r="E181" s="146"/>
      <c r="F181" s="146"/>
      <c r="G181" s="146"/>
    </row>
    <row r="182" spans="3:7" x14ac:dyDescent="0.25">
      <c r="C182" s="146"/>
      <c r="D182" s="146"/>
      <c r="E182" s="146"/>
      <c r="F182" s="146"/>
      <c r="G182" s="146"/>
    </row>
    <row r="183" spans="3:7" x14ac:dyDescent="0.25">
      <c r="C183" s="146"/>
      <c r="D183" s="146"/>
      <c r="E183" s="146"/>
      <c r="F183" s="146"/>
      <c r="G183" s="146"/>
    </row>
    <row r="184" spans="3:7" x14ac:dyDescent="0.25">
      <c r="C184" s="146"/>
      <c r="D184" s="146"/>
      <c r="E184" s="146"/>
      <c r="F184" s="146"/>
      <c r="G184" s="146"/>
    </row>
    <row r="185" spans="3:7" x14ac:dyDescent="0.25">
      <c r="C185" s="146"/>
      <c r="D185" s="146"/>
      <c r="E185" s="146"/>
      <c r="F185" s="146"/>
      <c r="G185" s="146"/>
    </row>
    <row r="186" spans="3:7" x14ac:dyDescent="0.25">
      <c r="C186" s="146"/>
      <c r="D186" s="146"/>
      <c r="E186" s="146"/>
      <c r="F186" s="146"/>
      <c r="G186" s="146"/>
    </row>
    <row r="187" spans="3:7" x14ac:dyDescent="0.25">
      <c r="C187" s="146"/>
      <c r="D187" s="146"/>
      <c r="E187" s="146"/>
      <c r="F187" s="146"/>
      <c r="G187" s="146"/>
    </row>
    <row r="188" spans="3:7" x14ac:dyDescent="0.25">
      <c r="C188" s="146"/>
      <c r="D188" s="146"/>
      <c r="E188" s="146"/>
      <c r="F188" s="146"/>
      <c r="G188" s="146"/>
    </row>
    <row r="189" spans="3:7" x14ac:dyDescent="0.25">
      <c r="C189" s="146"/>
      <c r="D189" s="146"/>
      <c r="E189" s="146"/>
      <c r="F189" s="146"/>
      <c r="G189" s="146"/>
    </row>
    <row r="190" spans="3:7" x14ac:dyDescent="0.25">
      <c r="C190" s="146"/>
      <c r="D190" s="146"/>
      <c r="E190" s="146"/>
      <c r="F190" s="146"/>
      <c r="G190" s="146"/>
    </row>
    <row r="191" spans="3:7" x14ac:dyDescent="0.25">
      <c r="C191" s="146"/>
      <c r="D191" s="146"/>
      <c r="E191" s="146"/>
      <c r="F191" s="146"/>
      <c r="G191" s="146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4:F114"/>
    <mergeCell ref="A96:A97"/>
    <mergeCell ref="A99:A100"/>
    <mergeCell ref="A87:A88"/>
    <mergeCell ref="A101:A102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Q6:BQ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43525</v>
      </c>
      <c r="C2" s="60">
        <f>'SALES SUMMARY'!A12</f>
        <v>43526</v>
      </c>
      <c r="D2" s="60">
        <f>'SALES SUMMARY'!A15</f>
        <v>43527</v>
      </c>
      <c r="E2" s="60">
        <f>'SALES SUMMARY'!A18</f>
        <v>43528</v>
      </c>
      <c r="F2" s="60">
        <f>'SALES SUMMARY'!A21</f>
        <v>43529</v>
      </c>
      <c r="G2" s="60">
        <f>'SALES SUMMARY'!A24</f>
        <v>43530</v>
      </c>
      <c r="H2" s="60">
        <f>'SALES SUMMARY'!A27</f>
        <v>43531</v>
      </c>
      <c r="I2" s="60">
        <f>'SALES SUMMARY'!A30</f>
        <v>43532</v>
      </c>
      <c r="J2" s="60">
        <f>'SALES SUMMARY'!A33</f>
        <v>43533</v>
      </c>
      <c r="K2" s="60">
        <f>'SALES SUMMARY'!A36</f>
        <v>43534</v>
      </c>
      <c r="L2" s="60">
        <f>'SALES SUMMARY'!A39</f>
        <v>43535</v>
      </c>
      <c r="M2" s="60">
        <f>'SALES SUMMARY'!A42</f>
        <v>43536</v>
      </c>
      <c r="N2" s="60">
        <f>'SALES SUMMARY'!A45</f>
        <v>43537</v>
      </c>
      <c r="O2" s="60">
        <f>'SALES SUMMARY'!A48</f>
        <v>43538</v>
      </c>
      <c r="P2" s="60">
        <f>'SALES SUMMARY'!A51</f>
        <v>43539</v>
      </c>
      <c r="Q2" s="60">
        <f>'SALES SUMMARY'!A54</f>
        <v>43540</v>
      </c>
      <c r="R2" s="60">
        <f>'SALES SUMMARY'!A57</f>
        <v>43541</v>
      </c>
      <c r="S2" s="60">
        <f>'SALES SUMMARY'!A60</f>
        <v>43542</v>
      </c>
      <c r="T2" s="60">
        <f>'SALES SUMMARY'!A63</f>
        <v>43543</v>
      </c>
      <c r="U2" s="60">
        <f>'SALES SUMMARY'!A66</f>
        <v>43544</v>
      </c>
      <c r="V2" s="60">
        <f>'SALES SUMMARY'!A69</f>
        <v>43545</v>
      </c>
      <c r="W2" s="60">
        <f>'SALES SUMMARY'!A72</f>
        <v>43546</v>
      </c>
      <c r="X2" s="60">
        <f>'SALES SUMMARY'!A75</f>
        <v>43547</v>
      </c>
      <c r="Y2" s="60">
        <f>'SALES SUMMARY'!A78</f>
        <v>43548</v>
      </c>
      <c r="Z2" s="60">
        <f>'SALES SUMMARY'!A81</f>
        <v>43549</v>
      </c>
      <c r="AA2" s="60">
        <f>'SALES SUMMARY'!A84</f>
        <v>43550</v>
      </c>
      <c r="AB2" s="60">
        <f>'SALES SUMMARY'!A87</f>
        <v>43551</v>
      </c>
      <c r="AC2" s="60">
        <f>'SALES SUMMARY'!A90</f>
        <v>43552</v>
      </c>
      <c r="AD2" s="60">
        <f>'SALES SUMMARY'!A93</f>
        <v>43553</v>
      </c>
      <c r="AE2" s="60">
        <f>'SALES SUMMARY'!A96</f>
        <v>43554</v>
      </c>
      <c r="AF2" s="60">
        <f>'SALES SUMMARY'!A99</f>
        <v>43555</v>
      </c>
    </row>
    <row r="3" spans="1:32" x14ac:dyDescent="0.25">
      <c r="A3" s="59" t="s">
        <v>6</v>
      </c>
      <c r="B3" s="61">
        <f>'SALES SUMMARY'!E11</f>
        <v>47567</v>
      </c>
      <c r="C3" s="61">
        <f>'SALES SUMMARY'!E14</f>
        <v>3750</v>
      </c>
      <c r="D3" s="61">
        <f>'SALES SUMMARY'!E17</f>
        <v>0</v>
      </c>
      <c r="E3" s="61">
        <f>'SALES SUMMARY'!E20</f>
        <v>16460</v>
      </c>
      <c r="F3" s="61">
        <f>'SALES SUMMARY'!E23</f>
        <v>28157</v>
      </c>
      <c r="G3" s="61">
        <f>'SALES SUMMARY'!E26</f>
        <v>27816</v>
      </c>
      <c r="H3" s="61">
        <f>'SALES SUMMARY'!E29</f>
        <v>22354</v>
      </c>
      <c r="I3" s="61">
        <f>'SALES SUMMARY'!E32</f>
        <v>41250</v>
      </c>
      <c r="J3" s="61">
        <f>'SALES SUMMARY'!E35</f>
        <v>3714</v>
      </c>
      <c r="K3" s="61">
        <f>'SALES SUMMARY'!E38</f>
        <v>0</v>
      </c>
      <c r="L3" s="61">
        <f>'SALES SUMMARY'!E41</f>
        <v>14752</v>
      </c>
      <c r="M3" s="61">
        <f>'SALES SUMMARY'!E44</f>
        <v>24832</v>
      </c>
      <c r="N3" s="61">
        <f>'SALES SUMMARY'!E47</f>
        <v>31765</v>
      </c>
      <c r="O3" s="61">
        <f>'SALES SUMMARY'!E50</f>
        <v>42326</v>
      </c>
      <c r="P3" s="61">
        <f>'SALES SUMMARY'!E53</f>
        <v>44102</v>
      </c>
      <c r="Q3" s="61">
        <f>'SALES SUMMARY'!E56</f>
        <v>6980</v>
      </c>
      <c r="R3" s="61">
        <f>'SALES SUMMARY'!E59</f>
        <v>0</v>
      </c>
      <c r="S3" s="61">
        <f>'SALES SUMMARY'!E62</f>
        <v>28334</v>
      </c>
      <c r="T3" s="61">
        <f>'SALES SUMMARY'!E65</f>
        <v>22477</v>
      </c>
      <c r="U3" s="61">
        <f>'SALES SUMMARY'!E68</f>
        <v>12649</v>
      </c>
      <c r="V3" s="61">
        <f>'SALES SUMMARY'!E71</f>
        <v>28450</v>
      </c>
      <c r="W3" s="61">
        <f>'SALES SUMMARY'!E74</f>
        <v>37800</v>
      </c>
      <c r="X3" s="61">
        <f>'SALES SUMMARY'!E77</f>
        <v>2185</v>
      </c>
      <c r="Y3" s="61">
        <f>'SALES SUMMARY'!E80</f>
        <v>0</v>
      </c>
      <c r="Z3" s="61">
        <f>'SALES SUMMARY'!E83</f>
        <v>18527</v>
      </c>
      <c r="AA3" s="61">
        <f>'SALES SUMMARY'!E86</f>
        <v>15350</v>
      </c>
      <c r="AB3" s="61">
        <f>'SALES SUMMARY'!E89</f>
        <v>24310</v>
      </c>
      <c r="AC3" s="61">
        <f>'SALES SUMMARY'!E92</f>
        <v>16531</v>
      </c>
      <c r="AD3" s="61">
        <f>'SALES SUMMARY'!E95</f>
        <v>36633</v>
      </c>
      <c r="AE3" s="61">
        <f>'SALES SUMMARY'!E98</f>
        <v>885</v>
      </c>
      <c r="AF3" s="61">
        <f>'SALES SUMMARY'!E102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-9.9999999983992893E-3</v>
      </c>
      <c r="C5" s="61">
        <f>-'SALES SUMMARY'!G14</f>
        <v>0</v>
      </c>
      <c r="D5" s="61">
        <f>-'SALES SUMMARY'!G17</f>
        <v>0</v>
      </c>
      <c r="E5" s="61">
        <f>-'SALES SUMMARY'!G20</f>
        <v>-0.32999999999992724</v>
      </c>
      <c r="F5" s="61">
        <f>-'SALES SUMMARY'!G23</f>
        <v>-0.2999999999992724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-5.4200000000000728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-9.9999999998544808E-2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-0.76000000000021828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-1.4799999999995634</v>
      </c>
      <c r="AB5" s="61">
        <f>-'SALES SUMMARY'!G89</f>
        <v>-10.260000000000218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 x14ac:dyDescent="0.25">
      <c r="A6" s="59" t="s">
        <v>9</v>
      </c>
      <c r="B6" s="61">
        <f>'SALES SUMMARY'!H11</f>
        <v>4.0900000000001455</v>
      </c>
      <c r="C6" s="61">
        <f>'SALES SUMMARY'!H14</f>
        <v>2.1399999999998727</v>
      </c>
      <c r="D6" s="61">
        <f>'SALES SUMMARY'!H17</f>
        <v>0</v>
      </c>
      <c r="E6" s="61">
        <f>'SALES SUMMARY'!H20</f>
        <v>1.1499999999996362</v>
      </c>
      <c r="F6" s="61">
        <f>'SALES SUMMARY'!H23</f>
        <v>0.37999999999919964</v>
      </c>
      <c r="G6" s="61">
        <f>'SALES SUMMARY'!H26</f>
        <v>1.1999999999989086</v>
      </c>
      <c r="H6" s="61">
        <f>'SALES SUMMARY'!H29</f>
        <v>5.9999999999490683E-2</v>
      </c>
      <c r="I6" s="61">
        <f>'SALES SUMMARY'!H32</f>
        <v>4.5900000000001455</v>
      </c>
      <c r="J6" s="61">
        <f>'SALES SUMMARY'!H35</f>
        <v>0.88999999999987267</v>
      </c>
      <c r="K6" s="61">
        <f>'SALES SUMMARY'!H38</f>
        <v>0</v>
      </c>
      <c r="L6" s="61">
        <f>'SALES SUMMARY'!H41</f>
        <v>0.15999999999985448</v>
      </c>
      <c r="M6" s="61">
        <f>'SALES SUMMARY'!H44</f>
        <v>3.2299999999995634</v>
      </c>
      <c r="N6" s="61">
        <f>'SALES SUMMARY'!H47</f>
        <v>4.56999999999789</v>
      </c>
      <c r="O6" s="61">
        <f>'SALES SUMMARY'!H50</f>
        <v>1.2800000000006548</v>
      </c>
      <c r="P6" s="61">
        <f>'SALES SUMMARY'!H53</f>
        <v>0.15000000000145519</v>
      </c>
      <c r="Q6" s="61">
        <f>'SALES SUMMARY'!H56</f>
        <v>7.9499999999998181</v>
      </c>
      <c r="R6" s="61">
        <f>'SALES SUMMARY'!H59</f>
        <v>0</v>
      </c>
      <c r="S6" s="61">
        <f>'SALES SUMMARY'!H62</f>
        <v>10.200000000000728</v>
      </c>
      <c r="T6" s="61">
        <f>'SALES SUMMARY'!H65</f>
        <v>2</v>
      </c>
      <c r="U6" s="61">
        <f>'SALES SUMMARY'!H68</f>
        <v>0.81999999999970896</v>
      </c>
      <c r="V6" s="61">
        <f>'SALES SUMMARY'!H71</f>
        <v>8.3899999999994179</v>
      </c>
      <c r="W6" s="61">
        <f>'SALES SUMMARY'!H74</f>
        <v>5.4799999999995634</v>
      </c>
      <c r="X6" s="61">
        <f>'SALES SUMMARY'!H77</f>
        <v>2.2699999999999818</v>
      </c>
      <c r="Y6" s="61">
        <f>'SALES SUMMARY'!H80</f>
        <v>0</v>
      </c>
      <c r="Z6" s="61">
        <f>'SALES SUMMARY'!H83</f>
        <v>1.1599999999998545</v>
      </c>
      <c r="AA6" s="61">
        <f>'SALES SUMMARY'!H86</f>
        <v>0.56999999999970896</v>
      </c>
      <c r="AB6" s="61">
        <f>'SALES SUMMARY'!H89</f>
        <v>0.45999999999912689</v>
      </c>
      <c r="AC6" s="61">
        <f>'SALES SUMMARY'!H92</f>
        <v>0.72999999999956344</v>
      </c>
      <c r="AD6" s="61">
        <f>'SALES SUMMARY'!H95</f>
        <v>5.1199999999989814</v>
      </c>
      <c r="AE6" s="61">
        <f>'SALES SUMMARY'!H98</f>
        <v>0.79999999999995453</v>
      </c>
      <c r="AF6" s="61">
        <f>'SALES SUMMARY'!H102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-200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 x14ac:dyDescent="0.25">
      <c r="A9" s="59" t="s">
        <v>14</v>
      </c>
      <c r="B9" s="61">
        <f>-'SALES SUMMARY'!M11</f>
        <v>-518.52926000000002</v>
      </c>
      <c r="C9" s="61">
        <f>-'SALES SUMMARY'!M14</f>
        <v>-85.950119999999984</v>
      </c>
      <c r="D9" s="61">
        <f>-'SALES SUMMARY'!M17</f>
        <v>0</v>
      </c>
      <c r="E9" s="61">
        <f>-'SALES SUMMARY'!M20</f>
        <v>-180.71932499999997</v>
      </c>
      <c r="F9" s="61">
        <f>-'SALES SUMMARY'!M23</f>
        <v>-208.14193</v>
      </c>
      <c r="G9" s="61">
        <f>-'SALES SUMMARY'!M26</f>
        <v>-369.26550999999995</v>
      </c>
      <c r="H9" s="61">
        <f>-'SALES SUMMARY'!M29</f>
        <v>-143.31104499999998</v>
      </c>
      <c r="I9" s="61">
        <f>-'SALES SUMMARY'!M32</f>
        <v>-499.72664999999995</v>
      </c>
      <c r="J9" s="61">
        <f>-'SALES SUMMARY'!M35</f>
        <v>0</v>
      </c>
      <c r="K9" s="61">
        <f>-'SALES SUMMARY'!M38</f>
        <v>0</v>
      </c>
      <c r="L9" s="61">
        <f>-'SALES SUMMARY'!M41</f>
        <v>-127.40297999999999</v>
      </c>
      <c r="M9" s="61">
        <f>-'SALES SUMMARY'!M44</f>
        <v>-562.80850999999996</v>
      </c>
      <c r="N9" s="61">
        <f>-'SALES SUMMARY'!M47</f>
        <v>-471.08628499999998</v>
      </c>
      <c r="O9" s="61">
        <f>-'SALES SUMMARY'!M50</f>
        <v>-324.19806999999997</v>
      </c>
      <c r="P9" s="61">
        <f>-'SALES SUMMARY'!M53</f>
        <v>-354.08220999999998</v>
      </c>
      <c r="Q9" s="61">
        <f>-'SALES SUMMARY'!M56</f>
        <v>-10.890179999999999</v>
      </c>
      <c r="R9" s="61">
        <f>-'SALES SUMMARY'!M59</f>
        <v>0</v>
      </c>
      <c r="S9" s="61">
        <f>-'SALES SUMMARY'!M62</f>
        <v>-50.352354999999996</v>
      </c>
      <c r="T9" s="61">
        <f>-'SALES SUMMARY'!M65</f>
        <v>-142.04469499999999</v>
      </c>
      <c r="U9" s="61">
        <f>-'SALES SUMMARY'!M68</f>
        <v>-236.83281999999997</v>
      </c>
      <c r="V9" s="61">
        <f>-'SALES SUMMARY'!M71</f>
        <v>-275.04627499999992</v>
      </c>
      <c r="W9" s="61">
        <f>-'SALES SUMMARY'!M74</f>
        <v>-266.04465499999998</v>
      </c>
      <c r="X9" s="61">
        <f>-'SALES SUMMARY'!M77</f>
        <v>-15.456994999999997</v>
      </c>
      <c r="Y9" s="61">
        <f>-'SALES SUMMARY'!M80</f>
        <v>0</v>
      </c>
      <c r="Z9" s="61">
        <f>-'SALES SUMMARY'!M83</f>
        <v>-445.53805</v>
      </c>
      <c r="AA9" s="61">
        <f>-'SALES SUMMARY'!M86</f>
        <v>-117.75378000000001</v>
      </c>
      <c r="AB9" s="61">
        <f>-'SALES SUMMARY'!M89</f>
        <v>-350.65209999999996</v>
      </c>
      <c r="AC9" s="61">
        <f>-'SALES SUMMARY'!M92</f>
        <v>-367.12110000000001</v>
      </c>
      <c r="AD9" s="61">
        <f>-'SALES SUMMARY'!M95</f>
        <v>-567.5617299999999</v>
      </c>
      <c r="AE9" s="61">
        <f>-'SALES SUMMARY'!M98</f>
        <v>-511.86554999999998</v>
      </c>
      <c r="AF9" s="61">
        <f>-'SALES SUMMARY'!M102</f>
        <v>0</v>
      </c>
    </row>
    <row r="10" spans="1:32" x14ac:dyDescent="0.25">
      <c r="A10" s="59" t="s">
        <v>15</v>
      </c>
      <c r="B10" s="61">
        <f>-'SALES SUMMARY'!N11</f>
        <v>-120.58820000000001</v>
      </c>
      <c r="C10" s="61">
        <f>-'SALES SUMMARY'!N14</f>
        <v>-19.988399999999999</v>
      </c>
      <c r="D10" s="61">
        <f>-'SALES SUMMARY'!N17</f>
        <v>0</v>
      </c>
      <c r="E10" s="61">
        <f>-'SALES SUMMARY'!N20</f>
        <v>-42.027750000000005</v>
      </c>
      <c r="F10" s="61">
        <f>-'SALES SUMMARY'!N23</f>
        <v>-48.405100000000004</v>
      </c>
      <c r="G10" s="61">
        <f>-'SALES SUMMARY'!N26</f>
        <v>-85.875699999999995</v>
      </c>
      <c r="H10" s="61">
        <f>-'SALES SUMMARY'!N29</f>
        <v>-33.328150000000001</v>
      </c>
      <c r="I10" s="61">
        <f>-'SALES SUMMARY'!N32</f>
        <v>-116.21549999999999</v>
      </c>
      <c r="J10" s="61">
        <f>-'SALES SUMMARY'!N35</f>
        <v>0</v>
      </c>
      <c r="K10" s="61">
        <f>-'SALES SUMMARY'!N38</f>
        <v>0</v>
      </c>
      <c r="L10" s="61">
        <f>-'SALES SUMMARY'!N41</f>
        <v>-29.628599999999999</v>
      </c>
      <c r="M10" s="61">
        <f>-'SALES SUMMARY'!N44</f>
        <v>-130.88570000000001</v>
      </c>
      <c r="N10" s="61">
        <f>-'SALES SUMMARY'!N47</f>
        <v>-109.55494999999999</v>
      </c>
      <c r="O10" s="61">
        <f>-'SALES SUMMARY'!N50</f>
        <v>-75.394900000000007</v>
      </c>
      <c r="P10" s="61">
        <f>-'SALES SUMMARY'!N53</f>
        <v>-82.344700000000003</v>
      </c>
      <c r="Q10" s="61">
        <f>-'SALES SUMMARY'!N56</f>
        <v>-2.5326</v>
      </c>
      <c r="R10" s="61">
        <f>-'SALES SUMMARY'!N59</f>
        <v>0</v>
      </c>
      <c r="S10" s="61">
        <f>-'SALES SUMMARY'!N62</f>
        <v>-11.709849999999999</v>
      </c>
      <c r="T10" s="61">
        <f>-'SALES SUMMARY'!N65</f>
        <v>-33.033650000000002</v>
      </c>
      <c r="U10" s="61">
        <f>-'SALES SUMMARY'!N68</f>
        <v>-55.077400000000004</v>
      </c>
      <c r="V10" s="61">
        <f>-'SALES SUMMARY'!N71</f>
        <v>-63.96425</v>
      </c>
      <c r="W10" s="61">
        <f>-'SALES SUMMARY'!N74</f>
        <v>-61.870849999999997</v>
      </c>
      <c r="X10" s="61">
        <f>-'SALES SUMMARY'!N77</f>
        <v>-3.5946499999999997</v>
      </c>
      <c r="Y10" s="61">
        <f>-'SALES SUMMARY'!N80</f>
        <v>0</v>
      </c>
      <c r="Z10" s="61">
        <f>-'SALES SUMMARY'!N83</f>
        <v>-103.61350000000002</v>
      </c>
      <c r="AA10" s="61">
        <f>-'SALES SUMMARY'!N86</f>
        <v>-27.384599999999999</v>
      </c>
      <c r="AB10" s="61">
        <f>-'SALES SUMMARY'!N89</f>
        <v>-81.546999999999997</v>
      </c>
      <c r="AC10" s="61">
        <f>-'SALES SUMMARY'!N92</f>
        <v>-85.37700000000001</v>
      </c>
      <c r="AD10" s="61">
        <f>-'SALES SUMMARY'!N95</f>
        <v>-131.99109999999999</v>
      </c>
      <c r="AE10" s="61">
        <f>-'SALES SUMMARY'!N98</f>
        <v>-119.0385</v>
      </c>
      <c r="AF10" s="61">
        <f>-'SALES SUMMARY'!N102</f>
        <v>0</v>
      </c>
    </row>
    <row r="11" spans="1:32" x14ac:dyDescent="0.25">
      <c r="A11" s="59" t="s">
        <v>16</v>
      </c>
      <c r="B11" s="61">
        <f>-'SALES SUMMARY'!O11</f>
        <v>-23478.522540000002</v>
      </c>
      <c r="C11" s="61">
        <f>-'SALES SUMMARY'!O14</f>
        <v>-3891.7414799999997</v>
      </c>
      <c r="D11" s="61">
        <f>-'SALES SUMMARY'!O17</f>
        <v>0</v>
      </c>
      <c r="E11" s="61">
        <f>-'SALES SUMMARY'!O20</f>
        <v>-8182.802925</v>
      </c>
      <c r="F11" s="61">
        <f>-'SALES SUMMARY'!O23</f>
        <v>-9424.4729700000007</v>
      </c>
      <c r="G11" s="61">
        <f>-'SALES SUMMARY'!O26</f>
        <v>-16719.998790000001</v>
      </c>
      <c r="H11" s="61">
        <f>-'SALES SUMMARY'!O29</f>
        <v>-6488.9908050000004</v>
      </c>
      <c r="I11" s="61">
        <f>-'SALES SUMMARY'!O32</f>
        <v>-22627.157850000003</v>
      </c>
      <c r="J11" s="61">
        <f>-'SALES SUMMARY'!O35</f>
        <v>0</v>
      </c>
      <c r="K11" s="61">
        <f>-'SALES SUMMARY'!O38</f>
        <v>0</v>
      </c>
      <c r="L11" s="61">
        <f>-'SALES SUMMARY'!O41</f>
        <v>-5768.6884199999995</v>
      </c>
      <c r="M11" s="61">
        <f>-'SALES SUMMARY'!O44</f>
        <v>-25483.445790000002</v>
      </c>
      <c r="N11" s="61">
        <f>-'SALES SUMMARY'!O47</f>
        <v>-21330.348764999999</v>
      </c>
      <c r="O11" s="61">
        <f>-'SALES SUMMARY'!O50</f>
        <v>-14679.38703</v>
      </c>
      <c r="P11" s="61">
        <f>-'SALES SUMMARY'!O53</f>
        <v>-16032.51309</v>
      </c>
      <c r="Q11" s="61">
        <f>-'SALES SUMMARY'!O56</f>
        <v>-493.09721999999999</v>
      </c>
      <c r="R11" s="61">
        <f>-'SALES SUMMARY'!O59</f>
        <v>0</v>
      </c>
      <c r="S11" s="61">
        <f>-'SALES SUMMARY'!O62</f>
        <v>-2279.9077950000001</v>
      </c>
      <c r="T11" s="61">
        <f>-'SALES SUMMARY'!O65</f>
        <v>-6431.6516549999997</v>
      </c>
      <c r="U11" s="61">
        <f>-'SALES SUMMARY'!O68</f>
        <v>-10723.569779999998</v>
      </c>
      <c r="V11" s="61">
        <f>-'SALES SUMMARY'!O71</f>
        <v>-12453.839475000001</v>
      </c>
      <c r="W11" s="61">
        <f>-'SALES SUMMARY'!O74</f>
        <v>-12046.254495000001</v>
      </c>
      <c r="X11" s="61">
        <f>-'SALES SUMMARY'!O77</f>
        <v>-699.87835499999994</v>
      </c>
      <c r="Y11" s="61">
        <f>-'SALES SUMMARY'!O80</f>
        <v>0</v>
      </c>
      <c r="Z11" s="61">
        <f>-'SALES SUMMARY'!O83</f>
        <v>-20173.548450000002</v>
      </c>
      <c r="AA11" s="61">
        <f>-'SALES SUMMARY'!O86</f>
        <v>-5331.7816200000007</v>
      </c>
      <c r="AB11" s="61">
        <f>-'SALES SUMMARY'!O89</f>
        <v>-15877.2009</v>
      </c>
      <c r="AC11" s="61">
        <f>-'SALES SUMMARY'!O92</f>
        <v>-16622.901900000001</v>
      </c>
      <c r="AD11" s="61">
        <f>-'SALES SUMMARY'!O95</f>
        <v>-25698.667170000001</v>
      </c>
      <c r="AE11" s="61">
        <f>-'SALES SUMMARY'!O98</f>
        <v>-23176.795950000003</v>
      </c>
      <c r="AF11" s="61">
        <f>-'SALES SUMMARY'!O102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 x14ac:dyDescent="0.25">
      <c r="A18" s="59" t="s">
        <v>48</v>
      </c>
      <c r="B18" s="61">
        <f>-'SALES SUMMARY'!Z11</f>
        <v>-955.75</v>
      </c>
      <c r="C18" s="61">
        <f>-'SALES SUMMARY'!Z14</f>
        <v>0</v>
      </c>
      <c r="D18" s="61">
        <f>-'SALES SUMMARY'!Z17</f>
        <v>0</v>
      </c>
      <c r="E18" s="61">
        <f>-'SALES SUMMARY'!Z20</f>
        <v>-47.25</v>
      </c>
      <c r="F18" s="61">
        <f>-'SALES SUMMARY'!Z23</f>
        <v>-91.75</v>
      </c>
      <c r="G18" s="61">
        <f>-'SALES SUMMARY'!Z26</f>
        <v>-40.25</v>
      </c>
      <c r="H18" s="61">
        <f>-'SALES SUMMARY'!Z29</f>
        <v>-368.75</v>
      </c>
      <c r="I18" s="61">
        <f>-'SALES SUMMARY'!Z32</f>
        <v>-481.75</v>
      </c>
      <c r="J18" s="61">
        <f>-'SALES SUMMARY'!Z35</f>
        <v>-51.25</v>
      </c>
      <c r="K18" s="61">
        <f>-'SALES SUMMARY'!Z38</f>
        <v>0</v>
      </c>
      <c r="L18" s="61">
        <f>-'SALES SUMMARY'!Z41</f>
        <v>-322.25</v>
      </c>
      <c r="M18" s="61">
        <f>-'SALES SUMMARY'!Z44</f>
        <v>-44.5</v>
      </c>
      <c r="N18" s="61">
        <f>-'SALES SUMMARY'!Z47</f>
        <v>-252.25</v>
      </c>
      <c r="O18" s="61">
        <f>-'SALES SUMMARY'!Z50</f>
        <v>-205.5</v>
      </c>
      <c r="P18" s="61">
        <f>-'SALES SUMMARY'!Z53</f>
        <v>-267.75</v>
      </c>
      <c r="Q18" s="61">
        <f>-'SALES SUMMARY'!Z56</f>
        <v>0</v>
      </c>
      <c r="R18" s="61">
        <f>-'SALES SUMMARY'!Z59</f>
        <v>0</v>
      </c>
      <c r="S18" s="61">
        <f>-'SALES SUMMARY'!Z62</f>
        <v>-169</v>
      </c>
      <c r="T18" s="61">
        <f>-'SALES SUMMARY'!Z65</f>
        <v>-217.5</v>
      </c>
      <c r="U18" s="61">
        <f>-'SALES SUMMARY'!Z68</f>
        <v>-47.75</v>
      </c>
      <c r="V18" s="61">
        <f>-'SALES SUMMARY'!Z71</f>
        <v>-209.25</v>
      </c>
      <c r="W18" s="61">
        <f>-'SALES SUMMARY'!Z74</f>
        <v>-1297</v>
      </c>
      <c r="X18" s="61">
        <f>-'SALES SUMMARY'!Z77</f>
        <v>-32</v>
      </c>
      <c r="Y18" s="61">
        <f>-'SALES SUMMARY'!Z80</f>
        <v>0</v>
      </c>
      <c r="Z18" s="61">
        <f>-'SALES SUMMARY'!Z83</f>
        <v>-176.75</v>
      </c>
      <c r="AA18" s="61">
        <f>-'SALES SUMMARY'!Z86</f>
        <v>-27</v>
      </c>
      <c r="AB18" s="61">
        <f>-'SALES SUMMARY'!Z89</f>
        <v>-104.75</v>
      </c>
      <c r="AC18" s="61">
        <f>-'SALES SUMMARY'!Z92</f>
        <v>-70.75</v>
      </c>
      <c r="AD18" s="61">
        <f>-'SALES SUMMARY'!Z95</f>
        <v>-772.4</v>
      </c>
      <c r="AE18" s="61">
        <f>-'SALES SUMMARY'!Z98</f>
        <v>-698.75</v>
      </c>
      <c r="AF18" s="61">
        <f>-'SALES SUMMARY'!Z102</f>
        <v>0</v>
      </c>
    </row>
    <row r="19" spans="1:32" x14ac:dyDescent="0.25">
      <c r="A19" s="59" t="s">
        <v>49</v>
      </c>
      <c r="B19" s="61">
        <f>-'SALES SUMMARY'!AA11</f>
        <v>-28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-31.5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-33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-35.5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 x14ac:dyDescent="0.25">
      <c r="A21" s="59" t="s">
        <v>51</v>
      </c>
      <c r="B21" s="61">
        <f>-'SALES SUMMARY'!AC11</f>
        <v>-262.05</v>
      </c>
      <c r="C21" s="61">
        <f>-'SALES SUMMARY'!AC14</f>
        <v>-89.29</v>
      </c>
      <c r="D21" s="61">
        <f>-'SALES SUMMARY'!AC17</f>
        <v>0</v>
      </c>
      <c r="E21" s="61">
        <f>-'SALES SUMMARY'!AC20</f>
        <v>-503.35</v>
      </c>
      <c r="F21" s="61">
        <f>-'SALES SUMMARY'!AC23</f>
        <v>-416.7</v>
      </c>
      <c r="G21" s="61">
        <f>-'SALES SUMMARY'!AC26</f>
        <v>-855.43000000000006</v>
      </c>
      <c r="H21" s="61">
        <f>-'SALES SUMMARY'!AC29</f>
        <v>-225.9</v>
      </c>
      <c r="I21" s="61">
        <f>-'SALES SUMMARY'!AC32</f>
        <v>-403.22</v>
      </c>
      <c r="J21" s="61">
        <f>-'SALES SUMMARY'!AC35</f>
        <v>0</v>
      </c>
      <c r="K21" s="61">
        <f>-'SALES SUMMARY'!AC38</f>
        <v>0</v>
      </c>
      <c r="L21" s="61">
        <f>-'SALES SUMMARY'!AC41</f>
        <v>-245.83</v>
      </c>
      <c r="M21" s="61">
        <f>-'SALES SUMMARY'!AC44</f>
        <v>-411.61</v>
      </c>
      <c r="N21" s="61">
        <f>-'SALES SUMMARY'!AC47</f>
        <v>-60.71</v>
      </c>
      <c r="O21" s="61">
        <f>-'SALES SUMMARY'!AC50</f>
        <v>-444.2</v>
      </c>
      <c r="P21" s="61">
        <f>-'SALES SUMMARY'!AC53</f>
        <v>-450.3</v>
      </c>
      <c r="Q21" s="61">
        <f>-'SALES SUMMARY'!AC56</f>
        <v>-45.54</v>
      </c>
      <c r="R21" s="61">
        <f>-'SALES SUMMARY'!AC59</f>
        <v>0</v>
      </c>
      <c r="S21" s="61">
        <f>-'SALES SUMMARY'!AC62</f>
        <v>-348.66</v>
      </c>
      <c r="T21" s="61">
        <f>-'SALES SUMMARY'!AC65</f>
        <v>-265.63</v>
      </c>
      <c r="U21" s="61">
        <f>-'SALES SUMMARY'!AC68</f>
        <v>-789.68999999999994</v>
      </c>
      <c r="V21" s="61">
        <f>-'SALES SUMMARY'!AC71</f>
        <v>-170.24</v>
      </c>
      <c r="W21" s="61">
        <f>-'SALES SUMMARY'!AC74</f>
        <v>-548.37</v>
      </c>
      <c r="X21" s="61">
        <f>-'SALES SUMMARY'!AC77</f>
        <v>-57.14</v>
      </c>
      <c r="Y21" s="61">
        <f>-'SALES SUMMARY'!AC80</f>
        <v>0</v>
      </c>
      <c r="Z21" s="61">
        <f>-'SALES SUMMARY'!AC83</f>
        <v>-110.94</v>
      </c>
      <c r="AA21" s="61">
        <f>-'SALES SUMMARY'!AC86</f>
        <v>-215.63</v>
      </c>
      <c r="AB21" s="61">
        <f>-'SALES SUMMARY'!AC89</f>
        <v>-416.74</v>
      </c>
      <c r="AC21" s="61">
        <f>-'SALES SUMMARY'!AC92</f>
        <v>-556.25</v>
      </c>
      <c r="AD21" s="61">
        <f>-'SALES SUMMARY'!AC95</f>
        <v>-101.03999999999999</v>
      </c>
      <c r="AE21" s="61">
        <f>-'SALES SUMMARY'!AC98</f>
        <v>-53.57</v>
      </c>
      <c r="AF21" s="61">
        <f>-'SALES SUMMARY'!AC102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 x14ac:dyDescent="0.25">
      <c r="A23" s="59" t="s">
        <v>52</v>
      </c>
      <c r="B23" s="61">
        <f>'SALES SUMMARY'!AG11</f>
        <v>3899.5212000000001</v>
      </c>
      <c r="C23" s="61">
        <f>'SALES SUMMARY'!AG14</f>
        <v>434.11200000000002</v>
      </c>
      <c r="D23" s="61">
        <f>'SALES SUMMARY'!AG17</f>
        <v>0</v>
      </c>
      <c r="E23" s="61">
        <f>'SALES SUMMARY'!AG20</f>
        <v>1239.1912000000002</v>
      </c>
      <c r="F23" s="61">
        <f>'SALES SUMMARY'!AG23</f>
        <v>3048.6372000000001</v>
      </c>
      <c r="G23" s="61">
        <f>'SALES SUMMARY'!AG26</f>
        <v>2424.7848000000004</v>
      </c>
      <c r="H23" s="61">
        <f>'SALES SUMMARY'!AG29</f>
        <v>4423.74</v>
      </c>
      <c r="I23" s="61">
        <f>'SALES SUMMARY'!AG32</f>
        <v>5978.0840000000007</v>
      </c>
      <c r="J23" s="61">
        <f>'SALES SUMMARY'!AG35</f>
        <v>206.96480000000003</v>
      </c>
      <c r="K23" s="61">
        <f>'SALES SUMMARY'!AG38</f>
        <v>0</v>
      </c>
      <c r="L23" s="61">
        <f>'SALES SUMMARY'!AG41</f>
        <v>1085.6608000000001</v>
      </c>
      <c r="M23" s="61">
        <f>'SALES SUMMARY'!AG44</f>
        <v>2746.5064000000002</v>
      </c>
      <c r="N23" s="61">
        <f>'SALES SUMMARY'!AG47</f>
        <v>2570.9508000000001</v>
      </c>
      <c r="O23" s="61">
        <f>'SALES SUMMARY'!AG50</f>
        <v>2961.0056000000004</v>
      </c>
      <c r="P23" s="61">
        <f>'SALES SUMMARY'!AG53</f>
        <v>3093.3948</v>
      </c>
      <c r="Q23" s="61">
        <f>'SALES SUMMARY'!AG56</f>
        <v>368.17239999999998</v>
      </c>
      <c r="R23" s="61">
        <f>'SALES SUMMARY'!AG59</f>
        <v>0</v>
      </c>
      <c r="S23" s="61">
        <f>'SALES SUMMARY'!AG62</f>
        <v>2862.46</v>
      </c>
      <c r="T23" s="61">
        <f>'SALES SUMMARY'!AG65</f>
        <v>3004.9879999999998</v>
      </c>
      <c r="U23" s="61">
        <f>'SALES SUMMARY'!AG68</f>
        <v>3888.2060000000001</v>
      </c>
      <c r="V23" s="61">
        <f>'SALES SUMMARY'!AG71</f>
        <v>3510.8128000000002</v>
      </c>
      <c r="W23" s="61">
        <f>'SALES SUMMARY'!AG74</f>
        <v>2662.2543999999998</v>
      </c>
      <c r="X23" s="61">
        <f>'SALES SUMMARY'!AG77</f>
        <v>163.2612</v>
      </c>
      <c r="Y23" s="61">
        <f>'SALES SUMMARY'!AG80</f>
        <v>0</v>
      </c>
      <c r="Z23" s="61">
        <f>'SALES SUMMARY'!AG83</f>
        <v>2037.8172</v>
      </c>
      <c r="AA23" s="61">
        <f>'SALES SUMMARY'!AG86</f>
        <v>1068.8444</v>
      </c>
      <c r="AB23" s="61">
        <f>'SALES SUMMARY'!AG89</f>
        <v>2164.2632000000003</v>
      </c>
      <c r="AC23" s="61">
        <f>'SALES SUMMARY'!AG92</f>
        <v>1814.8656000000001</v>
      </c>
      <c r="AD23" s="61">
        <f>'SALES SUMMARY'!AG95</f>
        <v>3236.2356000000004</v>
      </c>
      <c r="AE23" s="61">
        <f>'SALES SUMMARY'!AG98</f>
        <v>1364.3247999999999</v>
      </c>
      <c r="AF23" s="61">
        <f>'SALES SUMMARY'!AG102</f>
        <v>0</v>
      </c>
    </row>
    <row r="24" spans="1:32" x14ac:dyDescent="0.25">
      <c r="A24" s="59" t="s">
        <v>53</v>
      </c>
      <c r="B24" s="61">
        <f>'SALES SUMMARY'!AH11</f>
        <v>688.15080000000012</v>
      </c>
      <c r="C24" s="61">
        <f>'SALES SUMMARY'!AH14</f>
        <v>76.608000000000004</v>
      </c>
      <c r="D24" s="61">
        <f>'SALES SUMMARY'!AH17</f>
        <v>0</v>
      </c>
      <c r="E24" s="61">
        <f>'SALES SUMMARY'!AH20</f>
        <v>218.68080000000003</v>
      </c>
      <c r="F24" s="61">
        <f>'SALES SUMMARY'!AH23</f>
        <v>537.99480000000005</v>
      </c>
      <c r="G24" s="61">
        <f>'SALES SUMMARY'!AH26</f>
        <v>427.90320000000003</v>
      </c>
      <c r="H24" s="61">
        <f>'SALES SUMMARY'!AH29</f>
        <v>780.66</v>
      </c>
      <c r="I24" s="61">
        <f>'SALES SUMMARY'!AH32</f>
        <v>1054.9560000000001</v>
      </c>
      <c r="J24" s="61">
        <f>'SALES SUMMARY'!AH35</f>
        <v>36.523200000000003</v>
      </c>
      <c r="K24" s="61">
        <f>'SALES SUMMARY'!AH38</f>
        <v>0</v>
      </c>
      <c r="L24" s="61">
        <f>'SALES SUMMARY'!AH41</f>
        <v>191.5872</v>
      </c>
      <c r="M24" s="61">
        <f>'SALES SUMMARY'!AH44</f>
        <v>484.67759999999998</v>
      </c>
      <c r="N24" s="61">
        <f>'SALES SUMMARY'!AH47</f>
        <v>453.69719999999995</v>
      </c>
      <c r="O24" s="61">
        <f>'SALES SUMMARY'!AH50</f>
        <v>522.5304000000001</v>
      </c>
      <c r="P24" s="61">
        <f>'SALES SUMMARY'!AH53</f>
        <v>545.89319999999998</v>
      </c>
      <c r="Q24" s="61">
        <f>'SALES SUMMARY'!AH56</f>
        <v>64.971599999999995</v>
      </c>
      <c r="R24" s="61">
        <f>'SALES SUMMARY'!AH59</f>
        <v>0</v>
      </c>
      <c r="S24" s="61">
        <f>'SALES SUMMARY'!AH62</f>
        <v>505.14</v>
      </c>
      <c r="T24" s="61">
        <f>'SALES SUMMARY'!AH65</f>
        <v>530.29200000000003</v>
      </c>
      <c r="U24" s="61">
        <f>'SALES SUMMARY'!AH68</f>
        <v>686.154</v>
      </c>
      <c r="V24" s="61">
        <f>'SALES SUMMARY'!AH71</f>
        <v>619.55520000000001</v>
      </c>
      <c r="W24" s="61">
        <f>'SALES SUMMARY'!AH74</f>
        <v>469.80959999999999</v>
      </c>
      <c r="X24" s="61">
        <f>'SALES SUMMARY'!AH77</f>
        <v>28.8108</v>
      </c>
      <c r="Y24" s="61">
        <f>'SALES SUMMARY'!AH80</f>
        <v>0</v>
      </c>
      <c r="Z24" s="61">
        <f>'SALES SUMMARY'!AH83</f>
        <v>359.61479999999995</v>
      </c>
      <c r="AA24" s="61">
        <f>'SALES SUMMARY'!AH86</f>
        <v>188.61959999999999</v>
      </c>
      <c r="AB24" s="61">
        <f>'SALES SUMMARY'!AH89</f>
        <v>381.92880000000002</v>
      </c>
      <c r="AC24" s="61">
        <f>'SALES SUMMARY'!AH92</f>
        <v>320.2704</v>
      </c>
      <c r="AD24" s="61">
        <f>'SALES SUMMARY'!AH95</f>
        <v>571.10040000000004</v>
      </c>
      <c r="AE24" s="61">
        <f>'SALES SUMMARY'!AH98</f>
        <v>240.76319999999998</v>
      </c>
      <c r="AF24" s="61">
        <f>'SALES SUMMARY'!AH102</f>
        <v>0</v>
      </c>
    </row>
    <row r="25" spans="1:32" x14ac:dyDescent="0.25">
      <c r="A25" s="59" t="s">
        <v>54</v>
      </c>
      <c r="B25" s="61">
        <f>'SALES SUMMARY'!AI11</f>
        <v>1146.9180000000001</v>
      </c>
      <c r="C25" s="61">
        <f>'SALES SUMMARY'!AI14</f>
        <v>127.68</v>
      </c>
      <c r="D25" s="61">
        <f>'SALES SUMMARY'!AI17</f>
        <v>0</v>
      </c>
      <c r="E25" s="61">
        <f>'SALES SUMMARY'!AI20</f>
        <v>364.46800000000007</v>
      </c>
      <c r="F25" s="61">
        <f>'SALES SUMMARY'!AI23</f>
        <v>896.65800000000013</v>
      </c>
      <c r="G25" s="61">
        <f>'SALES SUMMARY'!AI26</f>
        <v>713.17200000000003</v>
      </c>
      <c r="H25" s="61">
        <f>'SALES SUMMARY'!AI29</f>
        <v>1301.0999999999999</v>
      </c>
      <c r="I25" s="61">
        <f>'SALES SUMMARY'!AI32</f>
        <v>1758.2600000000002</v>
      </c>
      <c r="J25" s="61">
        <f>'SALES SUMMARY'!AI35</f>
        <v>60.872000000000007</v>
      </c>
      <c r="K25" s="61">
        <f>'SALES SUMMARY'!AI38</f>
        <v>0</v>
      </c>
      <c r="L25" s="61">
        <f>'SALES SUMMARY'!AI41</f>
        <v>319.31200000000001</v>
      </c>
      <c r="M25" s="61">
        <f>'SALES SUMMARY'!AI44</f>
        <v>807.79600000000005</v>
      </c>
      <c r="N25" s="61">
        <f>'SALES SUMMARY'!AI47</f>
        <v>756.16200000000003</v>
      </c>
      <c r="O25" s="61">
        <f>'SALES SUMMARY'!AI50</f>
        <v>870.88400000000001</v>
      </c>
      <c r="P25" s="61">
        <f>'SALES SUMMARY'!AI53</f>
        <v>909.82200000000012</v>
      </c>
      <c r="Q25" s="61">
        <f>'SALES SUMMARY'!AI56</f>
        <v>108.286</v>
      </c>
      <c r="R25" s="61">
        <f>'SALES SUMMARY'!AI59</f>
        <v>0</v>
      </c>
      <c r="S25" s="61">
        <f>'SALES SUMMARY'!AI62</f>
        <v>841.90000000000009</v>
      </c>
      <c r="T25" s="61">
        <f>'SALES SUMMARY'!AI65</f>
        <v>883.81999999999994</v>
      </c>
      <c r="U25" s="61">
        <f>'SALES SUMMARY'!AI68</f>
        <v>1143.5900000000001</v>
      </c>
      <c r="V25" s="61">
        <f>'SALES SUMMARY'!AI71</f>
        <v>1032.5920000000001</v>
      </c>
      <c r="W25" s="61">
        <f>'SALES SUMMARY'!AI74</f>
        <v>783.01600000000008</v>
      </c>
      <c r="X25" s="61">
        <f>'SALES SUMMARY'!AI77</f>
        <v>48.018000000000001</v>
      </c>
      <c r="Y25" s="61">
        <f>'SALES SUMMARY'!AI80</f>
        <v>0</v>
      </c>
      <c r="Z25" s="61">
        <f>'SALES SUMMARY'!AI83</f>
        <v>599.35799999999995</v>
      </c>
      <c r="AA25" s="61">
        <f>'SALES SUMMARY'!AI86</f>
        <v>314.36599999999999</v>
      </c>
      <c r="AB25" s="61">
        <f>'SALES SUMMARY'!AI89</f>
        <v>636.548</v>
      </c>
      <c r="AC25" s="61">
        <f>'SALES SUMMARY'!AI92</f>
        <v>533.78400000000011</v>
      </c>
      <c r="AD25" s="61">
        <f>'SALES SUMMARY'!AI95</f>
        <v>951.83400000000017</v>
      </c>
      <c r="AE25" s="61">
        <f>'SALES SUMMARY'!AI98</f>
        <v>401.27199999999999</v>
      </c>
      <c r="AF25" s="61">
        <f>'SALES SUMMARY'!AI102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 x14ac:dyDescent="0.25">
      <c r="A27" s="59" t="s">
        <v>56</v>
      </c>
      <c r="B27" s="61">
        <f>'SALES SUMMARY'!AK11</f>
        <v>61329.25892857142</v>
      </c>
      <c r="C27" s="61">
        <f>'SALES SUMMARY'!AK14</f>
        <v>9215.5625</v>
      </c>
      <c r="D27" s="61">
        <f>'SALES SUMMARY'!AK17</f>
        <v>0</v>
      </c>
      <c r="E27" s="61">
        <f>'SALES SUMMARY'!AK20</f>
        <v>22644.633928571428</v>
      </c>
      <c r="F27" s="61">
        <f>'SALES SUMMARY'!AK23</f>
        <v>48955.44642857142</v>
      </c>
      <c r="G27" s="61">
        <f>'SALES SUMMARY'!AK26</f>
        <v>40046.214285714283</v>
      </c>
      <c r="H27" s="61">
        <f>'SALES SUMMARY'!AK29</f>
        <v>71254.214285714275</v>
      </c>
      <c r="I27" s="61">
        <f>'SALES SUMMARY'!AK32</f>
        <v>102385.875</v>
      </c>
      <c r="J27" s="61">
        <f>'SALES SUMMARY'!AK35</f>
        <v>6555.3571428571422</v>
      </c>
      <c r="K27" s="61">
        <f>'SALES SUMMARY'!AK38</f>
        <v>0</v>
      </c>
      <c r="L27" s="61">
        <f>'SALES SUMMARY'!AK41</f>
        <v>18933.482142857141</v>
      </c>
      <c r="M27" s="61">
        <f>'SALES SUMMARY'!AK44</f>
        <v>46769.678571428565</v>
      </c>
      <c r="N27" s="61">
        <f>'SALES SUMMARY'!AK47</f>
        <v>46815.6875</v>
      </c>
      <c r="O27" s="61">
        <f>'SALES SUMMARY'!AK50</f>
        <v>61641.5</v>
      </c>
      <c r="P27" s="61">
        <f>'SALES SUMMARY'!AK53</f>
        <v>55893.59821428571</v>
      </c>
      <c r="Q27" s="61">
        <f>'SALES SUMMARY'!AK56</f>
        <v>9114</v>
      </c>
      <c r="R27" s="61">
        <f>'SALES SUMMARY'!AK59</f>
        <v>0</v>
      </c>
      <c r="S27" s="61">
        <f>'SALES SUMMARY'!AK62</f>
        <v>51910.651785714283</v>
      </c>
      <c r="T27" s="61">
        <f>'SALES SUMMARY'!AK65</f>
        <v>49891.75</v>
      </c>
      <c r="U27" s="61">
        <f>'SALES SUMMARY'!AK68</f>
        <v>63291.857142857145</v>
      </c>
      <c r="V27" s="61">
        <f>'SALES SUMMARY'!AK71</f>
        <v>59893.955357142855</v>
      </c>
      <c r="W27" s="61">
        <f>'SALES SUMMARY'!AK74</f>
        <v>48453.553571428565</v>
      </c>
      <c r="X27" s="61">
        <f>'SALES SUMMARY'!AK77</f>
        <v>4189.9196428571422</v>
      </c>
      <c r="Y27" s="61">
        <f>'SALES SUMMARY'!AK80</f>
        <v>0</v>
      </c>
      <c r="Z27" s="61">
        <f>'SALES SUMMARY'!AK83</f>
        <v>37303.96428571429</v>
      </c>
      <c r="AA27" s="61">
        <f>'SALES SUMMARY'!AK86</f>
        <v>21617.526785714283</v>
      </c>
      <c r="AB27" s="61">
        <f>'SALES SUMMARY'!AK89</f>
        <v>41428.75</v>
      </c>
      <c r="AC27" s="61">
        <f>'SALES SUMMARY'!AK92</f>
        <v>31485.937499999996</v>
      </c>
      <c r="AD27" s="61">
        <f>'SALES SUMMARY'!AK95</f>
        <v>54902.116071428565</v>
      </c>
      <c r="AE27" s="61">
        <f>'SALES SUMMARY'!AK98</f>
        <v>26661.482142857141</v>
      </c>
      <c r="AF27" s="61">
        <f>'SALES SUMMARY'!AK102</f>
        <v>0</v>
      </c>
    </row>
    <row r="28" spans="1:32" x14ac:dyDescent="0.25">
      <c r="A28" s="59" t="s">
        <v>57</v>
      </c>
      <c r="B28" s="61">
        <f>'SALES SUMMARY'!AM11</f>
        <v>7210.015071428571</v>
      </c>
      <c r="C28" s="61">
        <f>'SALES SUMMARY'!AM14</f>
        <v>1095.1526999999999</v>
      </c>
      <c r="D28" s="61">
        <f>'SALES SUMMARY'!AM17</f>
        <v>0</v>
      </c>
      <c r="E28" s="61">
        <f>'SALES SUMMARY'!AM20</f>
        <v>2651.2840714285712</v>
      </c>
      <c r="F28" s="61">
        <f>'SALES SUMMARY'!AM23</f>
        <v>5813.6395714285709</v>
      </c>
      <c r="G28" s="61">
        <f>'SALES SUMMARY'!AM26</f>
        <v>4698.064114285713</v>
      </c>
      <c r="H28" s="61">
        <f>'SALES SUMMARY'!AM29</f>
        <v>8479.1477142857111</v>
      </c>
      <c r="I28" s="61">
        <f>'SALES SUMMARY'!AM32</f>
        <v>12180.1086</v>
      </c>
      <c r="J28" s="61">
        <f>'SALES SUMMARY'!AM35</f>
        <v>780.49285714285702</v>
      </c>
      <c r="K28" s="61">
        <f>'SALES SUMMARY'!AM38</f>
        <v>0</v>
      </c>
      <c r="L28" s="61">
        <f>'SALES SUMMARY'!AM41</f>
        <v>2203.8482571428567</v>
      </c>
      <c r="M28" s="61">
        <f>'SALES SUMMARY'!AM44</f>
        <v>5557.6282285714278</v>
      </c>
      <c r="N28" s="61">
        <f>'SALES SUMMARY'!AM47</f>
        <v>5580.327299999999</v>
      </c>
      <c r="O28" s="61">
        <f>'SALES SUMMARY'!AM50</f>
        <v>7315.235999999999</v>
      </c>
      <c r="P28" s="61">
        <f>'SALES SUMMARY'!AM53</f>
        <v>6621.0657857142851</v>
      </c>
      <c r="Q28" s="61">
        <f>'SALES SUMMARY'!AM56</f>
        <v>1088.2151999999999</v>
      </c>
      <c r="R28" s="61">
        <f>'SALES SUMMARY'!AM59</f>
        <v>0</v>
      </c>
      <c r="S28" s="61">
        <f>'SALES SUMMARY'!AM62</f>
        <v>6167.1590142857131</v>
      </c>
      <c r="T28" s="61">
        <f>'SALES SUMMARY'!AM65</f>
        <v>5929.0344000000005</v>
      </c>
      <c r="U28" s="61">
        <f>'SALES SUMMARY'!AM68</f>
        <v>7490.570057142857</v>
      </c>
      <c r="V28" s="61">
        <f>'SALES SUMMARY'!AM71</f>
        <v>7141.7358428571424</v>
      </c>
      <c r="W28" s="61">
        <f>'SALES SUMMARY'!AM74</f>
        <v>5592.9820285714277</v>
      </c>
      <c r="X28" s="61">
        <f>'SALES SUMMARY'!AM77</f>
        <v>492.09355714285698</v>
      </c>
      <c r="Y28" s="61">
        <f>'SALES SUMMARY'!AM80</f>
        <v>0</v>
      </c>
      <c r="Z28" s="61">
        <f>'SALES SUMMARY'!AM83</f>
        <v>4441.9529142857145</v>
      </c>
      <c r="AA28" s="61">
        <f>'SALES SUMMARY'!AM86</f>
        <v>2564.9876142857138</v>
      </c>
      <c r="AB28" s="61">
        <f>'SALES SUMMARY'!AM89</f>
        <v>4908.8711999999996</v>
      </c>
      <c r="AC28" s="61">
        <f>'SALES SUMMARY'!AM92</f>
        <v>3698.8124999999991</v>
      </c>
      <c r="AD28" s="61">
        <f>'SALES SUMMARY'!AM95</f>
        <v>6483.4411285714286</v>
      </c>
      <c r="AE28" s="61">
        <f>'SALES SUMMARY'!AM98</f>
        <v>3109.0994571428569</v>
      </c>
      <c r="AF28" s="61">
        <f>'SALES SUMMARY'!AM102</f>
        <v>0</v>
      </c>
    </row>
    <row r="30" spans="1:32" x14ac:dyDescent="0.25">
      <c r="A30" s="58" t="s">
        <v>58</v>
      </c>
      <c r="B30" s="63">
        <f>-'SALES SUMMARY'!AZ11</f>
        <v>-1565</v>
      </c>
      <c r="C30" s="63">
        <f>-'SALES SUMMARY'!AZ14</f>
        <v>-1100</v>
      </c>
      <c r="D30" s="63">
        <f>-'SALES SUMMARY'!AZ17</f>
        <v>0</v>
      </c>
      <c r="E30" s="63">
        <f>-'SALES SUMMARY'!AZ20</f>
        <v>-443</v>
      </c>
      <c r="F30" s="63">
        <f>-'SALES SUMMARY'!AZ23</f>
        <v>-413</v>
      </c>
      <c r="G30" s="63">
        <f>-'SALES SUMMARY'!AZ26</f>
        <v>0</v>
      </c>
      <c r="H30" s="63">
        <f>-'SALES SUMMARY'!AZ29</f>
        <v>-455</v>
      </c>
      <c r="I30" s="63">
        <f>-'SALES SUMMARY'!AZ32</f>
        <v>0</v>
      </c>
      <c r="J30" s="63">
        <f>-'SALES SUMMARY'!AZ35</f>
        <v>-1318</v>
      </c>
      <c r="K30" s="63">
        <f>-'SALES SUMMARY'!AZ38</f>
        <v>0</v>
      </c>
      <c r="L30" s="63">
        <f>-'SALES SUMMARY'!AZ41</f>
        <v>0</v>
      </c>
      <c r="M30" s="63">
        <f>-'SALES SUMMARY'!AZ44</f>
        <v>-2345</v>
      </c>
      <c r="N30" s="63">
        <f>-'SALES SUMMARY'!AZ47</f>
        <v>-506</v>
      </c>
      <c r="O30" s="63">
        <f>-'SALES SUMMARY'!AZ50</f>
        <v>-298</v>
      </c>
      <c r="P30" s="63">
        <f>-'SALES SUMMARY'!AZ53</f>
        <v>0</v>
      </c>
      <c r="Q30" s="63">
        <f>-'SALES SUMMARY'!AZ56</f>
        <v>0</v>
      </c>
      <c r="R30" s="63">
        <f>-'SALES SUMMARY'!AZ59</f>
        <v>0</v>
      </c>
      <c r="S30" s="63">
        <f>-'SALES SUMMARY'!AZ62</f>
        <v>-275</v>
      </c>
      <c r="T30" s="63">
        <f>-'SALES SUMMARY'!AZ65</f>
        <v>-40</v>
      </c>
      <c r="U30" s="63">
        <f>-'SALES SUMMARY'!AZ68</f>
        <v>-135</v>
      </c>
      <c r="V30" s="63">
        <f>-'SALES SUMMARY'!AZ71</f>
        <v>-215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-480</v>
      </c>
      <c r="AA30" s="63">
        <f>-'SALES SUMMARY'!AZ86</f>
        <v>-158</v>
      </c>
      <c r="AB30" s="63">
        <f>-'SALES SUMMARY'!AZ89</f>
        <v>-98</v>
      </c>
      <c r="AC30" s="63">
        <f>-'SALES SUMMARY'!AZ92</f>
        <v>0</v>
      </c>
      <c r="AD30" s="63">
        <f>-'SALES SUMMARY'!AZ95</f>
        <v>-520</v>
      </c>
      <c r="AE30" s="63">
        <f>-'SALES SUMMARY'!AZ98</f>
        <v>0</v>
      </c>
      <c r="AF30" s="63">
        <f>-'SALES SUMMARY'!AZ102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-130</v>
      </c>
      <c r="H31" s="63">
        <f>-'SALES SUMMARY'!BA29</f>
        <v>-750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-255</v>
      </c>
      <c r="N31" s="63">
        <f>-'SALES SUMMARY'!BA47</f>
        <v>-245</v>
      </c>
      <c r="O31" s="63">
        <f>-'SALES SUMMARY'!BA50</f>
        <v>-370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-185</v>
      </c>
      <c r="V31" s="63">
        <f>-'SALES SUMMARY'!BA71</f>
        <v>-1950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 x14ac:dyDescent="0.25">
      <c r="A33" s="58" t="s">
        <v>61</v>
      </c>
      <c r="B33" s="63">
        <f>-('SALES SUMMARY'!BD11-'SALES SUMMARY'!BC11)</f>
        <v>-195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 x14ac:dyDescent="0.25">
      <c r="A34" s="58" t="s">
        <v>36</v>
      </c>
      <c r="B34" s="63">
        <f>'SALES SUMMARY'!BQ11</f>
        <v>1760</v>
      </c>
      <c r="C34" s="63">
        <f>'SALES SUMMARY'!BQ14</f>
        <v>1100</v>
      </c>
      <c r="D34" s="63">
        <f>'SALES SUMMARY'!BQ17</f>
        <v>0</v>
      </c>
      <c r="E34" s="63">
        <f>'SALES SUMMARY'!BQ20</f>
        <v>443</v>
      </c>
      <c r="F34" s="63">
        <f>'SALES SUMMARY'!BQ23</f>
        <v>413</v>
      </c>
      <c r="G34" s="63">
        <f>'SALES SUMMARY'!BQ26</f>
        <v>130</v>
      </c>
      <c r="H34" s="63">
        <f>'SALES SUMMARY'!BQ29</f>
        <v>1205</v>
      </c>
      <c r="I34" s="63">
        <f>'SALES SUMMARY'!BQ32</f>
        <v>0</v>
      </c>
      <c r="J34" s="63">
        <f>'SALES SUMMARY'!BQ35</f>
        <v>1318</v>
      </c>
      <c r="K34" s="63">
        <f>'SALES SUMMARY'!BQ38</f>
        <v>0</v>
      </c>
      <c r="L34" s="63">
        <f>'SALES SUMMARY'!BQ41</f>
        <v>0</v>
      </c>
      <c r="M34" s="63">
        <f>'SALES SUMMARY'!BQ44</f>
        <v>2600</v>
      </c>
      <c r="N34" s="63">
        <f>'SALES SUMMARY'!BQ47</f>
        <v>751</v>
      </c>
      <c r="O34" s="63">
        <f>'SALES SUMMARY'!BQ50</f>
        <v>668</v>
      </c>
      <c r="P34" s="63">
        <f>'SALES SUMMARY'!BQ53</f>
        <v>0</v>
      </c>
      <c r="Q34" s="63">
        <f>'SALES SUMMARY'!BQ56</f>
        <v>0</v>
      </c>
      <c r="R34" s="63">
        <f>'SALES SUMMARY'!BQ59</f>
        <v>0</v>
      </c>
      <c r="S34" s="63">
        <f>'SALES SUMMARY'!BQ62</f>
        <v>275</v>
      </c>
      <c r="T34" s="63">
        <f>'SALES SUMMARY'!BQ65</f>
        <v>40</v>
      </c>
      <c r="U34" s="63">
        <f>'SALES SUMMARY'!BQ68</f>
        <v>320</v>
      </c>
      <c r="V34" s="63">
        <f>'SALES SUMMARY'!BQ71</f>
        <v>2165</v>
      </c>
      <c r="W34" s="63">
        <f>'SALES SUMMARY'!BQ74</f>
        <v>0</v>
      </c>
      <c r="X34" s="63">
        <f>'SALES SUMMARY'!BQ77</f>
        <v>0</v>
      </c>
      <c r="Y34" s="63">
        <f>'SALES SUMMARY'!BQ80</f>
        <v>0</v>
      </c>
      <c r="Z34" s="63">
        <f>'SALES SUMMARY'!BQ83</f>
        <v>480</v>
      </c>
      <c r="AA34" s="63">
        <f>'SALES SUMMARY'!BQ86</f>
        <v>158</v>
      </c>
      <c r="AB34" s="63">
        <f>'SALES SUMMARY'!BQ89</f>
        <v>98</v>
      </c>
      <c r="AC34" s="63">
        <f>'SALES SUMMARY'!BQ92</f>
        <v>0</v>
      </c>
      <c r="AD34" s="63">
        <f>'SALES SUMMARY'!BQ95</f>
        <v>520</v>
      </c>
      <c r="AE34" s="63">
        <f>'SALES SUMMARY'!BQ98</f>
        <v>0</v>
      </c>
      <c r="AF34" s="63">
        <f>'SALES SUMMARY'!BQ102</f>
        <v>0</v>
      </c>
    </row>
    <row r="36" spans="1:32" x14ac:dyDescent="0.25">
      <c r="A36" s="58" t="s">
        <v>62</v>
      </c>
      <c r="B36" s="62">
        <f>SUM(B5:B35)-B3</f>
        <v>1347.5039999999863</v>
      </c>
      <c r="C36" s="62">
        <f t="shared" ref="C36:AF36" si="0">SUM(C5:C35)-C3</f>
        <v>3114.2851999999993</v>
      </c>
      <c r="D36" s="62">
        <f t="shared" si="0"/>
        <v>0</v>
      </c>
      <c r="E36" s="62">
        <f t="shared" si="0"/>
        <v>1702.9279999999999</v>
      </c>
      <c r="F36" s="62">
        <f t="shared" si="0"/>
        <v>20905.98599999999</v>
      </c>
      <c r="G36" s="62">
        <f t="shared" si="0"/>
        <v>2424.5183999999936</v>
      </c>
      <c r="H36" s="62">
        <f t="shared" si="0"/>
        <v>56624.641999999993</v>
      </c>
      <c r="I36" s="62">
        <f t="shared" si="0"/>
        <v>57983.803599999985</v>
      </c>
      <c r="J36" s="62">
        <f t="shared" si="0"/>
        <v>3875.8499999999995</v>
      </c>
      <c r="K36" s="62">
        <f t="shared" si="0"/>
        <v>0</v>
      </c>
      <c r="L36" s="62">
        <f t="shared" si="0"/>
        <v>1482.8303999999989</v>
      </c>
      <c r="M36" s="62">
        <f t="shared" si="0"/>
        <v>4904.266799999983</v>
      </c>
      <c r="N36" s="62">
        <f t="shared" si="0"/>
        <v>2192.4447999999975</v>
      </c>
      <c r="O36" s="62">
        <f t="shared" si="0"/>
        <v>15226.256000000001</v>
      </c>
      <c r="P36" s="62">
        <f t="shared" si="0"/>
        <v>5774.8340000000026</v>
      </c>
      <c r="Q36" s="62">
        <f t="shared" si="0"/>
        <v>3219.5352000000003</v>
      </c>
      <c r="R36" s="62">
        <f t="shared" si="0"/>
        <v>0</v>
      </c>
      <c r="S36" s="62">
        <f t="shared" si="0"/>
        <v>31103.880799999999</v>
      </c>
      <c r="T36" s="62">
        <f t="shared" si="0"/>
        <v>30675.024399999995</v>
      </c>
      <c r="U36" s="62">
        <f t="shared" si="0"/>
        <v>51965.517200000002</v>
      </c>
      <c r="V36" s="62">
        <f t="shared" si="0"/>
        <v>30584.701199999996</v>
      </c>
      <c r="W36" s="62">
        <f t="shared" si="0"/>
        <v>5947.5555999999924</v>
      </c>
      <c r="X36" s="62">
        <f t="shared" si="0"/>
        <v>1931.3031999999994</v>
      </c>
      <c r="Y36" s="62">
        <f t="shared" si="0"/>
        <v>0</v>
      </c>
      <c r="Z36" s="62" t="e">
        <f t="shared" si="0"/>
        <v>#VALUE!</v>
      </c>
      <c r="AA36" s="62">
        <f t="shared" si="0"/>
        <v>4683.8843999999954</v>
      </c>
      <c r="AB36" s="62">
        <f t="shared" si="0"/>
        <v>8169.671199999997</v>
      </c>
      <c r="AC36" s="62">
        <f t="shared" si="0"/>
        <v>3585.4999999999927</v>
      </c>
      <c r="AD36" s="62">
        <f t="shared" si="0"/>
        <v>2245.1871999999858</v>
      </c>
      <c r="AE36" s="62">
        <f t="shared" si="0"/>
        <v>6332.7215999999935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0" zoomScaleSheetLayoutView="85" workbookViewId="0">
      <selection activeCell="H46" sqref="H46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01" t="s">
        <v>2</v>
      </c>
      <c r="B5" s="203" t="s">
        <v>3</v>
      </c>
      <c r="C5" s="203" t="s">
        <v>71</v>
      </c>
      <c r="D5" s="205" t="s">
        <v>29</v>
      </c>
      <c r="E5" s="206"/>
      <c r="F5" s="199" t="s">
        <v>72</v>
      </c>
      <c r="I5" s="201" t="s">
        <v>2</v>
      </c>
      <c r="J5" s="203" t="s">
        <v>3</v>
      </c>
      <c r="K5" s="203" t="s">
        <v>71</v>
      </c>
      <c r="L5" s="205" t="s">
        <v>29</v>
      </c>
      <c r="M5" s="206"/>
      <c r="N5" s="199" t="s">
        <v>73</v>
      </c>
    </row>
    <row r="6" spans="1:15" ht="26.25" thickBot="1" x14ac:dyDescent="0.25">
      <c r="A6" s="202"/>
      <c r="B6" s="204"/>
      <c r="C6" s="204"/>
      <c r="D6" s="76" t="s">
        <v>74</v>
      </c>
      <c r="E6" s="76" t="s">
        <v>75</v>
      </c>
      <c r="F6" s="200"/>
      <c r="I6" s="202"/>
      <c r="J6" s="204"/>
      <c r="K6" s="204"/>
      <c r="L6" s="76" t="s">
        <v>74</v>
      </c>
      <c r="M6" s="76" t="s">
        <v>75</v>
      </c>
      <c r="N6" s="200"/>
    </row>
    <row r="7" spans="1:15" ht="13.5" thickTop="1" x14ac:dyDescent="0.2">
      <c r="A7" s="124"/>
      <c r="B7" s="77"/>
      <c r="C7" s="77"/>
      <c r="D7" s="77"/>
      <c r="E7" s="77"/>
      <c r="F7" s="78"/>
      <c r="I7" s="124"/>
      <c r="J7" s="77"/>
      <c r="K7" s="77"/>
      <c r="L7" s="77"/>
      <c r="M7" s="77"/>
      <c r="N7" s="78"/>
    </row>
    <row r="8" spans="1:15" x14ac:dyDescent="0.2">
      <c r="A8" s="197">
        <v>42339</v>
      </c>
      <c r="B8" s="79" t="s">
        <v>43</v>
      </c>
      <c r="C8" s="80">
        <f>+'SALES SUMMARY'!AF9</f>
        <v>3721.14</v>
      </c>
      <c r="D8" s="81">
        <f>(C8*0.8)*0.85</f>
        <v>2530.3751999999999</v>
      </c>
      <c r="E8" s="81">
        <f>(C8*0.8)*0.15</f>
        <v>446.53680000000003</v>
      </c>
      <c r="F8" s="82">
        <f>C8*0.2</f>
        <v>744.22800000000007</v>
      </c>
      <c r="I8" s="197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198"/>
      <c r="B9" s="83" t="s">
        <v>44</v>
      </c>
      <c r="C9" s="80">
        <f>+'SALES SUMMARY'!AF10</f>
        <v>2013.45</v>
      </c>
      <c r="D9" s="81">
        <f>(C9*0.8)*0.85</f>
        <v>1369.1460000000002</v>
      </c>
      <c r="E9" s="81">
        <f>(C9*0.8)*0.15</f>
        <v>241.61400000000003</v>
      </c>
      <c r="F9" s="82">
        <f>C9*0.2</f>
        <v>402.69000000000005</v>
      </c>
      <c r="I9" s="198"/>
      <c r="J9" s="83" t="s">
        <v>44</v>
      </c>
      <c r="K9" s="80">
        <f>+'SALES SUMMARY'!AF55</f>
        <v>541.42999999999995</v>
      </c>
      <c r="L9" s="81">
        <f>(K9*0.8)*0.85</f>
        <v>368.17239999999998</v>
      </c>
      <c r="M9" s="81">
        <f>(K9*0.8)*0.15</f>
        <v>64.971599999999995</v>
      </c>
      <c r="N9" s="82">
        <f>K9*0.2</f>
        <v>108.286</v>
      </c>
    </row>
    <row r="10" spans="1:15" ht="13.5" thickBot="1" x14ac:dyDescent="0.25">
      <c r="A10" s="125"/>
      <c r="B10" s="84"/>
      <c r="C10" s="85">
        <f>+C9+C8</f>
        <v>5734.59</v>
      </c>
      <c r="D10" s="86">
        <f>+D9+D8</f>
        <v>3899.5212000000001</v>
      </c>
      <c r="E10" s="86">
        <f>+E9+E8</f>
        <v>688.15080000000012</v>
      </c>
      <c r="F10" s="87">
        <f>+F9+F8</f>
        <v>1146.9180000000001</v>
      </c>
      <c r="I10" s="125"/>
      <c r="J10" s="84"/>
      <c r="K10" s="85">
        <f>+K9+K8</f>
        <v>541.42999999999995</v>
      </c>
      <c r="L10" s="86">
        <f>+L9+L8</f>
        <v>368.17239999999998</v>
      </c>
      <c r="M10" s="86">
        <f>+M9+M8</f>
        <v>64.971599999999995</v>
      </c>
      <c r="N10" s="87">
        <f>+N9+N8</f>
        <v>108.286</v>
      </c>
    </row>
    <row r="11" spans="1:15" x14ac:dyDescent="0.2">
      <c r="A11" s="197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2">
        <f>+I8+1</f>
        <v>42355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198"/>
      <c r="B12" s="83"/>
      <c r="C12" s="80">
        <f>+'SALES SUMMARY'!AF13</f>
        <v>638.4</v>
      </c>
      <c r="D12" s="81">
        <f>(C12*0.8)*0.85</f>
        <v>434.11200000000002</v>
      </c>
      <c r="E12" s="81">
        <f>(C12*0.8)*0.15</f>
        <v>76.608000000000004</v>
      </c>
      <c r="F12" s="82">
        <f>C12*0.2</f>
        <v>127.68</v>
      </c>
      <c r="I12" s="123"/>
      <c r="J12" s="83"/>
      <c r="K12" s="80">
        <f>+'SALES SUMMARY'!AF58</f>
        <v>0</v>
      </c>
      <c r="L12" s="81">
        <f>(K12*0.8)*0.85</f>
        <v>0</v>
      </c>
      <c r="M12" s="81">
        <f>(K12*0.8)*0.15</f>
        <v>0</v>
      </c>
      <c r="N12" s="82">
        <f>K12*0.2</f>
        <v>0</v>
      </c>
    </row>
    <row r="13" spans="1:15" ht="13.5" thickBot="1" x14ac:dyDescent="0.25">
      <c r="A13" s="125"/>
      <c r="B13" s="84"/>
      <c r="C13" s="85">
        <f>+C12+C11</f>
        <v>638.4</v>
      </c>
      <c r="D13" s="86">
        <f>+D12+D11</f>
        <v>434.11200000000002</v>
      </c>
      <c r="E13" s="86">
        <f>+E12+E11</f>
        <v>76.608000000000004</v>
      </c>
      <c r="F13" s="87">
        <f>+F12+F11</f>
        <v>127.68</v>
      </c>
      <c r="I13" s="125"/>
      <c r="J13" s="84"/>
      <c r="K13" s="85">
        <f>+K12+K11</f>
        <v>0</v>
      </c>
      <c r="L13" s="86">
        <f>+L12+L11</f>
        <v>0</v>
      </c>
      <c r="M13" s="86">
        <f>+M12+M11</f>
        <v>0</v>
      </c>
      <c r="N13" s="87">
        <f>+N12+N11</f>
        <v>0</v>
      </c>
    </row>
    <row r="14" spans="1:15" x14ac:dyDescent="0.2">
      <c r="A14" s="197">
        <f>+A11+1</f>
        <v>42341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2">
        <f>+I11+1</f>
        <v>42356</v>
      </c>
      <c r="J14" s="83"/>
      <c r="K14" s="80">
        <f>+'SALES SUMMARY'!AF60</f>
        <v>3249.32</v>
      </c>
      <c r="L14" s="81">
        <f>(K14*0.8)*0.85</f>
        <v>2209.5376000000001</v>
      </c>
      <c r="M14" s="81">
        <f>(K14*0.8)*0.15</f>
        <v>389.91840000000002</v>
      </c>
      <c r="N14" s="82">
        <f>K14*0.2</f>
        <v>649.86400000000003</v>
      </c>
    </row>
    <row r="15" spans="1:15" ht="13.5" thickBot="1" x14ac:dyDescent="0.25">
      <c r="A15" s="198"/>
      <c r="B15" s="83"/>
      <c r="C15" s="80">
        <f>+'SALES SUMMARY'!AF16</f>
        <v>0</v>
      </c>
      <c r="D15" s="81">
        <f>(C15*0.8)*0.85</f>
        <v>0</v>
      </c>
      <c r="E15" s="81">
        <f>(C15*0.8)*0.15</f>
        <v>0</v>
      </c>
      <c r="F15" s="82">
        <f>C15*0.2</f>
        <v>0</v>
      </c>
      <c r="I15" s="123"/>
      <c r="J15" s="83"/>
      <c r="K15" s="80">
        <f>+'SALES SUMMARY'!AF61</f>
        <v>960.18</v>
      </c>
      <c r="L15" s="81">
        <f>(K15*0.8)*0.85</f>
        <v>652.92240000000004</v>
      </c>
      <c r="M15" s="81">
        <f>(K15*0.8)*0.15</f>
        <v>115.2216</v>
      </c>
      <c r="N15" s="82">
        <f>K15*0.2</f>
        <v>192.036</v>
      </c>
    </row>
    <row r="16" spans="1:15" ht="13.5" thickBot="1" x14ac:dyDescent="0.25">
      <c r="A16" s="126"/>
      <c r="B16" s="84"/>
      <c r="C16" s="85">
        <f>+C15+C14</f>
        <v>0</v>
      </c>
      <c r="D16" s="86">
        <f>+D15+D14</f>
        <v>0</v>
      </c>
      <c r="E16" s="86">
        <f>+E15+E14</f>
        <v>0</v>
      </c>
      <c r="F16" s="87">
        <f>+F15+F14</f>
        <v>0</v>
      </c>
      <c r="I16" s="126"/>
      <c r="J16" s="84"/>
      <c r="K16" s="85">
        <f>+K15+K14</f>
        <v>4209.5</v>
      </c>
      <c r="L16" s="86">
        <f>+L15+L14</f>
        <v>2862.46</v>
      </c>
      <c r="M16" s="86">
        <f>+M15+M14</f>
        <v>505.14</v>
      </c>
      <c r="N16" s="87">
        <f>+N15+N14</f>
        <v>841.90000000000009</v>
      </c>
    </row>
    <row r="17" spans="1:14" x14ac:dyDescent="0.2">
      <c r="A17" s="197">
        <f>+A14+1</f>
        <v>42342</v>
      </c>
      <c r="B17" s="83"/>
      <c r="C17" s="80">
        <f>+'SALES SUMMARY'!AF18</f>
        <v>911.34</v>
      </c>
      <c r="D17" s="81">
        <f>(C17*0.8)*0.85</f>
        <v>619.71120000000008</v>
      </c>
      <c r="E17" s="81">
        <f>(C17*0.8)*0.15</f>
        <v>109.36080000000001</v>
      </c>
      <c r="F17" s="82">
        <f>C17*0.2</f>
        <v>182.26800000000003</v>
      </c>
      <c r="I17" s="122">
        <f>+I14+1</f>
        <v>42357</v>
      </c>
      <c r="J17" s="83"/>
      <c r="K17" s="80">
        <f>+'SALES SUMMARY'!AF63</f>
        <v>3454.72</v>
      </c>
      <c r="L17" s="81">
        <f>(K17*0.8)*0.85</f>
        <v>2349.2095999999997</v>
      </c>
      <c r="M17" s="81">
        <f>(K17*0.8)*0.15</f>
        <v>414.56639999999999</v>
      </c>
      <c r="N17" s="82">
        <f>K17*0.2</f>
        <v>690.94399999999996</v>
      </c>
    </row>
    <row r="18" spans="1:14" ht="13.5" thickBot="1" x14ac:dyDescent="0.25">
      <c r="A18" s="198"/>
      <c r="B18" s="83"/>
      <c r="C18" s="80">
        <f>+'SALES SUMMARY'!AF19</f>
        <v>911</v>
      </c>
      <c r="D18" s="81">
        <f>(C18*0.8)*0.85</f>
        <v>619.48</v>
      </c>
      <c r="E18" s="81">
        <f>(C18*0.8)*0.15</f>
        <v>109.32000000000001</v>
      </c>
      <c r="F18" s="82">
        <f>C18*0.2</f>
        <v>182.20000000000002</v>
      </c>
      <c r="I18" s="123"/>
      <c r="J18" s="83"/>
      <c r="K18" s="80">
        <f>+'SALES SUMMARY'!AF64</f>
        <v>964.38</v>
      </c>
      <c r="L18" s="81">
        <f>(K18*0.8)*0.85</f>
        <v>655.77840000000003</v>
      </c>
      <c r="M18" s="81">
        <f>(K18*0.8)*0.15</f>
        <v>115.7256</v>
      </c>
      <c r="N18" s="82">
        <f>K18*0.2</f>
        <v>192.876</v>
      </c>
    </row>
    <row r="19" spans="1:14" ht="13.5" thickBot="1" x14ac:dyDescent="0.25">
      <c r="A19" s="126"/>
      <c r="B19" s="84"/>
      <c r="C19" s="85">
        <f>+C18+C17</f>
        <v>1822.3400000000001</v>
      </c>
      <c r="D19" s="86">
        <f>+D18+D17</f>
        <v>1239.1912000000002</v>
      </c>
      <c r="E19" s="86">
        <f>+E18+E17</f>
        <v>218.68080000000003</v>
      </c>
      <c r="F19" s="87">
        <f>+F18+F17</f>
        <v>364.46800000000007</v>
      </c>
      <c r="I19" s="126"/>
      <c r="J19" s="84"/>
      <c r="K19" s="85">
        <f>+K18+K17</f>
        <v>4419.0999999999995</v>
      </c>
      <c r="L19" s="86">
        <f>+L18+L17</f>
        <v>3004.9879999999998</v>
      </c>
      <c r="M19" s="86">
        <f>+M18+M17</f>
        <v>530.29200000000003</v>
      </c>
      <c r="N19" s="87">
        <f>+N18+N17</f>
        <v>883.81999999999994</v>
      </c>
    </row>
    <row r="20" spans="1:14" x14ac:dyDescent="0.2">
      <c r="A20" s="197">
        <f>+A17+1</f>
        <v>42343</v>
      </c>
      <c r="B20" s="83"/>
      <c r="C20" s="80">
        <f>+'SALES SUMMARY'!AF21</f>
        <v>3575.17</v>
      </c>
      <c r="D20" s="81">
        <f>(C20*0.8)*0.85</f>
        <v>2431.1156000000001</v>
      </c>
      <c r="E20" s="81">
        <f>(C20*0.8)*0.15</f>
        <v>429.02040000000005</v>
      </c>
      <c r="F20" s="82">
        <f>C20*0.2</f>
        <v>715.03400000000011</v>
      </c>
      <c r="I20" s="122">
        <f>+I17+1</f>
        <v>42358</v>
      </c>
      <c r="J20" s="83"/>
      <c r="K20" s="80">
        <f>+'SALES SUMMARY'!AF66</f>
        <v>5249.17</v>
      </c>
      <c r="L20" s="81">
        <f>(K20*0.8)*0.85</f>
        <v>3569.4356000000002</v>
      </c>
      <c r="M20" s="81">
        <f>(K20*0.8)*0.15</f>
        <v>629.90039999999999</v>
      </c>
      <c r="N20" s="82">
        <f>K20*0.2</f>
        <v>1049.8340000000001</v>
      </c>
    </row>
    <row r="21" spans="1:14" ht="13.5" thickBot="1" x14ac:dyDescent="0.25">
      <c r="A21" s="198"/>
      <c r="B21" s="83"/>
      <c r="C21" s="80">
        <f>+'SALES SUMMARY'!AF22</f>
        <v>908.12</v>
      </c>
      <c r="D21" s="81">
        <f>(C21*0.8)*0.85</f>
        <v>617.52160000000003</v>
      </c>
      <c r="E21" s="81">
        <f>(C21*0.8)*0.15</f>
        <v>108.97440000000002</v>
      </c>
      <c r="F21" s="82">
        <f>C21*0.2</f>
        <v>181.62400000000002</v>
      </c>
      <c r="I21" s="123"/>
      <c r="J21" s="83"/>
      <c r="K21" s="80">
        <f>+'SALES SUMMARY'!AF67</f>
        <v>468.78</v>
      </c>
      <c r="L21" s="81">
        <f>(K21*0.8)*0.85</f>
        <v>318.7704</v>
      </c>
      <c r="M21" s="81">
        <f>(K21*0.8)*0.15</f>
        <v>56.253599999999999</v>
      </c>
      <c r="N21" s="82">
        <f>K21*0.2</f>
        <v>93.756</v>
      </c>
    </row>
    <row r="22" spans="1:14" ht="13.5" thickBot="1" x14ac:dyDescent="0.25">
      <c r="A22" s="126"/>
      <c r="B22" s="84"/>
      <c r="C22" s="85">
        <f>+C21+C20</f>
        <v>4483.29</v>
      </c>
      <c r="D22" s="86">
        <f>+D21+D20</f>
        <v>3048.6372000000001</v>
      </c>
      <c r="E22" s="86">
        <f>+E21+E20</f>
        <v>537.99480000000005</v>
      </c>
      <c r="F22" s="87">
        <f>+F21+F20</f>
        <v>896.65800000000013</v>
      </c>
      <c r="I22" s="126"/>
      <c r="J22" s="84"/>
      <c r="K22" s="85">
        <f>+K21+K20</f>
        <v>5717.95</v>
      </c>
      <c r="L22" s="86">
        <f>+L21+L20</f>
        <v>3888.2060000000001</v>
      </c>
      <c r="M22" s="86">
        <f>+M21+M20</f>
        <v>686.154</v>
      </c>
      <c r="N22" s="87">
        <f>+N21+N20</f>
        <v>1143.5900000000001</v>
      </c>
    </row>
    <row r="23" spans="1:14" x14ac:dyDescent="0.2">
      <c r="A23" s="197">
        <f>+A20+1</f>
        <v>42344</v>
      </c>
      <c r="B23" s="83"/>
      <c r="C23" s="80">
        <f>+'SALES SUMMARY'!AF24</f>
        <v>2255.0700000000002</v>
      </c>
      <c r="D23" s="81">
        <f>(C23*0.8)*0.85</f>
        <v>1533.4476000000002</v>
      </c>
      <c r="E23" s="81">
        <f>(C23*0.8)*0.15</f>
        <v>270.60840000000002</v>
      </c>
      <c r="F23" s="82">
        <f>C23*0.2</f>
        <v>451.01400000000007</v>
      </c>
      <c r="I23" s="122">
        <f>+I20+1</f>
        <v>42359</v>
      </c>
      <c r="J23" s="83"/>
      <c r="K23" s="80">
        <f>+'SALES SUMMARY'!AF69</f>
        <v>3721.84</v>
      </c>
      <c r="L23" s="81">
        <f>(K23*0.8)*0.85</f>
        <v>2530.8512000000001</v>
      </c>
      <c r="M23" s="81">
        <f>(K23*0.8)*0.15</f>
        <v>446.62080000000003</v>
      </c>
      <c r="N23" s="82">
        <f>K23*0.2</f>
        <v>744.36800000000005</v>
      </c>
    </row>
    <row r="24" spans="1:14" ht="13.5" thickBot="1" x14ac:dyDescent="0.25">
      <c r="A24" s="198"/>
      <c r="B24" s="83"/>
      <c r="C24" s="80">
        <f>+'SALES SUMMARY'!AF25</f>
        <v>1310.79</v>
      </c>
      <c r="D24" s="81">
        <f>(C24*0.8)*0.85</f>
        <v>891.33720000000005</v>
      </c>
      <c r="E24" s="81">
        <f>(C24*0.8)*0.15</f>
        <v>157.29480000000001</v>
      </c>
      <c r="F24" s="82">
        <f>C24*0.2</f>
        <v>262.15800000000002</v>
      </c>
      <c r="I24" s="123"/>
      <c r="J24" s="83"/>
      <c r="K24" s="80">
        <f>+'SALES SUMMARY'!AF70</f>
        <v>1441.12</v>
      </c>
      <c r="L24" s="81">
        <f>(K24*0.8)*0.85</f>
        <v>979.96159999999998</v>
      </c>
      <c r="M24" s="81">
        <f>(K24*0.8)*0.15</f>
        <v>172.93439999999998</v>
      </c>
      <c r="N24" s="82">
        <f>K24*0.2</f>
        <v>288.22399999999999</v>
      </c>
    </row>
    <row r="25" spans="1:14" ht="13.5" thickBot="1" x14ac:dyDescent="0.25">
      <c r="A25" s="126"/>
      <c r="B25" s="84"/>
      <c r="C25" s="85">
        <f>+C24+C23</f>
        <v>3565.86</v>
      </c>
      <c r="D25" s="86">
        <f>+D24+D23</f>
        <v>2424.7848000000004</v>
      </c>
      <c r="E25" s="86">
        <f>+E24+E23</f>
        <v>427.90320000000003</v>
      </c>
      <c r="F25" s="87">
        <f>+F24+F23</f>
        <v>713.17200000000003</v>
      </c>
      <c r="G25" s="127"/>
      <c r="I25" s="126"/>
      <c r="J25" s="84"/>
      <c r="K25" s="85">
        <f>+K24+K23</f>
        <v>5162.96</v>
      </c>
      <c r="L25" s="86">
        <f>+L24+L23</f>
        <v>3510.8128000000002</v>
      </c>
      <c r="M25" s="86">
        <f>+M24+M23</f>
        <v>619.55520000000001</v>
      </c>
      <c r="N25" s="87">
        <f>+N24+N23</f>
        <v>1032.5920000000001</v>
      </c>
    </row>
    <row r="26" spans="1:14" x14ac:dyDescent="0.2">
      <c r="A26" s="197">
        <f>+A23+1</f>
        <v>42345</v>
      </c>
      <c r="B26" s="83"/>
      <c r="C26" s="80">
        <f>+'SALES SUMMARY'!AF27</f>
        <v>5398.37</v>
      </c>
      <c r="D26" s="81">
        <f>(C26*0.8)*0.85</f>
        <v>3670.8915999999999</v>
      </c>
      <c r="E26" s="81">
        <f>(C26*0.8)*0.15</f>
        <v>647.80439999999999</v>
      </c>
      <c r="F26" s="82">
        <f>C26*0.2</f>
        <v>1079.674</v>
      </c>
      <c r="I26" s="122">
        <f>+I23+1</f>
        <v>42360</v>
      </c>
      <c r="J26" s="83"/>
      <c r="K26" s="80">
        <f>+'SALES SUMMARY'!AF72</f>
        <v>2530.25</v>
      </c>
      <c r="L26" s="81">
        <f>(K26*0.8)*0.85</f>
        <v>1720.57</v>
      </c>
      <c r="M26" s="81">
        <f>(K26*0.8)*0.15</f>
        <v>303.63</v>
      </c>
      <c r="N26" s="82">
        <f>K26*0.2</f>
        <v>506.05</v>
      </c>
    </row>
    <row r="27" spans="1:14" ht="13.5" thickBot="1" x14ac:dyDescent="0.25">
      <c r="A27" s="198"/>
      <c r="B27" s="83"/>
      <c r="C27" s="80">
        <f>+'SALES SUMMARY'!AF28</f>
        <v>1107.1300000000001</v>
      </c>
      <c r="D27" s="81">
        <f>(C27*0.8)*0.85</f>
        <v>752.84840000000008</v>
      </c>
      <c r="E27" s="81">
        <f>(C27*0.8)*0.15</f>
        <v>132.85560000000001</v>
      </c>
      <c r="F27" s="82">
        <f>C27*0.2</f>
        <v>221.42600000000004</v>
      </c>
      <c r="I27" s="123"/>
      <c r="J27" s="83"/>
      <c r="K27" s="80">
        <f>+'SALES SUMMARY'!AF73</f>
        <v>1384.83</v>
      </c>
      <c r="L27" s="81">
        <f>(K27*0.8)*0.85</f>
        <v>941.68439999999998</v>
      </c>
      <c r="M27" s="81">
        <f>(K27*0.8)*0.15</f>
        <v>166.17959999999999</v>
      </c>
      <c r="N27" s="82">
        <f>K27*0.2</f>
        <v>276.96600000000001</v>
      </c>
    </row>
    <row r="28" spans="1:14" ht="13.5" thickBot="1" x14ac:dyDescent="0.25">
      <c r="A28" s="126"/>
      <c r="B28" s="84"/>
      <c r="C28" s="85">
        <f>+C27+C26</f>
        <v>6505.5</v>
      </c>
      <c r="D28" s="86">
        <f>+D27+D26</f>
        <v>4423.74</v>
      </c>
      <c r="E28" s="86">
        <f>+E27+E26</f>
        <v>780.66</v>
      </c>
      <c r="F28" s="87">
        <f>+F27+F26</f>
        <v>1301.0999999999999</v>
      </c>
      <c r="I28" s="126"/>
      <c r="J28" s="84"/>
      <c r="K28" s="85">
        <f>+K27+K26</f>
        <v>3915.08</v>
      </c>
      <c r="L28" s="86">
        <f>+L27+L26</f>
        <v>2662.2543999999998</v>
      </c>
      <c r="M28" s="86">
        <f>+M27+M26</f>
        <v>469.80959999999999</v>
      </c>
      <c r="N28" s="87">
        <f>+N27+N26</f>
        <v>783.01600000000008</v>
      </c>
    </row>
    <row r="29" spans="1:14" x14ac:dyDescent="0.2">
      <c r="A29" s="197">
        <f>+A26+1</f>
        <v>42346</v>
      </c>
      <c r="B29" s="83"/>
      <c r="C29" s="80">
        <f>+'SALES SUMMARY'!AF30</f>
        <v>2354.71</v>
      </c>
      <c r="D29" s="81">
        <f>(C29*0.8)*0.85</f>
        <v>1601.2028</v>
      </c>
      <c r="E29" s="81">
        <f>(C29*0.8)*0.15</f>
        <v>282.5652</v>
      </c>
      <c r="F29" s="82">
        <f>C29*0.2</f>
        <v>470.94200000000001</v>
      </c>
      <c r="I29" s="122">
        <f>+I26+1</f>
        <v>42361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198"/>
      <c r="B30" s="83"/>
      <c r="C30" s="80">
        <f>+'SALES SUMMARY'!AF31</f>
        <v>6436.59</v>
      </c>
      <c r="D30" s="81">
        <f>(C30*0.8)*0.85</f>
        <v>4376.8812000000007</v>
      </c>
      <c r="E30" s="81">
        <f>(C30*0.8)*0.15</f>
        <v>772.39080000000013</v>
      </c>
      <c r="F30" s="82">
        <f>C30*0.2</f>
        <v>1287.3180000000002</v>
      </c>
      <c r="I30" s="123"/>
      <c r="J30" s="83"/>
      <c r="K30" s="80">
        <f>+'SALES SUMMARY'!AF76</f>
        <v>240.09</v>
      </c>
      <c r="L30" s="81">
        <f>(K30*0.8)*0.85</f>
        <v>163.2612</v>
      </c>
      <c r="M30" s="81">
        <f>(K30*0.8)*0.15</f>
        <v>28.8108</v>
      </c>
      <c r="N30" s="82">
        <f>K30*0.2</f>
        <v>48.018000000000001</v>
      </c>
    </row>
    <row r="31" spans="1:14" ht="13.5" thickBot="1" x14ac:dyDescent="0.25">
      <c r="A31" s="126"/>
      <c r="B31" s="84"/>
      <c r="C31" s="85">
        <f>+C30+C29</f>
        <v>8791.2999999999993</v>
      </c>
      <c r="D31" s="86">
        <f>+D30+D29</f>
        <v>5978.0840000000007</v>
      </c>
      <c r="E31" s="86">
        <f>+E30+E29</f>
        <v>1054.9560000000001</v>
      </c>
      <c r="F31" s="87">
        <f>+F30+F29</f>
        <v>1758.2600000000002</v>
      </c>
      <c r="I31" s="126"/>
      <c r="J31" s="84"/>
      <c r="K31" s="85">
        <f>+K30+K29</f>
        <v>240.09</v>
      </c>
      <c r="L31" s="86">
        <f>+L30+L29</f>
        <v>163.2612</v>
      </c>
      <c r="M31" s="86">
        <f>+M30+M29</f>
        <v>28.8108</v>
      </c>
      <c r="N31" s="87">
        <f>+N30+N29</f>
        <v>48.018000000000001</v>
      </c>
    </row>
    <row r="32" spans="1:14" x14ac:dyDescent="0.2">
      <c r="A32" s="197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2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198"/>
      <c r="B33" s="83"/>
      <c r="C33" s="80">
        <f>+'SALES SUMMARY'!AF34</f>
        <v>304.36</v>
      </c>
      <c r="D33" s="81">
        <f>(C33*0.8)*0.85</f>
        <v>206.96480000000003</v>
      </c>
      <c r="E33" s="81">
        <f>(C33*0.8)*0.15</f>
        <v>36.523200000000003</v>
      </c>
      <c r="F33" s="82">
        <f>C33*0.2</f>
        <v>60.872000000000007</v>
      </c>
      <c r="I33" s="123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5" thickBot="1" x14ac:dyDescent="0.25">
      <c r="A34" s="126"/>
      <c r="B34" s="84"/>
      <c r="C34" s="85">
        <f>+C33+C32</f>
        <v>304.36</v>
      </c>
      <c r="D34" s="86">
        <f>+D33+D32</f>
        <v>206.96480000000003</v>
      </c>
      <c r="E34" s="86">
        <f>+E33+E32</f>
        <v>36.523200000000003</v>
      </c>
      <c r="F34" s="87">
        <f>+F33+F32</f>
        <v>60.872000000000007</v>
      </c>
      <c r="G34" s="127"/>
      <c r="I34" s="126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 x14ac:dyDescent="0.2">
      <c r="A35" s="197">
        <f>+A32+1</f>
        <v>42348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2">
        <f>+I32+1</f>
        <v>42363</v>
      </c>
      <c r="J35" s="83"/>
      <c r="K35" s="80">
        <f>+'SALES SUMMARY'!AF81</f>
        <v>1034.53</v>
      </c>
      <c r="L35" s="81">
        <f>(K35*0.8)*0.85</f>
        <v>703.48040000000003</v>
      </c>
      <c r="M35" s="81">
        <f>(K35*0.8)*0.15</f>
        <v>124.14359999999999</v>
      </c>
      <c r="N35" s="82">
        <f>K35*0.2</f>
        <v>206.90600000000001</v>
      </c>
    </row>
    <row r="36" spans="1:18" ht="13.5" thickBot="1" x14ac:dyDescent="0.25">
      <c r="A36" s="198"/>
      <c r="B36" s="83"/>
      <c r="C36" s="80">
        <f>+'SALES SUMMARY'!AF37</f>
        <v>0</v>
      </c>
      <c r="D36" s="81">
        <f>(C36*0.8)*0.85</f>
        <v>0</v>
      </c>
      <c r="E36" s="81">
        <f>(C36*0.8)*0.15</f>
        <v>0</v>
      </c>
      <c r="F36" s="82">
        <f>C36*0.2</f>
        <v>0</v>
      </c>
      <c r="I36" s="123"/>
      <c r="J36" s="83"/>
      <c r="K36" s="80">
        <f>+'SALES SUMMARY'!AF82</f>
        <v>1962.26</v>
      </c>
      <c r="L36" s="81">
        <f>(K36*0.8)*0.85</f>
        <v>1334.3368</v>
      </c>
      <c r="M36" s="81">
        <f>(K36*0.8)*0.15</f>
        <v>235.47119999999998</v>
      </c>
      <c r="N36" s="82">
        <f>K36*0.2</f>
        <v>392.452</v>
      </c>
    </row>
    <row r="37" spans="1:18" ht="13.5" thickBot="1" x14ac:dyDescent="0.25">
      <c r="A37" s="126"/>
      <c r="B37" s="84"/>
      <c r="C37" s="85">
        <f>+C36+C35</f>
        <v>0</v>
      </c>
      <c r="D37" s="86">
        <f>+D36+D35</f>
        <v>0</v>
      </c>
      <c r="E37" s="86">
        <f>+E36+E35</f>
        <v>0</v>
      </c>
      <c r="F37" s="87">
        <f>+F36+F35</f>
        <v>0</v>
      </c>
      <c r="G37" s="127"/>
      <c r="I37" s="126"/>
      <c r="J37" s="84"/>
      <c r="K37" s="85">
        <f>+K36+K35</f>
        <v>2996.79</v>
      </c>
      <c r="L37" s="86">
        <f>+L36+L35</f>
        <v>2037.8172</v>
      </c>
      <c r="M37" s="86">
        <f>+M36+M35</f>
        <v>359.61479999999995</v>
      </c>
      <c r="N37" s="87">
        <f>+N36+N35</f>
        <v>599.35799999999995</v>
      </c>
    </row>
    <row r="38" spans="1:18" ht="15" x14ac:dyDescent="0.25">
      <c r="A38" s="197">
        <f>+A35+1</f>
        <v>42349</v>
      </c>
      <c r="B38" s="83"/>
      <c r="C38" s="80">
        <f>+'SALES SUMMARY'!AF39</f>
        <v>783.16</v>
      </c>
      <c r="D38" s="81">
        <f>(C38*0.8)*0.85</f>
        <v>532.54880000000003</v>
      </c>
      <c r="E38" s="81">
        <f>(C38*0.8)*0.15</f>
        <v>93.979200000000006</v>
      </c>
      <c r="F38" s="82">
        <f>C38*0.2</f>
        <v>156.63200000000001</v>
      </c>
      <c r="I38" s="122">
        <f>+I35+1</f>
        <v>42364</v>
      </c>
      <c r="J38" s="83"/>
      <c r="K38" s="80">
        <f>+'SALES SUMMARY'!AF84</f>
        <v>843.03</v>
      </c>
      <c r="L38" s="81">
        <f>(K38*0.8)*0.85</f>
        <v>573.2604</v>
      </c>
      <c r="M38" s="81">
        <f>(K38*0.8)*0.15</f>
        <v>101.16359999999999</v>
      </c>
      <c r="N38" s="82">
        <f>K38*0.2</f>
        <v>168.60599999999999</v>
      </c>
      <c r="R38" s="128"/>
    </row>
    <row r="39" spans="1:18" ht="13.5" thickBot="1" x14ac:dyDescent="0.25">
      <c r="A39" s="198"/>
      <c r="B39" s="83"/>
      <c r="C39" s="80">
        <f>+'SALES SUMMARY'!AF40</f>
        <v>813.4</v>
      </c>
      <c r="D39" s="81">
        <f>(C39*0.8)*0.85</f>
        <v>553.11199999999997</v>
      </c>
      <c r="E39" s="81">
        <f>(C39*0.8)*0.15</f>
        <v>97.608000000000004</v>
      </c>
      <c r="F39" s="82">
        <f>C39*0.2</f>
        <v>162.68</v>
      </c>
      <c r="I39" s="123"/>
      <c r="J39" s="83"/>
      <c r="K39" s="80">
        <f>+'SALES SUMMARY'!AF85</f>
        <v>728.8</v>
      </c>
      <c r="L39" s="81">
        <f>(K39*0.8)*0.85</f>
        <v>495.58399999999995</v>
      </c>
      <c r="M39" s="81">
        <f>(K39*0.8)*0.15</f>
        <v>87.455999999999989</v>
      </c>
      <c r="N39" s="82">
        <f>K39*0.2</f>
        <v>145.76</v>
      </c>
    </row>
    <row r="40" spans="1:18" ht="13.5" thickBot="1" x14ac:dyDescent="0.25">
      <c r="A40" s="126"/>
      <c r="B40" s="84"/>
      <c r="C40" s="85">
        <f>+C39+C38</f>
        <v>1596.56</v>
      </c>
      <c r="D40" s="86">
        <f>+D39+D38</f>
        <v>1085.6608000000001</v>
      </c>
      <c r="E40" s="86">
        <f>+E39+E38</f>
        <v>191.5872</v>
      </c>
      <c r="F40" s="87">
        <f>+F39+F38</f>
        <v>319.31200000000001</v>
      </c>
      <c r="I40" s="126"/>
      <c r="J40" s="84"/>
      <c r="K40" s="85">
        <f>+K39+K38</f>
        <v>1571.83</v>
      </c>
      <c r="L40" s="86">
        <f>+L39+L38</f>
        <v>1068.8444</v>
      </c>
      <c r="M40" s="86">
        <f>+M39+M38</f>
        <v>188.61959999999999</v>
      </c>
      <c r="N40" s="87">
        <f>+N39+N38</f>
        <v>314.36599999999999</v>
      </c>
    </row>
    <row r="41" spans="1:18" x14ac:dyDescent="0.2">
      <c r="A41" s="197">
        <f>+A38+1</f>
        <v>42350</v>
      </c>
      <c r="B41" s="79"/>
      <c r="C41" s="80">
        <f>+'SALES SUMMARY'!AF42</f>
        <v>1931.71</v>
      </c>
      <c r="D41" s="81">
        <f>(C41*0.8)*0.85</f>
        <v>1313.5628000000002</v>
      </c>
      <c r="E41" s="81">
        <f>(C41*0.8)*0.15</f>
        <v>231.80520000000001</v>
      </c>
      <c r="F41" s="82">
        <f>C41*0.2</f>
        <v>386.34200000000004</v>
      </c>
      <c r="I41" s="122">
        <f>+I38+1</f>
        <v>42365</v>
      </c>
      <c r="J41" s="79"/>
      <c r="K41" s="80">
        <f>+'SALES SUMMARY'!AF87</f>
        <v>1589.96</v>
      </c>
      <c r="L41" s="81">
        <f>(K41*0.8)*0.85</f>
        <v>1081.1728000000001</v>
      </c>
      <c r="M41" s="81">
        <f>(K41*0.8)*0.15</f>
        <v>190.79519999999999</v>
      </c>
      <c r="N41" s="82">
        <f>K41*0.2</f>
        <v>317.99200000000002</v>
      </c>
    </row>
    <row r="42" spans="1:18" ht="13.5" thickBot="1" x14ac:dyDescent="0.25">
      <c r="A42" s="198"/>
      <c r="B42" s="83"/>
      <c r="C42" s="80">
        <f>+'SALES SUMMARY'!AF43</f>
        <v>2107.27</v>
      </c>
      <c r="D42" s="81">
        <f>(C42*0.8)*0.85</f>
        <v>1432.9436000000001</v>
      </c>
      <c r="E42" s="81">
        <f>(C42*0.8)*0.15</f>
        <v>252.8724</v>
      </c>
      <c r="F42" s="82">
        <f>C42*0.2</f>
        <v>421.45400000000001</v>
      </c>
      <c r="I42" s="123"/>
      <c r="J42" s="83"/>
      <c r="K42" s="80">
        <f>+'SALES SUMMARY'!AF88</f>
        <v>1592.78</v>
      </c>
      <c r="L42" s="81">
        <f>(K42*0.8)*0.85</f>
        <v>1083.0904</v>
      </c>
      <c r="M42" s="81">
        <f>(K42*0.8)*0.15</f>
        <v>191.13360000000003</v>
      </c>
      <c r="N42" s="82">
        <f>K42*0.2</f>
        <v>318.55600000000004</v>
      </c>
    </row>
    <row r="43" spans="1:18" ht="13.5" thickBot="1" x14ac:dyDescent="0.25">
      <c r="A43" s="125"/>
      <c r="B43" s="84"/>
      <c r="C43" s="85">
        <f>+C42+C41</f>
        <v>4038.98</v>
      </c>
      <c r="D43" s="86">
        <f>+D42+D41</f>
        <v>2746.5064000000002</v>
      </c>
      <c r="E43" s="86">
        <f>+E42+E41</f>
        <v>484.67759999999998</v>
      </c>
      <c r="F43" s="87">
        <f>+F42+F41</f>
        <v>807.79600000000005</v>
      </c>
      <c r="I43" s="125"/>
      <c r="J43" s="84"/>
      <c r="K43" s="85">
        <f>+K42+K41</f>
        <v>3182.74</v>
      </c>
      <c r="L43" s="86">
        <f>+L42+L41</f>
        <v>2164.2632000000003</v>
      </c>
      <c r="M43" s="86">
        <f>+M42+M41</f>
        <v>381.92880000000002</v>
      </c>
      <c r="N43" s="87">
        <f>+N42+N41</f>
        <v>636.548</v>
      </c>
    </row>
    <row r="44" spans="1:18" x14ac:dyDescent="0.2">
      <c r="A44" s="197">
        <f>+A41+1</f>
        <v>42351</v>
      </c>
      <c r="B44" s="83"/>
      <c r="C44" s="80">
        <f>+'SALES SUMMARY'!AF45</f>
        <v>2378.21</v>
      </c>
      <c r="D44" s="81">
        <f>(C44*0.8)*0.85</f>
        <v>1617.1828</v>
      </c>
      <c r="E44" s="81">
        <f>(C44*0.8)*0.15</f>
        <v>285.3852</v>
      </c>
      <c r="F44" s="82">
        <f>C44*0.2</f>
        <v>475.64200000000005</v>
      </c>
      <c r="I44" s="122">
        <f>+I41+1</f>
        <v>42366</v>
      </c>
      <c r="J44" s="83"/>
      <c r="K44" s="80">
        <f>+'SALES SUMMARY'!AF90</f>
        <v>1582.15</v>
      </c>
      <c r="L44" s="81">
        <f>(K44*0.8)*0.85</f>
        <v>1075.8620000000001</v>
      </c>
      <c r="M44" s="81">
        <f>(K44*0.8)*0.15</f>
        <v>189.85800000000003</v>
      </c>
      <c r="N44" s="82">
        <f>K44*0.2</f>
        <v>316.43000000000006</v>
      </c>
    </row>
    <row r="45" spans="1:18" ht="13.5" thickBot="1" x14ac:dyDescent="0.25">
      <c r="A45" s="198"/>
      <c r="B45" s="83"/>
      <c r="C45" s="80">
        <f>+'SALES SUMMARY'!AF46</f>
        <v>1402.6</v>
      </c>
      <c r="D45" s="81">
        <f>(C45*0.8)*0.85</f>
        <v>953.76799999999992</v>
      </c>
      <c r="E45" s="81">
        <f>(C45*0.8)*0.15</f>
        <v>168.31199999999998</v>
      </c>
      <c r="F45" s="82">
        <f>C45*0.2</f>
        <v>280.52</v>
      </c>
      <c r="I45" s="123"/>
      <c r="J45" s="83"/>
      <c r="K45" s="80">
        <f>+'SALES SUMMARY'!AF91</f>
        <v>1086.77</v>
      </c>
      <c r="L45" s="81">
        <f>(K45*0.8)*0.85</f>
        <v>739.00360000000001</v>
      </c>
      <c r="M45" s="81">
        <f>(K45*0.8)*0.15</f>
        <v>130.41239999999999</v>
      </c>
      <c r="N45" s="82">
        <f>K45*0.2</f>
        <v>217.35400000000001</v>
      </c>
      <c r="R45" s="83"/>
    </row>
    <row r="46" spans="1:18" ht="13.5" thickBot="1" x14ac:dyDescent="0.25">
      <c r="A46" s="125"/>
      <c r="B46" s="84"/>
      <c r="C46" s="85">
        <f>+C45+C44</f>
        <v>3780.81</v>
      </c>
      <c r="D46" s="86">
        <f>+D45+D44</f>
        <v>2570.9508000000001</v>
      </c>
      <c r="E46" s="86">
        <f>+E45+E44</f>
        <v>453.69719999999995</v>
      </c>
      <c r="F46" s="87">
        <f>+F45+F44</f>
        <v>756.16200000000003</v>
      </c>
      <c r="G46" s="127"/>
      <c r="I46" s="125"/>
      <c r="J46" s="84"/>
      <c r="K46" s="85">
        <f>+K45+K44</f>
        <v>2668.92</v>
      </c>
      <c r="L46" s="86">
        <f>+L45+L44</f>
        <v>1814.8656000000001</v>
      </c>
      <c r="M46" s="86">
        <f>+M45+M44</f>
        <v>320.2704</v>
      </c>
      <c r="N46" s="87">
        <f>+N45+N44</f>
        <v>533.78400000000011</v>
      </c>
    </row>
    <row r="47" spans="1:18" x14ac:dyDescent="0.2">
      <c r="A47" s="197">
        <f>+A44+1</f>
        <v>42352</v>
      </c>
      <c r="B47" s="83"/>
      <c r="C47" s="80">
        <f>+'SALES SUMMARY'!AF48</f>
        <v>2412.5700000000002</v>
      </c>
      <c r="D47" s="81">
        <f>(C47*0.8)*0.85</f>
        <v>1640.5476000000001</v>
      </c>
      <c r="E47" s="81">
        <f>(C47*0.8)*0.15</f>
        <v>289.50840000000005</v>
      </c>
      <c r="F47" s="82">
        <f>C47*0.2</f>
        <v>482.51400000000007</v>
      </c>
      <c r="I47" s="122">
        <f>+I44+1</f>
        <v>42367</v>
      </c>
      <c r="J47" s="83"/>
      <c r="K47" s="80">
        <f>+'SALES SUMMARY'!AF93</f>
        <v>2805.53</v>
      </c>
      <c r="L47" s="81">
        <f>(K47*0.8)*0.85</f>
        <v>1907.7604000000003</v>
      </c>
      <c r="M47" s="81">
        <f>(K47*0.8)*0.15</f>
        <v>336.66360000000003</v>
      </c>
      <c r="N47" s="82">
        <f>K47*0.2</f>
        <v>561.10600000000011</v>
      </c>
    </row>
    <row r="48" spans="1:18" ht="13.5" thickBot="1" x14ac:dyDescent="0.25">
      <c r="A48" s="198"/>
      <c r="B48" s="83"/>
      <c r="C48" s="80">
        <f>+'SALES SUMMARY'!AF49</f>
        <v>1941.85</v>
      </c>
      <c r="D48" s="81">
        <f>(C48*0.8)*0.85</f>
        <v>1320.4580000000001</v>
      </c>
      <c r="E48" s="81">
        <f>(C48*0.8)*0.15</f>
        <v>233.02199999999999</v>
      </c>
      <c r="F48" s="82">
        <f>C48*0.2</f>
        <v>388.37</v>
      </c>
      <c r="I48" s="123"/>
      <c r="J48" s="83"/>
      <c r="K48" s="80">
        <f>+'SALES SUMMARY'!AF94</f>
        <v>1953.64</v>
      </c>
      <c r="L48" s="81">
        <f>(K48*0.8)*0.85</f>
        <v>1328.4752000000001</v>
      </c>
      <c r="M48" s="81">
        <f>(K48*0.8)*0.15</f>
        <v>234.43680000000003</v>
      </c>
      <c r="N48" s="82">
        <f>K48*0.2</f>
        <v>390.72800000000007</v>
      </c>
    </row>
    <row r="49" spans="1:16" ht="13.5" thickBot="1" x14ac:dyDescent="0.25">
      <c r="A49" s="125"/>
      <c r="B49" s="84"/>
      <c r="C49" s="85">
        <f>+C48+C47</f>
        <v>4354.42</v>
      </c>
      <c r="D49" s="86">
        <f>+D48+D47</f>
        <v>2961.0056000000004</v>
      </c>
      <c r="E49" s="86">
        <f>+E48+E47</f>
        <v>522.5304000000001</v>
      </c>
      <c r="F49" s="87">
        <f>+F48+F47</f>
        <v>870.88400000000001</v>
      </c>
      <c r="G49" s="127"/>
      <c r="H49" s="127"/>
      <c r="I49" s="125"/>
      <c r="J49" s="84"/>
      <c r="K49" s="85">
        <f>+K48+K47</f>
        <v>4759.17</v>
      </c>
      <c r="L49" s="86">
        <f>+L48+L47</f>
        <v>3236.2356000000004</v>
      </c>
      <c r="M49" s="86">
        <f>+M48+M47</f>
        <v>571.10040000000004</v>
      </c>
      <c r="N49" s="87">
        <f>+N48+N47</f>
        <v>951.83400000000017</v>
      </c>
    </row>
    <row r="50" spans="1:16" x14ac:dyDescent="0.2">
      <c r="A50" s="197">
        <f>+A47+1</f>
        <v>42353</v>
      </c>
      <c r="B50" s="83"/>
      <c r="C50" s="80">
        <f>+'SALES SUMMARY'!AF51</f>
        <v>2396.06</v>
      </c>
      <c r="D50" s="81">
        <f>(C50*0.8)*0.85</f>
        <v>1629.3208</v>
      </c>
      <c r="E50" s="81">
        <f>(C50*0.8)*0.15</f>
        <v>287.52719999999999</v>
      </c>
      <c r="F50" s="82">
        <f>C50*0.2</f>
        <v>479.21199999999999</v>
      </c>
      <c r="I50" s="122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198"/>
      <c r="B51" s="83"/>
      <c r="C51" s="80">
        <f>+'SALES SUMMARY'!AF52</f>
        <v>2153.0500000000002</v>
      </c>
      <c r="D51" s="81">
        <f>(C51*0.8)*0.85</f>
        <v>1464.0740000000003</v>
      </c>
      <c r="E51" s="81">
        <f>(C51*0.8)*0.15</f>
        <v>258.36600000000004</v>
      </c>
      <c r="F51" s="82">
        <f>C51*0.2</f>
        <v>430.61000000000007</v>
      </c>
      <c r="I51" s="123"/>
      <c r="J51" s="83"/>
      <c r="K51" s="80">
        <f>+'SALES SUMMARY'!AF97</f>
        <v>2006.36</v>
      </c>
      <c r="L51" s="81">
        <f>(K51*0.8)*0.85</f>
        <v>1364.3247999999999</v>
      </c>
      <c r="M51" s="81">
        <f>(K51*0.8)*0.15</f>
        <v>240.76319999999998</v>
      </c>
      <c r="N51" s="82">
        <f>K51*0.2</f>
        <v>401.27199999999999</v>
      </c>
    </row>
    <row r="52" spans="1:16" ht="13.5" thickBot="1" x14ac:dyDescent="0.25">
      <c r="A52" s="125"/>
      <c r="B52" s="84"/>
      <c r="C52" s="85">
        <f>+C51+C50</f>
        <v>4549.1100000000006</v>
      </c>
      <c r="D52" s="86">
        <f>+D51+D50</f>
        <v>3093.3948</v>
      </c>
      <c r="E52" s="86">
        <f>+E51+E50</f>
        <v>545.89319999999998</v>
      </c>
      <c r="F52" s="87">
        <f>+F51+F50</f>
        <v>909.82200000000012</v>
      </c>
      <c r="G52" s="127"/>
      <c r="H52" s="127"/>
      <c r="I52" s="125"/>
      <c r="J52" s="84"/>
      <c r="K52" s="85">
        <f>+K51+K50</f>
        <v>2006.36</v>
      </c>
      <c r="L52" s="86">
        <f>+L51+L50</f>
        <v>1364.3247999999999</v>
      </c>
      <c r="M52" s="86">
        <f>+M51+M50</f>
        <v>240.76319999999998</v>
      </c>
      <c r="N52" s="87">
        <f>+N51+N50</f>
        <v>401.27199999999999</v>
      </c>
    </row>
    <row r="53" spans="1:16" ht="13.5" thickBot="1" x14ac:dyDescent="0.25">
      <c r="C53" s="88"/>
      <c r="D53" s="88"/>
      <c r="E53" s="88"/>
      <c r="F53" s="82"/>
      <c r="I53" s="122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50165.52</v>
      </c>
      <c r="D54" s="90">
        <f>D10+D13+D16+D19+D22+D25+D28+D31+D34+D37+D40+D43+D46+D49+D52</f>
        <v>34112.553599999999</v>
      </c>
      <c r="E54" s="90">
        <f>E10+E13+E16+E19+E22+E25+E28+E31+E34+E37+E40+E43+E46+E49+E52</f>
        <v>6019.8624</v>
      </c>
      <c r="F54" s="90">
        <f>F10+F13+F16+F19+F22+F25+F28+F31+F34+F37+F40+F43+F46+F49+F52</f>
        <v>10033.104000000001</v>
      </c>
      <c r="I54" s="123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5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34112.553599999999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7"/>
      <c r="I57" s="89" t="s">
        <v>45</v>
      </c>
      <c r="J57" s="89"/>
      <c r="K57" s="90">
        <f>+K55+K52+K49+K46+K43+K40+K37+K34+K31+K28+K25+K22+K19+K16+K13+K10</f>
        <v>41391.920000000006</v>
      </c>
      <c r="L57" s="90">
        <f>+L10+L13+L16+L19+L22+L25+L28+L31+L34+L37+L40+L43+L46+L49+L52+L55</f>
        <v>28146.505600000004</v>
      </c>
      <c r="M57" s="90">
        <f>+M10+M13+M16+M19+M22+M25+M28+M31+M34+M37+M40+M43+M46+M49+M52+M55</f>
        <v>4967.0304000000006</v>
      </c>
      <c r="N57" s="90">
        <f>+N10+N13+N16+N19+N22+N25+N28+N31+N34+N37+N40+N43+N46+N49+N52+N55</f>
        <v>8278.384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29"/>
      <c r="N59" s="94">
        <f>L57</f>
        <v>28146.505600000004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3271.8624000000004</v>
      </c>
      <c r="I60" s="91"/>
      <c r="J60" s="91"/>
      <c r="K60" s="91"/>
      <c r="L60" s="91"/>
      <c r="M60" s="130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7851.8624</v>
      </c>
      <c r="I61" s="91"/>
      <c r="J61" s="91" t="s">
        <v>76</v>
      </c>
      <c r="K61" s="91"/>
      <c r="L61" s="91"/>
      <c r="M61" s="129"/>
      <c r="N61" s="127"/>
      <c r="P61" s="127"/>
    </row>
    <row r="62" spans="1:16" ht="13.5" thickTop="1" x14ac:dyDescent="0.2">
      <c r="A62" s="91"/>
      <c r="B62" s="91"/>
      <c r="C62" s="91"/>
      <c r="D62" s="91"/>
      <c r="E62" s="91"/>
      <c r="F62" s="91"/>
      <c r="H62" s="127"/>
      <c r="I62" s="91"/>
      <c r="J62" s="91" t="s">
        <v>77</v>
      </c>
      <c r="K62" s="91"/>
      <c r="L62" s="91"/>
      <c r="M62" s="130"/>
      <c r="N62" s="131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6019.8624</v>
      </c>
      <c r="I63" s="91"/>
      <c r="J63" s="91" t="s">
        <v>81</v>
      </c>
      <c r="K63" s="91"/>
      <c r="L63" s="91"/>
      <c r="M63" s="130"/>
      <c r="N63" s="132">
        <f>(N57-N62)*0.6</f>
        <v>2219.0304000000001</v>
      </c>
    </row>
    <row r="64" spans="1:16" ht="14.25" thickTop="1" thickBot="1" x14ac:dyDescent="0.25">
      <c r="I64" s="91"/>
      <c r="J64" s="91" t="s">
        <v>79</v>
      </c>
      <c r="K64" s="91"/>
      <c r="L64" s="91"/>
      <c r="M64" s="129"/>
      <c r="N64" s="94">
        <f>+N62+N63</f>
        <v>6799.0303999999996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0"/>
    </row>
    <row r="66" spans="3:14" x14ac:dyDescent="0.2">
      <c r="C66" s="91" t="s">
        <v>83</v>
      </c>
      <c r="F66" s="93">
        <f>(F54-F59)*0.4</f>
        <v>2181.2416000000007</v>
      </c>
      <c r="I66" s="91"/>
      <c r="J66" s="91" t="s">
        <v>80</v>
      </c>
      <c r="K66" s="91"/>
      <c r="L66" s="91"/>
      <c r="M66" s="129"/>
      <c r="N66" s="93">
        <f>M57</f>
        <v>4967.0304000000006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50165.52</v>
      </c>
      <c r="G68" s="127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1479.3536000000001</v>
      </c>
    </row>
    <row r="71" spans="3:14" ht="13.5" thickBot="1" x14ac:dyDescent="0.25">
      <c r="J71" s="91" t="s">
        <v>84</v>
      </c>
      <c r="N71" s="95">
        <f>+N59+N62+N63+N66+N69</f>
        <v>41391.920000000013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45" workbookViewId="0">
      <selection activeCell="K76" sqref="K76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43405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SUMMARY'!C105</f>
        <v>1315253.73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SUMMARY'!AF105</f>
        <v>91557.439999999973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SUMMARY'!AM105</f>
        <v>129294.96518571427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1094401.3248142859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21888.026496285718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1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1">
        <f>+G17*0.12</f>
        <v>2626.5631795542863</v>
      </c>
    </row>
    <row r="20" spans="1:7" x14ac:dyDescent="0.2">
      <c r="A20" s="104"/>
      <c r="B20" s="104"/>
      <c r="C20" s="104"/>
      <c r="D20" s="104"/>
      <c r="E20" s="104"/>
      <c r="F20" s="105"/>
      <c r="G20" s="121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1">
        <f>+G17*0.1</f>
        <v>2188.802649628572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22325.787026211434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43405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1315253.73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91557.439999999973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129294.96518571427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1094401.3248142859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21888.026496285718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1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1">
        <f>+G51*0.12</f>
        <v>2626.5631795542863</v>
      </c>
    </row>
    <row r="54" spans="1:7" x14ac:dyDescent="0.2">
      <c r="A54" s="104"/>
      <c r="B54" s="104"/>
      <c r="C54" s="104"/>
      <c r="D54" s="104"/>
      <c r="E54" s="104"/>
      <c r="F54" s="105"/>
      <c r="G54" s="121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1">
        <f>+G51*0.1</f>
        <v>2188.802649628572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22325.787026211434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43405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1315253.73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91557.439999999973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129294.96518571427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1094401.3248142859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0.03</v>
      </c>
      <c r="G83" s="111">
        <f>G80*F83</f>
        <v>32832.039744428577</v>
      </c>
    </row>
    <row r="84" spans="1:7" x14ac:dyDescent="0.2">
      <c r="A84" s="104"/>
      <c r="B84" s="104"/>
      <c r="C84" s="104"/>
      <c r="D84" s="104"/>
      <c r="E84" s="104"/>
      <c r="F84" s="105"/>
      <c r="G84" s="121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1">
        <f>+G83*0.12</f>
        <v>3939.8447693314292</v>
      </c>
    </row>
    <row r="86" spans="1:7" x14ac:dyDescent="0.2">
      <c r="A86" s="104"/>
      <c r="B86" s="104"/>
      <c r="C86" s="104"/>
      <c r="D86" s="104"/>
      <c r="E86" s="104"/>
      <c r="F86" s="105"/>
      <c r="G86" s="121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1">
        <f>+G83*0.1</f>
        <v>3283.203974442858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33488.680539317153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43405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1315253.73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91557.439999999973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129294.96518571427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1094401.3248142859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0.03</v>
      </c>
      <c r="G115" s="111">
        <f>G112*F115</f>
        <v>32832.039744428577</v>
      </c>
    </row>
    <row r="116" spans="1:7" x14ac:dyDescent="0.2">
      <c r="A116" s="104"/>
      <c r="B116" s="104"/>
      <c r="C116" s="104"/>
      <c r="D116" s="104"/>
      <c r="E116" s="104"/>
      <c r="F116" s="105"/>
      <c r="G116" s="121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1">
        <f>+G115*0.12</f>
        <v>3939.8447693314292</v>
      </c>
    </row>
    <row r="118" spans="1:7" x14ac:dyDescent="0.2">
      <c r="A118" s="104"/>
      <c r="B118" s="104"/>
      <c r="C118" s="104"/>
      <c r="D118" s="104"/>
      <c r="E118" s="104"/>
      <c r="F118" s="105"/>
      <c r="G118" s="121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1">
        <f>+G115*0.1</f>
        <v>3283.203974442858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33488.680539317153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2019-02-20T01:55:01Z</cp:lastPrinted>
  <dcterms:created xsi:type="dcterms:W3CDTF">2013-01-10T00:59:22Z</dcterms:created>
  <dcterms:modified xsi:type="dcterms:W3CDTF">2020-05-30T08:16:23Z</dcterms:modified>
</cp:coreProperties>
</file>