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ws\"/>
    </mc:Choice>
  </mc:AlternateContent>
  <xr:revisionPtr revIDLastSave="0" documentId="13_ncr:1_{31712D7C-6D61-45E4-BB86-71156B4199DA}" xr6:coauthVersionLast="43" xr6:coauthVersionMax="43" xr10:uidLastSave="{00000000-0000-0000-0000-000000000000}"/>
  <bookViews>
    <workbookView minimized="1" xWindow="1140" yWindow="1425" windowWidth="18000" windowHeight="9360" tabRatio="605" firstSheet="1" activeTab="1" xr2:uid="{00000000-000D-0000-FFFF-FFFF00000000}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Slip'!$A$1:$O$112</definedName>
    <definedName name="_xlnm.Print_Area" localSheetId="5">'PLS PRINT'!$A$1:$H$32</definedName>
    <definedName name="_xlnm.Print_Area" localSheetId="2">'Sales Summary'!$B$1:$L$48</definedName>
    <definedName name="_xlnm.Print_Area" localSheetId="1">'SC Computation'!$A$1:$V$36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11" l="1"/>
  <c r="K18" i="11"/>
  <c r="L14" i="11"/>
  <c r="K14" i="11"/>
  <c r="K34" i="6"/>
  <c r="E16" i="7"/>
  <c r="E15" i="7"/>
  <c r="E14" i="7"/>
  <c r="E20" i="11" s="1"/>
  <c r="H20" i="11" s="1"/>
  <c r="E13" i="7"/>
  <c r="E12" i="7"/>
  <c r="E11" i="7"/>
  <c r="E10" i="7"/>
  <c r="E9" i="7"/>
  <c r="E8" i="7"/>
  <c r="E7" i="7"/>
  <c r="I38" i="6"/>
  <c r="I35" i="6"/>
  <c r="I33" i="6"/>
  <c r="I32" i="6"/>
  <c r="I31" i="6"/>
  <c r="I30" i="6"/>
  <c r="I29" i="6"/>
  <c r="I28" i="6"/>
  <c r="I27" i="6"/>
  <c r="I26" i="6"/>
  <c r="I25" i="6"/>
  <c r="I24" i="6"/>
  <c r="I21" i="6"/>
  <c r="I20" i="6"/>
  <c r="I19" i="6"/>
  <c r="I18" i="6"/>
  <c r="I17" i="6"/>
  <c r="I16" i="6"/>
  <c r="I15" i="6"/>
  <c r="I14" i="6"/>
  <c r="I13" i="6"/>
  <c r="I12" i="6"/>
  <c r="I11" i="6"/>
  <c r="Q38" i="6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I25" i="11" s="1"/>
  <c r="G26" i="11"/>
  <c r="I26" i="11" s="1"/>
  <c r="I39" i="6"/>
  <c r="K39" i="6" s="1"/>
  <c r="I27" i="11"/>
  <c r="J27" i="11" s="1"/>
  <c r="L34" i="6" l="1"/>
  <c r="G28" i="1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E22" i="11"/>
  <c r="H22" i="11" s="1"/>
  <c r="H24" i="11"/>
  <c r="H25" i="11"/>
  <c r="J25" i="11" s="1"/>
  <c r="H26" i="11"/>
  <c r="J26" i="11" s="1"/>
  <c r="K35" i="6"/>
  <c r="K36" i="6"/>
  <c r="K37" i="6"/>
  <c r="K38" i="6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3" i="1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K11" i="6"/>
  <c r="K12" i="6"/>
  <c r="K13" i="6"/>
  <c r="K14" i="6"/>
  <c r="K15" i="6"/>
  <c r="K16" i="6"/>
  <c r="K17" i="6"/>
  <c r="K18" i="6"/>
  <c r="K19" i="6"/>
  <c r="K22" i="6"/>
  <c r="K23" i="6"/>
  <c r="K24" i="6"/>
  <c r="K25" i="6"/>
  <c r="K26" i="6"/>
  <c r="K27" i="6"/>
  <c r="K28" i="6"/>
  <c r="K29" i="6"/>
  <c r="K30" i="6"/>
  <c r="K31" i="6"/>
  <c r="K32" i="6"/>
  <c r="K33" i="6"/>
  <c r="K20" i="6"/>
  <c r="K21" i="6"/>
  <c r="O39" i="6"/>
  <c r="O38" i="6"/>
  <c r="L11" i="6"/>
  <c r="L12" i="6"/>
  <c r="L14" i="6"/>
  <c r="L15" i="6"/>
  <c r="L35" i="6"/>
  <c r="L37" i="6"/>
  <c r="L38" i="6"/>
  <c r="L39" i="6"/>
  <c r="L10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31" i="6" l="1"/>
  <c r="L29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J3" i="11" s="1"/>
  <c r="J5" i="11" s="1"/>
  <c r="I24" i="11" s="1"/>
  <c r="J24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G285" i="8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7" i="8" s="1"/>
  <c r="G170" i="8" s="1"/>
  <c r="G172" i="8" s="1"/>
  <c r="G168" i="8"/>
  <c r="G169" i="8"/>
  <c r="G171" i="8"/>
  <c r="N171" i="8"/>
  <c r="N169" i="8"/>
  <c r="N168" i="8"/>
  <c r="N167" i="8"/>
  <c r="N170" i="8" s="1"/>
  <c r="N172" i="8" s="1"/>
  <c r="N165" i="8"/>
  <c r="E163" i="8"/>
  <c r="J161" i="8"/>
  <c r="C161" i="8"/>
  <c r="N143" i="8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7" i="6"/>
  <c r="O36" i="6"/>
  <c r="O35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5" i="11"/>
  <c r="A26" i="11" s="1"/>
  <c r="A24" i="11"/>
  <c r="A23" i="11"/>
  <c r="A19" i="11"/>
  <c r="A20" i="11" s="1"/>
  <c r="A21" i="11" s="1"/>
  <c r="A18" i="11"/>
  <c r="D8" i="11"/>
  <c r="D6" i="11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Q40" i="5"/>
  <c r="O40" i="5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Q36" i="5"/>
  <c r="O36" i="5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D8" i="5" s="1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Q17" i="5"/>
  <c r="O17" i="5"/>
  <c r="L17" i="5"/>
  <c r="K17" i="5"/>
  <c r="H17" i="5"/>
  <c r="G17" i="5"/>
  <c r="F17" i="5"/>
  <c r="E17" i="5"/>
  <c r="Q16" i="5"/>
  <c r="O16" i="5"/>
  <c r="L16" i="5"/>
  <c r="K16" i="5"/>
  <c r="H16" i="5"/>
  <c r="G16" i="5"/>
  <c r="F16" i="5"/>
  <c r="E16" i="5"/>
  <c r="Q15" i="5"/>
  <c r="O15" i="5"/>
  <c r="L15" i="5"/>
  <c r="K15" i="5"/>
  <c r="H15" i="5"/>
  <c r="G15" i="5"/>
  <c r="F15" i="5"/>
  <c r="E15" i="5"/>
  <c r="Q14" i="5"/>
  <c r="O14" i="5"/>
  <c r="L14" i="5"/>
  <c r="K14" i="5"/>
  <c r="H14" i="5"/>
  <c r="G14" i="5"/>
  <c r="F14" i="5"/>
  <c r="E14" i="5"/>
  <c r="Q13" i="5"/>
  <c r="O13" i="5"/>
  <c r="L13" i="5"/>
  <c r="K13" i="5"/>
  <c r="H13" i="5"/>
  <c r="D6" i="5" s="1"/>
  <c r="G13" i="5"/>
  <c r="F13" i="5"/>
  <c r="E13" i="5"/>
  <c r="D7" i="5"/>
  <c r="A3" i="5"/>
  <c r="N2" i="5"/>
  <c r="A1" i="5"/>
  <c r="D5" i="5" l="1"/>
  <c r="K44" i="5"/>
  <c r="N3" i="5" s="1"/>
  <c r="N4" i="5" s="1"/>
  <c r="M28" i="5"/>
  <c r="N37" i="5"/>
  <c r="G287" i="8"/>
  <c r="G290" i="8" s="1"/>
  <c r="G292" i="8" s="1"/>
  <c r="L44" i="5"/>
  <c r="M27" i="5"/>
  <c r="N287" i="8"/>
  <c r="N290" i="8" s="1"/>
  <c r="N292" i="8" s="1"/>
  <c r="N145" i="8"/>
  <c r="N148" i="8" s="1"/>
  <c r="N150" i="8" s="1"/>
  <c r="Q42" i="6"/>
  <c r="Q43" i="6" s="1"/>
  <c r="K43" i="6"/>
  <c r="K48" i="6"/>
  <c r="I20" i="11"/>
  <c r="I22" i="11"/>
  <c r="I18" i="11"/>
  <c r="I14" i="11"/>
  <c r="I16" i="11"/>
  <c r="I19" i="11"/>
  <c r="I23" i="11"/>
  <c r="I13" i="11"/>
  <c r="I15" i="11"/>
  <c r="I17" i="11"/>
  <c r="L42" i="6"/>
  <c r="M37" i="5" l="1"/>
  <c r="N33" i="5"/>
  <c r="N29" i="5"/>
  <c r="N34" i="5"/>
  <c r="N30" i="5"/>
  <c r="N36" i="5"/>
  <c r="N35" i="5"/>
  <c r="M34" i="5"/>
  <c r="N31" i="5"/>
  <c r="M30" i="5"/>
  <c r="M20" i="5"/>
  <c r="N18" i="5"/>
  <c r="N17" i="5"/>
  <c r="N16" i="5"/>
  <c r="N15" i="5"/>
  <c r="N14" i="5"/>
  <c r="N13" i="5"/>
  <c r="M36" i="5"/>
  <c r="M35" i="5"/>
  <c r="N32" i="5"/>
  <c r="M31" i="5"/>
  <c r="M18" i="5"/>
  <c r="M17" i="5"/>
  <c r="M16" i="5"/>
  <c r="M15" i="5"/>
  <c r="M14" i="5"/>
  <c r="M13" i="5"/>
  <c r="N20" i="5"/>
  <c r="N25" i="5"/>
  <c r="N22" i="5"/>
  <c r="M25" i="5"/>
  <c r="N21" i="5"/>
  <c r="M26" i="5"/>
  <c r="N28" i="5"/>
  <c r="M33" i="5"/>
  <c r="M21" i="5"/>
  <c r="M23" i="5"/>
  <c r="N19" i="5"/>
  <c r="M24" i="5"/>
  <c r="N42" i="5"/>
  <c r="S42" i="5" s="1"/>
  <c r="N24" i="5"/>
  <c r="M29" i="5"/>
  <c r="N27" i="5"/>
  <c r="N41" i="5"/>
  <c r="S41" i="5" s="1"/>
  <c r="M19" i="5"/>
  <c r="N40" i="5"/>
  <c r="S40" i="5" s="1"/>
  <c r="N39" i="5"/>
  <c r="S39" i="5" s="1"/>
  <c r="M22" i="5"/>
  <c r="N38" i="5"/>
  <c r="S38" i="5" s="1"/>
  <c r="M32" i="5"/>
  <c r="N26" i="5"/>
  <c r="N23" i="5"/>
  <c r="J17" i="11"/>
  <c r="G53" i="8"/>
  <c r="G55" i="8" s="1"/>
  <c r="J13" i="11"/>
  <c r="G9" i="8"/>
  <c r="G11" i="8" s="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N44" i="5" l="1"/>
  <c r="O44" i="5" s="1"/>
  <c r="R15" i="11"/>
  <c r="G35" i="8" s="1"/>
  <c r="R13" i="11"/>
  <c r="G13" i="8" s="1"/>
  <c r="J28" i="11"/>
  <c r="K28" i="11" s="1"/>
  <c r="O37" i="5" l="1"/>
  <c r="Q37" i="5" s="1"/>
  <c r="S37" i="5" s="1"/>
  <c r="O18" i="5"/>
  <c r="Q18" i="5" s="1"/>
  <c r="O35" i="5"/>
  <c r="Q35" i="5" s="1"/>
  <c r="S35" i="5" s="1"/>
  <c r="O28" i="5"/>
  <c r="Q28" i="5" s="1"/>
  <c r="S28" i="5" s="1"/>
  <c r="O21" i="5"/>
  <c r="K19" i="11"/>
  <c r="L19" i="11" s="1"/>
  <c r="K17" i="11"/>
  <c r="K15" i="11"/>
  <c r="L15" i="11" s="1"/>
  <c r="O15" i="11" s="1"/>
  <c r="K16" i="11"/>
  <c r="L16" i="11" s="1"/>
  <c r="K13" i="11"/>
  <c r="L13" i="11" s="1"/>
  <c r="R28" i="11"/>
  <c r="Q44" i="5" l="1"/>
  <c r="R44" i="5" s="1"/>
  <c r="S18" i="5"/>
  <c r="Q21" i="5"/>
  <c r="S21" i="5" s="1"/>
  <c r="P21" i="5"/>
  <c r="L28" i="11"/>
  <c r="M28" i="11" s="1"/>
  <c r="N56" i="8"/>
  <c r="L17" i="11"/>
  <c r="G56" i="8"/>
  <c r="Q15" i="1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P35" i="5" l="1"/>
  <c r="P18" i="5"/>
  <c r="P28" i="5"/>
  <c r="P37" i="5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R31" i="5"/>
  <c r="S31" i="5" s="1"/>
  <c r="R32" i="5"/>
  <c r="S32" i="5" s="1"/>
  <c r="R19" i="5"/>
  <c r="S19" i="5" s="1"/>
  <c r="R33" i="5"/>
  <c r="S33" i="5" s="1"/>
  <c r="R29" i="5"/>
  <c r="S29" i="5" s="1"/>
  <c r="R36" i="5"/>
  <c r="S36" i="5" s="1"/>
  <c r="R34" i="5"/>
  <c r="S34" i="5" s="1"/>
  <c r="R30" i="5"/>
  <c r="S30" i="5" s="1"/>
  <c r="R20" i="5"/>
  <c r="S20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M24" i="11"/>
  <c r="O24" i="11" s="1"/>
  <c r="Q24" i="11" s="1"/>
  <c r="S24" i="11" s="1"/>
  <c r="U24" i="11" s="1"/>
  <c r="M23" i="11"/>
  <c r="M22" i="11"/>
  <c r="M18" i="11"/>
  <c r="M17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O18" i="11"/>
  <c r="Q18" i="11" s="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G57" i="8"/>
  <c r="G58" i="8" s="1"/>
  <c r="G60" i="8" s="1"/>
  <c r="O17" i="11"/>
  <c r="F25" i="10" l="1"/>
  <c r="Q17" i="1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 xr:uid="{00000000-0006-0000-0000-000005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 xr:uid="{00000000-0006-0000-0000-000007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<sst xmlns="http://schemas.openxmlformats.org/spreadsheetml/2006/main" count="595" uniqueCount="158">
  <si>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</si>
  <si>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</si>
  <si>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</si>
  <si>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</si>
  <si>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</si>
  <si>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</si>
  <si>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</si>
  <si>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</si>
  <si>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</si>
  <si>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</si>
  <si>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</si>
  <si>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</si>
  <si>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</si>
  <si>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</si>
  <si>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</si>
  <si>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</si>
  <si>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</si>
  <si>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</si>
  <si>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</si>
  <si>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</si>
  <si>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</si>
  <si>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</si>
  <si>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</si>
  <si>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</si>
  <si>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</si>
  <si>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</si>
  <si>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</si>
  <si>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</si>
  <si>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</si>
  <si>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</si>
  <si>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</si>
  <si>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</si>
  <si>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</si>
  <si>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</si>
  <si>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</si>
  <si>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</si>
  <si>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</si>
  <si>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</si>
  <si>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</si>
  <si>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</si>
  <si>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</si>
  <si>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</si>
  <si>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</si>
  <si>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</si>
  <si>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</si>
  <si>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</si>
  <si>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</si>
  <si>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</si>
  <si>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</si>
  <si>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</si>
  <si>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</si>
  <si>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</si>
  <si>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</si>
  <si>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</si>
  <si>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</si>
  <si>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</si>
  <si>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</si>
  <si>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</si>
  <si>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</si>
  <si>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</si>
  <si>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</si>
  <si>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</si>
  <si>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</si>
  <si>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</si>
  <si>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</si>
  <si>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</si>
  <si>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</si>
  <si>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</si>
  <si>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</si>
  <si>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</si>
  <si>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</si>
  <si>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</si>
  <si>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</si>
  <si>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</si>
  <si>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</si>
  <si>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</si>
  <si>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</si>
  <si>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</si>
  <si>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</si>
  <si>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</si>
  <si>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</si>
  <si>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</si>
  <si>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</si>
  <si>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</si>
  <si>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</si>
  <si>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</si>
  <si>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</si>
  <si>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</si>
  <si>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</si>
  <si>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</si>
  <si>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</si>
  <si>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</si>
  <si>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</si>
  <si>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</si>
  <si>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</si>
  <si>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</si>
  <si>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</si>
  <si>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</si>
  <si>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</si>
  <si>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</si>
  <si>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</si>
  <si>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</si>
  <si>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</si>
  <si>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</si>
  <si>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</si>
  <si>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</si>
  <si>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</si>
  <si>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</si>
  <si>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</si>
  <si>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</si>
  <si>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</si>
  <si>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</si>
  <si>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</si>
  <si>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</si>
  <si>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</si>
  <si>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</si>
  <si>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</si>
  <si>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</si>
  <si>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</si>
  <si>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</si>
  <si>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</si>
  <si>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</si>
  <si>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</si>
  <si>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</si>
  <si>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</si>
  <si>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</si>
  <si>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</si>
  <si>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</si>
  <si>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</si>
  <si>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</si>
  <si>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</si>
  <si>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</si>
  <si>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</si>
  <si>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</si>
  <si>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</si>
  <si>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</si>
  <si>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</si>
  <si>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</si>
  <si>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</si>
  <si>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</si>
  <si>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</si>
  <si>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</si>
  <si>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</si>
  <si>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</si>
  <si>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</si>
  <si>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</si>
  <si>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</si>
  <si>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</si>
  <si>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</si>
  <si>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</si>
  <si>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</si>
  <si>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</si>
  <si>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</si>
  <si>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</si>
  <si>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1-10</t>
  </si>
  <si>
    <t>Period: June 1-15,2019</t>
  </si>
  <si>
    <t>July 1-15,2019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</si>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</sst>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5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1" borderId="46" xfId="1" applyNumberFormat="1" applyFont="1" applyFill="1" applyBorder="1" applyProtection="1">
      <protection locked="0"/>
    </xf>
    <xf numFmtId="43" fontId="1" fillId="12" borderId="37" xfId="1" applyNumberFormat="1" applyFont="1" applyFill="1" applyBorder="1" applyProtection="1">
      <protection locked="0"/>
    </xf>
    <xf numFmtId="43" fontId="0" fillId="11" borderId="37" xfId="1" applyNumberFormat="1" applyFont="1" applyFill="1" applyBorder="1" applyProtection="1"/>
    <xf numFmtId="0" fontId="0" fillId="11" borderId="37" xfId="0" applyNumberFormat="1" applyFont="1" applyFill="1" applyBorder="1" applyProtection="1"/>
    <xf numFmtId="0" fontId="12" fillId="0" borderId="0" xfId="0" applyFont="1" applyBorder="1" applyAlignment="1" applyProtection="1">
      <alignment horizontal="center" vertical="center"/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104775</xdr:rowOff>
    </xdr:from>
    <xdr:to>
      <xdr:col>5</xdr:col>
      <xdr:colOff>345440</xdr:colOff>
      <xdr:row>35</xdr:row>
      <xdr:rowOff>7620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97A8405-B733-4BA3-81CA-C266394C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28850" y="54578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83820</xdr:colOff>
      <xdr:row>33</xdr:row>
      <xdr:rowOff>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643B8B-572D-432D-B01E-7EA09377EBEC}"/>
            </a:ext>
          </a:extLst>
        </xdr:cNvPr>
        <xdr:cNvSpPr txBox="1"/>
      </xdr:nvSpPr>
      <xdr:spPr>
        <a:xfrm>
          <a:off x="2312670" y="57054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9" t="s">
        <v>0</v>
      </c>
      <c r="B11" s="269"/>
      <c r="C11" s="270" t="s">
        <v>15</v>
      </c>
      <c r="D11" s="270" t="s">
        <v>16</v>
      </c>
      <c r="E11" s="23"/>
      <c r="F11" s="23"/>
      <c r="G11" s="23"/>
      <c r="H11" s="23"/>
      <c r="I11" s="270" t="s">
        <v>17</v>
      </c>
      <c r="J11" s="270" t="s">
        <v>18</v>
      </c>
      <c r="K11" s="270" t="s">
        <v>43</v>
      </c>
      <c r="L11" s="270" t="s">
        <v>20</v>
      </c>
      <c r="M11" s="270" t="s">
        <v>21</v>
      </c>
      <c r="N11" s="270" t="s">
        <v>22</v>
      </c>
      <c r="O11" s="23"/>
      <c r="P11" s="23"/>
      <c r="Q11" s="270" t="s">
        <v>23</v>
      </c>
      <c r="R11" s="270" t="s">
        <v>24</v>
      </c>
      <c r="S11" s="270" t="s">
        <v>34</v>
      </c>
    </row>
    <row r="12" spans="1:21" ht="25.5" x14ac:dyDescent="0.2">
      <c r="A12" s="269"/>
      <c r="B12" s="269"/>
      <c r="C12" s="270"/>
      <c r="D12" s="270"/>
      <c r="E12" s="24" t="s">
        <v>12</v>
      </c>
      <c r="F12" s="24" t="s">
        <v>14</v>
      </c>
      <c r="G12" s="24" t="s">
        <v>40</v>
      </c>
      <c r="H12" s="24" t="s">
        <v>38</v>
      </c>
      <c r="I12" s="270"/>
      <c r="J12" s="270"/>
      <c r="K12" s="270"/>
      <c r="L12" s="270"/>
      <c r="M12" s="270"/>
      <c r="N12" s="270"/>
      <c r="O12" s="24"/>
      <c r="P12" s="24"/>
      <c r="Q12" s="270"/>
      <c r="R12" s="270"/>
      <c r="S12" s="270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71" t="s">
        <v>79</v>
      </c>
      <c r="C47" s="271"/>
      <c r="I47" s="271" t="s">
        <v>80</v>
      </c>
      <c r="J47" s="271"/>
      <c r="K47" s="271"/>
      <c r="N47" s="10"/>
      <c r="O47" s="10"/>
      <c r="P47" s="10"/>
      <c r="Q47" s="271" t="s">
        <v>81</v>
      </c>
      <c r="R47" s="271"/>
      <c r="S47" s="271"/>
    </row>
    <row r="48" spans="1:21" x14ac:dyDescent="0.2">
      <c r="B48" s="268" t="s">
        <v>31</v>
      </c>
      <c r="C48" s="268"/>
      <c r="I48" s="268" t="s">
        <v>82</v>
      </c>
      <c r="J48" s="268"/>
      <c r="K48" s="268"/>
      <c r="L48" s="10"/>
      <c r="Q48" s="268" t="s">
        <v>33</v>
      </c>
      <c r="R48" s="268"/>
      <c r="S48" s="268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tabSelected="1" workbookViewId="0">
      <selection activeCell="J33" sqref="J33:L33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  <col min="22" max="22" width="3.57031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21552.967199999999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21202.967199999999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130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163.09974769230769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20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89.5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13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13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80" t="s">
        <v>0</v>
      </c>
      <c r="C11" s="280" t="s">
        <v>15</v>
      </c>
      <c r="D11" s="280" t="s">
        <v>16</v>
      </c>
      <c r="E11" s="284" t="s">
        <v>17</v>
      </c>
      <c r="F11" s="278" t="s">
        <v>18</v>
      </c>
      <c r="G11" s="278" t="s">
        <v>19</v>
      </c>
      <c r="H11" s="278" t="s">
        <v>20</v>
      </c>
      <c r="I11" s="278" t="s">
        <v>21</v>
      </c>
      <c r="J11" s="278" t="s">
        <v>22</v>
      </c>
      <c r="K11" s="278" t="s">
        <v>23</v>
      </c>
      <c r="L11" s="278" t="s">
        <v>23</v>
      </c>
      <c r="M11" s="278" t="s">
        <v>24</v>
      </c>
      <c r="N11" s="278" t="s">
        <v>25</v>
      </c>
      <c r="O11" s="278" t="s">
        <v>34</v>
      </c>
      <c r="P11" s="100" t="s">
        <v>26</v>
      </c>
      <c r="Q11" s="278" t="s">
        <v>27</v>
      </c>
      <c r="R11" s="280" t="s">
        <v>28</v>
      </c>
      <c r="S11" s="282" t="s">
        <v>29</v>
      </c>
      <c r="T11" s="282" t="s">
        <v>140</v>
      </c>
      <c r="U11" s="272" t="s">
        <v>141</v>
      </c>
      <c r="V11" s="73"/>
      <c r="W11" s="73"/>
    </row>
    <row r="12" spans="1:23" ht="45" x14ac:dyDescent="0.2">
      <c r="A12" s="78"/>
      <c r="B12" s="281"/>
      <c r="C12" s="281"/>
      <c r="D12" s="281"/>
      <c r="E12" s="285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101" t="s">
        <v>30</v>
      </c>
      <c r="Q12" s="279"/>
      <c r="R12" s="281"/>
      <c r="S12" s="283"/>
      <c r="T12" s="283"/>
      <c r="U12" s="272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13</v>
      </c>
      <c r="F13" s="106">
        <v>1</v>
      </c>
      <c r="G13" s="102">
        <f t="shared" ref="G13:G26" si="0">IF(C13="Exec Chef",E13*F13,F13*$D$9)</f>
        <v>13</v>
      </c>
      <c r="H13" s="102">
        <f t="shared" ref="H13:H26" si="1">+E13*F13</f>
        <v>13</v>
      </c>
      <c r="I13" s="103">
        <f t="shared" ref="I13:I27" si="2">+IF(G13&lt;&gt;0,$J$5,0)</f>
        <v>163.09974769230769</v>
      </c>
      <c r="J13" s="58">
        <f>H13*I13</f>
        <v>2120.2967199999998</v>
      </c>
      <c r="K13" s="58">
        <f>+IF(D13=$A$5,$K$28/$D$5,0)</f>
        <v>174.74972967033005</v>
      </c>
      <c r="L13" s="58">
        <f>+IF(K13&lt;=900,K13,900)</f>
        <v>174.74972967033005</v>
      </c>
      <c r="M13" s="59">
        <f t="shared" ref="M13:M27" si="3">IF(D13=$A$7,$M$28/$M$7*$E13,IF(D13=$A$6,$M$28/$M$7*$E13,0))</f>
        <v>0</v>
      </c>
      <c r="N13" s="111"/>
      <c r="O13" s="58">
        <f>J13+L13+M13+N13</f>
        <v>2295.0464496703298</v>
      </c>
      <c r="P13" s="58"/>
      <c r="Q13" s="58">
        <f t="shared" ref="Q13:Q27" si="4">O13-P13</f>
        <v>2295.0464496703298</v>
      </c>
      <c r="R13" s="111">
        <f>J13*1.5</f>
        <v>3180.4450799999995</v>
      </c>
      <c r="S13" s="61">
        <f t="shared" ref="S13:S27" si="5">+Q13+R13</f>
        <v>5475.4915296703293</v>
      </c>
      <c r="T13" s="204"/>
      <c r="U13" s="206">
        <f>+S13-T13</f>
        <v>5475.4915296703293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12.5</v>
      </c>
      <c r="F14" s="106">
        <v>1</v>
      </c>
      <c r="G14" s="102">
        <f t="shared" si="0"/>
        <v>13</v>
      </c>
      <c r="H14" s="102">
        <f t="shared" si="1"/>
        <v>12.5</v>
      </c>
      <c r="I14" s="103">
        <f t="shared" si="2"/>
        <v>163.09974769230769</v>
      </c>
      <c r="J14" s="58">
        <f t="shared" ref="J14:J27" si="6">H14*I14</f>
        <v>2038.746846153846</v>
      </c>
      <c r="K14" s="58">
        <f>+IF(D14=$A$5,$K$28/$D$5,0)</f>
        <v>174.74972967033005</v>
      </c>
      <c r="L14" s="58">
        <f>+IF(K14&lt;=900,K14,900)/13*12.5</f>
        <v>168.02858622147122</v>
      </c>
      <c r="M14" s="59">
        <f t="shared" si="3"/>
        <v>0</v>
      </c>
      <c r="N14" s="111"/>
      <c r="O14" s="58">
        <f t="shared" ref="O14:O27" si="7">J14+L14+M14+N14</f>
        <v>2206.7754323753175</v>
      </c>
      <c r="P14" s="58"/>
      <c r="Q14" s="58">
        <f t="shared" si="4"/>
        <v>2206.7754323753175</v>
      </c>
      <c r="R14" s="111">
        <f>J14*0.25</f>
        <v>509.68671153846151</v>
      </c>
      <c r="S14" s="61">
        <f t="shared" si="5"/>
        <v>2716.4621439137791</v>
      </c>
      <c r="T14" s="204"/>
      <c r="U14" s="206">
        <f t="shared" ref="U14:U27" si="8">+S14-T14</f>
        <v>2716.4621439137791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13</v>
      </c>
      <c r="F15" s="106">
        <v>1</v>
      </c>
      <c r="G15" s="102">
        <f t="shared" si="0"/>
        <v>13</v>
      </c>
      <c r="H15" s="102">
        <f t="shared" si="1"/>
        <v>13</v>
      </c>
      <c r="I15" s="104">
        <f t="shared" si="2"/>
        <v>163.09974769230769</v>
      </c>
      <c r="J15" s="58">
        <f t="shared" si="6"/>
        <v>2120.2967199999998</v>
      </c>
      <c r="K15" s="58">
        <f t="shared" ref="K15:K19" si="9">+IF(D15=$A$5,$K$28/$D$5,0)</f>
        <v>174.74972967033005</v>
      </c>
      <c r="L15" s="58">
        <f>+IF(K15&lt;=900,K15,900)</f>
        <v>174.74972967033005</v>
      </c>
      <c r="M15" s="59">
        <f t="shared" si="3"/>
        <v>0</v>
      </c>
      <c r="N15" s="111"/>
      <c r="O15" s="58">
        <f t="shared" si="7"/>
        <v>2295.0464496703298</v>
      </c>
      <c r="P15" s="58"/>
      <c r="Q15" s="58">
        <f t="shared" si="4"/>
        <v>2295.0464496703298</v>
      </c>
      <c r="R15" s="111">
        <f>J15*0.25</f>
        <v>530.07417999999996</v>
      </c>
      <c r="S15" s="61">
        <f t="shared" si="5"/>
        <v>2825.1206296703299</v>
      </c>
      <c r="T15" s="204"/>
      <c r="U15" s="206">
        <f t="shared" si="8"/>
        <v>2825.1206296703299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13</v>
      </c>
      <c r="F16" s="106">
        <v>1</v>
      </c>
      <c r="G16" s="102">
        <f t="shared" si="0"/>
        <v>13</v>
      </c>
      <c r="H16" s="102">
        <f t="shared" si="1"/>
        <v>13</v>
      </c>
      <c r="I16" s="103">
        <f t="shared" si="2"/>
        <v>163.09974769230769</v>
      </c>
      <c r="J16" s="58">
        <f t="shared" si="6"/>
        <v>2120.2967199999998</v>
      </c>
      <c r="K16" s="58">
        <f t="shared" si="9"/>
        <v>174.74972967033005</v>
      </c>
      <c r="L16" s="58">
        <f>+IF(K16&lt;=900,K16,900)</f>
        <v>174.74972967033005</v>
      </c>
      <c r="M16" s="59">
        <f t="shared" si="3"/>
        <v>0</v>
      </c>
      <c r="N16" s="111"/>
      <c r="O16" s="58">
        <f t="shared" si="7"/>
        <v>2295.0464496703298</v>
      </c>
      <c r="P16" s="58"/>
      <c r="Q16" s="58">
        <f t="shared" si="4"/>
        <v>2295.0464496703298</v>
      </c>
      <c r="R16" s="111">
        <f>J16*0.25</f>
        <v>530.07417999999996</v>
      </c>
      <c r="S16" s="61">
        <f t="shared" si="5"/>
        <v>2825.1206296703299</v>
      </c>
      <c r="T16" s="204"/>
      <c r="U16" s="206">
        <f t="shared" si="8"/>
        <v>2825.1206296703299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13</v>
      </c>
      <c r="F17" s="106">
        <v>1</v>
      </c>
      <c r="G17" s="102">
        <f t="shared" si="0"/>
        <v>13</v>
      </c>
      <c r="H17" s="102">
        <f t="shared" si="1"/>
        <v>13</v>
      </c>
      <c r="I17" s="104">
        <f t="shared" si="2"/>
        <v>163.09974769230769</v>
      </c>
      <c r="J17" s="58">
        <f t="shared" si="6"/>
        <v>2120.2967199999998</v>
      </c>
      <c r="K17" s="58">
        <f t="shared" si="9"/>
        <v>174.74972967033005</v>
      </c>
      <c r="L17" s="58">
        <f t="shared" ref="L17:L18" si="10">+IF(K17&lt;=900,K17,900)</f>
        <v>174.74972967033005</v>
      </c>
      <c r="M17" s="59">
        <f t="shared" si="3"/>
        <v>0</v>
      </c>
      <c r="N17" s="111"/>
      <c r="O17" s="58">
        <f t="shared" si="7"/>
        <v>2295.0464496703298</v>
      </c>
      <c r="P17" s="58"/>
      <c r="Q17" s="58">
        <f t="shared" si="4"/>
        <v>2295.0464496703298</v>
      </c>
      <c r="R17" s="111"/>
      <c r="S17" s="61">
        <f t="shared" si="5"/>
        <v>2295.0464496703298</v>
      </c>
      <c r="T17" s="204"/>
      <c r="U17" s="206">
        <f t="shared" si="8"/>
        <v>2295.0464496703298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12</v>
      </c>
      <c r="F18" s="106">
        <v>1</v>
      </c>
      <c r="G18" s="102">
        <f t="shared" si="0"/>
        <v>13</v>
      </c>
      <c r="H18" s="102">
        <f t="shared" si="1"/>
        <v>12</v>
      </c>
      <c r="I18" s="103">
        <f t="shared" si="2"/>
        <v>163.09974769230769</v>
      </c>
      <c r="J18" s="58">
        <f t="shared" si="6"/>
        <v>1957.1969723076922</v>
      </c>
      <c r="K18" s="58">
        <f>+IF(D18=$A$5,$K$28/$D$5,0)</f>
        <v>174.74972967033005</v>
      </c>
      <c r="L18" s="58">
        <f>+IF(K18&lt;=900,K18,900)/13*12</f>
        <v>161.30744277261238</v>
      </c>
      <c r="M18" s="59">
        <f t="shared" si="3"/>
        <v>0</v>
      </c>
      <c r="N18" s="111"/>
      <c r="O18" s="58">
        <f t="shared" si="7"/>
        <v>2118.5044150803046</v>
      </c>
      <c r="P18" s="58"/>
      <c r="Q18" s="58">
        <f t="shared" si="4"/>
        <v>2118.5044150803046</v>
      </c>
      <c r="R18" s="111"/>
      <c r="S18" s="61">
        <f t="shared" si="5"/>
        <v>2118.5044150803046</v>
      </c>
      <c r="T18" s="204"/>
      <c r="U18" s="206">
        <f>+S18-T18</f>
        <v>2118.5044150803046</v>
      </c>
      <c r="V18" s="196"/>
      <c r="W18" s="196"/>
    </row>
    <row r="19" spans="1:23" x14ac:dyDescent="0.2">
      <c r="A19" s="79">
        <f t="shared" ref="A19:A25" si="11">A18+1</f>
        <v>7</v>
      </c>
      <c r="B19" s="109" t="s">
        <v>148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13</v>
      </c>
      <c r="H19" s="102">
        <f t="shared" si="1"/>
        <v>13</v>
      </c>
      <c r="I19" s="103">
        <f t="shared" si="2"/>
        <v>163.09974769230769</v>
      </c>
      <c r="J19" s="58">
        <f t="shared" si="6"/>
        <v>2120.2967199999998</v>
      </c>
      <c r="K19" s="58">
        <f t="shared" si="9"/>
        <v>174.74972967033005</v>
      </c>
      <c r="L19" s="58">
        <f>+IF(K19&lt;=900,K19,900)</f>
        <v>174.74972967033005</v>
      </c>
      <c r="M19" s="59">
        <f t="shared" si="3"/>
        <v>0</v>
      </c>
      <c r="N19" s="111"/>
      <c r="O19" s="58">
        <f t="shared" si="7"/>
        <v>2295.0464496703298</v>
      </c>
      <c r="P19" s="58"/>
      <c r="Q19" s="58">
        <f t="shared" si="4"/>
        <v>2295.0464496703298</v>
      </c>
      <c r="R19" s="111"/>
      <c r="S19" s="61">
        <f t="shared" si="5"/>
        <v>2295.0464496703298</v>
      </c>
      <c r="T19" s="204"/>
      <c r="U19" s="206">
        <f t="shared" si="8"/>
        <v>2295.0464496703298</v>
      </c>
      <c r="V19" s="73"/>
      <c r="W19" s="75"/>
    </row>
    <row r="20" spans="1:23" x14ac:dyDescent="0.2">
      <c r="A20" s="79">
        <f t="shared" si="11"/>
        <v>8</v>
      </c>
      <c r="B20" s="109" t="s">
        <v>91</v>
      </c>
      <c r="C20" s="110"/>
      <c r="D20" s="110" t="s">
        <v>11</v>
      </c>
      <c r="E20" s="110">
        <f>'Number of Days'!E14</f>
        <v>13</v>
      </c>
      <c r="F20" s="106">
        <v>1</v>
      </c>
      <c r="G20" s="102">
        <f t="shared" si="0"/>
        <v>13</v>
      </c>
      <c r="H20" s="102">
        <f t="shared" si="1"/>
        <v>13</v>
      </c>
      <c r="I20" s="103">
        <f t="shared" si="2"/>
        <v>163.09974769230769</v>
      </c>
      <c r="J20" s="58">
        <f t="shared" si="6"/>
        <v>2120.2967199999998</v>
      </c>
      <c r="K20" s="58">
        <f t="shared" ref="K20:K27" si="12">+IF(D20=$A$5,$K$28/$D$5,0)</f>
        <v>0</v>
      </c>
      <c r="L20" s="58">
        <f t="shared" ref="L20:L27" si="13">+IF(K20&lt;=900,K20,900)</f>
        <v>0</v>
      </c>
      <c r="M20" s="59">
        <f t="shared" si="3"/>
        <v>0</v>
      </c>
      <c r="N20" s="111">
        <v>350</v>
      </c>
      <c r="O20" s="58">
        <f t="shared" si="7"/>
        <v>2470.2967199999998</v>
      </c>
      <c r="P20" s="58"/>
      <c r="Q20" s="58">
        <f t="shared" si="4"/>
        <v>2470.2967199999998</v>
      </c>
      <c r="R20" s="111"/>
      <c r="S20" s="61">
        <f t="shared" si="5"/>
        <v>2470.2967199999998</v>
      </c>
      <c r="T20" s="205"/>
      <c r="U20" s="206">
        <f t="shared" si="8"/>
        <v>2470.2967199999998</v>
      </c>
      <c r="V20" s="73"/>
      <c r="W20" s="75"/>
    </row>
    <row r="21" spans="1:23" hidden="1" x14ac:dyDescent="0.2">
      <c r="A21" s="79">
        <f t="shared" si="11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2"/>
        <v>0</v>
      </c>
      <c r="L21" s="58">
        <f t="shared" si="13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5"/>
      <c r="U21" s="206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11</v>
      </c>
      <c r="F22" s="106">
        <v>1</v>
      </c>
      <c r="G22" s="102">
        <f t="shared" si="0"/>
        <v>13</v>
      </c>
      <c r="H22" s="102">
        <f t="shared" si="1"/>
        <v>11</v>
      </c>
      <c r="I22" s="103">
        <f t="shared" si="2"/>
        <v>163.09974769230769</v>
      </c>
      <c r="J22" s="58">
        <f t="shared" si="6"/>
        <v>1794.0972246153847</v>
      </c>
      <c r="K22" s="58">
        <f t="shared" si="12"/>
        <v>0</v>
      </c>
      <c r="L22" s="58">
        <f t="shared" si="13"/>
        <v>0</v>
      </c>
      <c r="M22" s="59">
        <f t="shared" si="3"/>
        <v>11.089886690617163</v>
      </c>
      <c r="N22" s="111"/>
      <c r="O22" s="58">
        <f t="shared" si="7"/>
        <v>1805.187111306002</v>
      </c>
      <c r="P22" s="58"/>
      <c r="Q22" s="58">
        <f t="shared" si="4"/>
        <v>1805.187111306002</v>
      </c>
      <c r="R22" s="111"/>
      <c r="S22" s="61">
        <f t="shared" si="5"/>
        <v>1805.187111306002</v>
      </c>
      <c r="T22" s="204"/>
      <c r="U22" s="206">
        <f t="shared" si="8"/>
        <v>1805.187111306002</v>
      </c>
      <c r="V22" s="73"/>
      <c r="W22" s="75"/>
    </row>
    <row r="23" spans="1:23" x14ac:dyDescent="0.2">
      <c r="A23" s="79">
        <f t="shared" si="11"/>
        <v>10</v>
      </c>
      <c r="B23" s="109" t="s">
        <v>149</v>
      </c>
      <c r="C23" s="110"/>
      <c r="D23" s="110" t="s">
        <v>9</v>
      </c>
      <c r="E23" s="110">
        <f>'Number of Days'!E16</f>
        <v>9</v>
      </c>
      <c r="F23" s="106">
        <v>1</v>
      </c>
      <c r="G23" s="102">
        <f t="shared" si="0"/>
        <v>13</v>
      </c>
      <c r="H23" s="102">
        <f t="shared" si="1"/>
        <v>9</v>
      </c>
      <c r="I23" s="103">
        <f t="shared" si="2"/>
        <v>163.09974769230769</v>
      </c>
      <c r="J23" s="58">
        <f t="shared" si="6"/>
        <v>1467.8977292307691</v>
      </c>
      <c r="K23" s="58">
        <f t="shared" si="12"/>
        <v>0</v>
      </c>
      <c r="L23" s="58">
        <f t="shared" si="13"/>
        <v>0</v>
      </c>
      <c r="M23" s="59">
        <f t="shared" si="3"/>
        <v>9.0735436559594973</v>
      </c>
      <c r="N23" s="111"/>
      <c r="O23" s="58">
        <f t="shared" si="7"/>
        <v>1476.9712728867285</v>
      </c>
      <c r="P23" s="58"/>
      <c r="Q23" s="58">
        <f t="shared" si="4"/>
        <v>1476.9712728867285</v>
      </c>
      <c r="R23" s="111"/>
      <c r="S23" s="61">
        <f t="shared" si="5"/>
        <v>1476.9712728867285</v>
      </c>
      <c r="T23" s="204"/>
      <c r="U23" s="206">
        <f t="shared" si="8"/>
        <v>1476.9712728867285</v>
      </c>
      <c r="V23" s="73"/>
      <c r="W23" s="75"/>
    </row>
    <row r="24" spans="1:23" x14ac:dyDescent="0.2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3"/>
        <v>0</v>
      </c>
      <c r="M24" s="59">
        <f>IF(D24=$A$7,$M$28/$M$7*$E24,IF(D24=$A$6,$M$28/$M$7*$E24,0))</f>
        <v>0</v>
      </c>
      <c r="N24" s="111"/>
      <c r="O24" s="58">
        <f t="shared" si="7"/>
        <v>0</v>
      </c>
      <c r="P24" s="58"/>
      <c r="Q24" s="58">
        <f t="shared" si="4"/>
        <v>0</v>
      </c>
      <c r="R24" s="111"/>
      <c r="S24" s="61">
        <f t="shared" si="5"/>
        <v>0</v>
      </c>
      <c r="T24" s="205"/>
      <c r="U24" s="206">
        <f t="shared" si="8"/>
        <v>0</v>
      </c>
      <c r="V24" s="73"/>
      <c r="W24" s="75"/>
    </row>
    <row r="25" spans="1:23" x14ac:dyDescent="0.2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3"/>
        <v>0</v>
      </c>
      <c r="M25" s="59">
        <f>IF(D25=$A$7,$M$28/$M$7*$E25,IF(D25=$A$6,$M$28/$M$7*$E25,0))</f>
        <v>0</v>
      </c>
      <c r="N25" s="111"/>
      <c r="O25" s="58">
        <f t="shared" si="7"/>
        <v>0</v>
      </c>
      <c r="P25" s="58"/>
      <c r="Q25" s="58">
        <f t="shared" si="4"/>
        <v>0</v>
      </c>
      <c r="R25" s="111"/>
      <c r="S25" s="61">
        <f t="shared" si="5"/>
        <v>0</v>
      </c>
      <c r="T25" s="205"/>
      <c r="U25" s="206">
        <f t="shared" si="8"/>
        <v>0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2"/>
        <v>0</v>
      </c>
      <c r="L26" s="58">
        <f t="shared" si="13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5"/>
      <c r="U26" s="206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2"/>
        <v>0</v>
      </c>
      <c r="L27" s="58">
        <f t="shared" si="13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5"/>
      <c r="U27" s="206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122.5</v>
      </c>
      <c r="F28" s="64">
        <f>SUM(F13:F27)</f>
        <v>10</v>
      </c>
      <c r="G28" s="64">
        <f>SUM(G13:G27)</f>
        <v>130</v>
      </c>
      <c r="H28" s="64"/>
      <c r="I28" s="105"/>
      <c r="J28" s="64">
        <f>SUM(J13:J27)</f>
        <v>19979.719092307689</v>
      </c>
      <c r="K28" s="65">
        <f>+J3-J28</f>
        <v>1223.2481076923104</v>
      </c>
      <c r="L28" s="64">
        <f>SUM(L13:L27)</f>
        <v>1203.0846773457338</v>
      </c>
      <c r="M28" s="66">
        <f>+K28-L28</f>
        <v>20.163430346576661</v>
      </c>
      <c r="N28" s="64">
        <f t="shared" ref="N28:U28" si="14">SUM(N13:N27)</f>
        <v>350</v>
      </c>
      <c r="O28" s="64">
        <f t="shared" si="14"/>
        <v>21552.967199999999</v>
      </c>
      <c r="P28" s="64">
        <f t="shared" si="14"/>
        <v>0</v>
      </c>
      <c r="Q28" s="64">
        <f t="shared" si="14"/>
        <v>21552.967199999999</v>
      </c>
      <c r="R28" s="64">
        <f t="shared" si="14"/>
        <v>4750.2801515384608</v>
      </c>
      <c r="S28" s="64">
        <f t="shared" si="14"/>
        <v>26303.247351538455</v>
      </c>
      <c r="T28" s="67">
        <f t="shared" si="14"/>
        <v>0</v>
      </c>
      <c r="U28" s="64">
        <f t="shared" si="14"/>
        <v>26303.247351538455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23832.950631538457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 x14ac:dyDescent="0.2">
      <c r="A33" s="73"/>
      <c r="B33" s="273" t="s">
        <v>87</v>
      </c>
      <c r="C33" s="273"/>
      <c r="D33" s="73"/>
      <c r="E33" s="69"/>
      <c r="F33" s="73"/>
      <c r="G33" s="73"/>
      <c r="H33" s="73"/>
      <c r="I33" s="73"/>
      <c r="J33" s="274"/>
      <c r="K33" s="274"/>
      <c r="L33" s="274"/>
      <c r="M33" s="62"/>
      <c r="N33" s="63"/>
      <c r="O33" s="249"/>
      <c r="P33" s="245"/>
      <c r="Q33" s="246"/>
      <c r="R33" s="247"/>
      <c r="S33" s="93"/>
      <c r="T33" s="93"/>
      <c r="U33" s="267"/>
      <c r="V33" s="267"/>
      <c r="W33" s="73"/>
    </row>
    <row r="34" spans="1:23" x14ac:dyDescent="0.2">
      <c r="A34" s="73"/>
      <c r="B34" s="276" t="s">
        <v>83</v>
      </c>
      <c r="C34" s="276"/>
      <c r="D34" s="73"/>
      <c r="E34" s="69"/>
      <c r="F34" s="73"/>
      <c r="G34" s="73"/>
      <c r="H34" s="73"/>
      <c r="I34" s="73"/>
      <c r="J34" s="275"/>
      <c r="K34" s="275"/>
      <c r="L34" s="275"/>
      <c r="M34" s="94"/>
      <c r="N34" s="69"/>
      <c r="O34" s="95"/>
      <c r="P34" s="80"/>
      <c r="Q34" s="277"/>
      <c r="R34" s="277"/>
      <c r="S34" s="93"/>
      <c r="T34" s="93"/>
      <c r="U34" s="267"/>
      <c r="V34" s="267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4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J33:L33"/>
    <mergeCell ref="B34:C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 xr:uid="{00000000-0002-0000-0100-000000000000}">
      <formula1>$V$14:$V$17</formula1>
      <formula2>0</formula2>
    </dataValidation>
    <dataValidation type="list" allowBlank="1" showErrorMessage="1" sqref="D13:D27" xr:uid="{00000000-0002-0000-0100-000001000000}">
      <formula1>$A$5:$A$8</formula1>
      <formula2>0</formula2>
    </dataValidation>
  </dataValidations>
  <pageMargins left="0.7" right="0.7" top="0.75" bottom="0.75" header="0.3" footer="0.3"/>
  <pageSetup paperSize="32767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2"/>
  <sheetViews>
    <sheetView topLeftCell="B20" workbookViewId="0">
      <selection activeCell="G40" sqref="G40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2" t="str">
        <f>'Number of Days'!A3</f>
        <v>July 1-15,2019</v>
      </c>
      <c r="D3" s="292"/>
      <c r="E3" s="292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3"/>
      <c r="P8" s="293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6">
        <v>43647</v>
      </c>
      <c r="C10" s="288" t="s">
        <v>120</v>
      </c>
      <c r="D10" s="263">
        <v>15395.15</v>
      </c>
      <c r="E10" s="189">
        <v>13835.18</v>
      </c>
      <c r="F10" s="191"/>
      <c r="G10" s="197">
        <v>1222.8699999999999</v>
      </c>
      <c r="H10" s="191"/>
      <c r="I10" s="201">
        <f t="shared" ref="I10:I21" si="0">G10*0.8</f>
        <v>978.29599999999994</v>
      </c>
      <c r="J10" s="201">
        <f t="shared" ref="J10:J40" si="1">G10*0.2</f>
        <v>244.57399999999998</v>
      </c>
      <c r="K10" s="201">
        <f>I10*0.85</f>
        <v>831.55159999999989</v>
      </c>
      <c r="L10" s="201">
        <f t="shared" ref="L10:L40" si="2">I10*0.15</f>
        <v>146.74439999999998</v>
      </c>
      <c r="M10" s="234">
        <v>0</v>
      </c>
      <c r="N10" s="235"/>
      <c r="O10" s="236">
        <f t="shared" ref="O10:O40" si="3">G10-P10</f>
        <v>1222.8699999999999</v>
      </c>
      <c r="P10" s="237"/>
    </row>
    <row r="11" spans="1:18" ht="13.5" thickBot="1" x14ac:dyDescent="0.25">
      <c r="A11" s="136"/>
      <c r="B11" s="287"/>
      <c r="C11" s="289"/>
      <c r="D11" s="189">
        <v>11679.13</v>
      </c>
      <c r="E11" s="189">
        <v>10684.29</v>
      </c>
      <c r="F11" s="191"/>
      <c r="G11" s="197">
        <v>903.77</v>
      </c>
      <c r="H11" s="191"/>
      <c r="I11" s="201">
        <f t="shared" si="0"/>
        <v>723.01600000000008</v>
      </c>
      <c r="J11" s="201">
        <f t="shared" si="1"/>
        <v>180.75400000000002</v>
      </c>
      <c r="K11" s="201">
        <f t="shared" ref="K11:K40" si="4">I11*0.85</f>
        <v>614.56360000000006</v>
      </c>
      <c r="L11" s="201">
        <f t="shared" si="2"/>
        <v>108.45240000000001</v>
      </c>
      <c r="M11" s="234">
        <v>0</v>
      </c>
      <c r="N11" s="244"/>
      <c r="O11" s="236">
        <f t="shared" si="3"/>
        <v>903.77</v>
      </c>
      <c r="P11" s="237"/>
      <c r="Q11" s="115">
        <f>SUM(D10:D11)</f>
        <v>27074.28</v>
      </c>
    </row>
    <row r="12" spans="1:18" x14ac:dyDescent="0.2">
      <c r="A12" s="136"/>
      <c r="B12" s="286">
        <f>B10+1</f>
        <v>43648</v>
      </c>
      <c r="C12" s="288" t="s">
        <v>121</v>
      </c>
      <c r="D12" s="189">
        <v>13099.54</v>
      </c>
      <c r="E12" s="189">
        <v>11890</v>
      </c>
      <c r="F12" s="191"/>
      <c r="G12" s="197">
        <v>997.04</v>
      </c>
      <c r="H12" s="191"/>
      <c r="I12" s="201">
        <f t="shared" si="0"/>
        <v>797.63200000000006</v>
      </c>
      <c r="J12" s="201">
        <f t="shared" si="1"/>
        <v>199.40800000000002</v>
      </c>
      <c r="K12" s="201">
        <f t="shared" si="4"/>
        <v>677.98720000000003</v>
      </c>
      <c r="L12" s="201">
        <f t="shared" si="2"/>
        <v>119.6448</v>
      </c>
      <c r="M12" s="234">
        <v>0</v>
      </c>
      <c r="N12" s="235"/>
      <c r="O12" s="236">
        <f t="shared" si="3"/>
        <v>997.04</v>
      </c>
      <c r="P12" s="238"/>
    </row>
    <row r="13" spans="1:18" ht="13.5" thickBot="1" x14ac:dyDescent="0.25">
      <c r="A13" s="136"/>
      <c r="B13" s="287"/>
      <c r="C13" s="289"/>
      <c r="D13" s="189">
        <v>14236.7</v>
      </c>
      <c r="E13" s="189">
        <v>13056.5</v>
      </c>
      <c r="F13" s="191"/>
      <c r="G13" s="197">
        <v>1078.7</v>
      </c>
      <c r="H13" s="191"/>
      <c r="I13" s="201">
        <f t="shared" si="0"/>
        <v>862.96</v>
      </c>
      <c r="J13" s="201">
        <f t="shared" si="1"/>
        <v>215.74</v>
      </c>
      <c r="K13" s="201">
        <f t="shared" si="4"/>
        <v>733.51599999999996</v>
      </c>
      <c r="L13" s="201">
        <f t="shared" si="2"/>
        <v>129.44399999999999</v>
      </c>
      <c r="M13" s="234">
        <v>0</v>
      </c>
      <c r="N13" s="244"/>
      <c r="O13" s="236">
        <f t="shared" si="3"/>
        <v>1078.7</v>
      </c>
      <c r="P13" s="238"/>
      <c r="Q13" s="115">
        <f>SUM(D12:D13)</f>
        <v>27336.240000000002</v>
      </c>
    </row>
    <row r="14" spans="1:18" x14ac:dyDescent="0.2">
      <c r="A14" s="136"/>
      <c r="B14" s="286">
        <f>B12+1</f>
        <v>43649</v>
      </c>
      <c r="C14" s="288" t="s">
        <v>122</v>
      </c>
      <c r="D14" s="189">
        <v>19356.73</v>
      </c>
      <c r="E14" s="189">
        <v>17807.36</v>
      </c>
      <c r="F14" s="191"/>
      <c r="G14" s="197">
        <v>1459.41</v>
      </c>
      <c r="H14" s="191"/>
      <c r="I14" s="201">
        <f t="shared" si="0"/>
        <v>1167.528</v>
      </c>
      <c r="J14" s="201">
        <f t="shared" si="1"/>
        <v>291.88200000000001</v>
      </c>
      <c r="K14" s="201">
        <f t="shared" si="4"/>
        <v>992.39879999999994</v>
      </c>
      <c r="L14" s="201">
        <f t="shared" si="2"/>
        <v>175.1292</v>
      </c>
      <c r="M14" s="234">
        <v>0</v>
      </c>
      <c r="N14" s="237"/>
      <c r="O14" s="236">
        <f t="shared" si="3"/>
        <v>1459.41</v>
      </c>
      <c r="P14" s="238"/>
    </row>
    <row r="15" spans="1:18" ht="13.5" thickBot="1" x14ac:dyDescent="0.25">
      <c r="A15" s="136"/>
      <c r="B15" s="287"/>
      <c r="C15" s="289"/>
      <c r="D15" s="202">
        <v>17484.05</v>
      </c>
      <c r="E15" s="189">
        <v>15989.57</v>
      </c>
      <c r="F15" s="191"/>
      <c r="G15" s="197">
        <v>1299.8399999999999</v>
      </c>
      <c r="H15" s="191"/>
      <c r="I15" s="201">
        <f t="shared" si="0"/>
        <v>1039.8720000000001</v>
      </c>
      <c r="J15" s="201">
        <f t="shared" si="1"/>
        <v>259.96800000000002</v>
      </c>
      <c r="K15" s="201">
        <f t="shared" si="4"/>
        <v>883.89120000000003</v>
      </c>
      <c r="L15" s="201">
        <f t="shared" si="2"/>
        <v>155.98080000000002</v>
      </c>
      <c r="M15" s="234">
        <v>0</v>
      </c>
      <c r="N15" s="198"/>
      <c r="O15" s="236">
        <f t="shared" si="3"/>
        <v>1299.8399999999999</v>
      </c>
      <c r="P15" s="237"/>
      <c r="Q15" s="115">
        <f>SUM(D14:D15)</f>
        <v>36840.78</v>
      </c>
    </row>
    <row r="16" spans="1:18" x14ac:dyDescent="0.2">
      <c r="A16" s="136"/>
      <c r="B16" s="286">
        <f>B14+1</f>
        <v>43650</v>
      </c>
      <c r="C16" s="288" t="s">
        <v>123</v>
      </c>
      <c r="D16" s="189">
        <v>20224.11</v>
      </c>
      <c r="E16" s="189">
        <v>18748.5</v>
      </c>
      <c r="F16" s="191"/>
      <c r="G16" s="197">
        <v>1406.11</v>
      </c>
      <c r="H16" s="191"/>
      <c r="I16" s="201">
        <f t="shared" si="0"/>
        <v>1124.8879999999999</v>
      </c>
      <c r="J16" s="201">
        <f t="shared" si="1"/>
        <v>281.22199999999998</v>
      </c>
      <c r="K16" s="201">
        <f t="shared" si="4"/>
        <v>956.15479999999991</v>
      </c>
      <c r="L16" s="201">
        <f t="shared" si="2"/>
        <v>168.73319999999998</v>
      </c>
      <c r="M16" s="234">
        <v>0</v>
      </c>
      <c r="N16" s="235"/>
      <c r="O16" s="236">
        <f t="shared" si="3"/>
        <v>1406.11</v>
      </c>
      <c r="P16" s="237"/>
    </row>
    <row r="17" spans="1:19" ht="13.5" thickBot="1" x14ac:dyDescent="0.25">
      <c r="A17" s="136"/>
      <c r="B17" s="287"/>
      <c r="C17" s="289"/>
      <c r="D17" s="189">
        <v>14054.19</v>
      </c>
      <c r="E17" s="189">
        <v>13017.86</v>
      </c>
      <c r="F17" s="191"/>
      <c r="G17" s="197">
        <v>975.62</v>
      </c>
      <c r="H17" s="191"/>
      <c r="I17" s="201">
        <f t="shared" si="0"/>
        <v>780.49600000000009</v>
      </c>
      <c r="J17" s="201">
        <f t="shared" si="1"/>
        <v>195.12400000000002</v>
      </c>
      <c r="K17" s="201">
        <f t="shared" si="4"/>
        <v>663.42160000000001</v>
      </c>
      <c r="L17" s="201">
        <f t="shared" si="2"/>
        <v>117.07440000000001</v>
      </c>
      <c r="M17" s="234">
        <v>0</v>
      </c>
      <c r="N17" s="244"/>
      <c r="O17" s="236">
        <f t="shared" si="3"/>
        <v>975.62</v>
      </c>
      <c r="P17" s="237"/>
      <c r="Q17" s="115">
        <f>SUM(D16:D17)</f>
        <v>34278.300000000003</v>
      </c>
    </row>
    <row r="18" spans="1:19" x14ac:dyDescent="0.2">
      <c r="A18" s="136"/>
      <c r="B18" s="286">
        <f>B16+1</f>
        <v>43651</v>
      </c>
      <c r="C18" s="290" t="s">
        <v>124</v>
      </c>
      <c r="D18" s="189">
        <v>27958.29</v>
      </c>
      <c r="E18" s="189">
        <v>25509.19</v>
      </c>
      <c r="F18" s="191"/>
      <c r="G18" s="197">
        <v>2184.19</v>
      </c>
      <c r="H18" s="191"/>
      <c r="I18" s="201">
        <f t="shared" si="0"/>
        <v>1747.3520000000001</v>
      </c>
      <c r="J18" s="201">
        <f t="shared" si="1"/>
        <v>436.83800000000002</v>
      </c>
      <c r="K18" s="201">
        <f t="shared" si="4"/>
        <v>1485.2492</v>
      </c>
      <c r="L18" s="201">
        <f t="shared" si="2"/>
        <v>262.1028</v>
      </c>
      <c r="M18" s="234">
        <v>0</v>
      </c>
      <c r="N18" s="137"/>
      <c r="O18" s="236">
        <f t="shared" si="3"/>
        <v>2184.19</v>
      </c>
      <c r="P18" s="238"/>
      <c r="Q18" s="115">
        <v>0</v>
      </c>
    </row>
    <row r="19" spans="1:19" ht="13.5" thickBot="1" x14ac:dyDescent="0.25">
      <c r="A19" s="136"/>
      <c r="B19" s="287"/>
      <c r="C19" s="291"/>
      <c r="D19" s="189">
        <v>33704.83</v>
      </c>
      <c r="E19" s="189">
        <v>29552.959999999999</v>
      </c>
      <c r="F19" s="191"/>
      <c r="G19" s="197">
        <v>2415.19</v>
      </c>
      <c r="H19" s="191"/>
      <c r="I19" s="201">
        <f t="shared" si="0"/>
        <v>1932.152</v>
      </c>
      <c r="J19" s="201">
        <f t="shared" si="1"/>
        <v>483.03800000000001</v>
      </c>
      <c r="K19" s="201">
        <f t="shared" si="4"/>
        <v>1642.3291999999999</v>
      </c>
      <c r="L19" s="201">
        <f t="shared" si="2"/>
        <v>289.82279999999997</v>
      </c>
      <c r="M19" s="234">
        <v>0</v>
      </c>
      <c r="N19" s="198"/>
      <c r="O19" s="236">
        <f t="shared" si="3"/>
        <v>2415.19</v>
      </c>
      <c r="P19" s="238"/>
      <c r="Q19" s="115">
        <f t="shared" ref="Q19:Q29" si="5">SUM(D18:D19)</f>
        <v>61663.12</v>
      </c>
      <c r="R19" s="117"/>
      <c r="S19" s="117"/>
    </row>
    <row r="20" spans="1:19" ht="12.75" customHeight="1" x14ac:dyDescent="0.2">
      <c r="A20" s="136"/>
      <c r="B20" s="286">
        <f>B18+1</f>
        <v>43652</v>
      </c>
      <c r="C20" s="290" t="s">
        <v>125</v>
      </c>
      <c r="D20" s="189"/>
      <c r="E20" s="189"/>
      <c r="F20" s="191"/>
      <c r="G20" s="197"/>
      <c r="H20" s="191"/>
      <c r="I20" s="201">
        <f t="shared" si="0"/>
        <v>0</v>
      </c>
      <c r="J20" s="201">
        <f>G20*0.2</f>
        <v>0</v>
      </c>
      <c r="K20" s="201">
        <f>I20*0.85</f>
        <v>0</v>
      </c>
      <c r="L20" s="201">
        <f>I20*0.15</f>
        <v>0</v>
      </c>
      <c r="M20" s="234">
        <v>0</v>
      </c>
      <c r="N20" s="235"/>
      <c r="O20" s="236">
        <f t="shared" si="3"/>
        <v>0</v>
      </c>
      <c r="P20" s="238"/>
      <c r="Q20" s="115">
        <v>0</v>
      </c>
    </row>
    <row r="21" spans="1:19" ht="13.5" customHeight="1" thickBot="1" x14ac:dyDescent="0.25">
      <c r="A21" s="136"/>
      <c r="B21" s="287"/>
      <c r="C21" s="291"/>
      <c r="D21" s="202">
        <v>11717.94</v>
      </c>
      <c r="E21" s="189">
        <v>10983.5</v>
      </c>
      <c r="F21" s="191"/>
      <c r="G21" s="197">
        <v>712.94</v>
      </c>
      <c r="H21" s="191"/>
      <c r="I21" s="201">
        <f t="shared" si="0"/>
        <v>570.35200000000009</v>
      </c>
      <c r="J21" s="201">
        <f t="shared" si="1"/>
        <v>142.58800000000002</v>
      </c>
      <c r="K21" s="201">
        <f t="shared" si="4"/>
        <v>484.79920000000004</v>
      </c>
      <c r="L21" s="201">
        <f t="shared" si="2"/>
        <v>85.552800000000005</v>
      </c>
      <c r="M21" s="234">
        <v>0</v>
      </c>
      <c r="N21" s="244" t="s">
        <v>137</v>
      </c>
      <c r="O21" s="236">
        <f t="shared" si="3"/>
        <v>712.94</v>
      </c>
      <c r="P21" s="238"/>
      <c r="Q21" s="115">
        <f t="shared" si="5"/>
        <v>11717.94</v>
      </c>
      <c r="R21" s="117"/>
      <c r="S21" s="117"/>
    </row>
    <row r="22" spans="1:19" ht="12.75" customHeight="1" x14ac:dyDescent="0.2">
      <c r="A22" s="136"/>
      <c r="B22" s="296">
        <f>B20+1</f>
        <v>43653</v>
      </c>
      <c r="C22" s="294" t="s">
        <v>126</v>
      </c>
      <c r="D22" s="190"/>
      <c r="E22" s="190"/>
      <c r="F22" s="192"/>
      <c r="G22" s="193"/>
      <c r="H22" s="192"/>
      <c r="I22" s="203"/>
      <c r="J22" s="203">
        <f t="shared" si="1"/>
        <v>0</v>
      </c>
      <c r="K22" s="203">
        <f t="shared" si="4"/>
        <v>0</v>
      </c>
      <c r="L22" s="203">
        <f t="shared" si="2"/>
        <v>0</v>
      </c>
      <c r="M22" s="234">
        <v>0</v>
      </c>
      <c r="N22" s="198"/>
      <c r="O22" s="236">
        <f t="shared" si="3"/>
        <v>0</v>
      </c>
      <c r="P22" s="238"/>
      <c r="Q22" s="115">
        <v>0</v>
      </c>
    </row>
    <row r="23" spans="1:19" ht="13.5" customHeight="1" thickBot="1" x14ac:dyDescent="0.25">
      <c r="A23" s="136"/>
      <c r="B23" s="297"/>
      <c r="C23" s="295"/>
      <c r="D23" s="190"/>
      <c r="E23" s="190"/>
      <c r="F23" s="192"/>
      <c r="G23" s="193"/>
      <c r="H23" s="192"/>
      <c r="I23" s="203"/>
      <c r="J23" s="203">
        <f t="shared" si="1"/>
        <v>0</v>
      </c>
      <c r="K23" s="203">
        <f t="shared" si="4"/>
        <v>0</v>
      </c>
      <c r="L23" s="203">
        <f t="shared" si="2"/>
        <v>0</v>
      </c>
      <c r="M23" s="234">
        <v>0</v>
      </c>
      <c r="N23" s="244"/>
      <c r="O23" s="236">
        <f t="shared" si="3"/>
        <v>0</v>
      </c>
      <c r="P23" s="238"/>
      <c r="Q23" s="238">
        <f t="shared" si="5"/>
        <v>0</v>
      </c>
      <c r="R23" s="117"/>
      <c r="S23" s="117"/>
    </row>
    <row r="24" spans="1:19" ht="12.75" customHeight="1" x14ac:dyDescent="0.2">
      <c r="A24" s="136"/>
      <c r="B24" s="286">
        <f>B22+1</f>
        <v>43654</v>
      </c>
      <c r="C24" s="288" t="s">
        <v>120</v>
      </c>
      <c r="D24" s="189">
        <v>19243.84</v>
      </c>
      <c r="E24" s="189">
        <v>17462.14</v>
      </c>
      <c r="F24" s="191"/>
      <c r="G24" s="197">
        <v>1473.67</v>
      </c>
      <c r="H24" s="191"/>
      <c r="I24" s="201">
        <f t="shared" ref="I24:I35" si="6">G24*0.8</f>
        <v>1178.9360000000001</v>
      </c>
      <c r="J24" s="201">
        <f t="shared" si="1"/>
        <v>294.73400000000004</v>
      </c>
      <c r="K24" s="201">
        <f t="shared" si="4"/>
        <v>1002.0956000000001</v>
      </c>
      <c r="L24" s="201">
        <f t="shared" si="2"/>
        <v>176.84040000000002</v>
      </c>
      <c r="M24" s="234">
        <v>0</v>
      </c>
      <c r="N24" s="235"/>
      <c r="O24" s="236">
        <f t="shared" si="3"/>
        <v>1473.67</v>
      </c>
      <c r="P24" s="238"/>
      <c r="Q24" s="238">
        <v>0</v>
      </c>
    </row>
    <row r="25" spans="1:19" ht="13.5" customHeight="1" thickBot="1" x14ac:dyDescent="0.25">
      <c r="A25" s="136"/>
      <c r="B25" s="287"/>
      <c r="C25" s="289"/>
      <c r="D25" s="189">
        <v>18148.04</v>
      </c>
      <c r="E25" s="189">
        <v>16475.14</v>
      </c>
      <c r="F25" s="191"/>
      <c r="G25" s="197">
        <v>1136.6099999999999</v>
      </c>
      <c r="H25" s="191"/>
      <c r="I25" s="201">
        <f t="shared" si="6"/>
        <v>909.28800000000001</v>
      </c>
      <c r="J25" s="201">
        <f t="shared" si="1"/>
        <v>227.322</v>
      </c>
      <c r="K25" s="201">
        <f t="shared" si="4"/>
        <v>772.89480000000003</v>
      </c>
      <c r="L25" s="201">
        <f t="shared" si="2"/>
        <v>136.39320000000001</v>
      </c>
      <c r="M25" s="234">
        <v>0</v>
      </c>
      <c r="N25" s="244"/>
      <c r="O25" s="236">
        <f t="shared" si="3"/>
        <v>1136.6099999999999</v>
      </c>
      <c r="P25" s="238"/>
      <c r="Q25" s="238">
        <f t="shared" si="5"/>
        <v>37391.880000000005</v>
      </c>
    </row>
    <row r="26" spans="1:19" ht="12.75" customHeight="1" x14ac:dyDescent="0.2">
      <c r="A26" s="136"/>
      <c r="B26" s="286">
        <f>B24+1</f>
        <v>43655</v>
      </c>
      <c r="C26" s="288" t="s">
        <v>121</v>
      </c>
      <c r="D26" s="189">
        <v>17973.41</v>
      </c>
      <c r="E26" s="189">
        <v>16439.46</v>
      </c>
      <c r="F26" s="191"/>
      <c r="G26" s="197">
        <v>1192.8</v>
      </c>
      <c r="H26" s="191"/>
      <c r="I26" s="201">
        <f t="shared" si="6"/>
        <v>954.24</v>
      </c>
      <c r="J26" s="201">
        <f t="shared" si="1"/>
        <v>238.56</v>
      </c>
      <c r="K26" s="201">
        <f t="shared" si="4"/>
        <v>811.10400000000004</v>
      </c>
      <c r="L26" s="201">
        <f t="shared" si="2"/>
        <v>143.136</v>
      </c>
      <c r="M26" s="234">
        <v>0</v>
      </c>
      <c r="N26" s="198"/>
      <c r="O26" s="236">
        <f t="shared" si="3"/>
        <v>1192.8</v>
      </c>
      <c r="P26" s="239"/>
      <c r="Q26" s="239">
        <v>0</v>
      </c>
    </row>
    <row r="27" spans="1:19" ht="13.5" customHeight="1" thickBot="1" x14ac:dyDescent="0.25">
      <c r="A27" s="136"/>
      <c r="B27" s="287"/>
      <c r="C27" s="289"/>
      <c r="D27" s="189">
        <v>11116.54</v>
      </c>
      <c r="E27" s="189">
        <v>10332.57</v>
      </c>
      <c r="F27" s="191"/>
      <c r="G27" s="197">
        <v>736.2</v>
      </c>
      <c r="H27" s="191"/>
      <c r="I27" s="201">
        <f t="shared" si="6"/>
        <v>588.96</v>
      </c>
      <c r="J27" s="201">
        <f t="shared" ref="J27:J32" si="7">G27*0.2</f>
        <v>147.24</v>
      </c>
      <c r="K27" s="201">
        <f t="shared" ref="K27:K32" si="8">I27*0.85</f>
        <v>500.61600000000004</v>
      </c>
      <c r="L27" s="201">
        <f t="shared" ref="L27:L32" si="9">I27*0.15</f>
        <v>88.344000000000008</v>
      </c>
      <c r="M27" s="234">
        <v>0</v>
      </c>
      <c r="O27" s="236">
        <f t="shared" si="3"/>
        <v>736.2</v>
      </c>
      <c r="P27" s="239"/>
      <c r="Q27" s="239">
        <f t="shared" si="5"/>
        <v>29089.95</v>
      </c>
    </row>
    <row r="28" spans="1:19" ht="12.75" customHeight="1" x14ac:dyDescent="0.2">
      <c r="A28" s="136"/>
      <c r="B28" s="286">
        <f>B26+1</f>
        <v>43656</v>
      </c>
      <c r="C28" s="288" t="s">
        <v>122</v>
      </c>
      <c r="D28" s="189">
        <v>23093.4</v>
      </c>
      <c r="E28" s="189">
        <v>21216.12</v>
      </c>
      <c r="F28" s="191"/>
      <c r="G28" s="197">
        <v>1659.86</v>
      </c>
      <c r="H28" s="191"/>
      <c r="I28" s="201">
        <f t="shared" si="6"/>
        <v>1327.8879999999999</v>
      </c>
      <c r="J28" s="201">
        <f t="shared" si="7"/>
        <v>331.97199999999998</v>
      </c>
      <c r="K28" s="201">
        <f t="shared" si="8"/>
        <v>1128.7048</v>
      </c>
      <c r="L28" s="201">
        <f t="shared" si="9"/>
        <v>199.18319999999997</v>
      </c>
      <c r="M28" s="234">
        <v>0</v>
      </c>
      <c r="N28" s="235"/>
      <c r="O28" s="236">
        <f t="shared" si="3"/>
        <v>1659.86</v>
      </c>
      <c r="P28" s="239"/>
      <c r="Q28" s="239">
        <v>0</v>
      </c>
    </row>
    <row r="29" spans="1:19" ht="13.5" customHeight="1" thickBot="1" x14ac:dyDescent="0.25">
      <c r="A29" s="136"/>
      <c r="B29" s="287"/>
      <c r="C29" s="289"/>
      <c r="D29" s="202">
        <v>13319.01</v>
      </c>
      <c r="E29" s="189">
        <v>12365</v>
      </c>
      <c r="F29" s="191"/>
      <c r="G29" s="197">
        <v>954.01</v>
      </c>
      <c r="H29" s="191"/>
      <c r="I29" s="201">
        <f t="shared" si="6"/>
        <v>763.20800000000008</v>
      </c>
      <c r="J29" s="201">
        <f t="shared" si="7"/>
        <v>190.80200000000002</v>
      </c>
      <c r="K29" s="201">
        <f t="shared" si="8"/>
        <v>648.72680000000003</v>
      </c>
      <c r="L29" s="201">
        <f t="shared" si="9"/>
        <v>114.48120000000002</v>
      </c>
      <c r="M29" s="234">
        <v>0</v>
      </c>
      <c r="N29" s="244"/>
      <c r="O29" s="236">
        <f t="shared" si="3"/>
        <v>954.01</v>
      </c>
      <c r="P29" s="239"/>
      <c r="Q29" s="239">
        <f t="shared" si="5"/>
        <v>36412.410000000003</v>
      </c>
    </row>
    <row r="30" spans="1:19" ht="15" customHeight="1" x14ac:dyDescent="0.2">
      <c r="A30" s="136"/>
      <c r="B30" s="286">
        <f>B28+1</f>
        <v>43657</v>
      </c>
      <c r="C30" s="288" t="s">
        <v>123</v>
      </c>
      <c r="D30" s="189">
        <v>16447.240000000002</v>
      </c>
      <c r="E30" s="189">
        <v>15249</v>
      </c>
      <c r="F30" s="191"/>
      <c r="G30" s="197">
        <v>1062.24</v>
      </c>
      <c r="H30" s="191"/>
      <c r="I30" s="201">
        <f t="shared" si="6"/>
        <v>849.79200000000003</v>
      </c>
      <c r="J30" s="201">
        <f t="shared" si="7"/>
        <v>212.44800000000001</v>
      </c>
      <c r="K30" s="201">
        <f>I30*0.85</f>
        <v>722.32320000000004</v>
      </c>
      <c r="L30" s="201">
        <f t="shared" si="9"/>
        <v>127.4688</v>
      </c>
      <c r="M30" s="234">
        <v>0</v>
      </c>
      <c r="N30" s="235"/>
      <c r="O30" s="236">
        <f t="shared" si="3"/>
        <v>1062.24</v>
      </c>
      <c r="P30" s="238"/>
      <c r="Q30" s="238">
        <f>SUM(D30:D31)</f>
        <v>43601.39</v>
      </c>
    </row>
    <row r="31" spans="1:19" ht="13.5" customHeight="1" thickBot="1" x14ac:dyDescent="0.25">
      <c r="A31" s="136"/>
      <c r="B31" s="287"/>
      <c r="C31" s="289"/>
      <c r="D31" s="189">
        <v>27154.15</v>
      </c>
      <c r="E31" s="189">
        <v>24915.29</v>
      </c>
      <c r="F31" s="191"/>
      <c r="G31" s="197">
        <v>2015.79</v>
      </c>
      <c r="H31" s="191"/>
      <c r="I31" s="201">
        <f t="shared" si="6"/>
        <v>1612.6320000000001</v>
      </c>
      <c r="J31" s="201">
        <f t="shared" si="7"/>
        <v>403.15800000000002</v>
      </c>
      <c r="K31" s="201">
        <f t="shared" si="8"/>
        <v>1370.7372</v>
      </c>
      <c r="L31" s="201">
        <f t="shared" si="9"/>
        <v>241.8948</v>
      </c>
      <c r="M31" s="234">
        <v>0</v>
      </c>
      <c r="N31" s="244"/>
      <c r="O31" s="236">
        <f t="shared" si="3"/>
        <v>2015.79</v>
      </c>
      <c r="P31" s="238"/>
      <c r="Q31" s="115">
        <v>0</v>
      </c>
    </row>
    <row r="32" spans="1:19" ht="13.5" customHeight="1" x14ac:dyDescent="0.2">
      <c r="A32" s="136"/>
      <c r="B32" s="286">
        <f>B30+1</f>
        <v>43658</v>
      </c>
      <c r="C32" s="288" t="s">
        <v>124</v>
      </c>
      <c r="D32" s="189">
        <v>31266.959999999999</v>
      </c>
      <c r="E32" s="189">
        <v>28411.14</v>
      </c>
      <c r="F32" s="191"/>
      <c r="G32" s="197">
        <v>2445.5300000000002</v>
      </c>
      <c r="H32" s="191"/>
      <c r="I32" s="201">
        <f t="shared" si="6"/>
        <v>1956.4240000000002</v>
      </c>
      <c r="J32" s="201">
        <f t="shared" si="7"/>
        <v>489.10600000000005</v>
      </c>
      <c r="K32" s="201">
        <f t="shared" si="8"/>
        <v>1662.9604000000002</v>
      </c>
      <c r="L32" s="201">
        <f t="shared" si="9"/>
        <v>293.46360000000004</v>
      </c>
      <c r="M32" s="234"/>
      <c r="N32" s="240"/>
      <c r="O32" s="236">
        <f t="shared" si="3"/>
        <v>2445.5300000000002</v>
      </c>
      <c r="P32" s="238"/>
      <c r="Q32" s="238">
        <f>SUM(D32:D33)</f>
        <v>46902.91</v>
      </c>
    </row>
    <row r="33" spans="1:17" ht="13.5" customHeight="1" thickBot="1" x14ac:dyDescent="0.25">
      <c r="A33" s="136"/>
      <c r="B33" s="287"/>
      <c r="C33" s="289"/>
      <c r="D33" s="189">
        <v>15635.95</v>
      </c>
      <c r="E33" s="189">
        <v>143500.15</v>
      </c>
      <c r="F33" s="191"/>
      <c r="G33" s="197">
        <v>1190.27</v>
      </c>
      <c r="H33" s="191"/>
      <c r="I33" s="201">
        <f>G33*0.8</f>
        <v>952.21600000000001</v>
      </c>
      <c r="J33" s="201">
        <f>G33*0.2</f>
        <v>238.054</v>
      </c>
      <c r="K33" s="201">
        <f>I33*0.85</f>
        <v>809.3836</v>
      </c>
      <c r="L33" s="201">
        <f>I33*0.15</f>
        <v>142.83240000000001</v>
      </c>
      <c r="M33" s="234"/>
      <c r="N33" s="198"/>
      <c r="O33" s="236">
        <f t="shared" si="3"/>
        <v>1190.27</v>
      </c>
      <c r="P33" s="238"/>
    </row>
    <row r="34" spans="1:17" ht="13.5" customHeight="1" x14ac:dyDescent="0.2">
      <c r="A34" s="136"/>
      <c r="B34" s="286">
        <f>B32+1</f>
        <v>43659</v>
      </c>
      <c r="C34" s="288" t="s">
        <v>125</v>
      </c>
      <c r="D34" s="189"/>
      <c r="E34" s="189"/>
      <c r="F34" s="191"/>
      <c r="G34" s="265" t="s">
        <v>106</v>
      </c>
      <c r="H34" s="191"/>
      <c r="I34" s="266"/>
      <c r="J34" s="201">
        <v>0</v>
      </c>
      <c r="K34" s="201">
        <f t="shared" ref="K34:K36" si="10">I34*0.85</f>
        <v>0</v>
      </c>
      <c r="L34" s="201">
        <f t="shared" ref="L34:L36" si="11">I34*0.15</f>
        <v>0</v>
      </c>
      <c r="M34" s="234"/>
      <c r="N34" s="240"/>
      <c r="O34" s="236">
        <v>0</v>
      </c>
      <c r="P34" s="238"/>
      <c r="Q34" s="238">
        <f>SUM(D34:D35)</f>
        <v>8783.5</v>
      </c>
    </row>
    <row r="35" spans="1:17" ht="13.5" customHeight="1" thickBot="1" x14ac:dyDescent="0.25">
      <c r="A35" s="136"/>
      <c r="B35" s="287"/>
      <c r="C35" s="289"/>
      <c r="D35" s="189">
        <v>8783.5</v>
      </c>
      <c r="E35" s="189">
        <v>8167.28</v>
      </c>
      <c r="F35" s="191"/>
      <c r="G35" s="197">
        <v>597.02</v>
      </c>
      <c r="H35" s="191"/>
      <c r="I35" s="201">
        <f t="shared" si="6"/>
        <v>477.61599999999999</v>
      </c>
      <c r="J35" s="201">
        <f t="shared" ref="J35:J36" si="12">G35*0.2</f>
        <v>119.404</v>
      </c>
      <c r="K35" s="201">
        <f t="shared" si="10"/>
        <v>405.97359999999998</v>
      </c>
      <c r="L35" s="201">
        <f t="shared" si="11"/>
        <v>71.642399999999995</v>
      </c>
      <c r="M35" s="234"/>
      <c r="N35" s="244" t="s">
        <v>137</v>
      </c>
      <c r="O35" s="236">
        <f t="shared" si="3"/>
        <v>597.02</v>
      </c>
      <c r="P35" s="238"/>
    </row>
    <row r="36" spans="1:17" ht="13.5" customHeight="1" x14ac:dyDescent="0.2">
      <c r="A36" s="136"/>
      <c r="B36" s="296">
        <f>B34+1</f>
        <v>43660</v>
      </c>
      <c r="C36" s="294" t="s">
        <v>126</v>
      </c>
      <c r="D36" s="190"/>
      <c r="E36" s="190"/>
      <c r="F36" s="192"/>
      <c r="G36" s="193"/>
      <c r="H36" s="192"/>
      <c r="I36" s="203"/>
      <c r="J36" s="203">
        <f t="shared" si="12"/>
        <v>0</v>
      </c>
      <c r="K36" s="203">
        <f t="shared" si="10"/>
        <v>0</v>
      </c>
      <c r="L36" s="203">
        <f t="shared" si="11"/>
        <v>0</v>
      </c>
      <c r="M36" s="234"/>
      <c r="N36" s="240"/>
      <c r="O36" s="236">
        <f t="shared" si="3"/>
        <v>0</v>
      </c>
      <c r="P36" s="238"/>
      <c r="Q36" s="238">
        <f>SUM(D36:D37)</f>
        <v>0</v>
      </c>
    </row>
    <row r="37" spans="1:17" ht="13.5" customHeight="1" thickBot="1" x14ac:dyDescent="0.25">
      <c r="A37" s="136"/>
      <c r="B37" s="297"/>
      <c r="C37" s="295"/>
      <c r="D37" s="264"/>
      <c r="E37" s="190"/>
      <c r="F37" s="192"/>
      <c r="G37" s="193"/>
      <c r="H37" s="192"/>
      <c r="I37" s="203"/>
      <c r="J37" s="203">
        <f t="shared" ref="J37:J39" si="13">G37*0.2</f>
        <v>0</v>
      </c>
      <c r="K37" s="203">
        <f t="shared" ref="K37:K39" si="14">I37*0.85</f>
        <v>0</v>
      </c>
      <c r="L37" s="203">
        <f t="shared" ref="L37:L39" si="15">I37*0.15</f>
        <v>0</v>
      </c>
      <c r="M37" s="234"/>
      <c r="N37" s="244"/>
      <c r="O37" s="236">
        <f t="shared" si="3"/>
        <v>0</v>
      </c>
      <c r="P37" s="238"/>
    </row>
    <row r="38" spans="1:17" ht="13.5" customHeight="1" x14ac:dyDescent="0.2">
      <c r="A38" s="136"/>
      <c r="B38" s="286">
        <f>B36+1</f>
        <v>43661</v>
      </c>
      <c r="C38" s="288" t="s">
        <v>120</v>
      </c>
      <c r="D38" s="189">
        <v>19005.810000000001</v>
      </c>
      <c r="E38" s="189">
        <v>17145.05</v>
      </c>
      <c r="F38" s="191"/>
      <c r="G38" s="197">
        <v>1303.3</v>
      </c>
      <c r="H38" s="191"/>
      <c r="I38" s="201">
        <f t="shared" ref="I38" si="16">G38*0.8</f>
        <v>1042.6400000000001</v>
      </c>
      <c r="J38" s="201">
        <f t="shared" si="13"/>
        <v>260.66000000000003</v>
      </c>
      <c r="K38" s="201">
        <f t="shared" si="14"/>
        <v>886.24400000000003</v>
      </c>
      <c r="L38" s="201">
        <f t="shared" si="15"/>
        <v>156.39600000000002</v>
      </c>
      <c r="M38" s="234"/>
      <c r="N38" s="244"/>
      <c r="O38" s="236">
        <f t="shared" si="3"/>
        <v>1303.3</v>
      </c>
      <c r="P38" s="238"/>
      <c r="Q38" s="238">
        <f>SUM(D38:D39)</f>
        <v>39521.9</v>
      </c>
    </row>
    <row r="39" spans="1:17" ht="13.5" customHeight="1" thickBot="1" x14ac:dyDescent="0.25">
      <c r="A39" s="136"/>
      <c r="B39" s="287"/>
      <c r="C39" s="289"/>
      <c r="D39" s="189">
        <v>20516.09</v>
      </c>
      <c r="E39" s="189">
        <v>19051.169999999998</v>
      </c>
      <c r="F39" s="191"/>
      <c r="G39" s="197">
        <v>1272.56</v>
      </c>
      <c r="H39" s="191"/>
      <c r="I39" s="201">
        <f t="shared" ref="I39" si="17">G39*0.8</f>
        <v>1018.048</v>
      </c>
      <c r="J39" s="201">
        <f t="shared" si="13"/>
        <v>254.512</v>
      </c>
      <c r="K39" s="201">
        <f t="shared" si="14"/>
        <v>865.34079999999994</v>
      </c>
      <c r="L39" s="201">
        <f t="shared" si="15"/>
        <v>152.7072</v>
      </c>
      <c r="M39" s="234"/>
      <c r="N39" s="244"/>
      <c r="O39" s="236">
        <f t="shared" si="3"/>
        <v>1272.56</v>
      </c>
      <c r="P39" s="238"/>
    </row>
    <row r="40" spans="1:17" ht="13.5" customHeight="1" thickBot="1" x14ac:dyDescent="0.25">
      <c r="A40" s="138"/>
      <c r="B40" s="254"/>
      <c r="C40" s="255"/>
      <c r="D40" s="256"/>
      <c r="E40" s="256"/>
      <c r="F40" s="257"/>
      <c r="G40" s="258"/>
      <c r="H40" s="258"/>
      <c r="I40" s="259"/>
      <c r="J40" s="259">
        <f t="shared" si="1"/>
        <v>0</v>
      </c>
      <c r="K40" s="259">
        <f t="shared" si="4"/>
        <v>0</v>
      </c>
      <c r="L40" s="260">
        <f t="shared" si="2"/>
        <v>0</v>
      </c>
      <c r="M40" s="235"/>
      <c r="N40" s="235"/>
      <c r="O40" s="236">
        <f t="shared" si="3"/>
        <v>0</v>
      </c>
      <c r="P40" s="238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298" t="s">
        <v>27</v>
      </c>
      <c r="C42" s="298"/>
      <c r="D42" s="116">
        <f>SUM(D10:D39)</f>
        <v>440614.60000000015</v>
      </c>
      <c r="E42" s="116">
        <f>SUM(E10:E39)</f>
        <v>531804.42000000004</v>
      </c>
      <c r="F42" s="199"/>
      <c r="G42" s="116">
        <f>SUM(G10:G39)</f>
        <v>31695.540000000005</v>
      </c>
      <c r="H42" s="116">
        <f>+SUM(H18:H39)</f>
        <v>0</v>
      </c>
      <c r="I42" s="116">
        <f>SUM(I10:I39)</f>
        <v>25356.431999999997</v>
      </c>
      <c r="J42" s="116">
        <f>SUM(J10:J39)</f>
        <v>6339.1079999999993</v>
      </c>
      <c r="K42" s="116">
        <f>SUM(K10:K39)</f>
        <v>21552.967199999999</v>
      </c>
      <c r="L42" s="116">
        <f>SUM(L10:L39)</f>
        <v>3803.4648000000007</v>
      </c>
      <c r="N42" s="139"/>
      <c r="P42" s="115">
        <f>SUM(P10:P39)</f>
        <v>0</v>
      </c>
      <c r="Q42" s="115">
        <f>SUM(Q10:Q41)</f>
        <v>440614.60000000009</v>
      </c>
    </row>
    <row r="43" spans="1:17" ht="13.5" thickTop="1" x14ac:dyDescent="0.2">
      <c r="D43" s="117"/>
      <c r="E43" s="117"/>
      <c r="I43" s="117"/>
      <c r="K43" s="117">
        <f>K42-30000</f>
        <v>-8447.0328000000009</v>
      </c>
      <c r="L43" s="117"/>
      <c r="N43" s="139"/>
      <c r="Q43" s="115">
        <f>Q42/13</f>
        <v>33893.430769230778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40">
        <f>K42/G42</f>
        <v>0.67999999999999983</v>
      </c>
    </row>
    <row r="52" spans="15:15" x14ac:dyDescent="0.2">
      <c r="O52" s="117"/>
    </row>
  </sheetData>
  <mergeCells count="33"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3 E26:E27 E30:E31 E35 E12:E13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D10" sqref="D10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299" t="s">
        <v>157</v>
      </c>
      <c r="D4" s="300"/>
    </row>
    <row r="5" spans="1:11" x14ac:dyDescent="0.2">
      <c r="C5" s="261" t="s">
        <v>154</v>
      </c>
      <c r="D5" s="262" t="s">
        <v>153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9</v>
      </c>
      <c r="D7" s="154">
        <v>4</v>
      </c>
      <c r="E7" s="184">
        <f>C7+D7</f>
        <v>13</v>
      </c>
      <c r="H7" s="151"/>
      <c r="I7" s="152"/>
    </row>
    <row r="8" spans="1:11" x14ac:dyDescent="0.2">
      <c r="A8">
        <f t="shared" ref="A8:A16" si="0">A7+1</f>
        <v>2</v>
      </c>
      <c r="B8" s="183" t="s">
        <v>86</v>
      </c>
      <c r="C8" s="153">
        <v>9</v>
      </c>
      <c r="D8" s="154">
        <v>3.5</v>
      </c>
      <c r="E8" s="184">
        <f t="shared" ref="E8:E16" si="1">C8+D8</f>
        <v>12.5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9</v>
      </c>
      <c r="D9" s="154">
        <v>4</v>
      </c>
      <c r="E9" s="184">
        <f t="shared" si="1"/>
        <v>13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9</v>
      </c>
      <c r="D10" s="154">
        <v>4</v>
      </c>
      <c r="E10" s="184">
        <f t="shared" si="1"/>
        <v>13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9</v>
      </c>
      <c r="D11" s="154">
        <v>4</v>
      </c>
      <c r="E11" s="184">
        <f t="shared" si="1"/>
        <v>13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8</v>
      </c>
      <c r="D12" s="154">
        <v>4</v>
      </c>
      <c r="E12" s="184">
        <f t="shared" si="1"/>
        <v>12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9</v>
      </c>
      <c r="D13" s="154">
        <v>4</v>
      </c>
      <c r="E13" s="184">
        <f t="shared" si="1"/>
        <v>13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9</v>
      </c>
      <c r="D14" s="154">
        <v>4</v>
      </c>
      <c r="E14" s="184">
        <f t="shared" si="1"/>
        <v>13</v>
      </c>
    </row>
    <row r="15" spans="1:11" x14ac:dyDescent="0.2">
      <c r="A15">
        <f>A14+1</f>
        <v>9</v>
      </c>
      <c r="B15" s="183" t="str">
        <f>'SC Computation'!B22</f>
        <v>Ruel Hayagan</v>
      </c>
      <c r="C15" s="153">
        <v>8</v>
      </c>
      <c r="D15" s="154">
        <v>3</v>
      </c>
      <c r="E15" s="184">
        <f t="shared" si="1"/>
        <v>11</v>
      </c>
      <c r="F15" s="200"/>
    </row>
    <row r="16" spans="1:11" x14ac:dyDescent="0.2">
      <c r="A16">
        <f t="shared" si="0"/>
        <v>10</v>
      </c>
      <c r="B16" s="185" t="s">
        <v>150</v>
      </c>
      <c r="C16" s="153">
        <v>5</v>
      </c>
      <c r="D16" s="154">
        <v>4</v>
      </c>
      <c r="E16" s="184">
        <f t="shared" si="1"/>
        <v>9</v>
      </c>
      <c r="G16" s="152"/>
    </row>
    <row r="41" spans="3:5" x14ac:dyDescent="0.2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2"/>
  <sheetViews>
    <sheetView workbookViewId="0">
      <selection sqref="A1:O112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1" t="str">
        <f>'[3]SC Computation'!$A$1</f>
        <v>THE OLD SPAGHETTI HOUSE -VALERO</v>
      </c>
      <c r="D3" s="302"/>
      <c r="E3" s="302"/>
      <c r="F3" s="302"/>
      <c r="G3" s="303"/>
      <c r="I3" s="160"/>
      <c r="J3" s="301" t="s">
        <v>138</v>
      </c>
      <c r="K3" s="302"/>
      <c r="L3" s="302"/>
      <c r="M3" s="302"/>
      <c r="N3" s="303"/>
    </row>
    <row r="4" spans="2:17" x14ac:dyDescent="0.2">
      <c r="B4" s="160"/>
      <c r="C4" s="301" t="s">
        <v>131</v>
      </c>
      <c r="D4" s="302"/>
      <c r="E4" s="302"/>
      <c r="F4" s="302"/>
      <c r="G4" s="303"/>
      <c r="I4" s="160"/>
      <c r="J4" s="301" t="s">
        <v>131</v>
      </c>
      <c r="K4" s="302"/>
      <c r="L4" s="302"/>
      <c r="M4" s="302"/>
      <c r="N4" s="303"/>
    </row>
    <row r="5" spans="2:17" x14ac:dyDescent="0.2">
      <c r="B5" s="160"/>
      <c r="C5" s="301" t="str">
        <f>'Number of Days'!A3</f>
        <v>July 1-15,2019</v>
      </c>
      <c r="D5" s="302"/>
      <c r="E5" s="302"/>
      <c r="F5" s="302"/>
      <c r="G5" s="303"/>
      <c r="I5" s="160"/>
      <c r="J5" s="301" t="str">
        <f>'Number of Days'!A3</f>
        <v>July 1-15,2019</v>
      </c>
      <c r="K5" s="302"/>
      <c r="L5" s="302"/>
      <c r="M5" s="302"/>
      <c r="N5" s="303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6" t="str">
        <f>'SC Computation'!B13</f>
        <v>Joyce Dino</v>
      </c>
      <c r="F7" s="306"/>
      <c r="G7" s="307"/>
      <c r="I7" s="160"/>
      <c r="J7" s="160" t="s">
        <v>0</v>
      </c>
      <c r="K7" s="156"/>
      <c r="L7" s="306" t="str">
        <f>'SC Computation'!B14</f>
        <v>Ronald Glenn Biarcal</v>
      </c>
      <c r="M7" s="306"/>
      <c r="N7" s="307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163.09974769230769</v>
      </c>
      <c r="I9" s="160"/>
      <c r="J9" s="162" t="s">
        <v>7</v>
      </c>
      <c r="K9" s="163"/>
      <c r="L9" s="156"/>
      <c r="M9" s="156"/>
      <c r="N9" s="164">
        <f>'SC Computation'!I14</f>
        <v>163.09974769230769</v>
      </c>
    </row>
    <row r="10" spans="2:17" x14ac:dyDescent="0.2">
      <c r="B10" s="160"/>
      <c r="C10" s="304" t="s">
        <v>132</v>
      </c>
      <c r="D10" s="305"/>
      <c r="E10" s="156"/>
      <c r="F10" s="156"/>
      <c r="G10" s="165">
        <f>'SC Computation'!E13</f>
        <v>13</v>
      </c>
      <c r="I10" s="160"/>
      <c r="J10" s="304" t="s">
        <v>132</v>
      </c>
      <c r="K10" s="305"/>
      <c r="L10" s="156"/>
      <c r="M10" s="156"/>
      <c r="N10" s="165">
        <f>'SC Computation'!E14</f>
        <v>12.5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2120.2967199999998</v>
      </c>
      <c r="I11" s="160"/>
      <c r="J11" s="162" t="s">
        <v>22</v>
      </c>
      <c r="K11" s="163"/>
      <c r="L11" s="156"/>
      <c r="M11" s="156"/>
      <c r="N11" s="164">
        <f>N9*N10</f>
        <v>2038.746846153846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174.74972967033005</v>
      </c>
      <c r="I12" s="160"/>
      <c r="J12" s="162" t="s">
        <v>23</v>
      </c>
      <c r="K12" s="163"/>
      <c r="L12" s="156"/>
      <c r="M12" s="156"/>
      <c r="N12" s="164">
        <f>'SC Computation'!L14</f>
        <v>168.02858622147122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3180.4450799999995</v>
      </c>
      <c r="I13" s="160"/>
      <c r="J13" s="162" t="s">
        <v>133</v>
      </c>
      <c r="K13" s="163"/>
      <c r="L13" s="156"/>
      <c r="M13" s="156"/>
      <c r="N13" s="164">
        <f>'SC Computation'!R14</f>
        <v>509.68671153846151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5475.4915296703293</v>
      </c>
      <c r="I14" s="160"/>
      <c r="J14" s="160" t="s">
        <v>34</v>
      </c>
      <c r="K14" s="156"/>
      <c r="L14" s="156"/>
      <c r="M14" s="156"/>
      <c r="N14" s="166">
        <f>SUM(N11:N13)</f>
        <v>2716.4621439137791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5475.4915296703293</v>
      </c>
      <c r="I16" s="160"/>
      <c r="J16" s="167" t="s">
        <v>29</v>
      </c>
      <c r="K16" s="156"/>
      <c r="L16" s="156"/>
      <c r="M16" s="156"/>
      <c r="N16" s="170">
        <f>N14-N15</f>
        <v>2716.4621439137791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1" t="s">
        <v>138</v>
      </c>
      <c r="D25" s="302"/>
      <c r="E25" s="302"/>
      <c r="F25" s="302"/>
      <c r="G25" s="303"/>
      <c r="I25" s="160"/>
      <c r="J25" s="301" t="s">
        <v>138</v>
      </c>
      <c r="K25" s="302"/>
      <c r="L25" s="302"/>
      <c r="M25" s="302"/>
      <c r="N25" s="303"/>
    </row>
    <row r="26" spans="2:14" x14ac:dyDescent="0.2">
      <c r="B26" s="160"/>
      <c r="C26" s="301" t="s">
        <v>131</v>
      </c>
      <c r="D26" s="302"/>
      <c r="E26" s="302"/>
      <c r="F26" s="302"/>
      <c r="G26" s="303"/>
      <c r="I26" s="160"/>
      <c r="J26" s="302" t="s">
        <v>131</v>
      </c>
      <c r="K26" s="302"/>
      <c r="L26" s="302"/>
      <c r="M26" s="302"/>
      <c r="N26" s="303"/>
    </row>
    <row r="27" spans="2:14" x14ac:dyDescent="0.2">
      <c r="B27" s="160"/>
      <c r="C27" s="301" t="str">
        <f>'Number of Days'!A3</f>
        <v>July 1-15,2019</v>
      </c>
      <c r="D27" s="302"/>
      <c r="E27" s="302"/>
      <c r="F27" s="302"/>
      <c r="G27" s="303"/>
      <c r="I27" s="160"/>
      <c r="J27" s="302" t="str">
        <f>'Number of Days'!A3</f>
        <v>July 1-15,2019</v>
      </c>
      <c r="K27" s="302"/>
      <c r="L27" s="302"/>
      <c r="M27" s="302"/>
      <c r="N27" s="303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6" t="str">
        <f>'SC Computation'!B15</f>
        <v>Anna Marie Sosa</v>
      </c>
      <c r="F29" s="306"/>
      <c r="G29" s="307"/>
      <c r="I29" s="160"/>
      <c r="J29" s="156" t="s">
        <v>0</v>
      </c>
      <c r="K29" s="156"/>
      <c r="L29" s="306" t="str">
        <f>'SC Computation'!B16</f>
        <v>Angelo Sanchez</v>
      </c>
      <c r="M29" s="306"/>
      <c r="N29" s="307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163.09974769230769</v>
      </c>
      <c r="I31" s="160"/>
      <c r="J31" s="163" t="s">
        <v>7</v>
      </c>
      <c r="K31" s="163"/>
      <c r="L31" s="156"/>
      <c r="M31" s="156"/>
      <c r="N31" s="164">
        <f>'SC Computation'!I16</f>
        <v>163.09974769230769</v>
      </c>
    </row>
    <row r="32" spans="2:14" x14ac:dyDescent="0.2">
      <c r="B32" s="160"/>
      <c r="C32" s="304" t="s">
        <v>132</v>
      </c>
      <c r="D32" s="305"/>
      <c r="E32" s="156"/>
      <c r="F32" s="156"/>
      <c r="G32" s="165">
        <f>'SC Computation'!E15</f>
        <v>13</v>
      </c>
      <c r="I32" s="160"/>
      <c r="J32" s="305" t="s">
        <v>132</v>
      </c>
      <c r="K32" s="305"/>
      <c r="L32" s="156"/>
      <c r="M32" s="156"/>
      <c r="N32" s="165">
        <f>'SC Computation'!E16</f>
        <v>13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2120.2967199999998</v>
      </c>
      <c r="I33" s="160"/>
      <c r="J33" s="163" t="s">
        <v>22</v>
      </c>
      <c r="K33" s="163"/>
      <c r="L33" s="156"/>
      <c r="M33" s="156"/>
      <c r="N33" s="164">
        <f>N31*N32</f>
        <v>2120.2967199999998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174.74972967033005</v>
      </c>
      <c r="I34" s="160"/>
      <c r="J34" s="163" t="s">
        <v>23</v>
      </c>
      <c r="K34" s="163"/>
      <c r="L34" s="156"/>
      <c r="M34" s="156"/>
      <c r="N34" s="164">
        <f>'SC Computation'!L16</f>
        <v>174.74972967033005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530.07417999999996</v>
      </c>
      <c r="I35" s="160"/>
      <c r="J35" s="163" t="s">
        <v>133</v>
      </c>
      <c r="K35" s="163"/>
      <c r="L35" s="156"/>
      <c r="M35" s="156"/>
      <c r="N35" s="164">
        <f>'SC Computation'!R16</f>
        <v>530.07417999999996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2825.1206296703299</v>
      </c>
      <c r="I36" s="160"/>
      <c r="J36" s="156" t="s">
        <v>34</v>
      </c>
      <c r="K36" s="156"/>
      <c r="L36" s="156"/>
      <c r="M36" s="156"/>
      <c r="N36" s="166">
        <f>SUM(N33:N35)</f>
        <v>2825.1206296703299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2825.1206296703299</v>
      </c>
      <c r="I38" s="160"/>
      <c r="J38" s="169" t="s">
        <v>29</v>
      </c>
      <c r="K38" s="156"/>
      <c r="L38" s="156"/>
      <c r="M38" s="156"/>
      <c r="N38" s="170">
        <f>N36-N37</f>
        <v>2825.1206296703299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1" t="str">
        <f>'[3]SC Computation'!$A$1</f>
        <v>THE OLD SPAGHETTI HOUSE -VALERO</v>
      </c>
      <c r="D47" s="302"/>
      <c r="E47" s="302"/>
      <c r="F47" s="302"/>
      <c r="G47" s="303"/>
      <c r="I47" s="160"/>
      <c r="J47" s="302" t="s">
        <v>130</v>
      </c>
      <c r="K47" s="302"/>
      <c r="L47" s="302"/>
      <c r="M47" s="302"/>
      <c r="N47" s="303"/>
    </row>
    <row r="48" spans="2:17" x14ac:dyDescent="0.2">
      <c r="B48" s="160"/>
      <c r="C48" s="301" t="s">
        <v>131</v>
      </c>
      <c r="D48" s="302"/>
      <c r="E48" s="302"/>
      <c r="F48" s="302"/>
      <c r="G48" s="303"/>
      <c r="I48" s="160"/>
      <c r="J48" s="302" t="s">
        <v>131</v>
      </c>
      <c r="K48" s="302"/>
      <c r="L48" s="302"/>
      <c r="M48" s="302"/>
      <c r="N48" s="303"/>
    </row>
    <row r="49" spans="2:17" x14ac:dyDescent="0.2">
      <c r="B49" s="160"/>
      <c r="C49" s="301" t="str">
        <f>'Number of Days'!A3</f>
        <v>July 1-15,2019</v>
      </c>
      <c r="D49" s="302"/>
      <c r="E49" s="302"/>
      <c r="F49" s="302"/>
      <c r="G49" s="303"/>
      <c r="I49" s="160"/>
      <c r="J49" s="302" t="str">
        <f>'Number of Days'!A3</f>
        <v>July 1-15,2019</v>
      </c>
      <c r="K49" s="302"/>
      <c r="L49" s="302"/>
      <c r="M49" s="302"/>
      <c r="N49" s="303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6" t="str">
        <f>'SC Computation'!B17</f>
        <v>Benzen Cahilig</v>
      </c>
      <c r="F51" s="306"/>
      <c r="G51" s="307"/>
      <c r="I51" s="160"/>
      <c r="J51" s="156" t="s">
        <v>0</v>
      </c>
      <c r="K51" s="156"/>
      <c r="L51" s="306" t="str">
        <f>'SC Computation'!B18</f>
        <v>Nancy Pantoja</v>
      </c>
      <c r="M51" s="306"/>
      <c r="N51" s="307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163.09974769230769</v>
      </c>
      <c r="I53" s="160"/>
      <c r="J53" s="163" t="s">
        <v>7</v>
      </c>
      <c r="K53" s="163"/>
      <c r="L53" s="156"/>
      <c r="M53" s="156"/>
      <c r="N53" s="164">
        <f>'SC Computation'!I18</f>
        <v>163.09974769230769</v>
      </c>
    </row>
    <row r="54" spans="2:17" x14ac:dyDescent="0.2">
      <c r="B54" s="160"/>
      <c r="C54" s="304" t="s">
        <v>132</v>
      </c>
      <c r="D54" s="305"/>
      <c r="E54" s="156"/>
      <c r="F54" s="156"/>
      <c r="G54" s="165">
        <f>'SC Computation'!E17</f>
        <v>13</v>
      </c>
      <c r="I54" s="160"/>
      <c r="J54" s="305" t="s">
        <v>132</v>
      </c>
      <c r="K54" s="305"/>
      <c r="L54" s="156"/>
      <c r="M54" s="156"/>
      <c r="N54" s="165">
        <f>'SC Computation'!E18</f>
        <v>12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2120.2967199999998</v>
      </c>
      <c r="I55" s="160"/>
      <c r="J55" s="163" t="s">
        <v>22</v>
      </c>
      <c r="K55" s="163"/>
      <c r="L55" s="156"/>
      <c r="M55" s="156"/>
      <c r="N55" s="164">
        <f>N53*N54</f>
        <v>1957.1969723076922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174.74972967033005</v>
      </c>
      <c r="I56" s="160"/>
      <c r="J56" s="163" t="s">
        <v>23</v>
      </c>
      <c r="K56" s="163"/>
      <c r="L56" s="156"/>
      <c r="M56" s="156"/>
      <c r="N56" s="164">
        <f>'SC Computation'!K18</f>
        <v>174.74972967033005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2295.0464496703298</v>
      </c>
      <c r="I58" s="160"/>
      <c r="J58" s="156" t="s">
        <v>34</v>
      </c>
      <c r="K58" s="156"/>
      <c r="L58" s="156"/>
      <c r="M58" s="156"/>
      <c r="N58" s="166">
        <f>SUM(N55:N57)</f>
        <v>2131.9467019780222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2295.0464496703298</v>
      </c>
      <c r="I60" s="160"/>
      <c r="J60" s="169" t="s">
        <v>29</v>
      </c>
      <c r="K60" s="156"/>
      <c r="L60" s="156"/>
      <c r="M60" s="156"/>
      <c r="N60" s="170">
        <f>N58-N59</f>
        <v>2131.9467019780222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1" t="s">
        <v>130</v>
      </c>
      <c r="D69" s="302"/>
      <c r="E69" s="302"/>
      <c r="F69" s="302"/>
      <c r="G69" s="303"/>
      <c r="I69" s="160"/>
      <c r="J69" s="302" t="s">
        <v>130</v>
      </c>
      <c r="K69" s="302"/>
      <c r="L69" s="302"/>
      <c r="M69" s="302"/>
      <c r="N69" s="303"/>
    </row>
    <row r="70" spans="2:14" x14ac:dyDescent="0.2">
      <c r="B70" s="160"/>
      <c r="C70" s="301" t="s">
        <v>131</v>
      </c>
      <c r="D70" s="302"/>
      <c r="E70" s="302"/>
      <c r="F70" s="302"/>
      <c r="G70" s="303"/>
      <c r="I70" s="160"/>
      <c r="J70" s="302" t="s">
        <v>131</v>
      </c>
      <c r="K70" s="302"/>
      <c r="L70" s="302"/>
      <c r="M70" s="302"/>
      <c r="N70" s="303"/>
    </row>
    <row r="71" spans="2:14" x14ac:dyDescent="0.2">
      <c r="B71" s="160"/>
      <c r="C71" s="301" t="str">
        <f>'Number of Days'!A3</f>
        <v>July 1-15,2019</v>
      </c>
      <c r="D71" s="302"/>
      <c r="E71" s="302"/>
      <c r="F71" s="302"/>
      <c r="G71" s="303"/>
      <c r="I71" s="160"/>
      <c r="J71" s="302" t="str">
        <f>'Number of Days'!A3</f>
        <v>July 1-15,2019</v>
      </c>
      <c r="K71" s="302"/>
      <c r="L71" s="302"/>
      <c r="M71" s="302"/>
      <c r="N71" s="303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6" t="str">
        <f>'SC Computation'!B19</f>
        <v>Christian Briones</v>
      </c>
      <c r="F73" s="306"/>
      <c r="G73" s="307"/>
      <c r="I73" s="160"/>
      <c r="J73" s="156" t="s">
        <v>0</v>
      </c>
      <c r="K73" s="156"/>
      <c r="L73" s="306" t="str">
        <f>'SC Computation'!B20</f>
        <v>Management</v>
      </c>
      <c r="M73" s="306"/>
      <c r="N73" s="307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163.09974769230769</v>
      </c>
      <c r="I75" s="160"/>
      <c r="J75" s="163" t="s">
        <v>7</v>
      </c>
      <c r="K75" s="163"/>
      <c r="L75" s="156"/>
      <c r="M75" s="156"/>
      <c r="N75" s="164">
        <f>'SC Computation'!I20</f>
        <v>163.09974769230769</v>
      </c>
    </row>
    <row r="76" spans="2:14" x14ac:dyDescent="0.2">
      <c r="B76" s="160"/>
      <c r="C76" s="304" t="s">
        <v>132</v>
      </c>
      <c r="D76" s="305"/>
      <c r="E76" s="156"/>
      <c r="F76" s="156"/>
      <c r="G76" s="165">
        <f>'SC Computation'!E19</f>
        <v>13</v>
      </c>
      <c r="I76" s="160"/>
      <c r="J76" s="305" t="s">
        <v>132</v>
      </c>
      <c r="K76" s="305"/>
      <c r="L76" s="156"/>
      <c r="M76" s="156"/>
      <c r="N76" s="165">
        <f>'SC Computation'!E20</f>
        <v>13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2120.2967199999998</v>
      </c>
      <c r="I77" s="160"/>
      <c r="J77" s="163" t="s">
        <v>22</v>
      </c>
      <c r="K77" s="163"/>
      <c r="L77" s="156"/>
      <c r="M77" s="156"/>
      <c r="N77" s="164">
        <f>N75*N76</f>
        <v>2120.2967199999998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174.74972967033005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2295.0464496703298</v>
      </c>
      <c r="I80" s="160"/>
      <c r="J80" s="156" t="s">
        <v>34</v>
      </c>
      <c r="K80" s="156"/>
      <c r="L80" s="156"/>
      <c r="M80" s="156"/>
      <c r="N80" s="166">
        <f>SUM(N77:N79)</f>
        <v>2470.2967199999998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2295.0464496703298</v>
      </c>
      <c r="I82" s="160"/>
      <c r="J82" s="169" t="s">
        <v>29</v>
      </c>
      <c r="K82" s="156"/>
      <c r="L82" s="156"/>
      <c r="M82" s="156"/>
      <c r="N82" s="170">
        <f>N80-N81</f>
        <v>2470.2967199999998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1" t="s">
        <v>130</v>
      </c>
      <c r="D92" s="302"/>
      <c r="E92" s="302"/>
      <c r="F92" s="302"/>
      <c r="G92" s="303"/>
      <c r="I92" s="160"/>
      <c r="J92" s="302" t="str">
        <f>'[3]SC Computation'!$A$1</f>
        <v>THE OLD SPAGHETTI HOUSE -VALERO</v>
      </c>
      <c r="K92" s="302"/>
      <c r="L92" s="302"/>
      <c r="M92" s="302"/>
      <c r="N92" s="303"/>
    </row>
    <row r="93" spans="2:17" x14ac:dyDescent="0.2">
      <c r="B93" s="160"/>
      <c r="C93" s="301" t="s">
        <v>131</v>
      </c>
      <c r="D93" s="302"/>
      <c r="E93" s="302"/>
      <c r="F93" s="302"/>
      <c r="G93" s="303"/>
      <c r="I93" s="160"/>
      <c r="J93" s="302" t="s">
        <v>131</v>
      </c>
      <c r="K93" s="302"/>
      <c r="L93" s="302"/>
      <c r="M93" s="302"/>
      <c r="N93" s="303"/>
    </row>
    <row r="94" spans="2:17" x14ac:dyDescent="0.2">
      <c r="B94" s="160"/>
      <c r="C94" s="301" t="str">
        <f>'Number of Days'!A3</f>
        <v>July 1-15,2019</v>
      </c>
      <c r="D94" s="302"/>
      <c r="E94" s="302"/>
      <c r="F94" s="302"/>
      <c r="G94" s="303"/>
      <c r="I94" s="160"/>
      <c r="J94" s="302" t="str">
        <f>'Number of Days'!A3</f>
        <v>July 1-15,2019</v>
      </c>
      <c r="K94" s="302"/>
      <c r="L94" s="302"/>
      <c r="M94" s="302"/>
      <c r="N94" s="303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6" t="str">
        <f>'SC Computation'!B22</f>
        <v>Ruel Hayagan</v>
      </c>
      <c r="F96" s="306"/>
      <c r="G96" s="307"/>
      <c r="I96" s="160"/>
      <c r="J96" s="156" t="s">
        <v>0</v>
      </c>
      <c r="K96" s="156"/>
      <c r="L96" s="306" t="str">
        <f>'SC Computation'!B23</f>
        <v>Mark Joseph Atienza</v>
      </c>
      <c r="M96" s="306"/>
      <c r="N96" s="307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163.09974769230769</v>
      </c>
      <c r="I98" s="160"/>
      <c r="J98" s="163" t="s">
        <v>7</v>
      </c>
      <c r="K98" s="163"/>
      <c r="L98" s="156"/>
      <c r="M98" s="156"/>
      <c r="N98" s="164">
        <f>'SC Computation'!I23</f>
        <v>163.09974769230769</v>
      </c>
    </row>
    <row r="99" spans="2:17" x14ac:dyDescent="0.2">
      <c r="B99" s="160"/>
      <c r="C99" s="304" t="s">
        <v>132</v>
      </c>
      <c r="D99" s="305"/>
      <c r="E99" s="156"/>
      <c r="F99" s="156"/>
      <c r="G99" s="165">
        <f>'SC Computation'!E22</f>
        <v>11</v>
      </c>
      <c r="I99" s="160"/>
      <c r="J99" s="305" t="s">
        <v>132</v>
      </c>
      <c r="K99" s="305"/>
      <c r="L99" s="156"/>
      <c r="M99" s="156"/>
      <c r="N99" s="165">
        <f>'SC Computation'!E23</f>
        <v>9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1794.0972246153847</v>
      </c>
      <c r="I100" s="160"/>
      <c r="J100" s="163" t="s">
        <v>22</v>
      </c>
      <c r="K100" s="163"/>
      <c r="L100" s="156"/>
      <c r="M100" s="156"/>
      <c r="N100" s="164">
        <f>N98*N99</f>
        <v>1467.8977292307691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11.089886690617163</v>
      </c>
      <c r="I102" s="160"/>
      <c r="J102" s="163" t="s">
        <v>24</v>
      </c>
      <c r="K102" s="163"/>
      <c r="L102" s="156"/>
      <c r="M102" s="156"/>
      <c r="N102" s="164">
        <f>'SC Computation'!M23</f>
        <v>9.0735436559594973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1805.187111306002</v>
      </c>
      <c r="I103" s="160"/>
      <c r="J103" s="156" t="s">
        <v>34</v>
      </c>
      <c r="K103" s="156"/>
      <c r="L103" s="156"/>
      <c r="M103" s="156"/>
      <c r="N103" s="166">
        <f>SUM(N100:N102)</f>
        <v>1476.9712728867285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1805.187111306002</v>
      </c>
      <c r="I105" s="160"/>
      <c r="J105" s="169" t="s">
        <v>29</v>
      </c>
      <c r="K105" s="156"/>
      <c r="L105" s="156"/>
      <c r="M105" s="156"/>
      <c r="N105" s="170">
        <f>N103-N104</f>
        <v>1476.9712728867285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1" t="str">
        <f>'[3]SC Computation'!$A$1</f>
        <v>THE OLD SPAGHETTI HOUSE -VALERO</v>
      </c>
      <c r="D114" s="302"/>
      <c r="E114" s="302"/>
      <c r="F114" s="302"/>
      <c r="G114" s="303"/>
      <c r="I114" s="160"/>
      <c r="J114" s="302" t="str">
        <f>'[3]SC Computation'!$A$1</f>
        <v>THE OLD SPAGHETTI HOUSE -VALERO</v>
      </c>
      <c r="K114" s="302"/>
      <c r="L114" s="302"/>
      <c r="M114" s="302"/>
      <c r="N114" s="303"/>
    </row>
    <row r="115" spans="2:17" x14ac:dyDescent="0.2">
      <c r="B115" s="160"/>
      <c r="C115" s="301" t="s">
        <v>131</v>
      </c>
      <c r="D115" s="302"/>
      <c r="E115" s="302"/>
      <c r="F115" s="302"/>
      <c r="G115" s="303"/>
      <c r="I115" s="160"/>
      <c r="J115" s="302" t="s">
        <v>131</v>
      </c>
      <c r="K115" s="302"/>
      <c r="L115" s="302"/>
      <c r="M115" s="302"/>
      <c r="N115" s="303"/>
    </row>
    <row r="116" spans="2:17" x14ac:dyDescent="0.2">
      <c r="B116" s="160"/>
      <c r="C116" s="301" t="str">
        <f>'Number of Days'!A3</f>
        <v>July 1-15,2019</v>
      </c>
      <c r="D116" s="302"/>
      <c r="E116" s="302"/>
      <c r="F116" s="302"/>
      <c r="G116" s="303"/>
      <c r="I116" s="160"/>
      <c r="J116" s="302" t="str">
        <f>'Number of Days'!A3</f>
        <v>July 1-15,2019</v>
      </c>
      <c r="K116" s="302"/>
      <c r="L116" s="302"/>
      <c r="M116" s="302"/>
      <c r="N116" s="303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6" t="e">
        <f>#REF!</f>
        <v>#REF!</v>
      </c>
      <c r="F118" s="306"/>
      <c r="G118" s="307"/>
      <c r="I118" s="160"/>
      <c r="J118" s="156" t="s">
        <v>0</v>
      </c>
      <c r="K118" s="156"/>
      <c r="L118" s="306" t="e">
        <f>#REF!</f>
        <v>#REF!</v>
      </c>
      <c r="M118" s="306"/>
      <c r="N118" s="307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4" t="s">
        <v>132</v>
      </c>
      <c r="D121" s="305"/>
      <c r="E121" s="156"/>
      <c r="F121" s="156"/>
      <c r="G121" s="165" t="e">
        <f>#REF!</f>
        <v>#REF!</v>
      </c>
      <c r="I121" s="160"/>
      <c r="J121" s="305" t="s">
        <v>132</v>
      </c>
      <c r="K121" s="305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1" t="str">
        <f>'[3]SC Computation'!$A$1</f>
        <v>THE OLD SPAGHETTI HOUSE -VALERO</v>
      </c>
      <c r="D137" s="302"/>
      <c r="E137" s="302"/>
      <c r="F137" s="302"/>
      <c r="G137" s="303"/>
      <c r="I137" s="160"/>
      <c r="J137" s="302" t="str">
        <f>'[3]SC Computation'!$A$1</f>
        <v>THE OLD SPAGHETTI HOUSE -VALERO</v>
      </c>
      <c r="K137" s="302"/>
      <c r="L137" s="302"/>
      <c r="M137" s="302"/>
      <c r="N137" s="303"/>
    </row>
    <row r="138" spans="1:15" x14ac:dyDescent="0.2">
      <c r="B138" s="160"/>
      <c r="C138" s="301" t="s">
        <v>131</v>
      </c>
      <c r="D138" s="302"/>
      <c r="E138" s="302"/>
      <c r="F138" s="302"/>
      <c r="G138" s="303"/>
      <c r="I138" s="160"/>
      <c r="J138" s="302" t="s">
        <v>131</v>
      </c>
      <c r="K138" s="302"/>
      <c r="L138" s="302"/>
      <c r="M138" s="302"/>
      <c r="N138" s="303"/>
    </row>
    <row r="139" spans="1:15" x14ac:dyDescent="0.2">
      <c r="B139" s="160"/>
      <c r="C139" s="301" t="str">
        <f>'[3]SC Computation'!$A$3</f>
        <v>March 1-15, 2014</v>
      </c>
      <c r="D139" s="302"/>
      <c r="E139" s="302"/>
      <c r="F139" s="302"/>
      <c r="G139" s="303"/>
      <c r="I139" s="160"/>
      <c r="J139" s="302" t="str">
        <f>'[3]SC Computation'!$A$3</f>
        <v>March 1-15, 2014</v>
      </c>
      <c r="K139" s="302"/>
      <c r="L139" s="302"/>
      <c r="M139" s="302"/>
      <c r="N139" s="303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6"/>
      <c r="F141" s="306"/>
      <c r="G141" s="307"/>
      <c r="I141" s="160"/>
      <c r="J141" s="156" t="s">
        <v>0</v>
      </c>
      <c r="K141" s="156"/>
      <c r="L141" s="306"/>
      <c r="M141" s="306"/>
      <c r="N141" s="307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4" t="s">
        <v>132</v>
      </c>
      <c r="D144" s="305"/>
      <c r="E144" s="156"/>
      <c r="F144" s="156"/>
      <c r="G144" s="165">
        <f>'[3]SC Computation'!E25</f>
        <v>11</v>
      </c>
      <c r="I144" s="160"/>
      <c r="J144" s="305" t="s">
        <v>132</v>
      </c>
      <c r="K144" s="305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1" t="s">
        <v>130</v>
      </c>
      <c r="D159" s="302"/>
      <c r="E159" s="302"/>
      <c r="F159" s="302"/>
      <c r="G159" s="303"/>
      <c r="I159" s="160"/>
      <c r="J159" s="301" t="s">
        <v>130</v>
      </c>
      <c r="K159" s="302"/>
      <c r="L159" s="302"/>
      <c r="M159" s="302"/>
      <c r="N159" s="303"/>
    </row>
    <row r="160" spans="2:17" x14ac:dyDescent="0.2">
      <c r="B160" s="160"/>
      <c r="C160" s="301" t="s">
        <v>131</v>
      </c>
      <c r="D160" s="302"/>
      <c r="E160" s="302"/>
      <c r="F160" s="302"/>
      <c r="G160" s="303"/>
      <c r="I160" s="160"/>
      <c r="J160" s="301" t="s">
        <v>131</v>
      </c>
      <c r="K160" s="302"/>
      <c r="L160" s="302"/>
      <c r="M160" s="302"/>
      <c r="N160" s="303"/>
    </row>
    <row r="161" spans="2:17" x14ac:dyDescent="0.2">
      <c r="B161" s="160"/>
      <c r="C161" s="301" t="str">
        <f>'[3]SC Computation'!$A$3</f>
        <v>March 1-15, 2014</v>
      </c>
      <c r="D161" s="302"/>
      <c r="E161" s="302"/>
      <c r="F161" s="302"/>
      <c r="G161" s="303"/>
      <c r="I161" s="160"/>
      <c r="J161" s="301" t="str">
        <f>'[3]SC Computation'!$A$3</f>
        <v>March 1-15, 2014</v>
      </c>
      <c r="K161" s="302"/>
      <c r="L161" s="302"/>
      <c r="M161" s="302"/>
      <c r="N161" s="303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6" t="str">
        <f>'[3]SC Computation'!B21</f>
        <v>MANAGEMENT</v>
      </c>
      <c r="F163" s="306"/>
      <c r="G163" s="307"/>
      <c r="I163" s="160"/>
      <c r="J163" s="160" t="s">
        <v>0</v>
      </c>
      <c r="K163" s="156"/>
      <c r="L163" s="306">
        <v>0</v>
      </c>
      <c r="M163" s="306"/>
      <c r="N163" s="307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4" t="s">
        <v>132</v>
      </c>
      <c r="D166" s="305"/>
      <c r="E166" s="156"/>
      <c r="F166" s="156"/>
      <c r="G166" s="165">
        <f>'[3]SC Computation'!E21</f>
        <v>12</v>
      </c>
      <c r="I166" s="160"/>
      <c r="J166" s="304" t="s">
        <v>132</v>
      </c>
      <c r="K166" s="305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2" t="str">
        <f>'[3]SC Computation'!$A$1</f>
        <v>THE OLD SPAGHETTI HOUSE -VALERO</v>
      </c>
      <c r="D181" s="302"/>
      <c r="E181" s="302"/>
      <c r="F181" s="302"/>
      <c r="G181" s="302"/>
      <c r="I181" s="160"/>
      <c r="J181" s="302" t="s">
        <v>130</v>
      </c>
      <c r="K181" s="302"/>
      <c r="L181" s="302"/>
      <c r="M181" s="302"/>
      <c r="N181" s="302"/>
    </row>
    <row r="182" spans="2:14" x14ac:dyDescent="0.2">
      <c r="B182" s="160"/>
      <c r="C182" s="302" t="s">
        <v>131</v>
      </c>
      <c r="D182" s="302"/>
      <c r="E182" s="302"/>
      <c r="F182" s="302"/>
      <c r="G182" s="302"/>
      <c r="I182" s="160"/>
      <c r="J182" s="302" t="s">
        <v>131</v>
      </c>
      <c r="K182" s="302"/>
      <c r="L182" s="302"/>
      <c r="M182" s="302"/>
      <c r="N182" s="302"/>
    </row>
    <row r="183" spans="2:14" x14ac:dyDescent="0.2">
      <c r="B183" s="160"/>
      <c r="C183" s="302" t="str">
        <f>'[3]SC Computation'!$A$3</f>
        <v>March 1-15, 2014</v>
      </c>
      <c r="D183" s="302"/>
      <c r="E183" s="302"/>
      <c r="F183" s="302"/>
      <c r="G183" s="302"/>
      <c r="I183" s="160"/>
      <c r="J183" s="302" t="str">
        <f>'[3]SC Computation'!$A$3</f>
        <v>March 1-15, 2014</v>
      </c>
      <c r="K183" s="302"/>
      <c r="L183" s="302"/>
      <c r="M183" s="302"/>
      <c r="N183" s="302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6" t="e">
        <f>'[3]SC Computation'!#REF!</f>
        <v>#REF!</v>
      </c>
      <c r="F185" s="306"/>
      <c r="G185" s="306"/>
      <c r="I185" s="160"/>
      <c r="J185" s="156" t="s">
        <v>0</v>
      </c>
      <c r="K185" s="156"/>
      <c r="L185" s="306" t="e">
        <f>'[3]SC Computation'!#REF!</f>
        <v>#REF!</v>
      </c>
      <c r="M185" s="306"/>
      <c r="N185" s="306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05" t="s">
        <v>132</v>
      </c>
      <c r="D188" s="305"/>
      <c r="E188" s="156"/>
      <c r="F188" s="156"/>
      <c r="G188" s="179" t="e">
        <f>'[3]SC Computation'!#REF!</f>
        <v>#REF!</v>
      </c>
      <c r="I188" s="160"/>
      <c r="J188" s="305" t="s">
        <v>132</v>
      </c>
      <c r="K188" s="305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2" t="s">
        <v>130</v>
      </c>
      <c r="D208" s="302"/>
      <c r="E208" s="302"/>
      <c r="F208" s="302"/>
      <c r="G208" s="302"/>
      <c r="I208" s="160"/>
      <c r="J208" s="302" t="s">
        <v>130</v>
      </c>
      <c r="K208" s="302"/>
      <c r="L208" s="302"/>
      <c r="M208" s="302"/>
      <c r="N208" s="302"/>
    </row>
    <row r="209" spans="2:17" x14ac:dyDescent="0.2">
      <c r="B209" s="160"/>
      <c r="C209" s="302" t="s">
        <v>131</v>
      </c>
      <c r="D209" s="302"/>
      <c r="E209" s="302"/>
      <c r="F209" s="302"/>
      <c r="G209" s="302"/>
      <c r="I209" s="160"/>
      <c r="J209" s="302" t="s">
        <v>131</v>
      </c>
      <c r="K209" s="302"/>
      <c r="L209" s="302"/>
      <c r="M209" s="302"/>
      <c r="N209" s="302"/>
    </row>
    <row r="210" spans="2:17" x14ac:dyDescent="0.2">
      <c r="B210" s="160"/>
      <c r="C210" s="302" t="str">
        <f>'[3]SC Computation'!$A$3</f>
        <v>March 1-15, 2014</v>
      </c>
      <c r="D210" s="302"/>
      <c r="E210" s="302"/>
      <c r="F210" s="302"/>
      <c r="G210" s="302"/>
      <c r="I210" s="160"/>
      <c r="J210" s="302" t="str">
        <f>'[3]SC Computation'!$A$3</f>
        <v>March 1-15, 2014</v>
      </c>
      <c r="K210" s="302"/>
      <c r="L210" s="302"/>
      <c r="M210" s="302"/>
      <c r="N210" s="302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6" t="e">
        <f>'[3]SC Computation'!#REF!</f>
        <v>#REF!</v>
      </c>
      <c r="F212" s="306"/>
      <c r="G212" s="306"/>
      <c r="I212" s="160"/>
      <c r="J212" s="156" t="s">
        <v>0</v>
      </c>
      <c r="K212" s="156"/>
      <c r="L212" s="306" t="e">
        <f>'[3]SC Computation'!#REF!</f>
        <v>#REF!</v>
      </c>
      <c r="M212" s="306"/>
      <c r="N212" s="306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05" t="s">
        <v>132</v>
      </c>
      <c r="D215" s="305"/>
      <c r="E215" s="156"/>
      <c r="F215" s="156"/>
      <c r="G215" s="179" t="e">
        <f>'[3]SC Computation'!#REF!</f>
        <v>#REF!</v>
      </c>
      <c r="I215" s="160"/>
      <c r="J215" s="305" t="s">
        <v>132</v>
      </c>
      <c r="K215" s="305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2" t="str">
        <f>'[3]SC Computation'!$A$1</f>
        <v>THE OLD SPAGHETTI HOUSE -VALERO</v>
      </c>
      <c r="D230" s="302"/>
      <c r="E230" s="302"/>
      <c r="F230" s="302"/>
      <c r="G230" s="302"/>
      <c r="I230" s="160"/>
      <c r="J230" s="302" t="str">
        <f>'[3]SC Computation'!$A$1</f>
        <v>THE OLD SPAGHETTI HOUSE -VALERO</v>
      </c>
      <c r="K230" s="302"/>
      <c r="L230" s="302"/>
      <c r="M230" s="302"/>
      <c r="N230" s="302"/>
    </row>
    <row r="231" spans="2:14" x14ac:dyDescent="0.2">
      <c r="B231" s="160"/>
      <c r="C231" s="302" t="s">
        <v>131</v>
      </c>
      <c r="D231" s="302"/>
      <c r="E231" s="302"/>
      <c r="F231" s="302"/>
      <c r="G231" s="302"/>
      <c r="I231" s="160"/>
      <c r="J231" s="302" t="s">
        <v>131</v>
      </c>
      <c r="K231" s="302"/>
      <c r="L231" s="302"/>
      <c r="M231" s="302"/>
      <c r="N231" s="302"/>
    </row>
    <row r="232" spans="2:14" x14ac:dyDescent="0.2">
      <c r="B232" s="160"/>
      <c r="C232" s="302" t="str">
        <f>'[3]SC Computation'!$A$3</f>
        <v>March 1-15, 2014</v>
      </c>
      <c r="D232" s="302"/>
      <c r="E232" s="302"/>
      <c r="F232" s="302"/>
      <c r="G232" s="302"/>
      <c r="I232" s="160"/>
      <c r="J232" s="302" t="str">
        <f>'[3]SC Computation'!$A$3</f>
        <v>March 1-15, 2014</v>
      </c>
      <c r="K232" s="302"/>
      <c r="L232" s="302"/>
      <c r="M232" s="302"/>
      <c r="N232" s="302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6" t="e">
        <f>'[3]SC Computation'!#REF!</f>
        <v>#REF!</v>
      </c>
      <c r="F234" s="306"/>
      <c r="G234" s="306"/>
      <c r="I234" s="160"/>
      <c r="J234" s="156" t="s">
        <v>0</v>
      </c>
      <c r="K234" s="156"/>
      <c r="L234" s="306" t="e">
        <f>'[3]SC Computation'!#REF!</f>
        <v>#REF!</v>
      </c>
      <c r="M234" s="306"/>
      <c r="N234" s="306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05" t="s">
        <v>132</v>
      </c>
      <c r="D237" s="305"/>
      <c r="E237" s="156"/>
      <c r="F237" s="156"/>
      <c r="G237" s="179" t="e">
        <f>'[3]SC Computation'!#REF!</f>
        <v>#REF!</v>
      </c>
      <c r="I237" s="160"/>
      <c r="J237" s="305" t="s">
        <v>132</v>
      </c>
      <c r="K237" s="305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2" t="str">
        <f>'[3]SC Computation'!$A$1</f>
        <v>THE OLD SPAGHETTI HOUSE -VALERO</v>
      </c>
      <c r="D252" s="302"/>
      <c r="E252" s="302"/>
      <c r="F252" s="302"/>
      <c r="G252" s="302"/>
      <c r="I252" s="160"/>
      <c r="J252" s="302" t="str">
        <f>'[3]SC Computation'!$A$1</f>
        <v>THE OLD SPAGHETTI HOUSE -VALERO</v>
      </c>
      <c r="K252" s="302"/>
      <c r="L252" s="302"/>
      <c r="M252" s="302"/>
      <c r="N252" s="302"/>
    </row>
    <row r="253" spans="2:17" x14ac:dyDescent="0.2">
      <c r="B253" s="160"/>
      <c r="C253" s="302" t="s">
        <v>131</v>
      </c>
      <c r="D253" s="302"/>
      <c r="E253" s="302"/>
      <c r="F253" s="302"/>
      <c r="G253" s="302"/>
      <c r="I253" s="160"/>
      <c r="J253" s="302" t="s">
        <v>131</v>
      </c>
      <c r="K253" s="302"/>
      <c r="L253" s="302"/>
      <c r="M253" s="302"/>
      <c r="N253" s="302"/>
    </row>
    <row r="254" spans="2:17" x14ac:dyDescent="0.2">
      <c r="B254" s="160"/>
      <c r="C254" s="302" t="str">
        <f>'[3]SC Computation'!$A$3</f>
        <v>March 1-15, 2014</v>
      </c>
      <c r="D254" s="302"/>
      <c r="E254" s="302"/>
      <c r="F254" s="302"/>
      <c r="G254" s="302"/>
      <c r="I254" s="160"/>
      <c r="J254" s="302" t="str">
        <f>'[3]SC Computation'!$A$3</f>
        <v>March 1-15, 2014</v>
      </c>
      <c r="K254" s="302"/>
      <c r="L254" s="302"/>
      <c r="M254" s="302"/>
      <c r="N254" s="302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6" t="e">
        <f>'[3]SC Computation'!#REF!</f>
        <v>#REF!</v>
      </c>
      <c r="F256" s="306"/>
      <c r="G256" s="306"/>
      <c r="I256" s="160"/>
      <c r="J256" s="156" t="s">
        <v>0</v>
      </c>
      <c r="K256" s="156"/>
      <c r="L256" s="306" t="e">
        <f>'[3]SC Computation'!#REF!</f>
        <v>#REF!</v>
      </c>
      <c r="M256" s="306"/>
      <c r="N256" s="306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05" t="s">
        <v>132</v>
      </c>
      <c r="D259" s="305"/>
      <c r="E259" s="156"/>
      <c r="F259" s="156"/>
      <c r="G259" s="179" t="e">
        <f>'[3]SC Computation'!#REF!</f>
        <v>#REF!</v>
      </c>
      <c r="I259" s="160"/>
      <c r="J259" s="305" t="s">
        <v>132</v>
      </c>
      <c r="K259" s="305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2" t="str">
        <f>'[3]SC Computation'!$A$1</f>
        <v>THE OLD SPAGHETTI HOUSE -VALERO</v>
      </c>
      <c r="D279" s="302"/>
      <c r="E279" s="302"/>
      <c r="F279" s="302"/>
      <c r="G279" s="302"/>
      <c r="I279" s="160"/>
      <c r="J279" s="302" t="str">
        <f>'[3]SC Computation'!$A$1</f>
        <v>THE OLD SPAGHETTI HOUSE -VALERO</v>
      </c>
      <c r="K279" s="302"/>
      <c r="L279" s="302"/>
      <c r="M279" s="302"/>
      <c r="N279" s="302"/>
    </row>
    <row r="280" spans="2:14" x14ac:dyDescent="0.2">
      <c r="B280" s="160"/>
      <c r="C280" s="302" t="s">
        <v>131</v>
      </c>
      <c r="D280" s="302"/>
      <c r="E280" s="302"/>
      <c r="F280" s="302"/>
      <c r="G280" s="302"/>
      <c r="I280" s="160"/>
      <c r="J280" s="302" t="s">
        <v>131</v>
      </c>
      <c r="K280" s="302"/>
      <c r="L280" s="302"/>
      <c r="M280" s="302"/>
      <c r="N280" s="302"/>
    </row>
    <row r="281" spans="2:14" x14ac:dyDescent="0.2">
      <c r="B281" s="160"/>
      <c r="C281" s="302" t="str">
        <f>'[3]SC Computation'!$A$3</f>
        <v>March 1-15, 2014</v>
      </c>
      <c r="D281" s="302"/>
      <c r="E281" s="302"/>
      <c r="F281" s="302"/>
      <c r="G281" s="302"/>
      <c r="I281" s="160"/>
      <c r="J281" s="302" t="str">
        <f>'[3]SC Computation'!$A$3</f>
        <v>March 1-15, 2014</v>
      </c>
      <c r="K281" s="302"/>
      <c r="L281" s="302"/>
      <c r="M281" s="302"/>
      <c r="N281" s="302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6" t="e">
        <f>'[3]SC Computation'!#REF!</f>
        <v>#REF!</v>
      </c>
      <c r="F283" s="306"/>
      <c r="G283" s="306"/>
      <c r="I283" s="160"/>
      <c r="J283" s="156" t="s">
        <v>0</v>
      </c>
      <c r="K283" s="156"/>
      <c r="L283" s="306" t="e">
        <f>'[3]SC Computation'!#REF!</f>
        <v>#REF!</v>
      </c>
      <c r="M283" s="306"/>
      <c r="N283" s="306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05" t="s">
        <v>132</v>
      </c>
      <c r="D286" s="305"/>
      <c r="E286" s="156"/>
      <c r="F286" s="156"/>
      <c r="G286" s="179" t="e">
        <f>'[3]SC Computation'!#REF!</f>
        <v>#REF!</v>
      </c>
      <c r="I286" s="160"/>
      <c r="J286" s="305" t="s">
        <v>132</v>
      </c>
      <c r="K286" s="305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2" t="str">
        <f>'[3]SC Computation'!$A$1</f>
        <v>THE OLD SPAGHETTI HOUSE -VALERO</v>
      </c>
      <c r="D301" s="302"/>
      <c r="E301" s="302"/>
      <c r="F301" s="302"/>
      <c r="G301" s="302"/>
      <c r="I301" s="160"/>
      <c r="J301" s="302" t="str">
        <f>'[3]SC Computation'!$A$1</f>
        <v>THE OLD SPAGHETTI HOUSE -VALERO</v>
      </c>
      <c r="K301" s="302"/>
      <c r="L301" s="302"/>
      <c r="M301" s="302"/>
      <c r="N301" s="302"/>
    </row>
    <row r="302" spans="2:17" x14ac:dyDescent="0.2">
      <c r="B302" s="160"/>
      <c r="C302" s="302" t="s">
        <v>131</v>
      </c>
      <c r="D302" s="302"/>
      <c r="E302" s="302"/>
      <c r="F302" s="302"/>
      <c r="G302" s="302"/>
      <c r="I302" s="160"/>
      <c r="J302" s="302" t="s">
        <v>131</v>
      </c>
      <c r="K302" s="302"/>
      <c r="L302" s="302"/>
      <c r="M302" s="302"/>
      <c r="N302" s="302"/>
    </row>
    <row r="303" spans="2:17" x14ac:dyDescent="0.2">
      <c r="B303" s="160"/>
      <c r="C303" s="302" t="str">
        <f>'[3]SC Computation'!$A$3</f>
        <v>March 1-15, 2014</v>
      </c>
      <c r="D303" s="302"/>
      <c r="E303" s="302"/>
      <c r="F303" s="302"/>
      <c r="G303" s="302"/>
      <c r="I303" s="160"/>
      <c r="J303" s="302" t="str">
        <f>'[3]SC Computation'!$A$3</f>
        <v>March 1-15, 2014</v>
      </c>
      <c r="K303" s="302"/>
      <c r="L303" s="302"/>
      <c r="M303" s="302"/>
      <c r="N303" s="302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6" t="e">
        <f>'[3]SC Computation'!#REF!</f>
        <v>#REF!</v>
      </c>
      <c r="F305" s="306"/>
      <c r="G305" s="306"/>
      <c r="I305" s="160"/>
      <c r="J305" s="156" t="s">
        <v>0</v>
      </c>
      <c r="K305" s="156"/>
      <c r="L305" s="306" t="e">
        <f>'[3]SC Computation'!#REF!</f>
        <v>#REF!</v>
      </c>
      <c r="M305" s="306"/>
      <c r="N305" s="306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05" t="s">
        <v>132</v>
      </c>
      <c r="D308" s="305"/>
      <c r="E308" s="156"/>
      <c r="F308" s="156"/>
      <c r="G308" s="179" t="e">
        <f>'[3]SC Computation'!#REF!</f>
        <v>#REF!</v>
      </c>
      <c r="I308" s="160"/>
      <c r="J308" s="305" t="s">
        <v>132</v>
      </c>
      <c r="K308" s="305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2" t="str">
        <f>'[3]SC Computation'!$A$1</f>
        <v>THE OLD SPAGHETTI HOUSE -VALERO</v>
      </c>
      <c r="D323" s="302"/>
      <c r="E323" s="302"/>
      <c r="F323" s="302"/>
      <c r="G323" s="302"/>
      <c r="I323" s="160"/>
      <c r="J323" s="302" t="str">
        <f>'[3]SC Computation'!$A$1</f>
        <v>THE OLD SPAGHETTI HOUSE -VALERO</v>
      </c>
      <c r="K323" s="302"/>
      <c r="L323" s="302"/>
      <c r="M323" s="302"/>
      <c r="N323" s="302"/>
    </row>
    <row r="324" spans="2:17" x14ac:dyDescent="0.2">
      <c r="B324" s="160"/>
      <c r="C324" s="302" t="s">
        <v>131</v>
      </c>
      <c r="D324" s="302"/>
      <c r="E324" s="302"/>
      <c r="F324" s="302"/>
      <c r="G324" s="302"/>
      <c r="I324" s="160"/>
      <c r="J324" s="302" t="s">
        <v>131</v>
      </c>
      <c r="K324" s="302"/>
      <c r="L324" s="302"/>
      <c r="M324" s="302"/>
      <c r="N324" s="302"/>
    </row>
    <row r="325" spans="2:17" x14ac:dyDescent="0.2">
      <c r="B325" s="160"/>
      <c r="C325" s="302" t="str">
        <f>'[3]SC Computation'!$A$3</f>
        <v>March 1-15, 2014</v>
      </c>
      <c r="D325" s="302"/>
      <c r="E325" s="302"/>
      <c r="F325" s="302"/>
      <c r="G325" s="302"/>
      <c r="I325" s="160"/>
      <c r="J325" s="302" t="str">
        <f>'[3]SC Computation'!$A$3</f>
        <v>March 1-15, 2014</v>
      </c>
      <c r="K325" s="302"/>
      <c r="L325" s="302"/>
      <c r="M325" s="302"/>
      <c r="N325" s="302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6" t="e">
        <f>'[3]SC Computation'!#REF!</f>
        <v>#REF!</v>
      </c>
      <c r="F327" s="306"/>
      <c r="G327" s="306"/>
      <c r="I327" s="160"/>
      <c r="J327" s="156" t="s">
        <v>0</v>
      </c>
      <c r="K327" s="156"/>
      <c r="L327" s="306" t="e">
        <f>'[3]SC Computation'!#REF!</f>
        <v>#REF!</v>
      </c>
      <c r="M327" s="306"/>
      <c r="N327" s="306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05" t="s">
        <v>132</v>
      </c>
      <c r="D330" s="305"/>
      <c r="E330" s="156"/>
      <c r="F330" s="156"/>
      <c r="G330" s="179" t="e">
        <f>'[3]SC Computation'!#REF!</f>
        <v>#REF!</v>
      </c>
      <c r="I330" s="160"/>
      <c r="J330" s="305" t="s">
        <v>132</v>
      </c>
      <c r="K330" s="305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3"/>
      <c r="B4" s="313" t="s">
        <v>0</v>
      </c>
      <c r="C4" s="313" t="s">
        <v>15</v>
      </c>
      <c r="D4" s="313" t="s">
        <v>17</v>
      </c>
      <c r="E4" s="308" t="s">
        <v>140</v>
      </c>
      <c r="F4" s="308" t="s">
        <v>141</v>
      </c>
      <c r="G4" s="308" t="s">
        <v>143</v>
      </c>
      <c r="H4" s="210"/>
    </row>
    <row r="5" spans="1:8" s="211" customFormat="1" ht="26.25" customHeight="1" thickBot="1" x14ac:dyDescent="0.25">
      <c r="A5" s="314"/>
      <c r="B5" s="314"/>
      <c r="C5" s="314"/>
      <c r="D5" s="314"/>
      <c r="E5" s="309"/>
      <c r="F5" s="309"/>
      <c r="G5" s="309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11</v>
      </c>
      <c r="E6" s="216">
        <v>225</v>
      </c>
      <c r="F6" s="217">
        <f>'SC Computation'!U22-'PLS PRINT'!E6</f>
        <v>1580.187111306002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9</v>
      </c>
      <c r="E7" s="216">
        <v>225</v>
      </c>
      <c r="F7" s="222">
        <f>'SC Computation'!U23-'PLS PRINT'!E7</f>
        <v>1251.9712728867285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2"/>
      <c r="F11" s="253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2"/>
      <c r="F12" s="253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2"/>
      <c r="F13" s="253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2"/>
      <c r="F14" s="253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2"/>
      <c r="F15" s="253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2832.1583841927304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10"/>
      <c r="C31" s="310"/>
      <c r="D31" s="231"/>
      <c r="E31" s="311"/>
      <c r="F31" s="311"/>
      <c r="G31" s="311"/>
      <c r="H31" s="219"/>
    </row>
    <row r="32" spans="1:8" ht="15" customHeight="1" x14ac:dyDescent="0.2">
      <c r="A32" s="219"/>
      <c r="B32" s="312" t="s">
        <v>145</v>
      </c>
      <c r="C32" s="312"/>
      <c r="D32" s="231"/>
      <c r="E32" s="311"/>
      <c r="F32" s="311"/>
      <c r="G32" s="311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 xr:uid="{00000000-0002-0000-0500-000000000000}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2019-07-16T22:41:19Z</cp:lastPrinted>
  <dcterms:created xsi:type="dcterms:W3CDTF">2010-03-16T02:57:51Z</dcterms:created>
  <dcterms:modified xsi:type="dcterms:W3CDTF">2019-07-16T22:46:11Z</dcterms:modified>
</cp:coreProperties>
</file>