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19\19.07 Files\monthlyreportsjuly2019\"/>
    </mc:Choice>
  </mc:AlternateContent>
  <xr:revisionPtr revIDLastSave="0" documentId="13_ncr:1_{B0CE9E76-B325-4E15-84E8-DBA28424C7E6}" xr6:coauthVersionLast="45" xr6:coauthVersionMax="45" xr10:uidLastSave="{00000000-0000-0000-0000-000000000000}"/>
  <bookViews>
    <workbookView xWindow="-60" yWindow="-60" windowWidth="24120" windowHeight="12960" tabRatio="542" xr2:uid="{00000000-000D-0000-FFFF-FFFF00000000}"/>
  </bookViews>
  <sheets>
    <sheet name="SALES SUMMARY" sheetId="1" r:id="rId1"/>
    <sheet name="ENTRY" sheetId="2" r:id="rId2"/>
    <sheet name="SC" sheetId="3" r:id="rId3"/>
    <sheet name="M &amp; C VALERO" sheetId="4" r:id="rId4"/>
  </sheets>
  <definedNames>
    <definedName name="_xlnm.Print_Area" localSheetId="3">'M &amp; C VALERO'!$A$68:$H$97</definedName>
    <definedName name="_xlnm.Print_Area" localSheetId="2">SC!$A$1:$O$73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03" i="1" l="1"/>
  <c r="P103" i="1"/>
  <c r="AN11" i="1"/>
  <c r="AM11" i="1"/>
  <c r="AL11" i="1"/>
  <c r="AK11" i="1"/>
  <c r="AJ11" i="1"/>
  <c r="AI11" i="1"/>
  <c r="AH11" i="1"/>
  <c r="AG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E11" i="1"/>
  <c r="AN14" i="1"/>
  <c r="AM14" i="1"/>
  <c r="AL14" i="1"/>
  <c r="AK14" i="1"/>
  <c r="AJ14" i="1"/>
  <c r="AI14" i="1"/>
  <c r="AH14" i="1"/>
  <c r="AG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E14" i="1"/>
  <c r="AN17" i="1"/>
  <c r="AM17" i="1"/>
  <c r="AL17" i="1"/>
  <c r="AK17" i="1"/>
  <c r="AJ17" i="1"/>
  <c r="AI17" i="1"/>
  <c r="AH17" i="1"/>
  <c r="AG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E17" i="1"/>
  <c r="AN20" i="1"/>
  <c r="AM20" i="1"/>
  <c r="AL20" i="1"/>
  <c r="AK20" i="1"/>
  <c r="AJ20" i="1"/>
  <c r="AI20" i="1"/>
  <c r="AH20" i="1"/>
  <c r="AG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E20" i="1"/>
  <c r="AN23" i="1"/>
  <c r="AM23" i="1"/>
  <c r="AL23" i="1"/>
  <c r="AK23" i="1"/>
  <c r="AJ23" i="1"/>
  <c r="AI23" i="1"/>
  <c r="AH23" i="1"/>
  <c r="AG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E23" i="1"/>
  <c r="AN26" i="1"/>
  <c r="AM26" i="1"/>
  <c r="AL26" i="1"/>
  <c r="AK26" i="1"/>
  <c r="AJ26" i="1"/>
  <c r="AI26" i="1"/>
  <c r="AH26" i="1"/>
  <c r="AG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E26" i="1"/>
  <c r="AN29" i="1"/>
  <c r="AM29" i="1"/>
  <c r="AL29" i="1"/>
  <c r="AK29" i="1"/>
  <c r="AJ29" i="1"/>
  <c r="AI29" i="1"/>
  <c r="AH29" i="1"/>
  <c r="AG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E29" i="1"/>
  <c r="AN32" i="1"/>
  <c r="AM32" i="1"/>
  <c r="AL32" i="1"/>
  <c r="AK32" i="1"/>
  <c r="AJ32" i="1"/>
  <c r="AI32" i="1"/>
  <c r="AH32" i="1"/>
  <c r="AG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E32" i="1"/>
  <c r="AN35" i="1"/>
  <c r="AM35" i="1"/>
  <c r="AL35" i="1"/>
  <c r="AK35" i="1"/>
  <c r="AJ35" i="1"/>
  <c r="AI35" i="1"/>
  <c r="AH35" i="1"/>
  <c r="AG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E35" i="1"/>
  <c r="AN38" i="1"/>
  <c r="AM38" i="1"/>
  <c r="AL38" i="1"/>
  <c r="AK38" i="1"/>
  <c r="AJ38" i="1"/>
  <c r="AI38" i="1"/>
  <c r="AH38" i="1"/>
  <c r="AG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E38" i="1"/>
  <c r="AN41" i="1"/>
  <c r="AM41" i="1"/>
  <c r="AL41" i="1"/>
  <c r="AK41" i="1"/>
  <c r="AJ41" i="1"/>
  <c r="AI41" i="1"/>
  <c r="AH41" i="1"/>
  <c r="AG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E41" i="1"/>
  <c r="AN44" i="1"/>
  <c r="AM44" i="1"/>
  <c r="AL44" i="1"/>
  <c r="AK44" i="1"/>
  <c r="AJ44" i="1"/>
  <c r="AI44" i="1"/>
  <c r="AH44" i="1"/>
  <c r="AG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E44" i="1"/>
  <c r="AN47" i="1"/>
  <c r="AM47" i="1"/>
  <c r="AL47" i="1"/>
  <c r="AK47" i="1"/>
  <c r="AJ47" i="1"/>
  <c r="AI47" i="1"/>
  <c r="AH47" i="1"/>
  <c r="AG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E47" i="1"/>
  <c r="AN50" i="1"/>
  <c r="AM50" i="1"/>
  <c r="AL50" i="1"/>
  <c r="AK50" i="1"/>
  <c r="AJ50" i="1"/>
  <c r="AI50" i="1"/>
  <c r="AH50" i="1"/>
  <c r="AG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E50" i="1"/>
  <c r="AN53" i="1"/>
  <c r="AM53" i="1"/>
  <c r="AL53" i="1"/>
  <c r="AK53" i="1"/>
  <c r="AJ53" i="1"/>
  <c r="AI53" i="1"/>
  <c r="AH53" i="1"/>
  <c r="AG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E53" i="1"/>
  <c r="AN56" i="1"/>
  <c r="AM56" i="1"/>
  <c r="AL56" i="1"/>
  <c r="AK56" i="1"/>
  <c r="AJ56" i="1"/>
  <c r="AI56" i="1"/>
  <c r="AH56" i="1"/>
  <c r="AG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E56" i="1"/>
  <c r="AN59" i="1"/>
  <c r="AM59" i="1"/>
  <c r="AL59" i="1"/>
  <c r="AK59" i="1"/>
  <c r="AJ59" i="1"/>
  <c r="AI59" i="1"/>
  <c r="AH59" i="1"/>
  <c r="AG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E59" i="1"/>
  <c r="AN62" i="1"/>
  <c r="AM62" i="1"/>
  <c r="AL62" i="1"/>
  <c r="AK62" i="1"/>
  <c r="AJ62" i="1"/>
  <c r="AI62" i="1"/>
  <c r="AH62" i="1"/>
  <c r="AG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E62" i="1"/>
  <c r="AN65" i="1"/>
  <c r="AM65" i="1"/>
  <c r="AL65" i="1"/>
  <c r="AK65" i="1"/>
  <c r="AJ65" i="1"/>
  <c r="AI65" i="1"/>
  <c r="AH65" i="1"/>
  <c r="AG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E65" i="1"/>
  <c r="AN68" i="1"/>
  <c r="AM68" i="1"/>
  <c r="AL68" i="1"/>
  <c r="AK68" i="1"/>
  <c r="AJ68" i="1"/>
  <c r="AI68" i="1"/>
  <c r="AH68" i="1"/>
  <c r="AG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E68" i="1"/>
  <c r="AN71" i="1"/>
  <c r="AM71" i="1"/>
  <c r="AL71" i="1"/>
  <c r="AK71" i="1"/>
  <c r="AJ71" i="1"/>
  <c r="AI71" i="1"/>
  <c r="AH71" i="1"/>
  <c r="AG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E71" i="1"/>
  <c r="AN74" i="1"/>
  <c r="AM74" i="1"/>
  <c r="AL74" i="1"/>
  <c r="AK74" i="1"/>
  <c r="AJ74" i="1"/>
  <c r="AI74" i="1"/>
  <c r="AH74" i="1"/>
  <c r="AG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E74" i="1"/>
  <c r="AN77" i="1"/>
  <c r="AM77" i="1"/>
  <c r="AL77" i="1"/>
  <c r="AK77" i="1"/>
  <c r="AJ77" i="1"/>
  <c r="AI77" i="1"/>
  <c r="AH77" i="1"/>
  <c r="AG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E77" i="1"/>
  <c r="AN80" i="1"/>
  <c r="AM80" i="1"/>
  <c r="AL80" i="1"/>
  <c r="AK80" i="1"/>
  <c r="AJ80" i="1"/>
  <c r="AI80" i="1"/>
  <c r="AH80" i="1"/>
  <c r="AG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E80" i="1"/>
  <c r="AN83" i="1"/>
  <c r="AM83" i="1"/>
  <c r="AL83" i="1"/>
  <c r="AK83" i="1"/>
  <c r="AJ83" i="1"/>
  <c r="AI83" i="1"/>
  <c r="AH83" i="1"/>
  <c r="AG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E83" i="1"/>
  <c r="AN86" i="1"/>
  <c r="AM86" i="1"/>
  <c r="AL86" i="1"/>
  <c r="AK86" i="1"/>
  <c r="AJ86" i="1"/>
  <c r="AI86" i="1"/>
  <c r="AH86" i="1"/>
  <c r="AG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E86" i="1"/>
  <c r="AN89" i="1"/>
  <c r="AM89" i="1"/>
  <c r="AL89" i="1"/>
  <c r="AK89" i="1"/>
  <c r="AJ89" i="1"/>
  <c r="AI89" i="1"/>
  <c r="AH89" i="1"/>
  <c r="AG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E89" i="1"/>
  <c r="AN92" i="1"/>
  <c r="AM92" i="1"/>
  <c r="AL92" i="1"/>
  <c r="AK92" i="1"/>
  <c r="AJ92" i="1"/>
  <c r="AI92" i="1"/>
  <c r="AH92" i="1"/>
  <c r="AG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E92" i="1"/>
  <c r="AN95" i="1"/>
  <c r="AM95" i="1"/>
  <c r="AL95" i="1"/>
  <c r="AK95" i="1"/>
  <c r="AJ95" i="1"/>
  <c r="AI95" i="1"/>
  <c r="AH95" i="1"/>
  <c r="AG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E95" i="1"/>
  <c r="AN98" i="1"/>
  <c r="AM98" i="1"/>
  <c r="AL98" i="1"/>
  <c r="AK98" i="1"/>
  <c r="AJ98" i="1"/>
  <c r="AI98" i="1"/>
  <c r="AH98" i="1"/>
  <c r="AG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E98" i="1"/>
  <c r="AN101" i="1"/>
  <c r="AM101" i="1"/>
  <c r="AL101" i="1"/>
  <c r="AK101" i="1"/>
  <c r="AI101" i="1"/>
  <c r="AH101" i="1"/>
  <c r="AG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E101" i="1"/>
  <c r="C101" i="1"/>
  <c r="AK93" i="1" l="1"/>
  <c r="AL93" i="1" s="1"/>
  <c r="AM93" i="1" s="1"/>
  <c r="AN93" i="1" s="1"/>
  <c r="AK94" i="1"/>
  <c r="AL94" i="1" s="1"/>
  <c r="AM94" i="1" s="1"/>
  <c r="AN94" i="1" s="1"/>
  <c r="AZ100" i="1"/>
  <c r="BQ100" i="1" s="1"/>
  <c r="AK100" i="1"/>
  <c r="AL100" i="1" s="1"/>
  <c r="AM100" i="1" s="1"/>
  <c r="AN100" i="1" s="1"/>
  <c r="AI100" i="1"/>
  <c r="AH100" i="1"/>
  <c r="AG100" i="1"/>
  <c r="N100" i="1"/>
  <c r="M100" i="1"/>
  <c r="H100" i="1"/>
  <c r="G100" i="1"/>
  <c r="BD99" i="1"/>
  <c r="BC99" i="1"/>
  <c r="AZ99" i="1"/>
  <c r="AK99" i="1"/>
  <c r="AL99" i="1" s="1"/>
  <c r="AI99" i="1"/>
  <c r="AH99" i="1"/>
  <c r="AG99" i="1"/>
  <c r="N99" i="1"/>
  <c r="M99" i="1"/>
  <c r="H99" i="1"/>
  <c r="G99" i="1"/>
  <c r="AK76" i="1"/>
  <c r="AL76" i="1" s="1"/>
  <c r="AM76" i="1" s="1"/>
  <c r="AN76" i="1" s="1"/>
  <c r="AK75" i="1"/>
  <c r="AL75" i="1" s="1"/>
  <c r="AM75" i="1" s="1"/>
  <c r="AN75" i="1" s="1"/>
  <c r="AK73" i="1"/>
  <c r="AL73" i="1" s="1"/>
  <c r="AM73" i="1" s="1"/>
  <c r="AN73" i="1" s="1"/>
  <c r="AK72" i="1"/>
  <c r="AL72" i="1" s="1"/>
  <c r="AM72" i="1" s="1"/>
  <c r="AN72" i="1" s="1"/>
  <c r="AK55" i="1"/>
  <c r="AL55" i="1" s="1"/>
  <c r="AM55" i="1" s="1"/>
  <c r="AN55" i="1" s="1"/>
  <c r="AK54" i="1"/>
  <c r="AL54" i="1" s="1"/>
  <c r="AM54" i="1" s="1"/>
  <c r="AN54" i="1" s="1"/>
  <c r="AK52" i="1"/>
  <c r="AL52" i="1" s="1"/>
  <c r="AM52" i="1" s="1"/>
  <c r="AN52" i="1" s="1"/>
  <c r="AK51" i="1"/>
  <c r="AL51" i="1" s="1"/>
  <c r="AM51" i="1" s="1"/>
  <c r="AN51" i="1" s="1"/>
  <c r="AK43" i="1"/>
  <c r="AL43" i="1" s="1"/>
  <c r="AM43" i="1" s="1"/>
  <c r="AN43" i="1" s="1"/>
  <c r="AK42" i="1"/>
  <c r="AL42" i="1" s="1"/>
  <c r="AM42" i="1" s="1"/>
  <c r="AN42" i="1" s="1"/>
  <c r="BA40" i="1"/>
  <c r="AK34" i="1"/>
  <c r="AL34" i="1" s="1"/>
  <c r="AM34" i="1" s="1"/>
  <c r="AN34" i="1" s="1"/>
  <c r="AK33" i="1"/>
  <c r="AL33" i="1" s="1"/>
  <c r="AM33" i="1" s="1"/>
  <c r="AN33" i="1" s="1"/>
  <c r="Z31" i="1"/>
  <c r="AK31" i="1"/>
  <c r="AK30" i="1"/>
  <c r="AL30" i="1" s="1"/>
  <c r="AM30" i="1" s="1"/>
  <c r="AN30" i="1" s="1"/>
  <c r="Z22" i="1"/>
  <c r="AK22" i="1"/>
  <c r="AL22" i="1" s="1"/>
  <c r="AM22" i="1" s="1"/>
  <c r="AN22" i="1" s="1"/>
  <c r="AK21" i="1"/>
  <c r="AL21" i="1" s="1"/>
  <c r="AK13" i="1"/>
  <c r="AL13" i="1" s="1"/>
  <c r="AM13" i="1" s="1"/>
  <c r="AN13" i="1" s="1"/>
  <c r="AK12" i="1"/>
  <c r="AL12" i="1" s="1"/>
  <c r="AM12" i="1" s="1"/>
  <c r="AN12" i="1" s="1"/>
  <c r="AK10" i="1"/>
  <c r="AL10" i="1" s="1"/>
  <c r="AM10" i="1" s="1"/>
  <c r="AN10" i="1" s="1"/>
  <c r="AK9" i="1"/>
  <c r="AL9" i="1" s="1"/>
  <c r="AK85" i="1"/>
  <c r="AL85" i="1" s="1"/>
  <c r="AM85" i="1" s="1"/>
  <c r="AN85" i="1" s="1"/>
  <c r="AK84" i="1"/>
  <c r="AL84" i="1" s="1"/>
  <c r="AM84" i="1" s="1"/>
  <c r="AN84" i="1" s="1"/>
  <c r="AK82" i="1"/>
  <c r="AL82" i="1" s="1"/>
  <c r="AM82" i="1" s="1"/>
  <c r="AN82" i="1" s="1"/>
  <c r="AK81" i="1"/>
  <c r="AL81" i="1" s="1"/>
  <c r="AM81" i="1" s="1"/>
  <c r="AN81" i="1" s="1"/>
  <c r="AK64" i="1"/>
  <c r="AL64" i="1" s="1"/>
  <c r="AM64" i="1" s="1"/>
  <c r="AN64" i="1" s="1"/>
  <c r="AK63" i="1"/>
  <c r="AL63" i="1" s="1"/>
  <c r="AM63" i="1" s="1"/>
  <c r="AN63" i="1" s="1"/>
  <c r="N58" i="1"/>
  <c r="M58" i="1"/>
  <c r="N57" i="1"/>
  <c r="M57" i="1"/>
  <c r="AK46" i="1"/>
  <c r="AL46" i="1" s="1"/>
  <c r="AM46" i="1" s="1"/>
  <c r="AN46" i="1" s="1"/>
  <c r="AL45" i="1"/>
  <c r="AM45" i="1" s="1"/>
  <c r="AN45" i="1" s="1"/>
  <c r="AI40" i="1"/>
  <c r="AH40" i="1"/>
  <c r="AG40" i="1"/>
  <c r="AI39" i="1"/>
  <c r="AH39" i="1"/>
  <c r="AG39" i="1"/>
  <c r="AK40" i="1"/>
  <c r="AL40" i="1" s="1"/>
  <c r="AM40" i="1" s="1"/>
  <c r="AN40" i="1" s="1"/>
  <c r="AK39" i="1"/>
  <c r="AL39" i="1" s="1"/>
  <c r="AM39" i="1" s="1"/>
  <c r="AN39" i="1" s="1"/>
  <c r="AI31" i="1"/>
  <c r="AH31" i="1"/>
  <c r="AG31" i="1"/>
  <c r="AI30" i="1"/>
  <c r="AH30" i="1"/>
  <c r="AG30" i="1"/>
  <c r="AK19" i="1"/>
  <c r="AL19" i="1" s="1"/>
  <c r="AM19" i="1" s="1"/>
  <c r="AN19" i="1" s="1"/>
  <c r="AK18" i="1"/>
  <c r="AL18" i="1" s="1"/>
  <c r="AM18" i="1" s="1"/>
  <c r="AN18" i="1" s="1"/>
  <c r="AK91" i="1"/>
  <c r="AL91" i="1" s="1"/>
  <c r="AM91" i="1" s="1"/>
  <c r="AN91" i="1" s="1"/>
  <c r="AK70" i="1"/>
  <c r="AL70" i="1" s="1"/>
  <c r="AM70" i="1" s="1"/>
  <c r="AN70" i="1" s="1"/>
  <c r="AK67" i="1"/>
  <c r="AL67" i="1" s="1"/>
  <c r="AM67" i="1" s="1"/>
  <c r="AN67" i="1" s="1"/>
  <c r="AK61" i="1"/>
  <c r="AL61" i="1" s="1"/>
  <c r="AM61" i="1" s="1"/>
  <c r="AN61" i="1" s="1"/>
  <c r="AK60" i="1"/>
  <c r="AL60" i="1" s="1"/>
  <c r="AM60" i="1" s="1"/>
  <c r="AN60" i="1" s="1"/>
  <c r="AK49" i="1"/>
  <c r="AL49" i="1" s="1"/>
  <c r="AM49" i="1" s="1"/>
  <c r="AN49" i="1" s="1"/>
  <c r="AL48" i="1"/>
  <c r="AM48" i="1" s="1"/>
  <c r="AN48" i="1" s="1"/>
  <c r="AK28" i="1"/>
  <c r="AL28" i="1" s="1"/>
  <c r="AM28" i="1" s="1"/>
  <c r="AN28" i="1" s="1"/>
  <c r="AL27" i="1"/>
  <c r="AM27" i="1" s="1"/>
  <c r="AN27" i="1" s="1"/>
  <c r="AK25" i="1"/>
  <c r="AL25" i="1" s="1"/>
  <c r="AM25" i="1" s="1"/>
  <c r="AN25" i="1" s="1"/>
  <c r="AL24" i="1"/>
  <c r="AM24" i="1" s="1"/>
  <c r="AN24" i="1" s="1"/>
  <c r="AK79" i="1"/>
  <c r="AL79" i="1" s="1"/>
  <c r="AM79" i="1" s="1"/>
  <c r="AN79" i="1" s="1"/>
  <c r="AK78" i="1"/>
  <c r="AL78" i="1" s="1"/>
  <c r="AM78" i="1" s="1"/>
  <c r="AN78" i="1" s="1"/>
  <c r="H76" i="1"/>
  <c r="G76" i="1"/>
  <c r="H75" i="1"/>
  <c r="G75" i="1"/>
  <c r="AK58" i="1"/>
  <c r="AL58" i="1" s="1"/>
  <c r="AM58" i="1" s="1"/>
  <c r="AN58" i="1" s="1"/>
  <c r="AK57" i="1"/>
  <c r="AK37" i="1"/>
  <c r="AL37" i="1" s="1"/>
  <c r="AM37" i="1" s="1"/>
  <c r="AN37" i="1" s="1"/>
  <c r="AK36" i="1"/>
  <c r="AL36" i="1" s="1"/>
  <c r="AM36" i="1" s="1"/>
  <c r="AN36" i="1" s="1"/>
  <c r="AK16" i="1"/>
  <c r="AK15" i="1"/>
  <c r="AL15" i="1" s="1"/>
  <c r="AM15" i="1" s="1"/>
  <c r="AN15" i="1" s="1"/>
  <c r="AP29" i="1"/>
  <c r="AK88" i="1"/>
  <c r="AL88" i="1" s="1"/>
  <c r="AM88" i="1" s="1"/>
  <c r="AN88" i="1" s="1"/>
  <c r="AL87" i="1"/>
  <c r="AM87" i="1" s="1"/>
  <c r="AN87" i="1" s="1"/>
  <c r="AL66" i="1"/>
  <c r="AM66" i="1" s="1"/>
  <c r="AN66" i="1" s="1"/>
  <c r="BQ99" i="1" l="1"/>
  <c r="AM9" i="1"/>
  <c r="AM21" i="1"/>
  <c r="AM99" i="1"/>
  <c r="O100" i="1"/>
  <c r="O99" i="1"/>
  <c r="O57" i="1"/>
  <c r="AL31" i="1"/>
  <c r="AM31" i="1" s="1"/>
  <c r="AN31" i="1" s="1"/>
  <c r="AL57" i="1"/>
  <c r="AM57" i="1" s="1"/>
  <c r="AN57" i="1" s="1"/>
  <c r="AL16" i="1"/>
  <c r="AM16" i="1" s="1"/>
  <c r="AN16" i="1" s="1"/>
  <c r="AL90" i="1"/>
  <c r="AM90" i="1" s="1"/>
  <c r="AN90" i="1" s="1"/>
  <c r="AN9" i="1" l="1"/>
  <c r="AN21" i="1"/>
  <c r="AN99" i="1"/>
  <c r="H82" i="1" l="1"/>
  <c r="G82" i="1"/>
  <c r="H81" i="1"/>
  <c r="G81" i="1"/>
  <c r="H79" i="1"/>
  <c r="G79" i="1"/>
  <c r="H78" i="1"/>
  <c r="G78" i="1"/>
  <c r="H73" i="1"/>
  <c r="G73" i="1"/>
  <c r="H72" i="1"/>
  <c r="G72" i="1"/>
  <c r="AL69" i="1"/>
  <c r="AM69" i="1" s="1"/>
  <c r="AN69" i="1" s="1"/>
  <c r="AR101" i="1"/>
  <c r="AK97" i="1"/>
  <c r="AL97" i="1" s="1"/>
  <c r="AM97" i="1" s="1"/>
  <c r="AN97" i="1" s="1"/>
  <c r="AK96" i="1"/>
  <c r="AL96" i="1" s="1"/>
  <c r="AM96" i="1" s="1"/>
  <c r="AN96" i="1" s="1"/>
  <c r="A12" i="1"/>
  <c r="AR74" i="1" l="1"/>
  <c r="W13" i="1"/>
  <c r="U13" i="1"/>
  <c r="T13" i="1"/>
  <c r="W12" i="1"/>
  <c r="U12" i="1"/>
  <c r="T12" i="1"/>
  <c r="V13" i="1" l="1"/>
  <c r="V12" i="1"/>
  <c r="AI55" i="1"/>
  <c r="AH55" i="1"/>
  <c r="AG55" i="1"/>
  <c r="N22" i="1" l="1"/>
  <c r="M22" i="1"/>
  <c r="N21" i="1"/>
  <c r="M21" i="1"/>
  <c r="AI96" i="1"/>
  <c r="AH96" i="1"/>
  <c r="AG96" i="1"/>
  <c r="AR83" i="1"/>
  <c r="S27" i="2"/>
  <c r="F115" i="4"/>
  <c r="A103" i="4"/>
  <c r="A71" i="4"/>
  <c r="A39" i="4"/>
  <c r="A3" i="4"/>
  <c r="A37" i="4" s="1"/>
  <c r="A69" i="4" s="1"/>
  <c r="A101" i="4" s="1"/>
  <c r="K54" i="3"/>
  <c r="L54" i="3" s="1"/>
  <c r="K53" i="3"/>
  <c r="M53" i="3" s="1"/>
  <c r="K51" i="3"/>
  <c r="C51" i="3"/>
  <c r="K50" i="3"/>
  <c r="M50" i="3" s="1"/>
  <c r="C50" i="3"/>
  <c r="E50" i="3" s="1"/>
  <c r="K48" i="3"/>
  <c r="C48" i="3"/>
  <c r="E48" i="3" s="1"/>
  <c r="K47" i="3"/>
  <c r="M47" i="3" s="1"/>
  <c r="C47" i="3"/>
  <c r="E47" i="3" s="1"/>
  <c r="K45" i="3"/>
  <c r="N45" i="3" s="1"/>
  <c r="C45" i="3"/>
  <c r="K44" i="3"/>
  <c r="M44" i="3" s="1"/>
  <c r="C44" i="3"/>
  <c r="E44" i="3" s="1"/>
  <c r="K42" i="3"/>
  <c r="C42" i="3"/>
  <c r="K41" i="3"/>
  <c r="M41" i="3" s="1"/>
  <c r="C41" i="3"/>
  <c r="E41" i="3" s="1"/>
  <c r="K39" i="3"/>
  <c r="N39" i="3" s="1"/>
  <c r="C39" i="3"/>
  <c r="K38" i="3"/>
  <c r="M38" i="3" s="1"/>
  <c r="C38" i="3"/>
  <c r="E38" i="3" s="1"/>
  <c r="K36" i="3"/>
  <c r="L36" i="3" s="1"/>
  <c r="C36" i="3"/>
  <c r="K35" i="3"/>
  <c r="M35" i="3" s="1"/>
  <c r="C35" i="3"/>
  <c r="E35" i="3" s="1"/>
  <c r="K33" i="3"/>
  <c r="C33" i="3"/>
  <c r="K32" i="3"/>
  <c r="M32" i="3" s="1"/>
  <c r="C32" i="3"/>
  <c r="E32" i="3" s="1"/>
  <c r="K30" i="3"/>
  <c r="N30" i="3" s="1"/>
  <c r="C30" i="3"/>
  <c r="K29" i="3"/>
  <c r="M29" i="3" s="1"/>
  <c r="C29" i="3"/>
  <c r="E29" i="3" s="1"/>
  <c r="K27" i="3"/>
  <c r="N27" i="3" s="1"/>
  <c r="C27" i="3"/>
  <c r="E27" i="3" s="1"/>
  <c r="K26" i="3"/>
  <c r="M26" i="3" s="1"/>
  <c r="C26" i="3"/>
  <c r="E26" i="3" s="1"/>
  <c r="K24" i="3"/>
  <c r="M24" i="3" s="1"/>
  <c r="C24" i="3"/>
  <c r="K23" i="3"/>
  <c r="M23" i="3" s="1"/>
  <c r="C23" i="3"/>
  <c r="E23" i="3" s="1"/>
  <c r="K21" i="3"/>
  <c r="L21" i="3" s="1"/>
  <c r="C21" i="3"/>
  <c r="K20" i="3"/>
  <c r="M20" i="3" s="1"/>
  <c r="C20" i="3"/>
  <c r="E20" i="3" s="1"/>
  <c r="K18" i="3"/>
  <c r="N18" i="3" s="1"/>
  <c r="C18" i="3"/>
  <c r="K17" i="3"/>
  <c r="M17" i="3" s="1"/>
  <c r="C17" i="3"/>
  <c r="E17" i="3" s="1"/>
  <c r="K15" i="3"/>
  <c r="N15" i="3" s="1"/>
  <c r="C15" i="3"/>
  <c r="K14" i="3"/>
  <c r="N14" i="3" s="1"/>
  <c r="I14" i="3"/>
  <c r="I17" i="3" s="1"/>
  <c r="I20" i="3" s="1"/>
  <c r="I23" i="3" s="1"/>
  <c r="I26" i="3" s="1"/>
  <c r="I29" i="3" s="1"/>
  <c r="I32" i="3" s="1"/>
  <c r="I35" i="3" s="1"/>
  <c r="I38" i="3" s="1"/>
  <c r="I41" i="3" s="1"/>
  <c r="I44" i="3" s="1"/>
  <c r="I47" i="3" s="1"/>
  <c r="I50" i="3" s="1"/>
  <c r="I53" i="3" s="1"/>
  <c r="C14" i="3"/>
  <c r="E14" i="3" s="1"/>
  <c r="K12" i="3"/>
  <c r="L12" i="3" s="1"/>
  <c r="C12" i="3"/>
  <c r="K11" i="3"/>
  <c r="M11" i="3" s="1"/>
  <c r="I11" i="3"/>
  <c r="C11" i="3"/>
  <c r="E11" i="3" s="1"/>
  <c r="A11" i="3"/>
  <c r="A14" i="3" s="1"/>
  <c r="A17" i="3" s="1"/>
  <c r="A20" i="3" s="1"/>
  <c r="A23" i="3" s="1"/>
  <c r="A26" i="3" s="1"/>
  <c r="A29" i="3" s="1"/>
  <c r="A32" i="3" s="1"/>
  <c r="A35" i="3" s="1"/>
  <c r="A38" i="3" s="1"/>
  <c r="A41" i="3" s="1"/>
  <c r="A44" i="3" s="1"/>
  <c r="A47" i="3" s="1"/>
  <c r="A50" i="3" s="1"/>
  <c r="K9" i="3"/>
  <c r="N9" i="3" s="1"/>
  <c r="C9" i="3"/>
  <c r="D9" i="3" s="1"/>
  <c r="K8" i="3"/>
  <c r="M8" i="3" s="1"/>
  <c r="C8" i="3"/>
  <c r="E8" i="3" s="1"/>
  <c r="I1" i="3"/>
  <c r="A1" i="3"/>
  <c r="AF33" i="2"/>
  <c r="AF32" i="2"/>
  <c r="AF31" i="2"/>
  <c r="Z31" i="2"/>
  <c r="F31" i="2"/>
  <c r="F28" i="2"/>
  <c r="F27" i="2"/>
  <c r="AF26" i="2"/>
  <c r="G26" i="2"/>
  <c r="F26" i="2"/>
  <c r="E26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F17" i="2"/>
  <c r="AF8" i="2"/>
  <c r="AF7" i="2"/>
  <c r="Y7" i="2"/>
  <c r="AF3" i="2"/>
  <c r="C2" i="2"/>
  <c r="B2" i="2"/>
  <c r="BP106" i="1"/>
  <c r="BO106" i="1"/>
  <c r="BN106" i="1"/>
  <c r="BM106" i="1"/>
  <c r="BL106" i="1"/>
  <c r="BK106" i="1"/>
  <c r="AF103" i="1"/>
  <c r="AE103" i="1"/>
  <c r="AE104" i="1" s="1"/>
  <c r="AC103" i="1"/>
  <c r="AC104" i="1" s="1"/>
  <c r="AB103" i="1"/>
  <c r="AB104" i="1" s="1"/>
  <c r="AA103" i="1"/>
  <c r="AA104" i="1" s="1"/>
  <c r="Z103" i="1"/>
  <c r="Z104" i="1" s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B101" i="1"/>
  <c r="AY101" i="1"/>
  <c r="AX101" i="1"/>
  <c r="AW101" i="1"/>
  <c r="AV101" i="1"/>
  <c r="AU101" i="1"/>
  <c r="AT101" i="1"/>
  <c r="AS101" i="1"/>
  <c r="AQ101" i="1"/>
  <c r="AP101" i="1"/>
  <c r="AO101" i="1"/>
  <c r="AJ101" i="1"/>
  <c r="D101" i="1"/>
  <c r="AF30" i="2"/>
  <c r="AF25" i="2"/>
  <c r="AF24" i="2"/>
  <c r="AF23" i="2"/>
  <c r="AF16" i="2"/>
  <c r="AF14" i="2"/>
  <c r="AF13" i="2"/>
  <c r="AF12" i="2"/>
  <c r="AF10" i="2"/>
  <c r="AF9" i="2"/>
  <c r="AF6" i="2"/>
  <c r="AF5" i="2"/>
  <c r="BD101" i="1"/>
  <c r="BC101" i="1"/>
  <c r="AZ101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B98" i="1"/>
  <c r="AE32" i="2" s="1"/>
  <c r="BA98" i="1"/>
  <c r="AE31" i="2" s="1"/>
  <c r="AY98" i="1"/>
  <c r="AX98" i="1"/>
  <c r="AW98" i="1"/>
  <c r="AV98" i="1"/>
  <c r="AU98" i="1"/>
  <c r="AT98" i="1"/>
  <c r="AS98" i="1"/>
  <c r="AR98" i="1"/>
  <c r="AQ98" i="1"/>
  <c r="AP98" i="1"/>
  <c r="AO98" i="1"/>
  <c r="AE28" i="2"/>
  <c r="AE27" i="2"/>
  <c r="AE26" i="2"/>
  <c r="AE17" i="2"/>
  <c r="AE16" i="2"/>
  <c r="AE15" i="2"/>
  <c r="AE14" i="2"/>
  <c r="AE13" i="2"/>
  <c r="AE12" i="2"/>
  <c r="AE8" i="2"/>
  <c r="AE7" i="2"/>
  <c r="AE3" i="2"/>
  <c r="D98" i="1"/>
  <c r="C98" i="1"/>
  <c r="AZ97" i="1"/>
  <c r="AI97" i="1"/>
  <c r="AH97" i="1"/>
  <c r="AE24" i="2" s="1"/>
  <c r="AG97" i="1"/>
  <c r="AE23" i="2" s="1"/>
  <c r="N97" i="1"/>
  <c r="M97" i="1"/>
  <c r="H97" i="1"/>
  <c r="G97" i="1"/>
  <c r="BD96" i="1"/>
  <c r="BD98" i="1" s="1"/>
  <c r="BC96" i="1"/>
  <c r="BC98" i="1" s="1"/>
  <c r="AZ96" i="1"/>
  <c r="N96" i="1"/>
  <c r="M96" i="1"/>
  <c r="H96" i="1"/>
  <c r="G96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B95" i="1"/>
  <c r="AD32" i="2" s="1"/>
  <c r="BA95" i="1"/>
  <c r="AD31" i="2" s="1"/>
  <c r="AY95" i="1"/>
  <c r="AX95" i="1"/>
  <c r="AW95" i="1"/>
  <c r="AV95" i="1"/>
  <c r="AU95" i="1"/>
  <c r="AT95" i="1"/>
  <c r="AS95" i="1"/>
  <c r="AR95" i="1"/>
  <c r="AQ95" i="1"/>
  <c r="AP95" i="1"/>
  <c r="AO95" i="1"/>
  <c r="AD28" i="2"/>
  <c r="AD27" i="2"/>
  <c r="AD26" i="2"/>
  <c r="AD17" i="2"/>
  <c r="AD16" i="2"/>
  <c r="AD15" i="2"/>
  <c r="AD14" i="2"/>
  <c r="AD13" i="2"/>
  <c r="AD12" i="2"/>
  <c r="AD8" i="2"/>
  <c r="AD7" i="2"/>
  <c r="AD3" i="2"/>
  <c r="D95" i="1"/>
  <c r="C95" i="1"/>
  <c r="AZ94" i="1"/>
  <c r="BQ94" i="1" s="1"/>
  <c r="AI94" i="1"/>
  <c r="AH94" i="1"/>
  <c r="AG94" i="1"/>
  <c r="N94" i="1"/>
  <c r="M94" i="1"/>
  <c r="H94" i="1"/>
  <c r="G94" i="1"/>
  <c r="BD93" i="1"/>
  <c r="BD95" i="1" s="1"/>
  <c r="BC93" i="1"/>
  <c r="BC95" i="1" s="1"/>
  <c r="AZ93" i="1"/>
  <c r="BQ93" i="1" s="1"/>
  <c r="AI93" i="1"/>
  <c r="AH93" i="1"/>
  <c r="AG93" i="1"/>
  <c r="N93" i="1"/>
  <c r="M93" i="1"/>
  <c r="H93" i="1"/>
  <c r="G93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B92" i="1"/>
  <c r="AC32" i="2" s="1"/>
  <c r="BA92" i="1"/>
  <c r="AC31" i="2" s="1"/>
  <c r="AY92" i="1"/>
  <c r="AX92" i="1"/>
  <c r="AW92" i="1"/>
  <c r="AV92" i="1"/>
  <c r="AU92" i="1"/>
  <c r="AT92" i="1"/>
  <c r="AS92" i="1"/>
  <c r="AR92" i="1"/>
  <c r="AQ92" i="1"/>
  <c r="AP92" i="1"/>
  <c r="AO92" i="1"/>
  <c r="AC28" i="2"/>
  <c r="AC27" i="2"/>
  <c r="AC26" i="2"/>
  <c r="AC17" i="2"/>
  <c r="AC16" i="2"/>
  <c r="AC15" i="2"/>
  <c r="AC14" i="2"/>
  <c r="AC13" i="2"/>
  <c r="AC12" i="2"/>
  <c r="AC8" i="2"/>
  <c r="AC7" i="2"/>
  <c r="AC3" i="2"/>
  <c r="D92" i="1"/>
  <c r="C92" i="1"/>
  <c r="AZ91" i="1"/>
  <c r="BQ91" i="1" s="1"/>
  <c r="AI91" i="1"/>
  <c r="AH91" i="1"/>
  <c r="AG91" i="1"/>
  <c r="N91" i="1"/>
  <c r="M91" i="1"/>
  <c r="H91" i="1"/>
  <c r="G91" i="1"/>
  <c r="BD90" i="1"/>
  <c r="BD92" i="1" s="1"/>
  <c r="BC90" i="1"/>
  <c r="BC92" i="1" s="1"/>
  <c r="AZ90" i="1"/>
  <c r="AI90" i="1"/>
  <c r="AH90" i="1"/>
  <c r="AG90" i="1"/>
  <c r="N90" i="1"/>
  <c r="M90" i="1"/>
  <c r="H90" i="1"/>
  <c r="G90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B89" i="1"/>
  <c r="AB32" i="2" s="1"/>
  <c r="BA89" i="1"/>
  <c r="AB31" i="2" s="1"/>
  <c r="AY89" i="1"/>
  <c r="AX89" i="1"/>
  <c r="AW89" i="1"/>
  <c r="AV89" i="1"/>
  <c r="AU89" i="1"/>
  <c r="AT89" i="1"/>
  <c r="AS89" i="1"/>
  <c r="AR89" i="1"/>
  <c r="AQ89" i="1"/>
  <c r="AP89" i="1"/>
  <c r="AO89" i="1"/>
  <c r="AB28" i="2"/>
  <c r="AB27" i="2"/>
  <c r="AB26" i="2"/>
  <c r="AB17" i="2"/>
  <c r="AB16" i="2"/>
  <c r="AB15" i="2"/>
  <c r="AB14" i="2"/>
  <c r="AB13" i="2"/>
  <c r="AB12" i="2"/>
  <c r="AB8" i="2"/>
  <c r="AB7" i="2"/>
  <c r="AB3" i="2"/>
  <c r="D89" i="1"/>
  <c r="C89" i="1"/>
  <c r="AZ88" i="1"/>
  <c r="AI88" i="1"/>
  <c r="AH88" i="1"/>
  <c r="AG88" i="1"/>
  <c r="N88" i="1"/>
  <c r="M88" i="1"/>
  <c r="H88" i="1"/>
  <c r="G88" i="1"/>
  <c r="BD87" i="1"/>
  <c r="BD89" i="1" s="1"/>
  <c r="BC87" i="1"/>
  <c r="BC89" i="1" s="1"/>
  <c r="AZ87" i="1"/>
  <c r="AI87" i="1"/>
  <c r="AH87" i="1"/>
  <c r="AG87" i="1"/>
  <c r="N87" i="1"/>
  <c r="M87" i="1"/>
  <c r="H87" i="1"/>
  <c r="G87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B86" i="1"/>
  <c r="AA32" i="2" s="1"/>
  <c r="BA86" i="1"/>
  <c r="AA31" i="2" s="1"/>
  <c r="AY86" i="1"/>
  <c r="AX86" i="1"/>
  <c r="AW86" i="1"/>
  <c r="AV86" i="1"/>
  <c r="AU86" i="1"/>
  <c r="AT86" i="1"/>
  <c r="AS86" i="1"/>
  <c r="AR86" i="1"/>
  <c r="AQ86" i="1"/>
  <c r="AP86" i="1"/>
  <c r="AO86" i="1"/>
  <c r="AA28" i="2"/>
  <c r="AA27" i="2"/>
  <c r="AA26" i="2"/>
  <c r="AA17" i="2"/>
  <c r="AA16" i="2"/>
  <c r="AA15" i="2"/>
  <c r="AA14" i="2"/>
  <c r="AA13" i="2"/>
  <c r="AA12" i="2"/>
  <c r="AA8" i="2"/>
  <c r="AA7" i="2"/>
  <c r="AA3" i="2"/>
  <c r="D86" i="1"/>
  <c r="C86" i="1"/>
  <c r="AZ85" i="1"/>
  <c r="AI85" i="1"/>
  <c r="AH85" i="1"/>
  <c r="AG85" i="1"/>
  <c r="N85" i="1"/>
  <c r="M85" i="1"/>
  <c r="H85" i="1"/>
  <c r="G85" i="1"/>
  <c r="BD84" i="1"/>
  <c r="BD86" i="1" s="1"/>
  <c r="BC84" i="1"/>
  <c r="BC86" i="1" s="1"/>
  <c r="AZ84" i="1"/>
  <c r="AI84" i="1"/>
  <c r="AH84" i="1"/>
  <c r="AG84" i="1"/>
  <c r="N84" i="1"/>
  <c r="M84" i="1"/>
  <c r="H84" i="1"/>
  <c r="G84" i="1"/>
  <c r="BP83" i="1"/>
  <c r="BO83" i="1"/>
  <c r="BN83" i="1"/>
  <c r="BM83" i="1"/>
  <c r="BL83" i="1"/>
  <c r="BK83" i="1"/>
  <c r="BJ83" i="1"/>
  <c r="BI83" i="1"/>
  <c r="BH83" i="1"/>
  <c r="BG83" i="1"/>
  <c r="BE83" i="1"/>
  <c r="BB83" i="1"/>
  <c r="Z32" i="2" s="1"/>
  <c r="AY83" i="1"/>
  <c r="AX83" i="1"/>
  <c r="AW83" i="1"/>
  <c r="AV83" i="1"/>
  <c r="AU83" i="1"/>
  <c r="AT83" i="1"/>
  <c r="AS83" i="1"/>
  <c r="AQ83" i="1"/>
  <c r="AP83" i="1"/>
  <c r="AO83" i="1"/>
  <c r="Z28" i="2"/>
  <c r="Z27" i="2"/>
  <c r="Z26" i="2"/>
  <c r="Z17" i="2"/>
  <c r="Z16" i="2"/>
  <c r="Z15" i="2"/>
  <c r="Z14" i="2"/>
  <c r="Z13" i="2"/>
  <c r="Z8" i="2"/>
  <c r="Z7" i="2"/>
  <c r="Z5" i="2"/>
  <c r="Z3" i="2"/>
  <c r="D83" i="1"/>
  <c r="C83" i="1"/>
  <c r="AZ82" i="1"/>
  <c r="AI82" i="1"/>
  <c r="AH82" i="1"/>
  <c r="AG82" i="1"/>
  <c r="P82" i="1"/>
  <c r="N82" i="1"/>
  <c r="M82" i="1"/>
  <c r="BD81" i="1"/>
  <c r="BD83" i="1" s="1"/>
  <c r="BC81" i="1"/>
  <c r="BC83" i="1" s="1"/>
  <c r="AZ81" i="1"/>
  <c r="BQ81" i="1" s="1"/>
  <c r="AI81" i="1"/>
  <c r="AH81" i="1"/>
  <c r="AG81" i="1"/>
  <c r="P81" i="1"/>
  <c r="Z12" i="2" s="1"/>
  <c r="N81" i="1"/>
  <c r="M81" i="1"/>
  <c r="Z6" i="2"/>
  <c r="BP80" i="1"/>
  <c r="BO80" i="1"/>
  <c r="BN80" i="1"/>
  <c r="BM80" i="1"/>
  <c r="BL80" i="1"/>
  <c r="BK80" i="1"/>
  <c r="BJ80" i="1"/>
  <c r="BI80" i="1"/>
  <c r="BH80" i="1"/>
  <c r="BG80" i="1"/>
  <c r="BF80" i="1"/>
  <c r="BE80" i="1"/>
  <c r="BB80" i="1"/>
  <c r="Y32" i="2" s="1"/>
  <c r="BA80" i="1"/>
  <c r="Y31" i="2" s="1"/>
  <c r="AY80" i="1"/>
  <c r="AX80" i="1"/>
  <c r="AW80" i="1"/>
  <c r="AV80" i="1"/>
  <c r="AU80" i="1"/>
  <c r="AT80" i="1"/>
  <c r="AS80" i="1"/>
  <c r="AR80" i="1"/>
  <c r="AQ80" i="1"/>
  <c r="AP80" i="1"/>
  <c r="AO80" i="1"/>
  <c r="Y26" i="2"/>
  <c r="Y17" i="2"/>
  <c r="Y8" i="2"/>
  <c r="Y5" i="2"/>
  <c r="Y3" i="2"/>
  <c r="D80" i="1"/>
  <c r="C80" i="1"/>
  <c r="AZ79" i="1"/>
  <c r="BQ79" i="1" s="1"/>
  <c r="AI79" i="1"/>
  <c r="AH79" i="1"/>
  <c r="AG79" i="1"/>
  <c r="W79" i="1"/>
  <c r="U79" i="1"/>
  <c r="T79" i="1"/>
  <c r="P79" i="1"/>
  <c r="N79" i="1"/>
  <c r="M79" i="1"/>
  <c r="BD78" i="1"/>
  <c r="BD80" i="1" s="1"/>
  <c r="BC78" i="1"/>
  <c r="BC80" i="1" s="1"/>
  <c r="AZ78" i="1"/>
  <c r="AI78" i="1"/>
  <c r="Y25" i="2" s="1"/>
  <c r="AH78" i="1"/>
  <c r="AG78" i="1"/>
  <c r="Y23" i="2" s="1"/>
  <c r="W78" i="1"/>
  <c r="Y16" i="2" s="1"/>
  <c r="U78" i="1"/>
  <c r="Y14" i="2" s="1"/>
  <c r="T78" i="1"/>
  <c r="Y13" i="2" s="1"/>
  <c r="P78" i="1"/>
  <c r="Y12" i="2" s="1"/>
  <c r="N78" i="1"/>
  <c r="Y10" i="2" s="1"/>
  <c r="M78" i="1"/>
  <c r="Y9" i="2" s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B77" i="1"/>
  <c r="X32" i="2" s="1"/>
  <c r="BA77" i="1"/>
  <c r="X31" i="2" s="1"/>
  <c r="AY77" i="1"/>
  <c r="AX77" i="1"/>
  <c r="AW77" i="1"/>
  <c r="AV77" i="1"/>
  <c r="AU77" i="1"/>
  <c r="AT77" i="1"/>
  <c r="AS77" i="1"/>
  <c r="AR77" i="1"/>
  <c r="AQ77" i="1"/>
  <c r="AP77" i="1"/>
  <c r="AO77" i="1"/>
  <c r="X28" i="2"/>
  <c r="X26" i="2"/>
  <c r="X17" i="2"/>
  <c r="X16" i="2"/>
  <c r="X15" i="2"/>
  <c r="X14" i="2"/>
  <c r="X13" i="2"/>
  <c r="X12" i="2"/>
  <c r="X8" i="2"/>
  <c r="X7" i="2"/>
  <c r="X5" i="2"/>
  <c r="X3" i="2"/>
  <c r="D77" i="1"/>
  <c r="C77" i="1"/>
  <c r="AZ76" i="1"/>
  <c r="AI76" i="1"/>
  <c r="AH76" i="1"/>
  <c r="AG76" i="1"/>
  <c r="N76" i="1"/>
  <c r="M76" i="1"/>
  <c r="BD75" i="1"/>
  <c r="BD77" i="1" s="1"/>
  <c r="BC75" i="1"/>
  <c r="BC77" i="1" s="1"/>
  <c r="AZ75" i="1"/>
  <c r="AI75" i="1"/>
  <c r="AH75" i="1"/>
  <c r="AG75" i="1"/>
  <c r="N75" i="1"/>
  <c r="M75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B74" i="1"/>
  <c r="W32" i="2" s="1"/>
  <c r="BA74" i="1"/>
  <c r="W31" i="2" s="1"/>
  <c r="AY74" i="1"/>
  <c r="AX74" i="1"/>
  <c r="AW74" i="1"/>
  <c r="AV74" i="1"/>
  <c r="AU74" i="1"/>
  <c r="AT74" i="1"/>
  <c r="AS74" i="1"/>
  <c r="AQ74" i="1"/>
  <c r="AP74" i="1"/>
  <c r="AO74" i="1"/>
  <c r="W28" i="2"/>
  <c r="W27" i="2"/>
  <c r="W26" i="2"/>
  <c r="W17" i="2"/>
  <c r="W16" i="2"/>
  <c r="W15" i="2"/>
  <c r="W14" i="2"/>
  <c r="W13" i="2"/>
  <c r="W12" i="2"/>
  <c r="W8" i="2"/>
  <c r="W7" i="2"/>
  <c r="W5" i="2"/>
  <c r="W3" i="2"/>
  <c r="D74" i="1"/>
  <c r="C74" i="1"/>
  <c r="BD73" i="1"/>
  <c r="BC73" i="1"/>
  <c r="AZ73" i="1"/>
  <c r="AI73" i="1"/>
  <c r="AH73" i="1"/>
  <c r="AG73" i="1"/>
  <c r="N73" i="1"/>
  <c r="M73" i="1"/>
  <c r="BD72" i="1"/>
  <c r="BC72" i="1"/>
  <c r="AZ72" i="1"/>
  <c r="AI72" i="1"/>
  <c r="AH72" i="1"/>
  <c r="AG72" i="1"/>
  <c r="N72" i="1"/>
  <c r="M72" i="1"/>
  <c r="W6" i="2"/>
  <c r="BP71" i="1"/>
  <c r="BO71" i="1"/>
  <c r="BN71" i="1"/>
  <c r="BM71" i="1"/>
  <c r="BL71" i="1"/>
  <c r="BK71" i="1"/>
  <c r="BJ71" i="1"/>
  <c r="BI71" i="1"/>
  <c r="BH71" i="1"/>
  <c r="BG71" i="1"/>
  <c r="BF71" i="1"/>
  <c r="BE71" i="1"/>
  <c r="BB71" i="1"/>
  <c r="V32" i="2" s="1"/>
  <c r="BA71" i="1"/>
  <c r="V31" i="2" s="1"/>
  <c r="AY71" i="1"/>
  <c r="AX71" i="1"/>
  <c r="AW71" i="1"/>
  <c r="AV71" i="1"/>
  <c r="AU71" i="1"/>
  <c r="AT71" i="1"/>
  <c r="AS71" i="1"/>
  <c r="AR71" i="1"/>
  <c r="AQ71" i="1"/>
  <c r="AP71" i="1"/>
  <c r="AO71" i="1"/>
  <c r="V28" i="2"/>
  <c r="V27" i="2"/>
  <c r="V26" i="2"/>
  <c r="V17" i="2"/>
  <c r="V16" i="2"/>
  <c r="V15" i="2"/>
  <c r="V14" i="2"/>
  <c r="V13" i="2"/>
  <c r="V12" i="2"/>
  <c r="V8" i="2"/>
  <c r="V7" i="2"/>
  <c r="V3" i="2"/>
  <c r="D71" i="1"/>
  <c r="C71" i="1"/>
  <c r="AZ70" i="1"/>
  <c r="AI70" i="1"/>
  <c r="AH70" i="1"/>
  <c r="AG70" i="1"/>
  <c r="N70" i="1"/>
  <c r="M70" i="1"/>
  <c r="H70" i="1"/>
  <c r="G70" i="1"/>
  <c r="BD69" i="1"/>
  <c r="BD71" i="1" s="1"/>
  <c r="BC69" i="1"/>
  <c r="BC71" i="1" s="1"/>
  <c r="AZ69" i="1"/>
  <c r="AI69" i="1"/>
  <c r="AH69" i="1"/>
  <c r="V24" i="2" s="1"/>
  <c r="AG69" i="1"/>
  <c r="N69" i="1"/>
  <c r="M69" i="1"/>
  <c r="H69" i="1"/>
  <c r="V6" i="2" s="1"/>
  <c r="G69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B68" i="1"/>
  <c r="U32" i="2" s="1"/>
  <c r="BA68" i="1"/>
  <c r="U31" i="2" s="1"/>
  <c r="AY68" i="1"/>
  <c r="AX68" i="1"/>
  <c r="AW68" i="1"/>
  <c r="AV68" i="1"/>
  <c r="AU68" i="1"/>
  <c r="AT68" i="1"/>
  <c r="AS68" i="1"/>
  <c r="AR68" i="1"/>
  <c r="AQ68" i="1"/>
  <c r="AP68" i="1"/>
  <c r="AO68" i="1"/>
  <c r="U28" i="2"/>
  <c r="U27" i="2"/>
  <c r="U26" i="2"/>
  <c r="U17" i="2"/>
  <c r="U16" i="2"/>
  <c r="U15" i="2"/>
  <c r="U14" i="2"/>
  <c r="U13" i="2"/>
  <c r="U12" i="2"/>
  <c r="U8" i="2"/>
  <c r="U7" i="2"/>
  <c r="U3" i="2"/>
  <c r="D68" i="1"/>
  <c r="C68" i="1"/>
  <c r="AZ67" i="1"/>
  <c r="AI67" i="1"/>
  <c r="AH67" i="1"/>
  <c r="AG67" i="1"/>
  <c r="N67" i="1"/>
  <c r="M67" i="1"/>
  <c r="H67" i="1"/>
  <c r="G67" i="1"/>
  <c r="BD66" i="1"/>
  <c r="BD68" i="1" s="1"/>
  <c r="BC66" i="1"/>
  <c r="AZ66" i="1"/>
  <c r="AI66" i="1"/>
  <c r="AH66" i="1"/>
  <c r="AG66" i="1"/>
  <c r="N66" i="1"/>
  <c r="M66" i="1"/>
  <c r="H66" i="1"/>
  <c r="G66" i="1"/>
  <c r="BP65" i="1"/>
  <c r="BO65" i="1"/>
  <c r="BN65" i="1"/>
  <c r="BM65" i="1"/>
  <c r="BL65" i="1"/>
  <c r="BK65" i="1"/>
  <c r="BJ65" i="1"/>
  <c r="BI65" i="1"/>
  <c r="BH65" i="1"/>
  <c r="BF65" i="1"/>
  <c r="BE65" i="1"/>
  <c r="BB65" i="1"/>
  <c r="T32" i="2" s="1"/>
  <c r="BA65" i="1"/>
  <c r="T31" i="2" s="1"/>
  <c r="AY65" i="1"/>
  <c r="AX65" i="1"/>
  <c r="AW65" i="1"/>
  <c r="AV65" i="1"/>
  <c r="AU65" i="1"/>
  <c r="AT65" i="1"/>
  <c r="AS65" i="1"/>
  <c r="AR65" i="1"/>
  <c r="AQ65" i="1"/>
  <c r="AP65" i="1"/>
  <c r="AO65" i="1"/>
  <c r="T28" i="2"/>
  <c r="T27" i="2"/>
  <c r="T26" i="2"/>
  <c r="T17" i="2"/>
  <c r="T16" i="2"/>
  <c r="T15" i="2"/>
  <c r="T14" i="2"/>
  <c r="T13" i="2"/>
  <c r="T12" i="2"/>
  <c r="T8" i="2"/>
  <c r="T7" i="2"/>
  <c r="T3" i="2"/>
  <c r="D65" i="1"/>
  <c r="C65" i="1"/>
  <c r="AZ64" i="1"/>
  <c r="AZ65" i="1" s="1"/>
  <c r="T30" i="2" s="1"/>
  <c r="AI64" i="1"/>
  <c r="AH64" i="1"/>
  <c r="AG64" i="1"/>
  <c r="N64" i="1"/>
  <c r="M64" i="1"/>
  <c r="H64" i="1"/>
  <c r="G64" i="1"/>
  <c r="BD63" i="1"/>
  <c r="BD65" i="1" s="1"/>
  <c r="BC63" i="1"/>
  <c r="AZ63" i="1"/>
  <c r="AI63" i="1"/>
  <c r="AH63" i="1"/>
  <c r="AG63" i="1"/>
  <c r="N63" i="1"/>
  <c r="M63" i="1"/>
  <c r="H63" i="1"/>
  <c r="G63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B62" i="1"/>
  <c r="S32" i="2" s="1"/>
  <c r="BA62" i="1"/>
  <c r="S31" i="2" s="1"/>
  <c r="AY62" i="1"/>
  <c r="AX62" i="1"/>
  <c r="AW62" i="1"/>
  <c r="AV62" i="1"/>
  <c r="AU62" i="1"/>
  <c r="AT62" i="1"/>
  <c r="AS62" i="1"/>
  <c r="AR62" i="1"/>
  <c r="AQ62" i="1"/>
  <c r="AP62" i="1"/>
  <c r="AO62" i="1"/>
  <c r="S28" i="2"/>
  <c r="S26" i="2"/>
  <c r="S17" i="2"/>
  <c r="S16" i="2"/>
  <c r="S8" i="2"/>
  <c r="S7" i="2"/>
  <c r="S5" i="2"/>
  <c r="S3" i="2"/>
  <c r="D62" i="1"/>
  <c r="C62" i="1"/>
  <c r="AZ61" i="1"/>
  <c r="AI61" i="1"/>
  <c r="AH61" i="1"/>
  <c r="AG61" i="1"/>
  <c r="W61" i="1"/>
  <c r="U61" i="1"/>
  <c r="S14" i="2" s="1"/>
  <c r="T61" i="1"/>
  <c r="V61" i="1" s="1"/>
  <c r="S15" i="2" s="1"/>
  <c r="P61" i="1"/>
  <c r="S12" i="2" s="1"/>
  <c r="N61" i="1"/>
  <c r="M61" i="1"/>
  <c r="H61" i="1"/>
  <c r="BD60" i="1"/>
  <c r="BD62" i="1" s="1"/>
  <c r="BC60" i="1"/>
  <c r="BC62" i="1" s="1"/>
  <c r="AZ60" i="1"/>
  <c r="AI60" i="1"/>
  <c r="AH60" i="1"/>
  <c r="AG60" i="1"/>
  <c r="N60" i="1"/>
  <c r="M60" i="1"/>
  <c r="H60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B59" i="1"/>
  <c r="BA59" i="1"/>
  <c r="R31" i="2" s="1"/>
  <c r="AY59" i="1"/>
  <c r="AX59" i="1"/>
  <c r="AW59" i="1"/>
  <c r="AV59" i="1"/>
  <c r="AU59" i="1"/>
  <c r="AT59" i="1"/>
  <c r="AS59" i="1"/>
  <c r="AR59" i="1"/>
  <c r="AQ59" i="1"/>
  <c r="AP59" i="1"/>
  <c r="AO59" i="1"/>
  <c r="R28" i="2"/>
  <c r="R27" i="2"/>
  <c r="R26" i="2"/>
  <c r="R17" i="2"/>
  <c r="R8" i="2"/>
  <c r="R7" i="2"/>
  <c r="R5" i="2"/>
  <c r="R3" i="2"/>
  <c r="D59" i="1"/>
  <c r="C59" i="1"/>
  <c r="AZ58" i="1"/>
  <c r="BQ58" i="1" s="1"/>
  <c r="AI58" i="1"/>
  <c r="AH58" i="1"/>
  <c r="AG58" i="1"/>
  <c r="W58" i="1"/>
  <c r="U58" i="1"/>
  <c r="T58" i="1"/>
  <c r="R13" i="2" s="1"/>
  <c r="P58" i="1"/>
  <c r="O58" i="1" s="1"/>
  <c r="H58" i="1"/>
  <c r="BD57" i="1"/>
  <c r="BD59" i="1" s="1"/>
  <c r="BC57" i="1"/>
  <c r="BC59" i="1" s="1"/>
  <c r="AZ57" i="1"/>
  <c r="AI57" i="1"/>
  <c r="AH57" i="1"/>
  <c r="AG57" i="1"/>
  <c r="W57" i="1"/>
  <c r="U57" i="1"/>
  <c r="T57" i="1"/>
  <c r="V57" i="1" s="1"/>
  <c r="R12" i="2"/>
  <c r="H57" i="1"/>
  <c r="BP56" i="1"/>
  <c r="BO56" i="1"/>
  <c r="BN56" i="1"/>
  <c r="BN108" i="1" s="1"/>
  <c r="BN109" i="1" s="1"/>
  <c r="BM56" i="1"/>
  <c r="BL56" i="1"/>
  <c r="BK56" i="1"/>
  <c r="BJ56" i="1"/>
  <c r="BI56" i="1"/>
  <c r="BH56" i="1"/>
  <c r="BG56" i="1"/>
  <c r="BF56" i="1"/>
  <c r="BE56" i="1"/>
  <c r="BB56" i="1"/>
  <c r="Q32" i="2" s="1"/>
  <c r="BA56" i="1"/>
  <c r="Q31" i="2" s="1"/>
  <c r="AY56" i="1"/>
  <c r="AX56" i="1"/>
  <c r="AW56" i="1"/>
  <c r="AV56" i="1"/>
  <c r="AU56" i="1"/>
  <c r="AT56" i="1"/>
  <c r="AS56" i="1"/>
  <c r="AR56" i="1"/>
  <c r="AQ56" i="1"/>
  <c r="AP56" i="1"/>
  <c r="AO56" i="1"/>
  <c r="Q28" i="2"/>
  <c r="Q27" i="2"/>
  <c r="Q26" i="2"/>
  <c r="Q17" i="2"/>
  <c r="Q16" i="2"/>
  <c r="Q15" i="2"/>
  <c r="Q14" i="2"/>
  <c r="Q13" i="2"/>
  <c r="Q12" i="2"/>
  <c r="Q8" i="2"/>
  <c r="Q7" i="2"/>
  <c r="Q3" i="2"/>
  <c r="D56" i="1"/>
  <c r="C56" i="1"/>
  <c r="AZ55" i="1"/>
  <c r="BQ55" i="1" s="1"/>
  <c r="N55" i="1"/>
  <c r="M55" i="1"/>
  <c r="H55" i="1"/>
  <c r="G55" i="1"/>
  <c r="BD54" i="1"/>
  <c r="BD56" i="1" s="1"/>
  <c r="BC54" i="1"/>
  <c r="BC56" i="1" s="1"/>
  <c r="AZ54" i="1"/>
  <c r="AI54" i="1"/>
  <c r="Q25" i="2" s="1"/>
  <c r="AH54" i="1"/>
  <c r="Q24" i="2" s="1"/>
  <c r="AG54" i="1"/>
  <c r="Q23" i="2" s="1"/>
  <c r="N54" i="1"/>
  <c r="M54" i="1"/>
  <c r="H54" i="1"/>
  <c r="G54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B53" i="1"/>
  <c r="P32" i="2" s="1"/>
  <c r="BA53" i="1"/>
  <c r="P31" i="2" s="1"/>
  <c r="AY53" i="1"/>
  <c r="AX53" i="1"/>
  <c r="AW53" i="1"/>
  <c r="AV53" i="1"/>
  <c r="AU53" i="1"/>
  <c r="AT53" i="1"/>
  <c r="AS53" i="1"/>
  <c r="AR53" i="1"/>
  <c r="AP53" i="1"/>
  <c r="AO53" i="1"/>
  <c r="P28" i="2"/>
  <c r="P27" i="2"/>
  <c r="P26" i="2"/>
  <c r="P17" i="2"/>
  <c r="P16" i="2"/>
  <c r="P15" i="2"/>
  <c r="P14" i="2"/>
  <c r="P13" i="2"/>
  <c r="P12" i="2"/>
  <c r="P8" i="2"/>
  <c r="P7" i="2"/>
  <c r="P3" i="2"/>
  <c r="D53" i="1"/>
  <c r="C53" i="1"/>
  <c r="AZ52" i="1"/>
  <c r="AI52" i="1"/>
  <c r="AH52" i="1"/>
  <c r="AG52" i="1"/>
  <c r="N52" i="1"/>
  <c r="M52" i="1"/>
  <c r="H52" i="1"/>
  <c r="G52" i="1"/>
  <c r="BD51" i="1"/>
  <c r="BD53" i="1" s="1"/>
  <c r="BC51" i="1"/>
  <c r="AZ51" i="1"/>
  <c r="AI51" i="1"/>
  <c r="AH51" i="1"/>
  <c r="AG51" i="1"/>
  <c r="N51" i="1"/>
  <c r="M51" i="1"/>
  <c r="H51" i="1"/>
  <c r="G51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B50" i="1"/>
  <c r="O32" i="2" s="1"/>
  <c r="BA50" i="1"/>
  <c r="O31" i="2" s="1"/>
  <c r="AY50" i="1"/>
  <c r="AX50" i="1"/>
  <c r="AW50" i="1"/>
  <c r="AV50" i="1"/>
  <c r="AU50" i="1"/>
  <c r="AT50" i="1"/>
  <c r="AS50" i="1"/>
  <c r="AR50" i="1"/>
  <c r="AQ50" i="1"/>
  <c r="AP50" i="1"/>
  <c r="AO50" i="1"/>
  <c r="O28" i="2"/>
  <c r="O27" i="2"/>
  <c r="O26" i="2"/>
  <c r="O17" i="2"/>
  <c r="O16" i="2"/>
  <c r="O15" i="2"/>
  <c r="O14" i="2"/>
  <c r="O13" i="2"/>
  <c r="O12" i="2"/>
  <c r="O8" i="2"/>
  <c r="O7" i="2"/>
  <c r="O5" i="2"/>
  <c r="O3" i="2"/>
  <c r="D50" i="1"/>
  <c r="C50" i="1"/>
  <c r="AZ49" i="1"/>
  <c r="AI49" i="1"/>
  <c r="AH49" i="1"/>
  <c r="AG49" i="1"/>
  <c r="N49" i="1"/>
  <c r="M49" i="1"/>
  <c r="H49" i="1"/>
  <c r="BD48" i="1"/>
  <c r="BD50" i="1" s="1"/>
  <c r="BC48" i="1"/>
  <c r="BC50" i="1" s="1"/>
  <c r="AZ48" i="1"/>
  <c r="AI48" i="1"/>
  <c r="AH48" i="1"/>
  <c r="AG48" i="1"/>
  <c r="N48" i="1"/>
  <c r="M48" i="1"/>
  <c r="H48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B47" i="1"/>
  <c r="N32" i="2" s="1"/>
  <c r="BA47" i="1"/>
  <c r="N31" i="2" s="1"/>
  <c r="AY47" i="1"/>
  <c r="AX47" i="1"/>
  <c r="AW47" i="1"/>
  <c r="AV47" i="1"/>
  <c r="AU47" i="1"/>
  <c r="AT47" i="1"/>
  <c r="AS47" i="1"/>
  <c r="AR47" i="1"/>
  <c r="AQ47" i="1"/>
  <c r="AP47" i="1"/>
  <c r="AO47" i="1"/>
  <c r="N28" i="2"/>
  <c r="N27" i="2"/>
  <c r="N26" i="2"/>
  <c r="N17" i="2"/>
  <c r="N16" i="2"/>
  <c r="N15" i="2"/>
  <c r="N14" i="2"/>
  <c r="N13" i="2"/>
  <c r="N12" i="2"/>
  <c r="N8" i="2"/>
  <c r="N7" i="2"/>
  <c r="N3" i="2"/>
  <c r="D47" i="1"/>
  <c r="C47" i="1"/>
  <c r="AZ46" i="1"/>
  <c r="AI46" i="1"/>
  <c r="AH46" i="1"/>
  <c r="AG46" i="1"/>
  <c r="N46" i="1"/>
  <c r="M46" i="1"/>
  <c r="H46" i="1"/>
  <c r="G46" i="1"/>
  <c r="N5" i="2" s="1"/>
  <c r="BD45" i="1"/>
  <c r="BD47" i="1" s="1"/>
  <c r="BC45" i="1"/>
  <c r="BC47" i="1" s="1"/>
  <c r="AZ45" i="1"/>
  <c r="AI45" i="1"/>
  <c r="AH45" i="1"/>
  <c r="AG45" i="1"/>
  <c r="N45" i="1"/>
  <c r="M45" i="1"/>
  <c r="H45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B44" i="1"/>
  <c r="M32" i="2" s="1"/>
  <c r="BA44" i="1"/>
  <c r="M31" i="2" s="1"/>
  <c r="AY44" i="1"/>
  <c r="AX44" i="1"/>
  <c r="AW44" i="1"/>
  <c r="AV44" i="1"/>
  <c r="AU44" i="1"/>
  <c r="AT44" i="1"/>
  <c r="AS44" i="1"/>
  <c r="AR44" i="1"/>
  <c r="AQ44" i="1"/>
  <c r="AP44" i="1"/>
  <c r="AO44" i="1"/>
  <c r="M27" i="2"/>
  <c r="M26" i="2"/>
  <c r="M17" i="2"/>
  <c r="M16" i="2"/>
  <c r="M15" i="2"/>
  <c r="M14" i="2"/>
  <c r="M13" i="2"/>
  <c r="M12" i="2"/>
  <c r="M8" i="2"/>
  <c r="M7" i="2"/>
  <c r="M3" i="2"/>
  <c r="D44" i="1"/>
  <c r="C44" i="1"/>
  <c r="AZ43" i="1"/>
  <c r="AI43" i="1"/>
  <c r="AH43" i="1"/>
  <c r="AG43" i="1"/>
  <c r="N43" i="1"/>
  <c r="M43" i="1"/>
  <c r="H43" i="1"/>
  <c r="G43" i="1"/>
  <c r="BD42" i="1"/>
  <c r="BD44" i="1" s="1"/>
  <c r="BC42" i="1"/>
  <c r="BC44" i="1" s="1"/>
  <c r="AZ42" i="1"/>
  <c r="AI42" i="1"/>
  <c r="AH42" i="1"/>
  <c r="AG42" i="1"/>
  <c r="N42" i="1"/>
  <c r="M42" i="1"/>
  <c r="H42" i="1"/>
  <c r="G42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B41" i="1"/>
  <c r="L32" i="2" s="1"/>
  <c r="BA41" i="1"/>
  <c r="AY41" i="1"/>
  <c r="AX41" i="1"/>
  <c r="AW41" i="1"/>
  <c r="AV41" i="1"/>
  <c r="AU41" i="1"/>
  <c r="AT41" i="1"/>
  <c r="AS41" i="1"/>
  <c r="AR41" i="1"/>
  <c r="AQ41" i="1"/>
  <c r="AP41" i="1"/>
  <c r="AO41" i="1"/>
  <c r="L28" i="2"/>
  <c r="L27" i="2"/>
  <c r="L26" i="2"/>
  <c r="L17" i="2"/>
  <c r="L16" i="2"/>
  <c r="L15" i="2"/>
  <c r="L14" i="2"/>
  <c r="L13" i="2"/>
  <c r="L12" i="2"/>
  <c r="L8" i="2"/>
  <c r="L7" i="2"/>
  <c r="L3" i="2"/>
  <c r="D41" i="1"/>
  <c r="C41" i="1"/>
  <c r="AZ40" i="1"/>
  <c r="AZ41" i="1" s="1"/>
  <c r="L30" i="2" s="1"/>
  <c r="N40" i="1"/>
  <c r="M40" i="1"/>
  <c r="H40" i="1"/>
  <c r="G40" i="1"/>
  <c r="BD39" i="1"/>
  <c r="BD41" i="1" s="1"/>
  <c r="BC39" i="1"/>
  <c r="AZ39" i="1"/>
  <c r="L25" i="2"/>
  <c r="L23" i="2"/>
  <c r="N39" i="1"/>
  <c r="M39" i="1"/>
  <c r="H39" i="1"/>
  <c r="G39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B38" i="1"/>
  <c r="K32" i="2" s="1"/>
  <c r="BA38" i="1"/>
  <c r="K31" i="2" s="1"/>
  <c r="AY38" i="1"/>
  <c r="AX38" i="1"/>
  <c r="AW38" i="1"/>
  <c r="AV38" i="1"/>
  <c r="AU38" i="1"/>
  <c r="AT38" i="1"/>
  <c r="AS38" i="1"/>
  <c r="AR38" i="1"/>
  <c r="AQ38" i="1"/>
  <c r="AP38" i="1"/>
  <c r="AO38" i="1"/>
  <c r="K26" i="2"/>
  <c r="K17" i="2"/>
  <c r="K8" i="2"/>
  <c r="K7" i="2"/>
  <c r="K3" i="2"/>
  <c r="D38" i="1"/>
  <c r="C38" i="1"/>
  <c r="AZ37" i="1"/>
  <c r="K27" i="2"/>
  <c r="AI37" i="1"/>
  <c r="AH37" i="1"/>
  <c r="AG37" i="1"/>
  <c r="W37" i="1"/>
  <c r="U37" i="1"/>
  <c r="T37" i="1"/>
  <c r="P37" i="1"/>
  <c r="K12" i="2" s="1"/>
  <c r="N37" i="1"/>
  <c r="M37" i="1"/>
  <c r="H37" i="1"/>
  <c r="G37" i="1"/>
  <c r="BD36" i="1"/>
  <c r="BD38" i="1" s="1"/>
  <c r="BC36" i="1"/>
  <c r="BC38" i="1" s="1"/>
  <c r="AZ36" i="1"/>
  <c r="AI36" i="1"/>
  <c r="K25" i="2" s="1"/>
  <c r="AH36" i="1"/>
  <c r="AG36" i="1"/>
  <c r="W36" i="1"/>
  <c r="K16" i="2" s="1"/>
  <c r="U36" i="1"/>
  <c r="K14" i="2" s="1"/>
  <c r="T36" i="1"/>
  <c r="P36" i="1"/>
  <c r="N36" i="1"/>
  <c r="M36" i="1"/>
  <c r="H36" i="1"/>
  <c r="G36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B35" i="1"/>
  <c r="J32" i="2" s="1"/>
  <c r="BA35" i="1"/>
  <c r="J31" i="2" s="1"/>
  <c r="AY35" i="1"/>
  <c r="AX35" i="1"/>
  <c r="AW35" i="1"/>
  <c r="AV35" i="1"/>
  <c r="AU35" i="1"/>
  <c r="AT35" i="1"/>
  <c r="AS35" i="1"/>
  <c r="AR35" i="1"/>
  <c r="AQ35" i="1"/>
  <c r="AP35" i="1"/>
  <c r="AO35" i="1"/>
  <c r="J28" i="2"/>
  <c r="J27" i="2"/>
  <c r="J26" i="2"/>
  <c r="J17" i="2"/>
  <c r="J16" i="2"/>
  <c r="J15" i="2"/>
  <c r="J14" i="2"/>
  <c r="J13" i="2"/>
  <c r="J12" i="2"/>
  <c r="J8" i="2"/>
  <c r="J7" i="2"/>
  <c r="J3" i="2"/>
  <c r="D35" i="1"/>
  <c r="C35" i="1"/>
  <c r="AZ34" i="1"/>
  <c r="AI34" i="1"/>
  <c r="AH34" i="1"/>
  <c r="AG34" i="1"/>
  <c r="N34" i="1"/>
  <c r="M34" i="1"/>
  <c r="H34" i="1"/>
  <c r="G34" i="1"/>
  <c r="BD33" i="1"/>
  <c r="BC33" i="1"/>
  <c r="AZ33" i="1"/>
  <c r="AI33" i="1"/>
  <c r="AH33" i="1"/>
  <c r="AG33" i="1"/>
  <c r="N33" i="1"/>
  <c r="M33" i="1"/>
  <c r="H33" i="1"/>
  <c r="G33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B32" i="1"/>
  <c r="I32" i="2" s="1"/>
  <c r="BA32" i="1"/>
  <c r="I31" i="2" s="1"/>
  <c r="AY32" i="1"/>
  <c r="AX32" i="1"/>
  <c r="AW32" i="1"/>
  <c r="AV32" i="1"/>
  <c r="AU32" i="1"/>
  <c r="AT32" i="1"/>
  <c r="AS32" i="1"/>
  <c r="AR32" i="1"/>
  <c r="AQ32" i="1"/>
  <c r="AO32" i="1"/>
  <c r="I27" i="2"/>
  <c r="I26" i="2"/>
  <c r="I25" i="2"/>
  <c r="I23" i="2"/>
  <c r="I17" i="2"/>
  <c r="I16" i="2"/>
  <c r="I15" i="2"/>
  <c r="I14" i="2"/>
  <c r="I13" i="2"/>
  <c r="I12" i="2"/>
  <c r="I8" i="2"/>
  <c r="I7" i="2"/>
  <c r="I3" i="2"/>
  <c r="D32" i="1"/>
  <c r="C32" i="1"/>
  <c r="AZ31" i="1"/>
  <c r="N31" i="1"/>
  <c r="M31" i="1"/>
  <c r="H31" i="1"/>
  <c r="G31" i="1"/>
  <c r="BD30" i="1"/>
  <c r="BD32" i="1" s="1"/>
  <c r="BC30" i="1"/>
  <c r="BC32" i="1" s="1"/>
  <c r="AZ30" i="1"/>
  <c r="N30" i="1"/>
  <c r="M30" i="1"/>
  <c r="H30" i="1"/>
  <c r="G30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B29" i="1"/>
  <c r="H32" i="2" s="1"/>
  <c r="BA29" i="1"/>
  <c r="H31" i="2" s="1"/>
  <c r="AY29" i="1"/>
  <c r="AX29" i="1"/>
  <c r="AW29" i="1"/>
  <c r="AV29" i="1"/>
  <c r="AU29" i="1"/>
  <c r="AT29" i="1"/>
  <c r="AS29" i="1"/>
  <c r="AR29" i="1"/>
  <c r="AQ29" i="1"/>
  <c r="AO29" i="1"/>
  <c r="H28" i="2"/>
  <c r="H27" i="2"/>
  <c r="H26" i="2"/>
  <c r="H17" i="2"/>
  <c r="H16" i="2"/>
  <c r="H15" i="2"/>
  <c r="H14" i="2"/>
  <c r="H13" i="2"/>
  <c r="H12" i="2"/>
  <c r="H8" i="2"/>
  <c r="H7" i="2"/>
  <c r="H5" i="2"/>
  <c r="H3" i="2"/>
  <c r="D29" i="1"/>
  <c r="C29" i="1"/>
  <c r="BD28" i="1"/>
  <c r="AZ28" i="1"/>
  <c r="AI28" i="1"/>
  <c r="AH28" i="1"/>
  <c r="AG28" i="1"/>
  <c r="N28" i="1"/>
  <c r="M28" i="1"/>
  <c r="H28" i="1"/>
  <c r="BD27" i="1"/>
  <c r="BC27" i="1"/>
  <c r="AZ27" i="1"/>
  <c r="AI27" i="1"/>
  <c r="AH27" i="1"/>
  <c r="AG27" i="1"/>
  <c r="N27" i="1"/>
  <c r="M27" i="1"/>
  <c r="H27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B26" i="1"/>
  <c r="G32" i="2" s="1"/>
  <c r="BA26" i="1"/>
  <c r="G31" i="2" s="1"/>
  <c r="AY26" i="1"/>
  <c r="AX26" i="1"/>
  <c r="AW26" i="1"/>
  <c r="AV26" i="1"/>
  <c r="AU26" i="1"/>
  <c r="AT26" i="1"/>
  <c r="AS26" i="1"/>
  <c r="AR26" i="1"/>
  <c r="AQ26" i="1"/>
  <c r="AP26" i="1"/>
  <c r="AO26" i="1"/>
  <c r="G28" i="2"/>
  <c r="G27" i="2"/>
  <c r="G17" i="2"/>
  <c r="G16" i="2"/>
  <c r="G15" i="2"/>
  <c r="G14" i="2"/>
  <c r="G13" i="2"/>
  <c r="G12" i="2"/>
  <c r="G8" i="2"/>
  <c r="G7" i="2"/>
  <c r="G3" i="2"/>
  <c r="D26" i="1"/>
  <c r="C26" i="1"/>
  <c r="BD25" i="1"/>
  <c r="BC25" i="1"/>
  <c r="AI25" i="1"/>
  <c r="AH25" i="1"/>
  <c r="AG25" i="1"/>
  <c r="N25" i="1"/>
  <c r="M25" i="1"/>
  <c r="H25" i="1"/>
  <c r="G25" i="1"/>
  <c r="BD24" i="1"/>
  <c r="BC24" i="1"/>
  <c r="AZ24" i="1"/>
  <c r="AZ26" i="1" s="1"/>
  <c r="G30" i="2" s="1"/>
  <c r="AI24" i="1"/>
  <c r="AH24" i="1"/>
  <c r="AG24" i="1"/>
  <c r="N24" i="1"/>
  <c r="M24" i="1"/>
  <c r="H24" i="1"/>
  <c r="G24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B23" i="1"/>
  <c r="F32" i="2" s="1"/>
  <c r="AY23" i="1"/>
  <c r="AX23" i="1"/>
  <c r="AW23" i="1"/>
  <c r="AV23" i="1"/>
  <c r="AU23" i="1"/>
  <c r="AT23" i="1"/>
  <c r="AS23" i="1"/>
  <c r="AR23" i="1"/>
  <c r="AQ23" i="1"/>
  <c r="AP23" i="1"/>
  <c r="AO23" i="1"/>
  <c r="F17" i="2"/>
  <c r="F16" i="2"/>
  <c r="F15" i="2"/>
  <c r="F14" i="2"/>
  <c r="F13" i="2"/>
  <c r="F12" i="2"/>
  <c r="F9" i="2"/>
  <c r="F8" i="2"/>
  <c r="F7" i="2"/>
  <c r="F3" i="2"/>
  <c r="D23" i="1"/>
  <c r="C23" i="1"/>
  <c r="AZ22" i="1"/>
  <c r="AI22" i="1"/>
  <c r="AH22" i="1"/>
  <c r="AG22" i="1"/>
  <c r="O22" i="1"/>
  <c r="H22" i="1"/>
  <c r="G22" i="1"/>
  <c r="BD21" i="1"/>
  <c r="BD23" i="1" s="1"/>
  <c r="BC21" i="1"/>
  <c r="BC23" i="1" s="1"/>
  <c r="AZ21" i="1"/>
  <c r="AI21" i="1"/>
  <c r="AH21" i="1"/>
  <c r="AG21" i="1"/>
  <c r="H21" i="1"/>
  <c r="F6" i="2" s="1"/>
  <c r="G21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B20" i="1"/>
  <c r="E32" i="2" s="1"/>
  <c r="BA20" i="1"/>
  <c r="E31" i="2" s="1"/>
  <c r="AY20" i="1"/>
  <c r="AX20" i="1"/>
  <c r="AW20" i="1"/>
  <c r="AV20" i="1"/>
  <c r="AU20" i="1"/>
  <c r="AT20" i="1"/>
  <c r="AS20" i="1"/>
  <c r="AR20" i="1"/>
  <c r="AQ20" i="1"/>
  <c r="AP20" i="1"/>
  <c r="AO20" i="1"/>
  <c r="E28" i="2"/>
  <c r="E27" i="2"/>
  <c r="E17" i="2"/>
  <c r="E16" i="2"/>
  <c r="E15" i="2"/>
  <c r="E14" i="2"/>
  <c r="E13" i="2"/>
  <c r="E12" i="2"/>
  <c r="E10" i="2"/>
  <c r="E8" i="2"/>
  <c r="E7" i="2"/>
  <c r="E3" i="2"/>
  <c r="D20" i="1"/>
  <c r="C20" i="1"/>
  <c r="AZ19" i="1"/>
  <c r="AZ20" i="1" s="1"/>
  <c r="E30" i="2" s="1"/>
  <c r="AI19" i="1"/>
  <c r="AH19" i="1"/>
  <c r="AG19" i="1"/>
  <c r="N19" i="1"/>
  <c r="M19" i="1"/>
  <c r="H19" i="1"/>
  <c r="G19" i="1"/>
  <c r="BD18" i="1"/>
  <c r="BD20" i="1" s="1"/>
  <c r="BC18" i="1"/>
  <c r="BC20" i="1" s="1"/>
  <c r="AZ18" i="1"/>
  <c r="AI18" i="1"/>
  <c r="AH18" i="1"/>
  <c r="AG18" i="1"/>
  <c r="N18" i="1"/>
  <c r="M18" i="1"/>
  <c r="H18" i="1"/>
  <c r="G18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B17" i="1"/>
  <c r="D32" i="2" s="1"/>
  <c r="BA17" i="1"/>
  <c r="D31" i="2" s="1"/>
  <c r="AY17" i="1"/>
  <c r="AX17" i="1"/>
  <c r="AW17" i="1"/>
  <c r="AV17" i="1"/>
  <c r="AU17" i="1"/>
  <c r="AT17" i="1"/>
  <c r="AS17" i="1"/>
  <c r="AR17" i="1"/>
  <c r="AQ17" i="1"/>
  <c r="AP17" i="1"/>
  <c r="AO17" i="1"/>
  <c r="D26" i="2"/>
  <c r="D17" i="2"/>
  <c r="D12" i="2"/>
  <c r="D10" i="2"/>
  <c r="D8" i="2"/>
  <c r="D7" i="2"/>
  <c r="D3" i="2"/>
  <c r="D17" i="1"/>
  <c r="C17" i="1"/>
  <c r="AZ16" i="1"/>
  <c r="AI16" i="1"/>
  <c r="AH16" i="1"/>
  <c r="AG16" i="1"/>
  <c r="W16" i="1"/>
  <c r="U16" i="1"/>
  <c r="T16" i="1"/>
  <c r="P16" i="1"/>
  <c r="N16" i="1"/>
  <c r="M16" i="1"/>
  <c r="H16" i="1"/>
  <c r="G16" i="1"/>
  <c r="BD15" i="1"/>
  <c r="BD17" i="1" s="1"/>
  <c r="BC15" i="1"/>
  <c r="BC17" i="1" s="1"/>
  <c r="AZ15" i="1"/>
  <c r="AI15" i="1"/>
  <c r="AH15" i="1"/>
  <c r="AG15" i="1"/>
  <c r="D23" i="2" s="1"/>
  <c r="W15" i="1"/>
  <c r="U15" i="1"/>
  <c r="T15" i="1"/>
  <c r="P15" i="1"/>
  <c r="N15" i="1"/>
  <c r="M15" i="1"/>
  <c r="H15" i="1"/>
  <c r="G15" i="1"/>
  <c r="A15" i="1"/>
  <c r="D2" i="2" s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B14" i="1"/>
  <c r="C32" i="2" s="1"/>
  <c r="BA14" i="1"/>
  <c r="C31" i="2" s="1"/>
  <c r="AY14" i="1"/>
  <c r="AX14" i="1"/>
  <c r="AW14" i="1"/>
  <c r="AV14" i="1"/>
  <c r="AU14" i="1"/>
  <c r="AT14" i="1"/>
  <c r="AS14" i="1"/>
  <c r="AR14" i="1"/>
  <c r="AQ14" i="1"/>
  <c r="AP14" i="1"/>
  <c r="AO14" i="1"/>
  <c r="C28" i="2"/>
  <c r="C27" i="2"/>
  <c r="C26" i="2"/>
  <c r="C17" i="2"/>
  <c r="C16" i="2"/>
  <c r="C15" i="2"/>
  <c r="C14" i="2"/>
  <c r="C13" i="2"/>
  <c r="C12" i="2"/>
  <c r="C8" i="2"/>
  <c r="C7" i="2"/>
  <c r="C3" i="2"/>
  <c r="D14" i="1"/>
  <c r="C14" i="1"/>
  <c r="AZ13" i="1"/>
  <c r="AI13" i="1"/>
  <c r="AH13" i="1"/>
  <c r="AG13" i="1"/>
  <c r="P13" i="1"/>
  <c r="N13" i="1"/>
  <c r="M13" i="1"/>
  <c r="H13" i="1"/>
  <c r="G13" i="1"/>
  <c r="BD12" i="1"/>
  <c r="BC12" i="1"/>
  <c r="BC14" i="1" s="1"/>
  <c r="C33" i="2" s="1"/>
  <c r="AZ12" i="1"/>
  <c r="AI12" i="1"/>
  <c r="AH12" i="1"/>
  <c r="AG12" i="1"/>
  <c r="N12" i="1"/>
  <c r="M12" i="1"/>
  <c r="H12" i="1"/>
  <c r="G12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B11" i="1"/>
  <c r="B32" i="2" s="1"/>
  <c r="BA11" i="1"/>
  <c r="B31" i="2" s="1"/>
  <c r="AY11" i="1"/>
  <c r="AX11" i="1"/>
  <c r="AW11" i="1"/>
  <c r="AV11" i="1"/>
  <c r="AU11" i="1"/>
  <c r="AT11" i="1"/>
  <c r="AS11" i="1"/>
  <c r="AR11" i="1"/>
  <c r="AQ11" i="1"/>
  <c r="AP11" i="1"/>
  <c r="AO11" i="1"/>
  <c r="B27" i="2"/>
  <c r="B7" i="2"/>
  <c r="D11" i="1"/>
  <c r="C11" i="1"/>
  <c r="BD10" i="1"/>
  <c r="AZ10" i="1"/>
  <c r="AI10" i="1"/>
  <c r="AH10" i="1"/>
  <c r="AG10" i="1"/>
  <c r="W10" i="1"/>
  <c r="U10" i="1"/>
  <c r="T10" i="1"/>
  <c r="P10" i="1"/>
  <c r="N10" i="1"/>
  <c r="M10" i="1"/>
  <c r="H10" i="1"/>
  <c r="G10" i="1"/>
  <c r="BD9" i="1"/>
  <c r="BC9" i="1"/>
  <c r="BC11" i="1" s="1"/>
  <c r="AZ9" i="1"/>
  <c r="AI9" i="1"/>
  <c r="AH9" i="1"/>
  <c r="AG9" i="1"/>
  <c r="W9" i="1"/>
  <c r="U9" i="1"/>
  <c r="T9" i="1"/>
  <c r="P9" i="1"/>
  <c r="N9" i="1"/>
  <c r="M9" i="1"/>
  <c r="H9" i="1"/>
  <c r="G9" i="1"/>
  <c r="BJ108" i="1" l="1"/>
  <c r="BJ109" i="1" s="1"/>
  <c r="AW103" i="1"/>
  <c r="AW106" i="1" s="1"/>
  <c r="AW107" i="1" s="1"/>
  <c r="B3" i="2"/>
  <c r="O33" i="2"/>
  <c r="B10" i="2"/>
  <c r="B16" i="2"/>
  <c r="BQ9" i="1"/>
  <c r="V10" i="1"/>
  <c r="D13" i="2"/>
  <c r="V37" i="1"/>
  <c r="M33" i="2"/>
  <c r="BQ45" i="1"/>
  <c r="G10" i="4"/>
  <c r="G44" i="4" s="1"/>
  <c r="AF104" i="1"/>
  <c r="B12" i="2"/>
  <c r="F25" i="2"/>
  <c r="BC26" i="1"/>
  <c r="S33" i="2"/>
  <c r="BQ73" i="1"/>
  <c r="Y33" i="2"/>
  <c r="V79" i="1"/>
  <c r="AZ92" i="1"/>
  <c r="AC30" i="2" s="1"/>
  <c r="F10" i="2"/>
  <c r="B28" i="2"/>
  <c r="Q33" i="2"/>
  <c r="R33" i="2"/>
  <c r="BQ66" i="1"/>
  <c r="L103" i="1"/>
  <c r="L104" i="1" s="1"/>
  <c r="AY103" i="1"/>
  <c r="D14" i="2"/>
  <c r="BQ27" i="1"/>
  <c r="AZ35" i="1"/>
  <c r="J30" i="2" s="1"/>
  <c r="K5" i="2"/>
  <c r="N33" i="2"/>
  <c r="BQ48" i="1"/>
  <c r="BQ51" i="1"/>
  <c r="R14" i="2"/>
  <c r="AZ68" i="1"/>
  <c r="U30" i="2" s="1"/>
  <c r="R103" i="1"/>
  <c r="BO103" i="1"/>
  <c r="D16" i="2"/>
  <c r="BQ15" i="1"/>
  <c r="V16" i="1"/>
  <c r="F23" i="2"/>
  <c r="G24" i="2"/>
  <c r="BD26" i="1"/>
  <c r="G33" i="2" s="1"/>
  <c r="BQ25" i="1"/>
  <c r="BD29" i="1"/>
  <c r="K6" i="2"/>
  <c r="V36" i="1"/>
  <c r="K24" i="2"/>
  <c r="BQ39" i="1"/>
  <c r="AZ53" i="1"/>
  <c r="P30" i="2" s="1"/>
  <c r="BQ54" i="1"/>
  <c r="BQ56" i="1" s="1"/>
  <c r="Q34" i="2" s="1"/>
  <c r="R16" i="2"/>
  <c r="BQ57" i="1"/>
  <c r="BQ59" i="1" s="1"/>
  <c r="R34" i="2" s="1"/>
  <c r="BQ63" i="1"/>
  <c r="BQ69" i="1"/>
  <c r="Z33" i="2"/>
  <c r="BQ87" i="1"/>
  <c r="O21" i="1"/>
  <c r="BM103" i="1"/>
  <c r="D33" i="2"/>
  <c r="BQ33" i="1"/>
  <c r="V33" i="2"/>
  <c r="AB33" i="2"/>
  <c r="B13" i="2"/>
  <c r="AU103" i="1"/>
  <c r="AU106" i="1" s="1"/>
  <c r="AU107" i="1" s="1"/>
  <c r="D25" i="2"/>
  <c r="BQ21" i="1"/>
  <c r="G5" i="2"/>
  <c r="K23" i="2"/>
  <c r="BQ42" i="1"/>
  <c r="BP108" i="1"/>
  <c r="BP109" i="1" s="1"/>
  <c r="BQ60" i="1"/>
  <c r="BQ84" i="1"/>
  <c r="AE5" i="2"/>
  <c r="BQ96" i="1"/>
  <c r="AE33" i="2"/>
  <c r="S10" i="2"/>
  <c r="B9" i="2"/>
  <c r="O24" i="2"/>
  <c r="O10" i="2"/>
  <c r="D24" i="2"/>
  <c r="I24" i="2"/>
  <c r="Z9" i="2"/>
  <c r="BQ72" i="1"/>
  <c r="BQ74" i="1" s="1"/>
  <c r="W34" i="2" s="1"/>
  <c r="S6" i="2"/>
  <c r="H10" i="2"/>
  <c r="H6" i="2"/>
  <c r="AZ38" i="1"/>
  <c r="K30" i="2" s="1"/>
  <c r="I6" i="2"/>
  <c r="C24" i="2"/>
  <c r="Z24" i="2"/>
  <c r="I5" i="2"/>
  <c r="X24" i="2"/>
  <c r="O23" i="2"/>
  <c r="O25" i="2"/>
  <c r="H23" i="2"/>
  <c r="H25" i="2"/>
  <c r="C23" i="2"/>
  <c r="C25" i="2"/>
  <c r="AE10" i="2"/>
  <c r="AE6" i="2"/>
  <c r="Z10" i="2"/>
  <c r="S9" i="2"/>
  <c r="O9" i="2"/>
  <c r="I9" i="2"/>
  <c r="F5" i="2"/>
  <c r="E33" i="2"/>
  <c r="F33" i="2"/>
  <c r="I33" i="2"/>
  <c r="K33" i="2"/>
  <c r="BE105" i="1"/>
  <c r="BE106" i="1" s="1"/>
  <c r="BE103" i="1"/>
  <c r="AJ103" i="1"/>
  <c r="AL107" i="1" s="1"/>
  <c r="B26" i="2"/>
  <c r="BJ105" i="1"/>
  <c r="BJ106" i="1" s="1"/>
  <c r="BJ103" i="1"/>
  <c r="V9" i="1"/>
  <c r="BD11" i="1"/>
  <c r="B33" i="2" s="1"/>
  <c r="S103" i="1"/>
  <c r="B14" i="2"/>
  <c r="AT103" i="1"/>
  <c r="AT106" i="1" s="1"/>
  <c r="AT107" i="1" s="1"/>
  <c r="AV103" i="1"/>
  <c r="AV106" i="1" s="1"/>
  <c r="AV107" i="1" s="1"/>
  <c r="AX103" i="1"/>
  <c r="AX106" i="1" s="1"/>
  <c r="AX107" i="1" s="1"/>
  <c r="BN103" i="1"/>
  <c r="BP103" i="1"/>
  <c r="O13" i="1"/>
  <c r="AZ14" i="1"/>
  <c r="C30" i="2" s="1"/>
  <c r="V15" i="1"/>
  <c r="D15" i="2" s="1"/>
  <c r="AS103" i="1"/>
  <c r="AS106" i="1" s="1"/>
  <c r="AS107" i="1" s="1"/>
  <c r="BK103" i="1"/>
  <c r="BQ28" i="1"/>
  <c r="BQ29" i="1" s="1"/>
  <c r="H34" i="2" s="1"/>
  <c r="BC29" i="1"/>
  <c r="AZ32" i="1"/>
  <c r="I30" i="2" s="1"/>
  <c r="J10" i="2"/>
  <c r="BC35" i="1"/>
  <c r="J33" i="2" s="1"/>
  <c r="K13" i="2"/>
  <c r="BC41" i="1"/>
  <c r="L33" i="2" s="1"/>
  <c r="AZ44" i="1"/>
  <c r="M30" i="2" s="1"/>
  <c r="AZ47" i="1"/>
  <c r="N30" i="2" s="1"/>
  <c r="O49" i="1"/>
  <c r="BC53" i="1"/>
  <c r="P33" i="2" s="1"/>
  <c r="BE108" i="1"/>
  <c r="BE109" i="1" s="1"/>
  <c r="BG108" i="1"/>
  <c r="BG109" i="1" s="1"/>
  <c r="BI108" i="1"/>
  <c r="BI109" i="1" s="1"/>
  <c r="BM108" i="1"/>
  <c r="BM109" i="1" s="1"/>
  <c r="BO108" i="1"/>
  <c r="BO109" i="1" s="1"/>
  <c r="AZ59" i="1"/>
  <c r="R30" i="2" s="1"/>
  <c r="AZ62" i="1"/>
  <c r="S30" i="2" s="1"/>
  <c r="S13" i="2"/>
  <c r="BH108" i="1"/>
  <c r="BH109" i="1" s="1"/>
  <c r="BC65" i="1"/>
  <c r="T33" i="2" s="1"/>
  <c r="BC68" i="1"/>
  <c r="U33" i="2" s="1"/>
  <c r="V9" i="2"/>
  <c r="AZ71" i="1"/>
  <c r="V30" i="2" s="1"/>
  <c r="X33" i="2"/>
  <c r="AA33" i="2"/>
  <c r="AC33" i="2"/>
  <c r="AD33" i="2"/>
  <c r="B8" i="2"/>
  <c r="J103" i="1"/>
  <c r="J104" i="1" s="1"/>
  <c r="B17" i="2"/>
  <c r="Y103" i="1"/>
  <c r="BG105" i="1"/>
  <c r="BG106" i="1" s="1"/>
  <c r="BG103" i="1"/>
  <c r="BI105" i="1"/>
  <c r="BI106" i="1" s="1"/>
  <c r="BI103" i="1"/>
  <c r="BQ12" i="1"/>
  <c r="AZ17" i="1"/>
  <c r="D30" i="2" s="1"/>
  <c r="BQ18" i="1"/>
  <c r="AZ23" i="1"/>
  <c r="F30" i="2" s="1"/>
  <c r="BQ30" i="1"/>
  <c r="BQ36" i="1"/>
  <c r="AZ50" i="1"/>
  <c r="O30" i="2" s="1"/>
  <c r="BL103" i="1"/>
  <c r="V58" i="1"/>
  <c r="R15" i="2" s="1"/>
  <c r="BF108" i="1"/>
  <c r="BF109" i="1" s="1"/>
  <c r="BQ109" i="1" s="1"/>
  <c r="BD74" i="1"/>
  <c r="V78" i="1"/>
  <c r="Y15" i="2" s="1"/>
  <c r="BQ78" i="1"/>
  <c r="BQ80" i="1" s="1"/>
  <c r="Y34" i="2" s="1"/>
  <c r="AZ83" i="1"/>
  <c r="Z30" i="2" s="1"/>
  <c r="AZ86" i="1"/>
  <c r="AA30" i="2" s="1"/>
  <c r="AZ89" i="1"/>
  <c r="AB30" i="2" s="1"/>
  <c r="BQ90" i="1"/>
  <c r="BQ92" i="1" s="1"/>
  <c r="AC34" i="2" s="1"/>
  <c r="AZ95" i="1"/>
  <c r="AD30" i="2" s="1"/>
  <c r="AZ98" i="1"/>
  <c r="AE30" i="2" s="1"/>
  <c r="AF11" i="2"/>
  <c r="AF15" i="2"/>
  <c r="AF34" i="2"/>
  <c r="AF27" i="2"/>
  <c r="BK108" i="1"/>
  <c r="BK109" i="1" s="1"/>
  <c r="BQ75" i="1"/>
  <c r="AZ80" i="1"/>
  <c r="Y30" i="2" s="1"/>
  <c r="BQ95" i="1"/>
  <c r="AD34" i="2" s="1"/>
  <c r="X27" i="2"/>
  <c r="O97" i="1"/>
  <c r="BL108" i="1"/>
  <c r="BL109" i="1" s="1"/>
  <c r="P23" i="2"/>
  <c r="P25" i="2"/>
  <c r="O6" i="2"/>
  <c r="BB103" i="1"/>
  <c r="BH105" i="1"/>
  <c r="BH106" i="1" s="1"/>
  <c r="BF105" i="1"/>
  <c r="X23" i="2"/>
  <c r="X25" i="2"/>
  <c r="O19" i="1"/>
  <c r="F11" i="2"/>
  <c r="X9" i="2"/>
  <c r="C6" i="2"/>
  <c r="BQ97" i="1"/>
  <c r="AE25" i="2"/>
  <c r="O96" i="1"/>
  <c r="AE11" i="2" s="1"/>
  <c r="O93" i="1"/>
  <c r="AD10" i="2"/>
  <c r="BQ85" i="1"/>
  <c r="BQ86" i="1" s="1"/>
  <c r="AA34" i="2" s="1"/>
  <c r="O82" i="1"/>
  <c r="Z23" i="2"/>
  <c r="Z25" i="2"/>
  <c r="X10" i="2"/>
  <c r="O76" i="1"/>
  <c r="X6" i="2"/>
  <c r="BC74" i="1"/>
  <c r="W24" i="2"/>
  <c r="O73" i="1"/>
  <c r="R32" i="2"/>
  <c r="Q10" i="2"/>
  <c r="O55" i="1"/>
  <c r="Q6" i="2"/>
  <c r="J23" i="2"/>
  <c r="J25" i="2"/>
  <c r="O34" i="1"/>
  <c r="D32" i="3"/>
  <c r="E23" i="2"/>
  <c r="E25" i="2"/>
  <c r="E6" i="2"/>
  <c r="D5" i="2"/>
  <c r="AQ103" i="1"/>
  <c r="AQ106" i="1" s="1"/>
  <c r="AQ107" i="1" s="1"/>
  <c r="C5" i="2"/>
  <c r="O12" i="1"/>
  <c r="BQ88" i="1"/>
  <c r="BQ19" i="1"/>
  <c r="T24" i="2"/>
  <c r="S24" i="2"/>
  <c r="R23" i="2"/>
  <c r="E24" i="2"/>
  <c r="O88" i="1"/>
  <c r="O66" i="1"/>
  <c r="P10" i="2"/>
  <c r="O52" i="1"/>
  <c r="P6" i="2"/>
  <c r="O45" i="1"/>
  <c r="M10" i="2"/>
  <c r="M6" i="2"/>
  <c r="O24" i="1"/>
  <c r="C13" i="3"/>
  <c r="D8" i="3"/>
  <c r="D10" i="3" s="1"/>
  <c r="D11" i="3"/>
  <c r="D47" i="3"/>
  <c r="AC23" i="2"/>
  <c r="AB6" i="2"/>
  <c r="AB5" i="2"/>
  <c r="W23" i="2"/>
  <c r="W25" i="2"/>
  <c r="V5" i="2"/>
  <c r="O63" i="1"/>
  <c r="T10" i="2"/>
  <c r="S23" i="2"/>
  <c r="S25" i="2"/>
  <c r="O61" i="1"/>
  <c r="BQ43" i="1"/>
  <c r="BQ44" i="1" s="1"/>
  <c r="M34" i="2" s="1"/>
  <c r="BQ40" i="1"/>
  <c r="L6" i="2"/>
  <c r="K10" i="2"/>
  <c r="O36" i="1"/>
  <c r="BA103" i="1"/>
  <c r="C108" i="1" s="1"/>
  <c r="O27" i="1"/>
  <c r="F24" i="2"/>
  <c r="E5" i="2"/>
  <c r="O18" i="1"/>
  <c r="BQ16" i="1"/>
  <c r="BQ17" i="1" s="1"/>
  <c r="D34" i="2" s="1"/>
  <c r="O15" i="1"/>
  <c r="O10" i="1"/>
  <c r="BH103" i="1"/>
  <c r="AZ77" i="1"/>
  <c r="X30" i="2" s="1"/>
  <c r="BQ24" i="1"/>
  <c r="BQ26" i="1" s="1"/>
  <c r="G34" i="2" s="1"/>
  <c r="AD24" i="2"/>
  <c r="AC25" i="2"/>
  <c r="AB23" i="2"/>
  <c r="AB25" i="2"/>
  <c r="AB24" i="2"/>
  <c r="L41" i="3"/>
  <c r="AA23" i="2"/>
  <c r="AA25" i="2"/>
  <c r="Y24" i="2"/>
  <c r="L24" i="3"/>
  <c r="U23" i="2"/>
  <c r="U25" i="2"/>
  <c r="L20" i="3"/>
  <c r="L22" i="3" s="1"/>
  <c r="R25" i="2"/>
  <c r="N24" i="2"/>
  <c r="M24" i="2"/>
  <c r="D29" i="3"/>
  <c r="AD5" i="2"/>
  <c r="AC6" i="2"/>
  <c r="O87" i="1"/>
  <c r="AB11" i="2" s="1"/>
  <c r="AA5" i="2"/>
  <c r="W9" i="2"/>
  <c r="O70" i="1"/>
  <c r="U6" i="2"/>
  <c r="T5" i="2"/>
  <c r="R10" i="2"/>
  <c r="O43" i="1"/>
  <c r="L9" i="2"/>
  <c r="O37" i="1"/>
  <c r="J5" i="2"/>
  <c r="H9" i="2"/>
  <c r="O25" i="1"/>
  <c r="G6" i="2"/>
  <c r="D6" i="2"/>
  <c r="F8" i="3"/>
  <c r="C10" i="3"/>
  <c r="F9" i="3"/>
  <c r="L9" i="3"/>
  <c r="F11" i="3"/>
  <c r="K13" i="3"/>
  <c r="D14" i="3"/>
  <c r="C16" i="3"/>
  <c r="L15" i="3"/>
  <c r="D17" i="3"/>
  <c r="C19" i="3"/>
  <c r="L18" i="3"/>
  <c r="N20" i="3"/>
  <c r="K22" i="3"/>
  <c r="D23" i="3"/>
  <c r="N24" i="3"/>
  <c r="D27" i="3"/>
  <c r="C31" i="3"/>
  <c r="L30" i="3"/>
  <c r="C34" i="3"/>
  <c r="D35" i="3"/>
  <c r="C37" i="3"/>
  <c r="D38" i="3"/>
  <c r="C40" i="3"/>
  <c r="D41" i="3"/>
  <c r="N41" i="3"/>
  <c r="K43" i="3"/>
  <c r="F47" i="3"/>
  <c r="D48" i="3"/>
  <c r="L50" i="3"/>
  <c r="L53" i="3"/>
  <c r="L55" i="3" s="1"/>
  <c r="K55" i="3"/>
  <c r="N54" i="3"/>
  <c r="F14" i="3"/>
  <c r="F17" i="3"/>
  <c r="F27" i="3"/>
  <c r="K34" i="3"/>
  <c r="F35" i="3"/>
  <c r="K37" i="3"/>
  <c r="N36" i="3"/>
  <c r="F38" i="3"/>
  <c r="F48" i="3"/>
  <c r="C49" i="3"/>
  <c r="N50" i="3"/>
  <c r="K52" i="3"/>
  <c r="N53" i="3"/>
  <c r="AD23" i="2"/>
  <c r="AD25" i="2"/>
  <c r="O94" i="1"/>
  <c r="AD6" i="2"/>
  <c r="K49" i="3"/>
  <c r="AC24" i="2"/>
  <c r="M45" i="3"/>
  <c r="M46" i="3" s="1"/>
  <c r="L45" i="3"/>
  <c r="AC10" i="2"/>
  <c r="O91" i="1"/>
  <c r="AC9" i="2"/>
  <c r="AC5" i="2"/>
  <c r="L44" i="3"/>
  <c r="N44" i="3"/>
  <c r="N46" i="3" s="1"/>
  <c r="K46" i="3"/>
  <c r="O90" i="1"/>
  <c r="L42" i="3"/>
  <c r="N42" i="3"/>
  <c r="AB9" i="2"/>
  <c r="AB10" i="2"/>
  <c r="AA24" i="2"/>
  <c r="L39" i="3"/>
  <c r="AA10" i="2"/>
  <c r="O85" i="1"/>
  <c r="AA6" i="2"/>
  <c r="K40" i="3"/>
  <c r="O84" i="1"/>
  <c r="AA9" i="2"/>
  <c r="L33" i="3"/>
  <c r="N33" i="3"/>
  <c r="O79" i="1"/>
  <c r="Y6" i="2"/>
  <c r="BQ76" i="1"/>
  <c r="K31" i="3"/>
  <c r="L27" i="3"/>
  <c r="N26" i="3"/>
  <c r="N28" i="3" s="1"/>
  <c r="K28" i="3"/>
  <c r="L26" i="3"/>
  <c r="W10" i="2"/>
  <c r="BQ70" i="1"/>
  <c r="BQ71" i="1" s="1"/>
  <c r="V34" i="2" s="1"/>
  <c r="V23" i="2"/>
  <c r="V25" i="2"/>
  <c r="M25" i="3"/>
  <c r="V10" i="2"/>
  <c r="L23" i="3"/>
  <c r="N23" i="3"/>
  <c r="K25" i="3"/>
  <c r="O69" i="1"/>
  <c r="BQ67" i="1"/>
  <c r="BQ68" i="1" s="1"/>
  <c r="U34" i="2" s="1"/>
  <c r="N21" i="3"/>
  <c r="U5" i="2"/>
  <c r="U24" i="2"/>
  <c r="U10" i="2"/>
  <c r="U9" i="2"/>
  <c r="BQ108" i="1"/>
  <c r="T23" i="2"/>
  <c r="T25" i="2"/>
  <c r="O64" i="1"/>
  <c r="K19" i="3"/>
  <c r="T6" i="2"/>
  <c r="K16" i="3"/>
  <c r="R24" i="2"/>
  <c r="N12" i="3"/>
  <c r="R9" i="2"/>
  <c r="R6" i="2"/>
  <c r="Q9" i="2"/>
  <c r="Q5" i="2"/>
  <c r="K10" i="3"/>
  <c r="BQ52" i="1"/>
  <c r="BQ53" i="1" s="1"/>
  <c r="P34" i="2" s="1"/>
  <c r="P24" i="2"/>
  <c r="P9" i="2"/>
  <c r="P5" i="2"/>
  <c r="D50" i="3"/>
  <c r="C52" i="3"/>
  <c r="F50" i="3"/>
  <c r="BQ49" i="1"/>
  <c r="BQ50" i="1" s="1"/>
  <c r="O34" i="2" s="1"/>
  <c r="E49" i="3"/>
  <c r="O48" i="1"/>
  <c r="O11" i="2" s="1"/>
  <c r="N6" i="2"/>
  <c r="N23" i="2"/>
  <c r="N25" i="2"/>
  <c r="D44" i="3"/>
  <c r="F44" i="3"/>
  <c r="C46" i="3"/>
  <c r="N9" i="2"/>
  <c r="N10" i="2"/>
  <c r="M23" i="2"/>
  <c r="M25" i="2"/>
  <c r="M9" i="2"/>
  <c r="M5" i="2"/>
  <c r="F41" i="3"/>
  <c r="C43" i="3"/>
  <c r="L31" i="2"/>
  <c r="L24" i="2"/>
  <c r="L10" i="2"/>
  <c r="O40" i="1"/>
  <c r="L5" i="2"/>
  <c r="BQ37" i="1"/>
  <c r="J9" i="2"/>
  <c r="O31" i="1"/>
  <c r="I10" i="2"/>
  <c r="O28" i="1"/>
  <c r="G10" i="2"/>
  <c r="O16" i="1"/>
  <c r="BF106" i="1"/>
  <c r="BQ106" i="1" s="1"/>
  <c r="BF103" i="1"/>
  <c r="BQ34" i="1"/>
  <c r="J24" i="2"/>
  <c r="J6" i="2"/>
  <c r="F32" i="3"/>
  <c r="BQ31" i="1"/>
  <c r="BQ32" i="1" s="1"/>
  <c r="I34" i="2" s="1"/>
  <c r="F29" i="3"/>
  <c r="AZ29" i="1"/>
  <c r="H30" i="2" s="1"/>
  <c r="H24" i="2"/>
  <c r="E28" i="3"/>
  <c r="D26" i="3"/>
  <c r="F26" i="3"/>
  <c r="C28" i="3"/>
  <c r="G23" i="2"/>
  <c r="G25" i="2"/>
  <c r="F23" i="3"/>
  <c r="C25" i="3"/>
  <c r="D20" i="3"/>
  <c r="F20" i="3"/>
  <c r="C22" i="3"/>
  <c r="D27" i="2"/>
  <c r="A18" i="1"/>
  <c r="AP103" i="1"/>
  <c r="AP106" i="1" s="1"/>
  <c r="AP107" i="1" s="1"/>
  <c r="BQ82" i="1"/>
  <c r="BQ83" i="1" s="1"/>
  <c r="Z34" i="2" s="1"/>
  <c r="AZ74" i="1"/>
  <c r="W30" i="2" s="1"/>
  <c r="BQ64" i="1"/>
  <c r="BQ65" i="1" s="1"/>
  <c r="T34" i="2" s="1"/>
  <c r="BQ61" i="1"/>
  <c r="BQ62" i="1" s="1"/>
  <c r="S34" i="2" s="1"/>
  <c r="AZ56" i="1"/>
  <c r="Q30" i="2" s="1"/>
  <c r="BQ46" i="1"/>
  <c r="BQ47" i="1" s="1"/>
  <c r="N34" i="2" s="1"/>
  <c r="AO103" i="1"/>
  <c r="AO106" i="1" s="1"/>
  <c r="AO107" i="1" s="1"/>
  <c r="BQ22" i="1"/>
  <c r="AR103" i="1"/>
  <c r="AR106" i="1" s="1"/>
  <c r="AR107" i="1" s="1"/>
  <c r="BQ13" i="1"/>
  <c r="BQ14" i="1" s="1"/>
  <c r="C34" i="2" s="1"/>
  <c r="BQ10" i="1"/>
  <c r="AZ11" i="1"/>
  <c r="B30" i="2" s="1"/>
  <c r="M54" i="3"/>
  <c r="M55" i="3" s="1"/>
  <c r="L51" i="3"/>
  <c r="N51" i="3"/>
  <c r="M51" i="3"/>
  <c r="M52" i="3" s="1"/>
  <c r="L47" i="3"/>
  <c r="N47" i="3"/>
  <c r="L48" i="3"/>
  <c r="N48" i="3"/>
  <c r="M48" i="3"/>
  <c r="M49" i="3" s="1"/>
  <c r="M42" i="3"/>
  <c r="M43" i="3" s="1"/>
  <c r="L38" i="3"/>
  <c r="N38" i="3"/>
  <c r="N40" i="3" s="1"/>
  <c r="M39" i="3"/>
  <c r="M40" i="3" s="1"/>
  <c r="L35" i="3"/>
  <c r="L37" i="3" s="1"/>
  <c r="N35" i="3"/>
  <c r="M36" i="3"/>
  <c r="M37" i="3" s="1"/>
  <c r="L32" i="3"/>
  <c r="N32" i="3"/>
  <c r="M33" i="3"/>
  <c r="M34" i="3" s="1"/>
  <c r="L29" i="3"/>
  <c r="N29" i="3"/>
  <c r="N31" i="3" s="1"/>
  <c r="M30" i="3"/>
  <c r="M31" i="3" s="1"/>
  <c r="M27" i="3"/>
  <c r="M28" i="3" s="1"/>
  <c r="M21" i="3"/>
  <c r="M22" i="3" s="1"/>
  <c r="L17" i="3"/>
  <c r="N17" i="3"/>
  <c r="N19" i="3" s="1"/>
  <c r="M18" i="3"/>
  <c r="M19" i="3" s="1"/>
  <c r="N16" i="3"/>
  <c r="M14" i="3"/>
  <c r="L14" i="3"/>
  <c r="M15" i="3"/>
  <c r="L11" i="3"/>
  <c r="L13" i="3" s="1"/>
  <c r="N11" i="3"/>
  <c r="M12" i="3"/>
  <c r="M13" i="3" s="1"/>
  <c r="L8" i="3"/>
  <c r="N8" i="3"/>
  <c r="N10" i="3" s="1"/>
  <c r="M9" i="3"/>
  <c r="M10" i="3" s="1"/>
  <c r="D51" i="3"/>
  <c r="F51" i="3"/>
  <c r="E51" i="3"/>
  <c r="E52" i="3" s="1"/>
  <c r="D45" i="3"/>
  <c r="F45" i="3"/>
  <c r="E45" i="3"/>
  <c r="E46" i="3" s="1"/>
  <c r="D42" i="3"/>
  <c r="F42" i="3"/>
  <c r="E42" i="3"/>
  <c r="E43" i="3" s="1"/>
  <c r="D39" i="3"/>
  <c r="F39" i="3"/>
  <c r="E39" i="3"/>
  <c r="E40" i="3" s="1"/>
  <c r="D36" i="3"/>
  <c r="F36" i="3"/>
  <c r="E36" i="3"/>
  <c r="E37" i="3" s="1"/>
  <c r="D33" i="3"/>
  <c r="F33" i="3"/>
  <c r="E33" i="3"/>
  <c r="E34" i="3" s="1"/>
  <c r="D30" i="3"/>
  <c r="F30" i="3"/>
  <c r="E30" i="3"/>
  <c r="E31" i="3" s="1"/>
  <c r="D24" i="3"/>
  <c r="F24" i="3"/>
  <c r="F25" i="3" s="1"/>
  <c r="E24" i="3"/>
  <c r="E25" i="3" s="1"/>
  <c r="D21" i="3"/>
  <c r="D22" i="3" s="1"/>
  <c r="F21" i="3"/>
  <c r="F22" i="3" s="1"/>
  <c r="E21" i="3"/>
  <c r="E22" i="3" s="1"/>
  <c r="D18" i="3"/>
  <c r="F18" i="3"/>
  <c r="E18" i="3"/>
  <c r="E19" i="3" s="1"/>
  <c r="D15" i="3"/>
  <c r="F15" i="3"/>
  <c r="E15" i="3"/>
  <c r="E16" i="3" s="1"/>
  <c r="D12" i="3"/>
  <c r="F12" i="3"/>
  <c r="F13" i="3" s="1"/>
  <c r="E12" i="3"/>
  <c r="E13" i="3" s="1"/>
  <c r="B23" i="2"/>
  <c r="B25" i="2"/>
  <c r="E9" i="3"/>
  <c r="E10" i="3" s="1"/>
  <c r="B24" i="2"/>
  <c r="O9" i="1"/>
  <c r="C10" i="2"/>
  <c r="C9" i="2"/>
  <c r="D9" i="2"/>
  <c r="E9" i="2"/>
  <c r="G9" i="2"/>
  <c r="O30" i="1"/>
  <c r="O33" i="1"/>
  <c r="K9" i="2"/>
  <c r="I103" i="1"/>
  <c r="I104" i="1" s="1"/>
  <c r="O39" i="1"/>
  <c r="O42" i="1"/>
  <c r="M11" i="2" s="1"/>
  <c r="O46" i="1"/>
  <c r="O51" i="1"/>
  <c r="P11" i="2" s="1"/>
  <c r="O54" i="1"/>
  <c r="T9" i="2"/>
  <c r="O60" i="1"/>
  <c r="O67" i="1"/>
  <c r="U11" i="2" s="1"/>
  <c r="K103" i="1"/>
  <c r="K104" i="1" s="1"/>
  <c r="O72" i="1"/>
  <c r="O75" i="1"/>
  <c r="O78" i="1"/>
  <c r="O81" i="1"/>
  <c r="Z11" i="2" s="1"/>
  <c r="AD9" i="2"/>
  <c r="AE9" i="2"/>
  <c r="Y27" i="2"/>
  <c r="D103" i="1"/>
  <c r="M28" i="2"/>
  <c r="C103" i="1"/>
  <c r="I28" i="2"/>
  <c r="B6" i="2"/>
  <c r="E103" i="1"/>
  <c r="E104" i="1" s="1"/>
  <c r="B5" i="2"/>
  <c r="G108" i="4" l="1"/>
  <c r="G76" i="4"/>
  <c r="BQ77" i="1"/>
  <c r="X34" i="2" s="1"/>
  <c r="W33" i="2"/>
  <c r="BQ98" i="1"/>
  <c r="AE34" i="2" s="1"/>
  <c r="H33" i="2"/>
  <c r="J11" i="2"/>
  <c r="BQ35" i="1"/>
  <c r="J34" i="2" s="1"/>
  <c r="J36" i="2" s="1"/>
  <c r="BQ20" i="1"/>
  <c r="E34" i="2" s="1"/>
  <c r="BD103" i="1"/>
  <c r="C106" i="1" s="1"/>
  <c r="K15" i="2"/>
  <c r="I11" i="2"/>
  <c r="I36" i="2" s="1"/>
  <c r="BQ23" i="1"/>
  <c r="F34" i="2" s="1"/>
  <c r="BQ38" i="1"/>
  <c r="K34" i="2" s="1"/>
  <c r="F10" i="3"/>
  <c r="BQ41" i="1"/>
  <c r="L34" i="2" s="1"/>
  <c r="BQ89" i="1"/>
  <c r="AB34" i="2" s="1"/>
  <c r="F52" i="3"/>
  <c r="N25" i="3"/>
  <c r="BC103" i="1"/>
  <c r="C107" i="1" s="1"/>
  <c r="BQ101" i="1"/>
  <c r="W103" i="1"/>
  <c r="AD11" i="2"/>
  <c r="L16" i="3"/>
  <c r="D37" i="3"/>
  <c r="D16" i="3"/>
  <c r="N52" i="3"/>
  <c r="N11" i="2"/>
  <c r="N36" i="2" s="1"/>
  <c r="L10" i="3"/>
  <c r="L34" i="3"/>
  <c r="B11" i="2"/>
  <c r="N49" i="3"/>
  <c r="L31" i="3"/>
  <c r="Q11" i="2"/>
  <c r="Q36" i="2" s="1"/>
  <c r="BQ105" i="1"/>
  <c r="L52" i="3"/>
  <c r="S11" i="2"/>
  <c r="S36" i="2" s="1"/>
  <c r="G11" i="2"/>
  <c r="G36" i="2" s="1"/>
  <c r="AF28" i="2"/>
  <c r="AF36" i="2" s="1"/>
  <c r="B15" i="2"/>
  <c r="U103" i="1"/>
  <c r="W11" i="2"/>
  <c r="D19" i="3"/>
  <c r="D34" i="3"/>
  <c r="D52" i="3"/>
  <c r="AE36" i="2"/>
  <c r="AK103" i="1"/>
  <c r="AK104" i="1" s="1"/>
  <c r="T103" i="1"/>
  <c r="L49" i="3"/>
  <c r="L43" i="3"/>
  <c r="L25" i="3"/>
  <c r="V11" i="2"/>
  <c r="V36" i="2" s="1"/>
  <c r="T11" i="2"/>
  <c r="T36" i="2" s="1"/>
  <c r="D49" i="3"/>
  <c r="D40" i="3"/>
  <c r="D31" i="3"/>
  <c r="L40" i="3"/>
  <c r="F37" i="3"/>
  <c r="D28" i="3"/>
  <c r="D13" i="3"/>
  <c r="X11" i="2"/>
  <c r="X36" i="2" s="1"/>
  <c r="F36" i="2"/>
  <c r="N22" i="3"/>
  <c r="Z36" i="2"/>
  <c r="N37" i="3"/>
  <c r="N34" i="3"/>
  <c r="L19" i="3"/>
  <c r="F40" i="3"/>
  <c r="F34" i="3"/>
  <c r="F31" i="3"/>
  <c r="D43" i="3"/>
  <c r="F19" i="3"/>
  <c r="F16" i="3"/>
  <c r="H11" i="2"/>
  <c r="H36" i="2" s="1"/>
  <c r="F49" i="3"/>
  <c r="L28" i="3"/>
  <c r="M16" i="3"/>
  <c r="M57" i="3" s="1"/>
  <c r="N66" i="3" s="1"/>
  <c r="O36" i="2"/>
  <c r="D46" i="3"/>
  <c r="F43" i="3"/>
  <c r="K11" i="2"/>
  <c r="D25" i="3"/>
  <c r="E11" i="2"/>
  <c r="E36" i="2" s="1"/>
  <c r="D11" i="2"/>
  <c r="N43" i="3"/>
  <c r="F28" i="3"/>
  <c r="Y11" i="2"/>
  <c r="R11" i="2"/>
  <c r="R36" i="2" s="1"/>
  <c r="P36" i="2"/>
  <c r="L11" i="2"/>
  <c r="L36" i="2" s="1"/>
  <c r="N55" i="3"/>
  <c r="N13" i="3"/>
  <c r="K57" i="3"/>
  <c r="AD36" i="2"/>
  <c r="L46" i="3"/>
  <c r="AC11" i="2"/>
  <c r="AC36" i="2" s="1"/>
  <c r="AB36" i="2"/>
  <c r="AA11" i="2"/>
  <c r="AA36" i="2" s="1"/>
  <c r="U36" i="2"/>
  <c r="C54" i="3"/>
  <c r="F46" i="3"/>
  <c r="M36" i="2"/>
  <c r="N103" i="1"/>
  <c r="N104" i="1" s="1"/>
  <c r="AI103" i="1"/>
  <c r="AI104" i="1" s="1"/>
  <c r="E2" i="2"/>
  <c r="A21" i="1"/>
  <c r="AZ103" i="1"/>
  <c r="C105" i="1" s="1"/>
  <c r="BQ11" i="1"/>
  <c r="B34" i="2" s="1"/>
  <c r="B36" i="2" s="1"/>
  <c r="AL103" i="1"/>
  <c r="AL104" i="1" s="1"/>
  <c r="E54" i="3"/>
  <c r="F63" i="3" s="1"/>
  <c r="AG103" i="1"/>
  <c r="AG104" i="1" s="1"/>
  <c r="AH103" i="1"/>
  <c r="AH104" i="1" s="1"/>
  <c r="C11" i="2"/>
  <c r="C36" i="2" s="1"/>
  <c r="M103" i="1"/>
  <c r="M104" i="1" s="1"/>
  <c r="G8" i="4"/>
  <c r="G106" i="4" s="1"/>
  <c r="G103" i="1"/>
  <c r="G104" i="1" s="1"/>
  <c r="H103" i="1"/>
  <c r="H104" i="1" s="1"/>
  <c r="AL110" i="1" l="1"/>
  <c r="C109" i="1"/>
  <c r="W36" i="2"/>
  <c r="AL106" i="1"/>
  <c r="AL108" i="1" s="1"/>
  <c r="F54" i="3"/>
  <c r="F60" i="3" s="1"/>
  <c r="F61" i="3" s="1"/>
  <c r="N57" i="3"/>
  <c r="N69" i="3" s="1"/>
  <c r="V103" i="1"/>
  <c r="L57" i="3"/>
  <c r="N59" i="3" s="1"/>
  <c r="BQ103" i="1"/>
  <c r="D54" i="3"/>
  <c r="F56" i="3" s="1"/>
  <c r="G42" i="4"/>
  <c r="G74" i="4"/>
  <c r="A24" i="1"/>
  <c r="F2" i="2"/>
  <c r="O103" i="1"/>
  <c r="O104" i="1" s="1"/>
  <c r="Y28" i="2"/>
  <c r="Y36" i="2" s="1"/>
  <c r="K28" i="2"/>
  <c r="K36" i="2" s="1"/>
  <c r="AM103" i="1" l="1"/>
  <c r="G12" i="4" s="1"/>
  <c r="AL111" i="1"/>
  <c r="AM110" i="1"/>
  <c r="AN110" i="1" s="1"/>
  <c r="N63" i="3"/>
  <c r="N64" i="3" s="1"/>
  <c r="F66" i="3"/>
  <c r="F68" i="3" s="1"/>
  <c r="G68" i="3" s="1"/>
  <c r="G2" i="2"/>
  <c r="A27" i="1"/>
  <c r="N71" i="3"/>
  <c r="AN103" i="1"/>
  <c r="D28" i="2"/>
  <c r="D36" i="2" s="1"/>
  <c r="AM104" i="1" l="1"/>
  <c r="G14" i="4"/>
  <c r="G17" i="4" s="1"/>
  <c r="G21" i="4" s="1"/>
  <c r="G78" i="4"/>
  <c r="G80" i="4" s="1"/>
  <c r="G112" i="4" s="1"/>
  <c r="G115" i="4" s="1"/>
  <c r="G117" i="4" s="1"/>
  <c r="G110" i="4"/>
  <c r="G46" i="4"/>
  <c r="G48" i="4" s="1"/>
  <c r="G51" i="4" s="1"/>
  <c r="G55" i="4" s="1"/>
  <c r="AM111" i="1"/>
  <c r="A30" i="1"/>
  <c r="H2" i="2"/>
  <c r="G119" i="4" l="1"/>
  <c r="G121" i="4" s="1"/>
  <c r="G19" i="4"/>
  <c r="G23" i="4" s="1"/>
  <c r="G83" i="4"/>
  <c r="G85" i="4" s="1"/>
  <c r="G53" i="4"/>
  <c r="G57" i="4" s="1"/>
  <c r="I2" i="2"/>
  <c r="A33" i="1"/>
  <c r="G87" i="4" l="1"/>
  <c r="G89" i="4" s="1"/>
  <c r="J2" i="2"/>
  <c r="A36" i="1"/>
  <c r="K2" i="2" l="1"/>
  <c r="A39" i="1"/>
  <c r="L2" i="2" l="1"/>
  <c r="A42" i="1"/>
  <c r="M2" i="2" l="1"/>
  <c r="A45" i="1"/>
  <c r="A48" i="1" l="1"/>
  <c r="N2" i="2"/>
  <c r="O2" i="2" l="1"/>
  <c r="A51" i="1"/>
  <c r="P2" i="2" l="1"/>
  <c r="A54" i="1"/>
  <c r="Q2" i="2" l="1"/>
  <c r="A57" i="1"/>
  <c r="R2" i="2" l="1"/>
  <c r="A60" i="1"/>
  <c r="S2" i="2" l="1"/>
  <c r="A63" i="1"/>
  <c r="T2" i="2" l="1"/>
  <c r="A66" i="1"/>
  <c r="U2" i="2" l="1"/>
  <c r="A69" i="1"/>
  <c r="A72" i="1" l="1"/>
  <c r="V2" i="2"/>
  <c r="W2" i="2" l="1"/>
  <c r="A75" i="1"/>
  <c r="X2" i="2" l="1"/>
  <c r="A78" i="1"/>
  <c r="Y2" i="2" l="1"/>
  <c r="A81" i="1"/>
  <c r="A84" i="1" l="1"/>
  <c r="Z2" i="2"/>
  <c r="AA2" i="2" l="1"/>
  <c r="A87" i="1"/>
  <c r="AB2" i="2" l="1"/>
  <c r="A90" i="1"/>
  <c r="A93" i="1" s="1"/>
  <c r="AC2" i="2" l="1"/>
  <c r="A96" i="1" l="1"/>
  <c r="A99" i="1" s="1"/>
  <c r="AD2" i="2"/>
  <c r="AF2" i="2" l="1"/>
  <c r="AE2" i="2"/>
</calcChain>
</file>

<file path=xl/sharedStrings.xml><?xml version="1.0" encoding="utf-8"?>
<sst xmlns="http://schemas.openxmlformats.org/spreadsheetml/2006/main" count="303" uniqueCount="139">
  <si>
    <t>OPERATIONS SUMMARY</t>
  </si>
  <si>
    <t xml:space="preserve"> </t>
  </si>
  <si>
    <t>DATE</t>
  </si>
  <si>
    <t>SHIFT</t>
  </si>
  <si>
    <t>GROSS PER POS</t>
  </si>
  <si>
    <t>CASH PER POS</t>
  </si>
  <si>
    <t>CASH DEPOSITED</t>
  </si>
  <si>
    <t>DATE DEPOSITED</t>
  </si>
  <si>
    <t>CASH SHORTAGE</t>
  </si>
  <si>
    <t>CASH OVERAGE</t>
  </si>
  <si>
    <t>GC PAYMENT</t>
  </si>
  <si>
    <t>CHECK PAYMENT</t>
  </si>
  <si>
    <t>BDO CREDIT</t>
  </si>
  <si>
    <t>TIP BDO</t>
  </si>
  <si>
    <t>BDO DISCOUNT</t>
  </si>
  <si>
    <t>BDO W/TAX</t>
  </si>
  <si>
    <t>BDO RECEIVABLE</t>
  </si>
  <si>
    <t>BDO TIP PAYABLE</t>
  </si>
  <si>
    <t>DINERS</t>
  </si>
  <si>
    <t>TIP DINERS</t>
  </si>
  <si>
    <t>DINERS DISCOUNT</t>
  </si>
  <si>
    <t>DINERS W/TAX</t>
  </si>
  <si>
    <t>DINERS RECEIVABLE</t>
  </si>
  <si>
    <t>REGULAR DISCOUNTS</t>
  </si>
  <si>
    <t>STOCKHOLDERS DISCOUNTS</t>
  </si>
  <si>
    <t>EMPLOYEES DISCOUNTS</t>
  </si>
  <si>
    <t>SENIOR DISCOUNTS</t>
  </si>
  <si>
    <t>CITY DELIVERY</t>
  </si>
  <si>
    <t>SERVICE CHARGE</t>
  </si>
  <si>
    <t>SERVICE CHARGE 8.00</t>
  </si>
  <si>
    <t>LOCAL TAX 2.00</t>
  </si>
  <si>
    <t>SALES</t>
  </si>
  <si>
    <t>NET SALES</t>
  </si>
  <si>
    <t>VAT</t>
  </si>
  <si>
    <t>MARKETING</t>
  </si>
  <si>
    <t>AR-EMPLOYEES</t>
  </si>
  <si>
    <t>Other Sales</t>
  </si>
  <si>
    <t>100% coupon</t>
  </si>
  <si>
    <t>EMPLOYEE'S SHARE 85%</t>
  </si>
  <si>
    <t>PROVISION FOR LOSSES 15%</t>
  </si>
  <si>
    <t>NON VAT SALES</t>
  </si>
  <si>
    <t>TOTAL OC</t>
  </si>
  <si>
    <t>MARKETING HEAD OFFICE</t>
  </si>
  <si>
    <t>am</t>
  </si>
  <si>
    <t>pm</t>
  </si>
  <si>
    <t>TOTAL</t>
  </si>
  <si>
    <t>DATE CLEARED</t>
  </si>
  <si>
    <t>TIP DINERS PAYABLE</t>
  </si>
  <si>
    <t>REGULAR DISCOUNT</t>
  </si>
  <si>
    <t>STOCKHOLDERS DISCOUNT</t>
  </si>
  <si>
    <t>EMPLOYEES DISCOUNT</t>
  </si>
  <si>
    <t>SENIOR CITIZEN DISCOUNT</t>
  </si>
  <si>
    <t>SC - Emp share</t>
  </si>
  <si>
    <t>SC - Provision for losses</t>
  </si>
  <si>
    <t>LOCAL TAX</t>
  </si>
  <si>
    <t>Sales - Non Vat</t>
  </si>
  <si>
    <t>Sales - Vatable</t>
  </si>
  <si>
    <t>Output VAT</t>
  </si>
  <si>
    <t>Officer Charge</t>
  </si>
  <si>
    <t>Marketing Charge</t>
  </si>
  <si>
    <t>Marketing HO</t>
  </si>
  <si>
    <t>A/R Employees</t>
  </si>
  <si>
    <t>Check (Should be zero)</t>
  </si>
  <si>
    <t>ANA MARIE SOSA</t>
  </si>
  <si>
    <t>GLENN BIARCAL</t>
  </si>
  <si>
    <t>CRECY IBARRA</t>
  </si>
  <si>
    <t>JOYCE DINO</t>
  </si>
  <si>
    <t>VALERO</t>
  </si>
  <si>
    <t>1-15</t>
  </si>
  <si>
    <t>16-31</t>
  </si>
  <si>
    <t>EMPLOYEE'S SERVICE CHARGE</t>
  </si>
  <si>
    <t>SERVICE CHARGE POS</t>
  </si>
  <si>
    <t>LOCA:L TAX 1.75</t>
  </si>
  <si>
    <t>LOCA:L TAX 2.00</t>
  </si>
  <si>
    <t>EMPLOYEE'S 85%</t>
  </si>
  <si>
    <t>COMPANY 15%</t>
  </si>
  <si>
    <t>Head Office Share</t>
  </si>
  <si>
    <t>Fixed Share - HO</t>
  </si>
  <si>
    <t>SC Share - HO(local tax-fixed share ho)*60%</t>
  </si>
  <si>
    <t>TOTAL HO SHARE</t>
  </si>
  <si>
    <t>PROVISION FOR TAXES AND LOSSES</t>
  </si>
  <si>
    <t>SC Share -HO(local tax-fixed share ho)*60%</t>
  </si>
  <si>
    <t>MANAGEMENT SHARE</t>
  </si>
  <si>
    <t>(local tax-fixed share ho)*40%</t>
  </si>
  <si>
    <t>TOTAL SERVICE CHARGE</t>
  </si>
  <si>
    <t>MARKETING EXPENSE</t>
  </si>
  <si>
    <t>Gross</t>
  </si>
  <si>
    <t>Service Charge</t>
  </si>
  <si>
    <t>PREPARED</t>
  </si>
  <si>
    <t>RECEIVED</t>
  </si>
  <si>
    <t>Please make check payable to TOSHMANIA FOOD INC.</t>
  </si>
  <si>
    <t>CONSULTANCY FEE</t>
  </si>
  <si>
    <t>Consultancy Fee</t>
  </si>
  <si>
    <t>Please make check payable to GRILLA ANTIPOLO FOOD CORP.</t>
  </si>
  <si>
    <t>THE OLD SPAGHETTI HOUSE-VALERO</t>
  </si>
  <si>
    <t>AR-OTHERS</t>
  </si>
  <si>
    <t>PARTICULARS</t>
  </si>
  <si>
    <t>AMOUNT</t>
  </si>
  <si>
    <t>JOANNE DEL ROSARIO</t>
  </si>
  <si>
    <t/>
  </si>
  <si>
    <t>OFFICERS CHARGES</t>
  </si>
  <si>
    <t>EMP. CHARGES</t>
  </si>
  <si>
    <t>EMP DISCOUNT</t>
  </si>
  <si>
    <t>TOTAL NET SALES</t>
  </si>
  <si>
    <t>DISCOUNTED</t>
  </si>
  <si>
    <t>12% VAT</t>
  </si>
  <si>
    <t>EXPANDED</t>
  </si>
  <si>
    <t>EXPANDED TAX</t>
  </si>
  <si>
    <t>DEPOSITS</t>
  </si>
  <si>
    <t>CHECK</t>
  </si>
  <si>
    <t>CASH</t>
  </si>
  <si>
    <t>ANGELO SANCHEZ</t>
  </si>
  <si>
    <t>NANCY PANTOJA</t>
  </si>
  <si>
    <t>AGUINALDO OJENDRAS</t>
  </si>
  <si>
    <t>NICASIO SALVADOR</t>
  </si>
  <si>
    <t>MA THERESE DOMINGO</t>
  </si>
  <si>
    <t>BENZEN CAHILIG</t>
  </si>
  <si>
    <t>END # 11497</t>
  </si>
  <si>
    <t>MYLA CALAR</t>
  </si>
  <si>
    <t>MIGUILITO BIROIN</t>
  </si>
  <si>
    <t>bir e-sales</t>
  </si>
  <si>
    <t xml:space="preserve"> vatable sales </t>
  </si>
  <si>
    <t>non-vat</t>
  </si>
  <si>
    <t>gross sales</t>
  </si>
  <si>
    <t>Amount Payable</t>
  </si>
  <si>
    <t>CAMILE ESPENOSA</t>
  </si>
  <si>
    <t xml:space="preserve"> 200- squid inc</t>
  </si>
  <si>
    <t>CHRISTIAN BRIONES</t>
  </si>
  <si>
    <t>EDDIBOY ESPELLETA</t>
  </si>
  <si>
    <t>RUEL HAYAGAn</t>
  </si>
  <si>
    <t>CAMILLE ESPINOSA</t>
  </si>
  <si>
    <t>JEFFREY VILLNUEVA</t>
  </si>
  <si>
    <t>FOR THE MONTH ENDED  SPETEMBER  2018</t>
  </si>
  <si>
    <t>\</t>
  </si>
  <si>
    <t>Saturday</t>
  </si>
  <si>
    <t>Sunday</t>
  </si>
  <si>
    <t>JULY 1-15</t>
  </si>
  <si>
    <t>JULY 16-31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</si>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</sst>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\F\O\R\ \T\H\E\ \M\O\N\T\H\ \o\f\ mmmm\ yyyy"/>
    <numFmt numFmtId="166" formatCode="_(* #,##0.0_);_(* \(#,##0.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b/>
      <sz val="6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</cellStyleXfs>
  <cellXfs count="234">
    <xf numFmtId="0" fontId="0" fillId="0" borderId="0" xfId="0"/>
    <xf numFmtId="0" fontId="2" fillId="0" borderId="0" xfId="0" applyFont="1"/>
    <xf numFmtId="0" fontId="2" fillId="0" borderId="0" xfId="0" applyFont="1" applyFill="1"/>
    <xf numFmtId="43" fontId="2" fillId="0" borderId="0" xfId="0" applyNumberFormat="1" applyFont="1"/>
    <xf numFmtId="0" fontId="3" fillId="0" borderId="0" xfId="0" applyFont="1"/>
    <xf numFmtId="0" fontId="2" fillId="0" borderId="0" xfId="0" applyFont="1" applyBorder="1"/>
    <xf numFmtId="0" fontId="2" fillId="0" borderId="0" xfId="0" applyFont="1" applyFill="1" applyBorder="1"/>
    <xf numFmtId="43" fontId="2" fillId="0" borderId="0" xfId="0" applyNumberFormat="1" applyFont="1" applyFill="1"/>
    <xf numFmtId="0" fontId="2" fillId="0" borderId="0" xfId="0" applyNumberFormat="1" applyFont="1" applyFill="1"/>
    <xf numFmtId="49" fontId="2" fillId="0" borderId="0" xfId="0" applyNumberFormat="1" applyFont="1"/>
    <xf numFmtId="0" fontId="3" fillId="0" borderId="0" xfId="0" applyFont="1" applyFill="1"/>
    <xf numFmtId="10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43" fontId="3" fillId="0" borderId="0" xfId="0" applyNumberFormat="1" applyFont="1"/>
    <xf numFmtId="9" fontId="3" fillId="0" borderId="0" xfId="0" applyNumberFormat="1" applyFont="1"/>
    <xf numFmtId="0" fontId="3" fillId="0" borderId="0" xfId="0" applyFont="1" applyBorder="1"/>
    <xf numFmtId="0" fontId="3" fillId="0" borderId="0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9" fontId="2" fillId="3" borderId="3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8" xfId="0" applyFont="1" applyBorder="1"/>
    <xf numFmtId="0" fontId="3" fillId="0" borderId="8" xfId="0" applyFont="1" applyFill="1" applyBorder="1"/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4" borderId="8" xfId="0" applyFont="1" applyFill="1" applyBorder="1"/>
    <xf numFmtId="43" fontId="3" fillId="2" borderId="8" xfId="0" applyNumberFormat="1" applyFont="1" applyFill="1" applyBorder="1"/>
    <xf numFmtId="0" fontId="3" fillId="2" borderId="8" xfId="0" applyFont="1" applyFill="1" applyBorder="1"/>
    <xf numFmtId="43" fontId="3" fillId="0" borderId="8" xfId="0" applyNumberFormat="1" applyFont="1" applyFill="1" applyBorder="1"/>
    <xf numFmtId="15" fontId="3" fillId="0" borderId="0" xfId="0" applyNumberFormat="1" applyFont="1" applyBorder="1"/>
    <xf numFmtId="43" fontId="3" fillId="0" borderId="0" xfId="1" applyFont="1" applyFill="1" applyBorder="1"/>
    <xf numFmtId="43" fontId="3" fillId="3" borderId="0" xfId="1" applyFont="1" applyFill="1" applyBorder="1"/>
    <xf numFmtId="14" fontId="3" fillId="3" borderId="0" xfId="1" applyNumberFormat="1" applyFont="1" applyFill="1" applyBorder="1" applyAlignment="1">
      <alignment horizontal="center"/>
    </xf>
    <xf numFmtId="43" fontId="3" fillId="0" borderId="0" xfId="1" applyFont="1" applyBorder="1"/>
    <xf numFmtId="43" fontId="3" fillId="3" borderId="0" xfId="1" applyFont="1" applyFill="1" applyBorder="1" applyAlignment="1">
      <alignment horizontal="center"/>
    </xf>
    <xf numFmtId="43" fontId="3" fillId="4" borderId="0" xfId="1" applyFont="1" applyFill="1" applyBorder="1"/>
    <xf numFmtId="43" fontId="3" fillId="2" borderId="0" xfId="1" applyNumberFormat="1" applyFont="1" applyFill="1" applyBorder="1"/>
    <xf numFmtId="43" fontId="3" fillId="2" borderId="0" xfId="1" applyFont="1" applyFill="1" applyBorder="1"/>
    <xf numFmtId="43" fontId="3" fillId="0" borderId="0" xfId="1" applyNumberFormat="1" applyFont="1" applyFill="1" applyBorder="1"/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/>
    <xf numFmtId="43" fontId="2" fillId="0" borderId="10" xfId="1" applyFont="1" applyFill="1" applyBorder="1"/>
    <xf numFmtId="43" fontId="2" fillId="3" borderId="10" xfId="1" applyFont="1" applyFill="1" applyBorder="1"/>
    <xf numFmtId="43" fontId="2" fillId="0" borderId="10" xfId="1" applyFont="1" applyBorder="1"/>
    <xf numFmtId="43" fontId="2" fillId="3" borderId="10" xfId="1" applyFont="1" applyFill="1" applyBorder="1" applyAlignment="1">
      <alignment horizontal="center"/>
    </xf>
    <xf numFmtId="43" fontId="2" fillId="4" borderId="10" xfId="1" applyFont="1" applyFill="1" applyBorder="1"/>
    <xf numFmtId="43" fontId="2" fillId="2" borderId="10" xfId="1" applyFont="1" applyFill="1" applyBorder="1"/>
    <xf numFmtId="43" fontId="3" fillId="0" borderId="0" xfId="1" applyFont="1" applyFill="1"/>
    <xf numFmtId="43" fontId="3" fillId="3" borderId="0" xfId="1" applyFont="1" applyFill="1"/>
    <xf numFmtId="43" fontId="3" fillId="3" borderId="0" xfId="1" applyFont="1" applyFill="1" applyAlignment="1">
      <alignment horizontal="center"/>
    </xf>
    <xf numFmtId="43" fontId="3" fillId="0" borderId="0" xfId="1" applyFont="1"/>
    <xf numFmtId="43" fontId="3" fillId="4" borderId="0" xfId="1" applyFont="1" applyFill="1"/>
    <xf numFmtId="43" fontId="3" fillId="2" borderId="0" xfId="1" applyFont="1" applyFill="1"/>
    <xf numFmtId="0" fontId="2" fillId="0" borderId="11" xfId="0" applyFont="1" applyBorder="1"/>
    <xf numFmtId="43" fontId="2" fillId="0" borderId="11" xfId="1" applyFont="1" applyBorder="1"/>
    <xf numFmtId="0" fontId="5" fillId="0" borderId="0" xfId="0" applyFont="1"/>
    <xf numFmtId="0" fontId="5" fillId="0" borderId="0" xfId="0" applyFont="1" applyAlignment="1"/>
    <xf numFmtId="15" fontId="0" fillId="0" borderId="0" xfId="0" applyNumberFormat="1"/>
    <xf numFmtId="2" fontId="5" fillId="0" borderId="0" xfId="0" applyNumberFormat="1" applyFont="1"/>
    <xf numFmtId="2" fontId="0" fillId="0" borderId="0" xfId="0" applyNumberFormat="1"/>
    <xf numFmtId="43" fontId="5" fillId="0" borderId="0" xfId="0" applyNumberFormat="1" applyFont="1"/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3" applyFont="1"/>
    <xf numFmtId="0" fontId="6" fillId="0" borderId="0" xfId="3"/>
    <xf numFmtId="49" fontId="7" fillId="0" borderId="0" xfId="3" applyNumberFormat="1" applyFont="1"/>
    <xf numFmtId="0" fontId="6" fillId="0" borderId="0" xfId="3" applyFont="1"/>
    <xf numFmtId="9" fontId="8" fillId="0" borderId="3" xfId="3" applyNumberFormat="1" applyFont="1" applyBorder="1" applyAlignment="1">
      <alignment horizontal="center" vertical="center" wrapText="1"/>
    </xf>
    <xf numFmtId="0" fontId="6" fillId="0" borderId="8" xfId="3" applyFont="1" applyBorder="1"/>
    <xf numFmtId="0" fontId="6" fillId="0" borderId="13" xfId="3" applyFont="1" applyBorder="1"/>
    <xf numFmtId="15" fontId="6" fillId="0" borderId="0" xfId="3" applyNumberFormat="1" applyFont="1" applyBorder="1"/>
    <xf numFmtId="43" fontId="6" fillId="0" borderId="0" xfId="2" applyFont="1" applyFill="1" applyBorder="1"/>
    <xf numFmtId="43" fontId="6" fillId="0" borderId="0" xfId="2" applyFont="1" applyBorder="1"/>
    <xf numFmtId="43" fontId="6" fillId="0" borderId="14" xfId="2" applyFont="1" applyBorder="1"/>
    <xf numFmtId="0" fontId="6" fillId="0" borderId="0" xfId="3" applyFont="1" applyBorder="1"/>
    <xf numFmtId="0" fontId="8" fillId="0" borderId="10" xfId="3" applyFont="1" applyBorder="1"/>
    <xf numFmtId="43" fontId="8" fillId="0" borderId="10" xfId="2" applyFont="1" applyFill="1" applyBorder="1"/>
    <xf numFmtId="43" fontId="8" fillId="0" borderId="10" xfId="2" applyFont="1" applyBorder="1"/>
    <xf numFmtId="43" fontId="8" fillId="0" borderId="15" xfId="2" applyFont="1" applyBorder="1"/>
    <xf numFmtId="43" fontId="6" fillId="0" borderId="0" xfId="2" applyFont="1"/>
    <xf numFmtId="0" fontId="8" fillId="0" borderId="11" xfId="3" applyFont="1" applyBorder="1"/>
    <xf numFmtId="43" fontId="8" fillId="0" borderId="11" xfId="2" applyFont="1" applyBorder="1"/>
    <xf numFmtId="0" fontId="8" fillId="0" borderId="0" xfId="3" applyFont="1"/>
    <xf numFmtId="43" fontId="8" fillId="0" borderId="16" xfId="3" applyNumberFormat="1" applyFont="1" applyBorder="1"/>
    <xf numFmtId="43" fontId="8" fillId="0" borderId="0" xfId="3" applyNumberFormat="1" applyFont="1"/>
    <xf numFmtId="43" fontId="8" fillId="0" borderId="11" xfId="3" applyNumberFormat="1" applyFont="1" applyBorder="1"/>
    <xf numFmtId="43" fontId="8" fillId="0" borderId="17" xfId="3" applyNumberFormat="1" applyFont="1" applyBorder="1"/>
    <xf numFmtId="0" fontId="6" fillId="5" borderId="0" xfId="3" applyFill="1"/>
    <xf numFmtId="0" fontId="8" fillId="5" borderId="0" xfId="3" applyFont="1" applyFill="1" applyProtection="1"/>
    <xf numFmtId="0" fontId="6" fillId="5" borderId="0" xfId="3" applyFill="1" applyProtection="1"/>
    <xf numFmtId="165" fontId="8" fillId="5" borderId="0" xfId="3" applyNumberFormat="1" applyFont="1" applyFill="1" applyAlignment="1" applyProtection="1"/>
    <xf numFmtId="43" fontId="6" fillId="5" borderId="0" xfId="3" applyNumberFormat="1" applyFill="1"/>
    <xf numFmtId="43" fontId="6" fillId="5" borderId="0" xfId="3" applyNumberFormat="1" applyFill="1" applyBorder="1"/>
    <xf numFmtId="43" fontId="6" fillId="5" borderId="18" xfId="3" applyNumberFormat="1" applyFill="1" applyBorder="1"/>
    <xf numFmtId="43" fontId="6" fillId="5" borderId="0" xfId="2" applyFill="1"/>
    <xf numFmtId="0" fontId="8" fillId="5" borderId="0" xfId="3" applyFont="1" applyFill="1"/>
    <xf numFmtId="10" fontId="8" fillId="5" borderId="0" xfId="3" applyNumberFormat="1" applyFont="1" applyFill="1"/>
    <xf numFmtId="43" fontId="8" fillId="5" borderId="19" xfId="2" applyFont="1" applyFill="1" applyBorder="1"/>
    <xf numFmtId="0" fontId="6" fillId="5" borderId="20" xfId="3" applyFill="1" applyBorder="1"/>
    <xf numFmtId="0" fontId="6" fillId="5" borderId="21" xfId="3" applyFill="1" applyBorder="1"/>
    <xf numFmtId="0" fontId="6" fillId="5" borderId="0" xfId="3" applyFill="1" applyBorder="1"/>
    <xf numFmtId="0" fontId="6" fillId="5" borderId="18" xfId="3" applyFill="1" applyBorder="1"/>
    <xf numFmtId="43" fontId="8" fillId="5" borderId="22" xfId="2" applyFont="1" applyFill="1" applyBorder="1"/>
    <xf numFmtId="43" fontId="8" fillId="5" borderId="19" xfId="3" applyNumberFormat="1" applyFont="1" applyFill="1" applyBorder="1"/>
    <xf numFmtId="43" fontId="8" fillId="5" borderId="0" xfId="3" applyNumberFormat="1" applyFont="1" applyFill="1" applyBorder="1"/>
    <xf numFmtId="43" fontId="8" fillId="5" borderId="0" xfId="3" applyNumberFormat="1" applyFont="1" applyFill="1"/>
    <xf numFmtId="0" fontId="6" fillId="5" borderId="0" xfId="3" applyFont="1" applyFill="1"/>
    <xf numFmtId="15" fontId="3" fillId="3" borderId="0" xfId="1" applyNumberFormat="1" applyFont="1" applyFill="1" applyBorder="1" applyAlignment="1">
      <alignment horizontal="center"/>
    </xf>
    <xf numFmtId="0" fontId="2" fillId="4" borderId="6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center" vertical="center" wrapText="1"/>
    </xf>
    <xf numFmtId="43" fontId="2" fillId="4" borderId="11" xfId="1" applyFont="1" applyFill="1" applyBorder="1"/>
    <xf numFmtId="0" fontId="9" fillId="0" borderId="0" xfId="0" applyFont="1"/>
    <xf numFmtId="43" fontId="8" fillId="5" borderId="0" xfId="2" applyFont="1" applyFill="1" applyBorder="1"/>
    <xf numFmtId="15" fontId="8" fillId="0" borderId="23" xfId="3" applyNumberFormat="1" applyFont="1" applyBorder="1" applyAlignment="1">
      <alignment horizontal="center" vertical="center" wrapText="1"/>
    </xf>
    <xf numFmtId="15" fontId="8" fillId="0" borderId="24" xfId="3" applyNumberFormat="1" applyFont="1" applyBorder="1" applyAlignment="1">
      <alignment horizontal="center" vertical="center" wrapText="1"/>
    </xf>
    <xf numFmtId="0" fontId="6" fillId="0" borderId="7" xfId="3" applyFont="1" applyBorder="1"/>
    <xf numFmtId="0" fontId="8" fillId="0" borderId="9" xfId="3" applyFont="1" applyBorder="1" applyAlignment="1">
      <alignment horizontal="center" vertical="center" wrapText="1"/>
    </xf>
    <xf numFmtId="0" fontId="6" fillId="0" borderId="9" xfId="3" applyFont="1" applyBorder="1" applyAlignment="1">
      <alignment horizontal="center" vertical="center" wrapText="1"/>
    </xf>
    <xf numFmtId="43" fontId="6" fillId="0" borderId="0" xfId="3" applyNumberFormat="1" applyFont="1"/>
    <xf numFmtId="43" fontId="10" fillId="0" borderId="0" xfId="2" applyFont="1"/>
    <xf numFmtId="43" fontId="8" fillId="0" borderId="0" xfId="3" applyNumberFormat="1" applyFont="1" applyBorder="1"/>
    <xf numFmtId="0" fontId="8" fillId="0" borderId="0" xfId="3" applyFont="1" applyBorder="1"/>
    <xf numFmtId="4" fontId="8" fillId="0" borderId="0" xfId="3" applyNumberFormat="1" applyFont="1" applyAlignment="1">
      <alignment horizontal="right"/>
    </xf>
    <xf numFmtId="43" fontId="8" fillId="0" borderId="0" xfId="3" applyNumberFormat="1" applyFont="1" applyAlignment="1">
      <alignment horizontal="right"/>
    </xf>
    <xf numFmtId="43" fontId="2" fillId="0" borderId="11" xfId="1" applyFont="1" applyFill="1" applyBorder="1"/>
    <xf numFmtId="43" fontId="2" fillId="7" borderId="11" xfId="1" applyFont="1" applyFill="1" applyBorder="1"/>
    <xf numFmtId="0" fontId="10" fillId="0" borderId="0" xfId="0" applyFont="1"/>
    <xf numFmtId="0" fontId="3" fillId="4" borderId="0" xfId="0" quotePrefix="1" applyFont="1" applyFill="1"/>
    <xf numFmtId="0" fontId="3" fillId="4" borderId="0" xfId="0" applyFont="1" applyFill="1"/>
    <xf numFmtId="0" fontId="3" fillId="0" borderId="0" xfId="0" quotePrefix="1" applyFont="1"/>
    <xf numFmtId="0" fontId="3" fillId="6" borderId="0" xfId="0" quotePrefix="1" applyFont="1" applyFill="1"/>
    <xf numFmtId="0" fontId="3" fillId="6" borderId="0" xfId="0" applyFont="1" applyFill="1" applyBorder="1"/>
    <xf numFmtId="0" fontId="10" fillId="0" borderId="0" xfId="0" quotePrefix="1" applyFont="1"/>
    <xf numFmtId="9" fontId="2" fillId="0" borderId="0" xfId="0" applyNumberFormat="1" applyFont="1" applyAlignment="1">
      <alignment horizontal="center"/>
    </xf>
    <xf numFmtId="0" fontId="3" fillId="0" borderId="0" xfId="0" applyFont="1" applyAlignment="1">
      <alignment wrapText="1"/>
    </xf>
    <xf numFmtId="2" fontId="3" fillId="0" borderId="0" xfId="0" applyNumberFormat="1" applyFont="1"/>
    <xf numFmtId="15" fontId="10" fillId="0" borderId="0" xfId="0" applyNumberFormat="1" applyFont="1"/>
    <xf numFmtId="43" fontId="10" fillId="0" borderId="0" xfId="0" applyNumberFormat="1" applyFont="1"/>
    <xf numFmtId="43" fontId="10" fillId="0" borderId="0" xfId="4" applyNumberFormat="1" applyFont="1"/>
    <xf numFmtId="10" fontId="10" fillId="0" borderId="0" xfId="4" applyNumberFormat="1" applyFont="1"/>
    <xf numFmtId="43" fontId="10" fillId="0" borderId="0" xfId="1" applyFont="1"/>
    <xf numFmtId="43" fontId="3" fillId="4" borderId="0" xfId="0" applyNumberFormat="1" applyFont="1" applyFill="1"/>
    <xf numFmtId="43" fontId="3" fillId="0" borderId="17" xfId="0" applyNumberFormat="1" applyFont="1" applyBorder="1"/>
    <xf numFmtId="43" fontId="3" fillId="6" borderId="0" xfId="0" applyNumberFormat="1" applyFont="1" applyFill="1"/>
    <xf numFmtId="43" fontId="11" fillId="0" borderId="0" xfId="0" applyNumberFormat="1" applyFont="1"/>
    <xf numFmtId="0" fontId="2" fillId="0" borderId="24" xfId="0" applyFont="1" applyBorder="1" applyAlignment="1">
      <alignment horizontal="center" vertical="center" wrapText="1"/>
    </xf>
    <xf numFmtId="43" fontId="3" fillId="2" borderId="25" xfId="1" applyFont="1" applyFill="1" applyBorder="1"/>
    <xf numFmtId="0" fontId="2" fillId="0" borderId="26" xfId="0" applyFont="1" applyBorder="1" applyAlignment="1">
      <alignment horizontal="center" vertical="center" wrapText="1"/>
    </xf>
    <xf numFmtId="43" fontId="2" fillId="0" borderId="27" xfId="1" applyFont="1" applyFill="1" applyBorder="1"/>
    <xf numFmtId="43" fontId="2" fillId="8" borderId="10" xfId="1" applyFont="1" applyFill="1" applyBorder="1"/>
    <xf numFmtId="0" fontId="10" fillId="0" borderId="10" xfId="0" applyFont="1" applyBorder="1"/>
    <xf numFmtId="0" fontId="3" fillId="0" borderId="10" xfId="0" applyFont="1" applyBorder="1"/>
    <xf numFmtId="2" fontId="3" fillId="0" borderId="10" xfId="0" applyNumberFormat="1" applyFont="1" applyBorder="1"/>
    <xf numFmtId="43" fontId="3" fillId="0" borderId="28" xfId="1" applyFont="1" applyFill="1" applyBorder="1"/>
    <xf numFmtId="43" fontId="3" fillId="4" borderId="0" xfId="1" applyFont="1" applyFill="1" applyBorder="1" applyAlignment="1"/>
    <xf numFmtId="166" fontId="3" fillId="2" borderId="0" xfId="1" applyNumberFormat="1" applyFont="1" applyFill="1" applyBorder="1"/>
    <xf numFmtId="0" fontId="12" fillId="0" borderId="10" xfId="0" applyFont="1" applyBorder="1"/>
    <xf numFmtId="0" fontId="3" fillId="0" borderId="36" xfId="0" applyFont="1" applyFill="1" applyBorder="1"/>
    <xf numFmtId="43" fontId="3" fillId="0" borderId="36" xfId="1" applyFont="1" applyFill="1" applyBorder="1"/>
    <xf numFmtId="43" fontId="3" fillId="3" borderId="36" xfId="1" applyFont="1" applyFill="1" applyBorder="1"/>
    <xf numFmtId="14" fontId="3" fillId="3" borderId="36" xfId="1" applyNumberFormat="1" applyFont="1" applyFill="1" applyBorder="1" applyAlignment="1">
      <alignment horizontal="center"/>
    </xf>
    <xf numFmtId="43" fontId="3" fillId="0" borderId="36" xfId="1" applyFont="1" applyBorder="1"/>
    <xf numFmtId="43" fontId="3" fillId="3" borderId="36" xfId="1" applyFont="1" applyFill="1" applyBorder="1" applyAlignment="1">
      <alignment horizontal="center"/>
    </xf>
    <xf numFmtId="43" fontId="3" fillId="4" borderId="36" xfId="1" applyFont="1" applyFill="1" applyBorder="1"/>
    <xf numFmtId="43" fontId="3" fillId="2" borderId="36" xfId="1" applyNumberFormat="1" applyFont="1" applyFill="1" applyBorder="1"/>
    <xf numFmtId="43" fontId="3" fillId="2" borderId="36" xfId="1" applyFont="1" applyFill="1" applyBorder="1"/>
    <xf numFmtId="43" fontId="3" fillId="0" borderId="37" xfId="1" applyNumberFormat="1" applyFont="1" applyFill="1" applyBorder="1"/>
    <xf numFmtId="0" fontId="3" fillId="0" borderId="28" xfId="0" applyFont="1" applyFill="1" applyBorder="1"/>
    <xf numFmtId="43" fontId="3" fillId="3" borderId="28" xfId="1" applyFont="1" applyFill="1" applyBorder="1"/>
    <xf numFmtId="14" fontId="3" fillId="3" borderId="28" xfId="1" applyNumberFormat="1" applyFont="1" applyFill="1" applyBorder="1" applyAlignment="1">
      <alignment horizontal="center"/>
    </xf>
    <xf numFmtId="43" fontId="3" fillId="0" borderId="28" xfId="1" applyFont="1" applyBorder="1"/>
    <xf numFmtId="43" fontId="3" fillId="3" borderId="28" xfId="1" applyFont="1" applyFill="1" applyBorder="1" applyAlignment="1">
      <alignment horizontal="center"/>
    </xf>
    <xf numFmtId="43" fontId="3" fillId="4" borderId="28" xfId="1" applyFont="1" applyFill="1" applyBorder="1"/>
    <xf numFmtId="43" fontId="3" fillId="4" borderId="28" xfId="1" applyFont="1" applyFill="1" applyBorder="1" applyAlignment="1"/>
    <xf numFmtId="43" fontId="3" fillId="2" borderId="28" xfId="1" applyNumberFormat="1" applyFont="1" applyFill="1" applyBorder="1"/>
    <xf numFmtId="43" fontId="3" fillId="2" borderId="28" xfId="1" applyFont="1" applyFill="1" applyBorder="1"/>
    <xf numFmtId="43" fontId="3" fillId="0" borderId="39" xfId="1" applyNumberFormat="1" applyFont="1" applyFill="1" applyBorder="1"/>
    <xf numFmtId="43" fontId="13" fillId="0" borderId="0" xfId="1" applyFont="1"/>
    <xf numFmtId="15" fontId="2" fillId="0" borderId="23" xfId="0" applyNumberFormat="1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5" fontId="2" fillId="0" borderId="34" xfId="0" applyNumberFormat="1" applyFont="1" applyBorder="1" applyAlignment="1">
      <alignment horizontal="center" vertical="center" wrapText="1"/>
    </xf>
    <xf numFmtId="15" fontId="2" fillId="0" borderId="35" xfId="0" applyNumberFormat="1" applyFont="1" applyBorder="1" applyAlignment="1">
      <alignment horizontal="center" vertical="center" wrapText="1"/>
    </xf>
    <xf numFmtId="15" fontId="2" fillId="0" borderId="38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5" fontId="2" fillId="0" borderId="24" xfId="0" applyNumberFormat="1" applyFont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5" fontId="8" fillId="0" borderId="23" xfId="3" applyNumberFormat="1" applyFont="1" applyBorder="1" applyAlignment="1">
      <alignment horizontal="center" vertical="center" wrapText="1"/>
    </xf>
    <xf numFmtId="15" fontId="8" fillId="0" borderId="24" xfId="3" applyNumberFormat="1" applyFont="1" applyBorder="1" applyAlignment="1">
      <alignment horizontal="center" vertical="center" wrapText="1"/>
    </xf>
    <xf numFmtId="0" fontId="8" fillId="0" borderId="12" xfId="3" applyFont="1" applyBorder="1" applyAlignment="1">
      <alignment horizontal="center" vertical="center" wrapText="1"/>
    </xf>
    <xf numFmtId="0" fontId="8" fillId="0" borderId="3" xfId="3" applyFont="1" applyBorder="1" applyAlignment="1">
      <alignment horizontal="center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29" xfId="3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 wrapText="1"/>
    </xf>
    <xf numFmtId="0" fontId="8" fillId="0" borderId="32" xfId="3" applyFont="1" applyBorder="1" applyAlignment="1">
      <alignment horizontal="center" vertical="center" wrapText="1"/>
    </xf>
    <xf numFmtId="0" fontId="8" fillId="0" borderId="33" xfId="3" applyFont="1" applyBorder="1" applyAlignment="1">
      <alignment horizontal="center" vertical="center" wrapText="1"/>
    </xf>
    <xf numFmtId="43" fontId="2" fillId="0" borderId="0" xfId="1" applyFont="1" applyBorder="1"/>
    <xf numFmtId="43" fontId="2" fillId="4" borderId="0" xfId="1" applyFont="1" applyFill="1" applyBorder="1"/>
    <xf numFmtId="43" fontId="2" fillId="7" borderId="0" xfId="1" applyFont="1" applyFill="1" applyBorder="1"/>
    <xf numFmtId="43" fontId="2" fillId="0" borderId="0" xfId="1" applyFont="1" applyFill="1" applyBorder="1"/>
  </cellXfs>
  <cellStyles count="5">
    <cellStyle name="Comma" xfId="1" builtinId="3"/>
    <cellStyle name="Comma 2" xfId="2" xr:uid="{00000000-0005-0000-0000-000001000000}"/>
    <cellStyle name="Normal" xfId="0" builtinId="0"/>
    <cellStyle name="Normal 2" xfId="3" xr:uid="{00000000-0005-0000-0000-000003000000}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T189"/>
  <sheetViews>
    <sheetView tabSelected="1" zoomScale="120" zoomScaleNormal="120" workbookViewId="0">
      <pane xSplit="3" ySplit="7" topLeftCell="N98" activePane="bottomRight" state="frozen"/>
      <selection pane="topRight" activeCell="D1" sqref="D1"/>
      <selection pane="bottomLeft" activeCell="A8" sqref="A8"/>
      <selection pane="bottomRight" activeCell="AM103" sqref="AM103"/>
    </sheetView>
  </sheetViews>
  <sheetFormatPr defaultRowHeight="15" x14ac:dyDescent="0.25"/>
  <cols>
    <col min="1" max="1" width="13" style="135" customWidth="1"/>
    <col min="2" max="2" width="5.28515625" style="135" hidden="1" customWidth="1"/>
    <col min="3" max="3" width="21" style="135" customWidth="1"/>
    <col min="4" max="4" width="10.7109375" style="135" hidden="1" customWidth="1"/>
    <col min="5" max="5" width="10.7109375" style="135" customWidth="1"/>
    <col min="6" max="6" width="10.7109375" style="135" hidden="1" customWidth="1"/>
    <col min="7" max="9" width="10.7109375" style="135" customWidth="1"/>
    <col min="10" max="12" width="10.7109375" style="135" hidden="1" customWidth="1"/>
    <col min="13" max="15" width="10.7109375" style="135" customWidth="1"/>
    <col min="16" max="25" width="10.7109375" style="135" hidden="1" customWidth="1"/>
    <col min="26" max="29" width="10.7109375" style="135" customWidth="1"/>
    <col min="30" max="30" width="12.140625" style="135" hidden="1" customWidth="1"/>
    <col min="31" max="31" width="19.28515625" style="135" customWidth="1"/>
    <col min="32" max="32" width="10.7109375" style="135" hidden="1" customWidth="1"/>
    <col min="33" max="35" width="10.7109375" style="135" customWidth="1"/>
    <col min="36" max="36" width="10.7109375" style="135" hidden="1" customWidth="1"/>
    <col min="37" max="38" width="10.7109375" style="135" customWidth="1"/>
    <col min="39" max="39" width="11.42578125" style="135" customWidth="1"/>
    <col min="40" max="40" width="15.28515625" style="135" customWidth="1"/>
    <col min="41" max="41" width="10.7109375" style="135" customWidth="1"/>
    <col min="42" max="42" width="12" style="135" customWidth="1"/>
    <col min="43" max="44" width="10.7109375" style="135" customWidth="1"/>
    <col min="45" max="51" width="10.7109375" style="135" hidden="1" customWidth="1"/>
    <col min="52" max="56" width="10.7109375" style="135" customWidth="1"/>
    <col min="57" max="57" width="10.7109375" style="135" hidden="1" customWidth="1"/>
    <col min="58" max="58" width="10.7109375" style="135" customWidth="1"/>
    <col min="59" max="59" width="13" style="135" hidden="1" customWidth="1"/>
    <col min="60" max="60" width="10.7109375" style="135" customWidth="1"/>
    <col min="61" max="62" width="10.7109375" style="135" hidden="1" customWidth="1"/>
    <col min="63" max="64" width="10.7109375" style="135" customWidth="1"/>
    <col min="65" max="68" width="10.7109375" style="135" hidden="1" customWidth="1"/>
    <col min="69" max="69" width="10.7109375" style="135" customWidth="1"/>
    <col min="70" max="71" width="9.140625" style="135"/>
    <col min="72" max="124" width="12.7109375" style="4" customWidth="1"/>
    <col min="125" max="16384" width="9.140625" style="135"/>
  </cols>
  <sheetData>
    <row r="1" spans="1:124" ht="15.75" hidden="1" thickBot="1" x14ac:dyDescent="0.3">
      <c r="A1" s="1" t="s">
        <v>94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1"/>
      <c r="N1" s="1"/>
      <c r="O1" s="1"/>
      <c r="P1" s="1"/>
      <c r="Q1" s="1"/>
      <c r="R1" s="2"/>
      <c r="S1" s="2"/>
      <c r="T1" s="1"/>
      <c r="U1" s="1"/>
      <c r="V1" s="1"/>
      <c r="W1" s="1"/>
      <c r="X1" s="1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 t="s">
        <v>138</v>
      </c>
      <c r="AK1" s="3"/>
      <c r="AL1" s="3"/>
      <c r="AM1" s="2"/>
      <c r="AN1" s="2"/>
      <c r="AO1" s="2"/>
      <c r="AP1" s="1"/>
      <c r="AQ1" s="4"/>
      <c r="AR1" s="1"/>
      <c r="AS1" s="5"/>
      <c r="AT1" s="5"/>
      <c r="AU1" s="5"/>
      <c r="AV1" s="5"/>
      <c r="AW1" s="6"/>
      <c r="AX1" s="6"/>
      <c r="AY1" s="6"/>
      <c r="AZ1" s="6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</row>
    <row r="2" spans="1:124" ht="15.75" hidden="1" thickBot="1" x14ac:dyDescent="0.3">
      <c r="A2" s="1" t="s">
        <v>67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2"/>
      <c r="S2" s="2"/>
      <c r="T2" s="1"/>
      <c r="U2" s="1"/>
      <c r="V2" s="1"/>
      <c r="W2" s="1"/>
      <c r="X2" s="1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2"/>
      <c r="AN2" s="2"/>
      <c r="AO2" s="2"/>
      <c r="AP2" s="1"/>
      <c r="AQ2" s="4"/>
      <c r="AR2" s="1"/>
      <c r="AS2" s="5"/>
      <c r="AT2" s="5"/>
      <c r="AU2" s="5"/>
      <c r="AV2" s="5"/>
      <c r="AW2" s="6"/>
      <c r="AX2" s="6"/>
      <c r="AY2" s="6"/>
      <c r="AZ2" s="6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</row>
    <row r="3" spans="1:124" ht="15.75" hidden="1" thickBot="1" x14ac:dyDescent="0.3">
      <c r="A3" s="1" t="s">
        <v>0</v>
      </c>
      <c r="B3" s="1"/>
      <c r="C3" s="7"/>
      <c r="D3" s="7"/>
      <c r="E3" s="7"/>
      <c r="F3" s="7"/>
      <c r="G3" s="7"/>
      <c r="H3" s="7"/>
      <c r="I3" s="2"/>
      <c r="J3" s="2"/>
      <c r="K3" s="2"/>
      <c r="L3" s="2"/>
      <c r="M3" s="1"/>
      <c r="N3" s="1"/>
      <c r="O3" s="1"/>
      <c r="P3" s="1"/>
      <c r="Q3" s="1"/>
      <c r="R3" s="2"/>
      <c r="S3" s="2"/>
      <c r="T3" s="1"/>
      <c r="U3" s="1"/>
      <c r="V3" s="1"/>
      <c r="W3" s="1"/>
      <c r="X3" s="1"/>
      <c r="Y3" s="2"/>
      <c r="Z3" s="2"/>
      <c r="AA3" s="2"/>
      <c r="AB3" s="8"/>
      <c r="AC3" s="2"/>
      <c r="AD3" s="2"/>
      <c r="AE3" s="2"/>
      <c r="AF3" s="2"/>
      <c r="AG3" s="2"/>
      <c r="AH3" s="2"/>
      <c r="AI3" s="2"/>
      <c r="AJ3" s="7"/>
      <c r="AK3" s="1"/>
      <c r="AL3" s="1"/>
      <c r="AM3" s="2"/>
      <c r="AN3" s="2"/>
      <c r="AO3" s="2"/>
      <c r="AP3" s="1"/>
      <c r="AQ3" s="4"/>
      <c r="AR3" s="1"/>
      <c r="AS3" s="5"/>
      <c r="AT3" s="5"/>
      <c r="AU3" s="5"/>
      <c r="AV3" s="5"/>
      <c r="AW3" s="6"/>
      <c r="AX3" s="6"/>
      <c r="AY3" s="6"/>
      <c r="AZ3" s="6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24" ht="24" hidden="1" thickBot="1" x14ac:dyDescent="0.3">
      <c r="A4" s="9" t="s">
        <v>132</v>
      </c>
      <c r="B4" s="1"/>
      <c r="C4" s="7"/>
      <c r="D4" s="7"/>
      <c r="E4" s="7"/>
      <c r="F4" s="7"/>
      <c r="G4" s="7"/>
      <c r="H4" s="7"/>
      <c r="I4" s="7"/>
      <c r="J4" s="2"/>
      <c r="K4" s="7"/>
      <c r="L4" s="2"/>
      <c r="M4" s="1"/>
      <c r="N4" s="1"/>
      <c r="O4" s="1"/>
      <c r="P4" s="1"/>
      <c r="Q4" s="1"/>
      <c r="R4" s="2"/>
      <c r="S4" s="2"/>
      <c r="T4" s="1"/>
      <c r="U4" s="1"/>
      <c r="V4" s="1"/>
      <c r="W4" s="1"/>
      <c r="X4" s="1"/>
      <c r="Y4" s="2"/>
      <c r="Z4" s="7"/>
      <c r="AA4" s="2"/>
      <c r="AB4" s="7"/>
      <c r="AC4" s="1"/>
      <c r="AD4" s="1"/>
      <c r="AE4" s="2"/>
      <c r="AF4" s="2"/>
      <c r="AG4" s="2"/>
      <c r="AH4" s="2"/>
      <c r="AI4" s="2"/>
      <c r="AJ4" s="7"/>
      <c r="AK4" s="1"/>
      <c r="AL4" s="3"/>
      <c r="AM4" s="4"/>
      <c r="AN4" s="4"/>
      <c r="AO4" s="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CS4" s="143"/>
      <c r="CT4" s="143"/>
      <c r="CU4" s="143"/>
      <c r="CV4" s="143"/>
      <c r="CW4" s="143"/>
      <c r="CX4" s="143"/>
      <c r="CY4" s="143"/>
      <c r="CZ4" s="143"/>
      <c r="DA4" s="143"/>
      <c r="DB4" s="143"/>
      <c r="DC4" s="143"/>
      <c r="DD4" s="143" t="s">
        <v>34</v>
      </c>
      <c r="DE4" s="143"/>
      <c r="DF4" s="143" t="s">
        <v>25</v>
      </c>
      <c r="DG4" s="143" t="s">
        <v>35</v>
      </c>
      <c r="DH4" s="143"/>
      <c r="DI4" s="143"/>
      <c r="DJ4" s="143"/>
      <c r="DK4" s="143"/>
      <c r="DL4" s="143"/>
      <c r="DM4" s="143"/>
      <c r="DN4" s="143"/>
      <c r="DO4" s="143"/>
      <c r="DP4" s="143"/>
      <c r="DQ4" s="143"/>
      <c r="DR4" s="143"/>
      <c r="DS4" s="143"/>
      <c r="DT4" s="143" t="s">
        <v>36</v>
      </c>
    </row>
    <row r="5" spans="1:124" ht="24" hidden="1" thickBot="1" x14ac:dyDescent="0.3">
      <c r="A5" s="4"/>
      <c r="B5" s="4"/>
      <c r="C5" s="10"/>
      <c r="D5" s="10"/>
      <c r="E5" s="10"/>
      <c r="F5" s="10"/>
      <c r="G5" s="10"/>
      <c r="H5" s="10"/>
      <c r="I5" s="10"/>
      <c r="J5" s="10"/>
      <c r="K5" s="10"/>
      <c r="L5" s="10"/>
      <c r="M5" s="11">
        <v>2.1499999999999998E-2</v>
      </c>
      <c r="N5" s="12">
        <v>5.0000000000000001E-3</v>
      </c>
      <c r="O5" s="13"/>
      <c r="P5" s="14"/>
      <c r="Q5" s="14"/>
      <c r="R5" s="10"/>
      <c r="S5" s="10"/>
      <c r="T5" s="11">
        <v>2.2499999999999999E-2</v>
      </c>
      <c r="U5" s="12">
        <v>5.0000000000000001E-3</v>
      </c>
      <c r="V5" s="14"/>
      <c r="W5" s="14"/>
      <c r="X5" s="14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4"/>
      <c r="AL5" s="4"/>
      <c r="AM5" s="10"/>
      <c r="AN5" s="10"/>
      <c r="AO5" s="10"/>
      <c r="AP5" s="4"/>
      <c r="AQ5" s="4"/>
      <c r="AR5" s="4"/>
      <c r="AS5" s="15"/>
      <c r="AT5" s="15"/>
      <c r="AU5" s="15"/>
      <c r="AV5" s="15"/>
      <c r="AW5" s="16"/>
      <c r="AX5" s="16"/>
      <c r="AY5" s="16"/>
      <c r="AZ5" s="16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142">
        <v>0.5</v>
      </c>
      <c r="BN5" s="4"/>
      <c r="BO5" s="4"/>
      <c r="BP5" s="4"/>
      <c r="BQ5" s="4"/>
      <c r="BT5" s="143"/>
      <c r="BU5" s="143"/>
      <c r="BV5" s="143"/>
      <c r="BW5" s="143"/>
      <c r="BX5" s="143"/>
      <c r="BY5" s="143"/>
      <c r="BZ5" s="143"/>
      <c r="CA5" s="143"/>
      <c r="CB5" s="143"/>
      <c r="CC5" s="143"/>
      <c r="CD5" s="143"/>
      <c r="CE5" s="143"/>
      <c r="CF5" s="143"/>
      <c r="CG5" s="143"/>
      <c r="CH5" s="143"/>
      <c r="CI5" s="143"/>
      <c r="CJ5" s="143"/>
      <c r="CK5" s="143"/>
      <c r="CL5" s="143"/>
      <c r="CM5" s="143"/>
      <c r="CN5" s="143"/>
      <c r="CO5" s="143"/>
      <c r="CP5" s="143"/>
      <c r="CQ5" s="143"/>
      <c r="CR5" s="143"/>
      <c r="CS5" s="143"/>
      <c r="CT5" s="143"/>
      <c r="CU5" s="143"/>
      <c r="CV5" s="143"/>
      <c r="CW5" s="143"/>
      <c r="CX5" s="143"/>
      <c r="CY5" s="143"/>
      <c r="CZ5" s="143"/>
      <c r="DA5" s="143"/>
      <c r="DB5" s="143"/>
      <c r="DC5" s="143" t="s">
        <v>41</v>
      </c>
      <c r="DD5" s="143"/>
      <c r="DE5" s="143" t="s">
        <v>42</v>
      </c>
      <c r="DF5" s="143"/>
      <c r="DG5" s="143"/>
      <c r="DH5" s="143"/>
      <c r="DI5" s="143"/>
      <c r="DJ5" s="143"/>
      <c r="DK5" s="143"/>
      <c r="DL5" s="143"/>
      <c r="DM5" s="143"/>
      <c r="DN5" s="143"/>
      <c r="DO5" s="143"/>
      <c r="DP5" s="143"/>
      <c r="DQ5" s="143"/>
      <c r="DR5" s="143"/>
      <c r="DS5" s="143"/>
      <c r="DT5" s="143"/>
    </row>
    <row r="6" spans="1:124" ht="34.5" customHeight="1" thickTop="1" thickBot="1" x14ac:dyDescent="0.3">
      <c r="A6" s="200" t="s">
        <v>2</v>
      </c>
      <c r="B6" s="193" t="s">
        <v>3</v>
      </c>
      <c r="C6" s="196" t="s">
        <v>4</v>
      </c>
      <c r="D6" s="198" t="s">
        <v>5</v>
      </c>
      <c r="E6" s="198" t="s">
        <v>6</v>
      </c>
      <c r="F6" s="198" t="s">
        <v>7</v>
      </c>
      <c r="G6" s="196" t="s">
        <v>8</v>
      </c>
      <c r="H6" s="196" t="s">
        <v>9</v>
      </c>
      <c r="I6" s="198" t="s">
        <v>10</v>
      </c>
      <c r="J6" s="198" t="s">
        <v>11</v>
      </c>
      <c r="K6" s="198" t="s">
        <v>12</v>
      </c>
      <c r="L6" s="198" t="s">
        <v>13</v>
      </c>
      <c r="M6" s="193" t="s">
        <v>14</v>
      </c>
      <c r="N6" s="193" t="s">
        <v>15</v>
      </c>
      <c r="O6" s="193" t="s">
        <v>16</v>
      </c>
      <c r="P6" s="193" t="s">
        <v>17</v>
      </c>
      <c r="Q6" s="198" t="s">
        <v>46</v>
      </c>
      <c r="R6" s="198" t="s">
        <v>18</v>
      </c>
      <c r="S6" s="198" t="s">
        <v>19</v>
      </c>
      <c r="T6" s="193" t="s">
        <v>20</v>
      </c>
      <c r="U6" s="193" t="s">
        <v>21</v>
      </c>
      <c r="V6" s="193" t="s">
        <v>22</v>
      </c>
      <c r="W6" s="193" t="s">
        <v>47</v>
      </c>
      <c r="X6" s="198" t="s">
        <v>46</v>
      </c>
      <c r="Y6" s="64"/>
      <c r="Z6" s="198" t="s">
        <v>23</v>
      </c>
      <c r="AA6" s="210" t="s">
        <v>24</v>
      </c>
      <c r="AB6" s="198" t="s">
        <v>25</v>
      </c>
      <c r="AC6" s="198" t="s">
        <v>26</v>
      </c>
      <c r="AD6" s="215" t="s">
        <v>95</v>
      </c>
      <c r="AE6" s="216"/>
      <c r="AF6" s="217" t="s">
        <v>28</v>
      </c>
      <c r="AG6" s="203" t="s">
        <v>29</v>
      </c>
      <c r="AH6" s="212"/>
      <c r="AI6" s="196" t="s">
        <v>30</v>
      </c>
      <c r="AJ6" s="64"/>
      <c r="AK6" s="196" t="s">
        <v>31</v>
      </c>
      <c r="AL6" s="196" t="s">
        <v>32</v>
      </c>
      <c r="AM6" s="218" t="s">
        <v>33</v>
      </c>
      <c r="AN6" s="213" t="s">
        <v>103</v>
      </c>
      <c r="AO6" s="17"/>
      <c r="AP6" s="205" t="s">
        <v>63</v>
      </c>
      <c r="AQ6" s="205" t="s">
        <v>64</v>
      </c>
      <c r="AR6" s="205" t="s">
        <v>111</v>
      </c>
      <c r="AS6" s="205" t="s">
        <v>65</v>
      </c>
      <c r="AT6" s="205" t="s">
        <v>98</v>
      </c>
      <c r="AU6" s="205" t="s">
        <v>119</v>
      </c>
      <c r="AV6" s="205" t="s">
        <v>113</v>
      </c>
      <c r="AW6" s="205" t="s">
        <v>114</v>
      </c>
      <c r="AX6" s="205" t="s">
        <v>115</v>
      </c>
      <c r="AY6" s="66"/>
      <c r="AZ6" s="68"/>
      <c r="BA6" s="207" t="s">
        <v>34</v>
      </c>
      <c r="BB6" s="70"/>
      <c r="BC6" s="196" t="s">
        <v>25</v>
      </c>
      <c r="BD6" s="196" t="s">
        <v>35</v>
      </c>
      <c r="BE6" s="205" t="s">
        <v>125</v>
      </c>
      <c r="BF6" s="205" t="s">
        <v>112</v>
      </c>
      <c r="BG6" s="205" t="s">
        <v>128</v>
      </c>
      <c r="BH6" s="205" t="s">
        <v>129</v>
      </c>
      <c r="BI6" s="205" t="s">
        <v>130</v>
      </c>
      <c r="BJ6" s="205" t="s">
        <v>131</v>
      </c>
      <c r="BK6" s="205" t="s">
        <v>127</v>
      </c>
      <c r="BL6" s="205" t="s">
        <v>116</v>
      </c>
      <c r="BM6" s="205" t="s">
        <v>118</v>
      </c>
      <c r="BN6" s="18"/>
      <c r="BO6" s="18"/>
      <c r="BP6" s="18"/>
      <c r="BQ6" s="203" t="s">
        <v>36</v>
      </c>
    </row>
    <row r="7" spans="1:124" ht="35.25" thickTop="1" thickBot="1" x14ac:dyDescent="0.3">
      <c r="A7" s="201"/>
      <c r="B7" s="194"/>
      <c r="C7" s="197"/>
      <c r="D7" s="202"/>
      <c r="E7" s="202"/>
      <c r="F7" s="199"/>
      <c r="G7" s="197"/>
      <c r="H7" s="197"/>
      <c r="I7" s="199"/>
      <c r="J7" s="199"/>
      <c r="K7" s="202"/>
      <c r="L7" s="199"/>
      <c r="M7" s="194"/>
      <c r="N7" s="194"/>
      <c r="O7" s="194"/>
      <c r="P7" s="194"/>
      <c r="Q7" s="199"/>
      <c r="R7" s="202"/>
      <c r="S7" s="199"/>
      <c r="T7" s="194"/>
      <c r="U7" s="194"/>
      <c r="V7" s="194"/>
      <c r="W7" s="194"/>
      <c r="X7" s="199"/>
      <c r="Y7" s="19" t="s">
        <v>37</v>
      </c>
      <c r="Z7" s="202"/>
      <c r="AA7" s="211"/>
      <c r="AB7" s="202"/>
      <c r="AC7" s="202"/>
      <c r="AD7" s="117" t="s">
        <v>96</v>
      </c>
      <c r="AE7" s="118" t="s">
        <v>97</v>
      </c>
      <c r="AF7" s="202"/>
      <c r="AG7" s="20" t="s">
        <v>38</v>
      </c>
      <c r="AH7" s="20" t="s">
        <v>39</v>
      </c>
      <c r="AI7" s="209"/>
      <c r="AJ7" s="65" t="s">
        <v>40</v>
      </c>
      <c r="AK7" s="197"/>
      <c r="AL7" s="197"/>
      <c r="AM7" s="219"/>
      <c r="AN7" s="214"/>
      <c r="AO7" s="21" t="s">
        <v>66</v>
      </c>
      <c r="AP7" s="206"/>
      <c r="AQ7" s="206"/>
      <c r="AR7" s="206"/>
      <c r="AS7" s="206"/>
      <c r="AT7" s="206"/>
      <c r="AU7" s="206"/>
      <c r="AV7" s="206"/>
      <c r="AW7" s="206"/>
      <c r="AX7" s="206"/>
      <c r="AY7" s="67"/>
      <c r="AZ7" s="69" t="s">
        <v>41</v>
      </c>
      <c r="BA7" s="208"/>
      <c r="BB7" s="71" t="s">
        <v>42</v>
      </c>
      <c r="BC7" s="209"/>
      <c r="BD7" s="209"/>
      <c r="BE7" s="206"/>
      <c r="BF7" s="206"/>
      <c r="BG7" s="206"/>
      <c r="BH7" s="206"/>
      <c r="BI7" s="206"/>
      <c r="BJ7" s="206"/>
      <c r="BK7" s="206"/>
      <c r="BL7" s="206"/>
      <c r="BM7" s="206"/>
      <c r="BN7" s="22"/>
      <c r="BO7" s="22"/>
      <c r="BP7" s="22"/>
      <c r="BQ7" s="204"/>
      <c r="BT7" s="4" t="s">
        <v>58</v>
      </c>
      <c r="BU7" s="4" t="s">
        <v>59</v>
      </c>
      <c r="BV7" s="4" t="s">
        <v>60</v>
      </c>
      <c r="BW7" s="4" t="s">
        <v>61</v>
      </c>
      <c r="BX7" s="4" t="s">
        <v>36</v>
      </c>
    </row>
    <row r="8" spans="1:124" ht="15.75" thickTop="1" x14ac:dyDescent="0.25">
      <c r="A8" s="23"/>
      <c r="B8" s="24"/>
      <c r="C8" s="25"/>
      <c r="D8" s="26"/>
      <c r="E8" s="26"/>
      <c r="F8" s="26"/>
      <c r="G8" s="25"/>
      <c r="H8" s="25"/>
      <c r="I8" s="26"/>
      <c r="J8" s="26"/>
      <c r="K8" s="26"/>
      <c r="L8" s="26"/>
      <c r="M8" s="24"/>
      <c r="N8" s="24"/>
      <c r="O8" s="24"/>
      <c r="P8" s="24"/>
      <c r="Q8" s="27"/>
      <c r="R8" s="26"/>
      <c r="S8" s="26"/>
      <c r="T8" s="24"/>
      <c r="U8" s="24"/>
      <c r="V8" s="24"/>
      <c r="W8" s="24"/>
      <c r="X8" s="27"/>
      <c r="Y8" s="26"/>
      <c r="Z8" s="26"/>
      <c r="AA8" s="26"/>
      <c r="AB8" s="26"/>
      <c r="AC8" s="34"/>
      <c r="AD8" s="28"/>
      <c r="AE8" s="28"/>
      <c r="AF8" s="26"/>
      <c r="AG8" s="25"/>
      <c r="AH8" s="25"/>
      <c r="AI8" s="25"/>
      <c r="AJ8" s="26"/>
      <c r="AK8" s="25"/>
      <c r="AL8" s="25"/>
      <c r="AM8" s="25"/>
      <c r="AN8" s="25"/>
      <c r="AO8" s="29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25"/>
      <c r="BA8" s="28"/>
      <c r="BB8" s="28"/>
      <c r="BC8" s="25"/>
      <c r="BD8" s="25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31"/>
    </row>
    <row r="9" spans="1:124" x14ac:dyDescent="0.25">
      <c r="A9" s="187">
        <v>43647</v>
      </c>
      <c r="B9" s="32" t="s">
        <v>43</v>
      </c>
      <c r="C9" s="33">
        <v>11679.13</v>
      </c>
      <c r="D9" s="34">
        <v>9502.25</v>
      </c>
      <c r="E9" s="34">
        <v>9503</v>
      </c>
      <c r="F9" s="35">
        <v>43647</v>
      </c>
      <c r="G9" s="33">
        <f>IF(E9-D9&lt;0,E9-D9,0)*-1</f>
        <v>0</v>
      </c>
      <c r="H9" s="33">
        <f>IF(E9-D9&gt;0,E9-D9,0)</f>
        <v>0.75</v>
      </c>
      <c r="I9" s="34"/>
      <c r="J9" s="34"/>
      <c r="K9" s="34">
        <v>1900.81</v>
      </c>
      <c r="L9" s="34"/>
      <c r="M9" s="36">
        <f>(+K9)*M$5</f>
        <v>40.867414999999994</v>
      </c>
      <c r="N9" s="36">
        <f>(+K9)*N$5</f>
        <v>9.5040499999999994</v>
      </c>
      <c r="O9" s="36">
        <f>+K9-M9-N9+P9</f>
        <v>1850.438535</v>
      </c>
      <c r="P9" s="36">
        <f>L9-(L9*(M$5+N$5))</f>
        <v>0</v>
      </c>
      <c r="Q9" s="37"/>
      <c r="R9" s="34"/>
      <c r="S9" s="34"/>
      <c r="T9" s="36">
        <f>+R9*T$5</f>
        <v>0</v>
      </c>
      <c r="U9" s="36">
        <f>+R9*U$5</f>
        <v>0</v>
      </c>
      <c r="V9" s="36">
        <f>+R9-T9-U9+W9</f>
        <v>0</v>
      </c>
      <c r="W9" s="36">
        <f>+S9-(S9*(T$5+U$5))</f>
        <v>0</v>
      </c>
      <c r="X9" s="37"/>
      <c r="Y9" s="34"/>
      <c r="Z9" s="34"/>
      <c r="AA9" s="34"/>
      <c r="AB9" s="34"/>
      <c r="AC9" s="34">
        <v>91.07</v>
      </c>
      <c r="AD9" s="38"/>
      <c r="AE9" s="38">
        <v>185</v>
      </c>
      <c r="AF9" s="34">
        <v>903.77</v>
      </c>
      <c r="AG9" s="33">
        <f>(AF9*0.8)*0.85</f>
        <v>614.56360000000006</v>
      </c>
      <c r="AH9" s="33">
        <f>(AF9*0.8)*0.15</f>
        <v>108.45240000000001</v>
      </c>
      <c r="AI9" s="33">
        <f>AF9*0.2</f>
        <v>180.75400000000002</v>
      </c>
      <c r="AJ9" s="34"/>
      <c r="AK9" s="33">
        <f t="shared" ref="AK9:AK10" si="0">(C9-AF9-AJ9)/1.12</f>
        <v>9620.8571428571413</v>
      </c>
      <c r="AL9" s="33">
        <f t="shared" ref="AL9:AL10" si="1">AK9-SUM(Y9:AC9)</f>
        <v>9529.7871428571416</v>
      </c>
      <c r="AM9" s="33">
        <f t="shared" ref="AM9:AM10" si="2">+AL9*0.12</f>
        <v>1143.574457142857</v>
      </c>
      <c r="AN9" s="33">
        <f t="shared" ref="AN9:AN10" si="3">+AM9+AL9+AJ9</f>
        <v>10673.361599999998</v>
      </c>
      <c r="AO9" s="39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33">
        <f>SUM(AO9:AY9)</f>
        <v>0</v>
      </c>
      <c r="BA9" s="38"/>
      <c r="BB9" s="38"/>
      <c r="BC9" s="33">
        <f>SUM(BE9:BL9)*0.1+(BM9*0.5)</f>
        <v>0</v>
      </c>
      <c r="BD9" s="33">
        <f>SUM(BE9:BL9)+(BM9*0.5)</f>
        <v>0</v>
      </c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41">
        <f>AZ9+BA9+BB9+BD9-BC9</f>
        <v>0</v>
      </c>
    </row>
    <row r="10" spans="1:124" ht="15.75" thickBot="1" x14ac:dyDescent="0.3">
      <c r="A10" s="195"/>
      <c r="B10" s="15" t="s">
        <v>44</v>
      </c>
      <c r="C10" s="33">
        <v>15395.15</v>
      </c>
      <c r="D10" s="34">
        <v>13835.18</v>
      </c>
      <c r="E10" s="34">
        <v>13459.92</v>
      </c>
      <c r="F10" s="35">
        <v>43648</v>
      </c>
      <c r="G10" s="33">
        <f>IF(E10-D10&lt;0,E10-D10,0)*-1</f>
        <v>375.26000000000022</v>
      </c>
      <c r="H10" s="33">
        <f>IF(E10-D10&gt;0,E10-D10,0)</f>
        <v>0</v>
      </c>
      <c r="I10" s="34"/>
      <c r="J10" s="34"/>
      <c r="K10" s="34">
        <v>1438.13</v>
      </c>
      <c r="L10" s="34"/>
      <c r="M10" s="36">
        <f>(+K10)*M$5</f>
        <v>30.919795000000001</v>
      </c>
      <c r="N10" s="36">
        <f>(+K10)*N$5</f>
        <v>7.1906500000000007</v>
      </c>
      <c r="O10" s="36">
        <f>+K10-M10-N10+P10</f>
        <v>1400.0195550000001</v>
      </c>
      <c r="P10" s="36">
        <f>L10-(L10*(M$5+N$5))</f>
        <v>0</v>
      </c>
      <c r="Q10" s="37"/>
      <c r="R10" s="34"/>
      <c r="S10" s="34"/>
      <c r="T10" s="36">
        <f>+R10*T$5</f>
        <v>0</v>
      </c>
      <c r="U10" s="36">
        <f>+R10*U$5</f>
        <v>0</v>
      </c>
      <c r="V10" s="36">
        <f>+R10-T10-U10+W10</f>
        <v>0</v>
      </c>
      <c r="W10" s="36">
        <f>+S10-(S10*(T$5+U$5))</f>
        <v>0</v>
      </c>
      <c r="X10" s="37"/>
      <c r="Y10" s="34"/>
      <c r="Z10" s="34">
        <v>49.75</v>
      </c>
      <c r="AA10" s="34">
        <v>14.5</v>
      </c>
      <c r="AB10" s="34"/>
      <c r="AC10" s="34"/>
      <c r="AD10" s="38"/>
      <c r="AE10" s="38">
        <v>160</v>
      </c>
      <c r="AF10" s="34">
        <v>1222.8699999999999</v>
      </c>
      <c r="AG10" s="33">
        <f>(AF10*0.8)*0.85</f>
        <v>831.55159999999989</v>
      </c>
      <c r="AH10" s="33">
        <f>(AF10*0.8)*0.15</f>
        <v>146.74439999999998</v>
      </c>
      <c r="AI10" s="33">
        <f>AF10*0.2</f>
        <v>244.57399999999998</v>
      </c>
      <c r="AJ10" s="34"/>
      <c r="AK10" s="33">
        <f t="shared" si="0"/>
        <v>12653.821428571426</v>
      </c>
      <c r="AL10" s="33">
        <f t="shared" si="1"/>
        <v>12589.571428571426</v>
      </c>
      <c r="AM10" s="33">
        <f t="shared" si="2"/>
        <v>1510.748571428571</v>
      </c>
      <c r="AN10" s="33">
        <f t="shared" si="3"/>
        <v>14100.319999999996</v>
      </c>
      <c r="AO10" s="39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33">
        <f>SUM(AO10:AY10)</f>
        <v>0</v>
      </c>
      <c r="BA10" s="38"/>
      <c r="BB10" s="38"/>
      <c r="BC10" s="33">
        <v>0</v>
      </c>
      <c r="BD10" s="33">
        <f>SUM(BE10:BL10)+(BM10*0.5)</f>
        <v>0</v>
      </c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41">
        <f>AZ10+BA10+BB10+BD10-BC10</f>
        <v>0</v>
      </c>
    </row>
    <row r="11" spans="1:124" s="159" customFormat="1" ht="15.75" thickBot="1" x14ac:dyDescent="0.3">
      <c r="A11" s="156"/>
      <c r="B11" s="43"/>
      <c r="C11" s="44">
        <f>SUBTOTAL(9,C9:C10)</f>
        <v>27074.28</v>
      </c>
      <c r="D11" s="45">
        <f>SUBTOTAL(9,D9:D10)</f>
        <v>23337.43</v>
      </c>
      <c r="E11" s="45">
        <f>SUBTOTAL(9,E9:E10)</f>
        <v>22962.92</v>
      </c>
      <c r="F11" s="47"/>
      <c r="G11" s="45">
        <f>SUBTOTAL(9,G9:G10)</f>
        <v>375.26000000000022</v>
      </c>
      <c r="H11" s="45">
        <f>SUBTOTAL(9,H9:H10)</f>
        <v>0.75</v>
      </c>
      <c r="I11" s="45">
        <f>SUBTOTAL(9,I9:I10)</f>
        <v>0</v>
      </c>
      <c r="J11" s="45">
        <f>SUBTOTAL(9,J9:J10)</f>
        <v>0</v>
      </c>
      <c r="K11" s="158">
        <f>SUBTOTAL(9,K9:K10)</f>
        <v>3338.94</v>
      </c>
      <c r="L11" s="45">
        <f>SUBTOTAL(9,L9:L10)</f>
        <v>0</v>
      </c>
      <c r="M11" s="46">
        <f>SUBTOTAL(9,M9:M10)</f>
        <v>71.787209999999988</v>
      </c>
      <c r="N11" s="46">
        <f>SUBTOTAL(9,N9:N10)</f>
        <v>16.694700000000001</v>
      </c>
      <c r="O11" s="46">
        <f>SUBTOTAL(9,O9:O10)</f>
        <v>3250.4580900000001</v>
      </c>
      <c r="P11" s="46">
        <f>SUBTOTAL(9,P9:P10)</f>
        <v>0</v>
      </c>
      <c r="Q11" s="47">
        <f>SUBTOTAL(9,Q9:Q10)</f>
        <v>0</v>
      </c>
      <c r="R11" s="45">
        <f>SUBTOTAL(9,R9:R10)</f>
        <v>0</v>
      </c>
      <c r="S11" s="45">
        <f>SUBTOTAL(9,S9:S10)</f>
        <v>0</v>
      </c>
      <c r="T11" s="46">
        <f>SUBTOTAL(9,T9:T10)</f>
        <v>0</v>
      </c>
      <c r="U11" s="46">
        <f>SUBTOTAL(9,U9:U10)</f>
        <v>0</v>
      </c>
      <c r="V11" s="46">
        <f>SUBTOTAL(9,V9:V10)</f>
        <v>0</v>
      </c>
      <c r="W11" s="46">
        <f>SUBTOTAL(9,W9:W10)</f>
        <v>0</v>
      </c>
      <c r="X11" s="47">
        <f>SUBTOTAL(9,X9:X10)</f>
        <v>0</v>
      </c>
      <c r="Y11" s="45">
        <f>SUBTOTAL(9,Y9:Y10)</f>
        <v>0</v>
      </c>
      <c r="Z11" s="45">
        <f>SUBTOTAL(9,Z9:Z10)</f>
        <v>49.75</v>
      </c>
      <c r="AA11" s="45">
        <f>SUBTOTAL(9,AA9:AA10)</f>
        <v>14.5</v>
      </c>
      <c r="AB11" s="45">
        <f>SUBTOTAL(9,AB9:AB10)</f>
        <v>0</v>
      </c>
      <c r="AC11" s="45">
        <f>SUBTOTAL(9,AC9:AC10)</f>
        <v>91.07</v>
      </c>
      <c r="AD11" s="48">
        <f>SUBTOTAL(9,AD9:AD10)</f>
        <v>0</v>
      </c>
      <c r="AE11" s="48">
        <f>SUBTOTAL(9,AE9:AE10)</f>
        <v>345</v>
      </c>
      <c r="AF11" s="45"/>
      <c r="AG11" s="44">
        <f>SUBTOTAL(9,AG9:AG10)</f>
        <v>1446.1152</v>
      </c>
      <c r="AH11" s="44">
        <f>SUBTOTAL(9,AH9:AH10)</f>
        <v>255.1968</v>
      </c>
      <c r="AI11" s="44">
        <f>SUBTOTAL(9,AI9:AI10)</f>
        <v>425.32799999999997</v>
      </c>
      <c r="AJ11" s="45" t="e">
        <f>SUBTOTAL(9,#REF!)</f>
        <v>#REF!</v>
      </c>
      <c r="AK11" s="44">
        <f>SUBTOTAL(9,AK9:AK10)</f>
        <v>22274.678571428565</v>
      </c>
      <c r="AL11" s="44">
        <f>SUBTOTAL(9,AL9:AL10)</f>
        <v>22119.358571428565</v>
      </c>
      <c r="AM11" s="44">
        <f>SUBTOTAL(9,AM9:AM10)</f>
        <v>2654.323028571428</v>
      </c>
      <c r="AN11" s="44">
        <f>SUBTOTAL(9,AN9:AN10)</f>
        <v>24773.681599999996</v>
      </c>
      <c r="AO11" s="49">
        <f t="shared" ref="R11:BP11" si="4">SUBTOTAL(9,AO9:AO10)</f>
        <v>0</v>
      </c>
      <c r="AP11" s="49">
        <f t="shared" si="4"/>
        <v>0</v>
      </c>
      <c r="AQ11" s="49">
        <f t="shared" si="4"/>
        <v>0</v>
      </c>
      <c r="AR11" s="49">
        <f t="shared" si="4"/>
        <v>0</v>
      </c>
      <c r="AS11" s="49">
        <f t="shared" si="4"/>
        <v>0</v>
      </c>
      <c r="AT11" s="49">
        <f t="shared" si="4"/>
        <v>0</v>
      </c>
      <c r="AU11" s="49">
        <f>SUBTOTAL(9,AU9:AU10)</f>
        <v>0</v>
      </c>
      <c r="AV11" s="49">
        <f t="shared" si="4"/>
        <v>0</v>
      </c>
      <c r="AW11" s="49">
        <f t="shared" si="4"/>
        <v>0</v>
      </c>
      <c r="AX11" s="49">
        <f t="shared" si="4"/>
        <v>0</v>
      </c>
      <c r="AY11" s="49">
        <f t="shared" si="4"/>
        <v>0</v>
      </c>
      <c r="AZ11" s="44">
        <f t="shared" si="4"/>
        <v>0</v>
      </c>
      <c r="BA11" s="48">
        <f t="shared" si="4"/>
        <v>0</v>
      </c>
      <c r="BB11" s="48">
        <f t="shared" si="4"/>
        <v>0</v>
      </c>
      <c r="BC11" s="44">
        <f t="shared" si="4"/>
        <v>0</v>
      </c>
      <c r="BD11" s="44">
        <f t="shared" si="4"/>
        <v>0</v>
      </c>
      <c r="BE11" s="49">
        <f>SUBTOTAL(9,BE9:BE10)</f>
        <v>0</v>
      </c>
      <c r="BF11" s="49">
        <f t="shared" si="4"/>
        <v>0</v>
      </c>
      <c r="BG11" s="49">
        <f t="shared" si="4"/>
        <v>0</v>
      </c>
      <c r="BH11" s="49">
        <f t="shared" si="4"/>
        <v>0</v>
      </c>
      <c r="BI11" s="49">
        <f t="shared" si="4"/>
        <v>0</v>
      </c>
      <c r="BJ11" s="49">
        <f t="shared" si="4"/>
        <v>0</v>
      </c>
      <c r="BK11" s="49">
        <f t="shared" si="4"/>
        <v>0</v>
      </c>
      <c r="BL11" s="49">
        <f t="shared" si="4"/>
        <v>0</v>
      </c>
      <c r="BM11" s="49">
        <f t="shared" si="4"/>
        <v>0</v>
      </c>
      <c r="BN11" s="49">
        <f t="shared" si="4"/>
        <v>0</v>
      </c>
      <c r="BO11" s="49">
        <f t="shared" si="4"/>
        <v>0</v>
      </c>
      <c r="BP11" s="49">
        <f t="shared" si="4"/>
        <v>0</v>
      </c>
      <c r="BQ11" s="44">
        <f>SUBTOTAL(9,BQ9:BQ10)</f>
        <v>0</v>
      </c>
      <c r="BT11" s="160"/>
      <c r="BU11" s="160"/>
      <c r="BV11" s="160"/>
      <c r="BW11" s="160"/>
      <c r="BX11" s="160"/>
      <c r="BY11" s="160"/>
      <c r="BZ11" s="160"/>
      <c r="CA11" s="160"/>
      <c r="CB11" s="160"/>
      <c r="CC11" s="160"/>
      <c r="CD11" s="160"/>
      <c r="CE11" s="160"/>
      <c r="CF11" s="160"/>
      <c r="CG11" s="160"/>
      <c r="CH11" s="160"/>
      <c r="CI11" s="160"/>
      <c r="CJ11" s="160"/>
      <c r="CK11" s="160"/>
      <c r="CL11" s="160"/>
      <c r="CM11" s="160"/>
      <c r="CN11" s="160"/>
      <c r="CO11" s="160"/>
      <c r="CP11" s="160"/>
      <c r="CQ11" s="160"/>
      <c r="CR11" s="160"/>
      <c r="CS11" s="160"/>
      <c r="CT11" s="161"/>
      <c r="CU11" s="160"/>
      <c r="CV11" s="160"/>
      <c r="CW11" s="160"/>
      <c r="CX11" s="160"/>
      <c r="CY11" s="160"/>
      <c r="CZ11" s="160"/>
      <c r="DA11" s="160"/>
      <c r="DB11" s="160"/>
      <c r="DC11" s="160"/>
      <c r="DD11" s="160"/>
      <c r="DE11" s="160"/>
      <c r="DF11" s="160"/>
      <c r="DG11" s="160"/>
      <c r="DH11" s="160"/>
      <c r="DI11" s="160"/>
      <c r="DJ11" s="160"/>
      <c r="DK11" s="160"/>
      <c r="DL11" s="160"/>
      <c r="DM11" s="160"/>
      <c r="DN11" s="160"/>
      <c r="DO11" s="160"/>
      <c r="DP11" s="160"/>
      <c r="DQ11" s="160"/>
      <c r="DR11" s="160"/>
      <c r="DS11" s="160"/>
      <c r="DT11" s="160"/>
    </row>
    <row r="12" spans="1:124" x14ac:dyDescent="0.25">
      <c r="A12" s="187">
        <f>A9+1</f>
        <v>43648</v>
      </c>
      <c r="B12" s="32" t="s">
        <v>43</v>
      </c>
      <c r="C12" s="33">
        <v>14236.7</v>
      </c>
      <c r="D12" s="34">
        <v>8100.38</v>
      </c>
      <c r="E12" s="34">
        <v>8102</v>
      </c>
      <c r="F12" s="35">
        <v>43648</v>
      </c>
      <c r="G12" s="33">
        <f>IF(E12-D12&lt;0,E12-D12,0)*-1</f>
        <v>0</v>
      </c>
      <c r="H12" s="33">
        <f>IF(E12-D12&gt;0,E12-D12,0)</f>
        <v>1.6199999999998909</v>
      </c>
      <c r="I12" s="34"/>
      <c r="J12" s="34"/>
      <c r="K12" s="34">
        <v>5304.82</v>
      </c>
      <c r="L12" s="34"/>
      <c r="M12" s="36">
        <f>(+K12)*M$5</f>
        <v>114.05362999999998</v>
      </c>
      <c r="N12" s="36">
        <f>(+K12)*N$5</f>
        <v>26.524100000000001</v>
      </c>
      <c r="O12" s="36">
        <f>+K12-M12-N12+P12</f>
        <v>5164.2422699999997</v>
      </c>
      <c r="P12" s="36"/>
      <c r="Q12" s="37"/>
      <c r="R12" s="34"/>
      <c r="S12" s="34"/>
      <c r="T12" s="36">
        <f>+R12*T$5</f>
        <v>0</v>
      </c>
      <c r="U12" s="36">
        <f>+R12*U$5</f>
        <v>0</v>
      </c>
      <c r="V12" s="36">
        <f>+R12-T12-U12+W12</f>
        <v>0</v>
      </c>
      <c r="W12" s="36">
        <f>+S12-(S12*(T$5+U$5))</f>
        <v>0</v>
      </c>
      <c r="X12" s="37"/>
      <c r="Y12" s="34"/>
      <c r="Z12" s="34">
        <v>101.5</v>
      </c>
      <c r="AA12" s="34"/>
      <c r="AB12" s="34"/>
      <c r="AC12" s="34"/>
      <c r="AD12" s="38"/>
      <c r="AE12" s="38">
        <v>730</v>
      </c>
      <c r="AF12" s="34">
        <v>1078.7</v>
      </c>
      <c r="AG12" s="33">
        <f>(AF12*0.8)*0.85</f>
        <v>733.51599999999996</v>
      </c>
      <c r="AH12" s="33">
        <f>(AF12*0.8)*0.15</f>
        <v>129.44399999999999</v>
      </c>
      <c r="AI12" s="33">
        <f>AF12*0.2</f>
        <v>215.74</v>
      </c>
      <c r="AJ12" s="34"/>
      <c r="AK12" s="33">
        <f t="shared" ref="AK12:AK13" si="5">(C12-AF12-AJ12)/1.12</f>
        <v>11748.214285714284</v>
      </c>
      <c r="AL12" s="33">
        <f t="shared" ref="AL12:AL13" si="6">AK12-SUM(Y12:AC12)</f>
        <v>11646.714285714284</v>
      </c>
      <c r="AM12" s="33">
        <f t="shared" ref="AM12:AM13" si="7">+AL12*0.12</f>
        <v>1397.6057142857142</v>
      </c>
      <c r="AN12" s="33">
        <f t="shared" ref="AN12:AN13" si="8">+AM12+AL12+AJ12</f>
        <v>13044.319999999998</v>
      </c>
      <c r="AO12" s="39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33">
        <f>SUM(AO12:AY12)</f>
        <v>0</v>
      </c>
      <c r="BA12" s="38"/>
      <c r="BB12" s="38"/>
      <c r="BC12" s="33">
        <f>SUM(BE12:BL12)*0.1+(BM12*0.5)</f>
        <v>0</v>
      </c>
      <c r="BD12" s="33">
        <f>SUM(BE12:BL12)+(BM12*0.5)</f>
        <v>0</v>
      </c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41">
        <f>AZ12+BA12+BB12+BD12-BC12</f>
        <v>0</v>
      </c>
      <c r="BS12" s="145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</row>
    <row r="13" spans="1:124" ht="15.75" thickBot="1" x14ac:dyDescent="0.3">
      <c r="A13" s="188"/>
      <c r="B13" s="15" t="s">
        <v>44</v>
      </c>
      <c r="C13" s="33">
        <v>13099.54</v>
      </c>
      <c r="D13" s="34">
        <v>8972.4</v>
      </c>
      <c r="E13" s="34">
        <v>8975</v>
      </c>
      <c r="F13" s="35">
        <v>43649</v>
      </c>
      <c r="G13" s="33">
        <f>IF(E13-D13&lt;0,E13-D13,0)*-1</f>
        <v>0</v>
      </c>
      <c r="H13" s="33">
        <f>IF(E13-D13&gt;0,E13-D13,0)</f>
        <v>2.6000000000003638</v>
      </c>
      <c r="I13" s="34"/>
      <c r="J13" s="34"/>
      <c r="K13" s="34">
        <v>3289.64</v>
      </c>
      <c r="L13" s="34"/>
      <c r="M13" s="36">
        <f>(+K13)*M$5</f>
        <v>70.727259999999987</v>
      </c>
      <c r="N13" s="36">
        <f>(+K13)*N$5</f>
        <v>16.4482</v>
      </c>
      <c r="O13" s="36">
        <f>+K13-M13-N13+P13</f>
        <v>3202.4645399999999</v>
      </c>
      <c r="P13" s="36">
        <f>L13-(L13*(M$5+N$5))</f>
        <v>0</v>
      </c>
      <c r="Q13" s="37"/>
      <c r="R13" s="34"/>
      <c r="S13" s="34"/>
      <c r="T13" s="36">
        <f>+R13*T$5</f>
        <v>0</v>
      </c>
      <c r="U13" s="36">
        <f>+R13*U$5</f>
        <v>0</v>
      </c>
      <c r="V13" s="36">
        <f>+R13-T13-U13+W13</f>
        <v>0</v>
      </c>
      <c r="W13" s="36">
        <f>+S13-(S13*(T$5+U$5))</f>
        <v>0</v>
      </c>
      <c r="X13" s="37"/>
      <c r="Y13" s="34"/>
      <c r="Z13" s="34"/>
      <c r="AA13" s="34"/>
      <c r="AB13" s="34"/>
      <c r="AC13" s="34">
        <v>212.5</v>
      </c>
      <c r="AD13" s="38"/>
      <c r="AE13" s="38">
        <v>625</v>
      </c>
      <c r="AF13" s="34">
        <v>997.04</v>
      </c>
      <c r="AG13" s="33">
        <f>(AF13*0.8)*0.85</f>
        <v>677.98720000000003</v>
      </c>
      <c r="AH13" s="33">
        <f>(AF13*0.8)*0.15</f>
        <v>119.6448</v>
      </c>
      <c r="AI13" s="33">
        <f>AF13*0.2</f>
        <v>199.40800000000002</v>
      </c>
      <c r="AJ13" s="34">
        <v>0</v>
      </c>
      <c r="AK13" s="33">
        <f t="shared" si="5"/>
        <v>10805.803571428571</v>
      </c>
      <c r="AL13" s="33">
        <f t="shared" si="6"/>
        <v>10593.303571428571</v>
      </c>
      <c r="AM13" s="33">
        <f t="shared" si="7"/>
        <v>1271.1964285714284</v>
      </c>
      <c r="AN13" s="33">
        <f t="shared" si="8"/>
        <v>11864.5</v>
      </c>
      <c r="AO13" s="39">
        <v>225</v>
      </c>
      <c r="AP13" s="40"/>
      <c r="AQ13" s="40">
        <v>125</v>
      </c>
      <c r="AR13" s="40"/>
      <c r="AS13" s="40"/>
      <c r="AT13" s="40"/>
      <c r="AU13" s="40"/>
      <c r="AV13" s="40"/>
      <c r="AW13" s="40"/>
      <c r="AX13" s="40"/>
      <c r="AY13" s="40"/>
      <c r="AZ13" s="33">
        <f>SUM(AO13:AY13)</f>
        <v>350</v>
      </c>
      <c r="BA13" s="38"/>
      <c r="BB13" s="38">
        <v>0</v>
      </c>
      <c r="BC13" s="33">
        <v>0</v>
      </c>
      <c r="BD13" s="33">
        <v>0</v>
      </c>
      <c r="BE13" s="39"/>
      <c r="BF13" s="39"/>
      <c r="BG13" s="39">
        <v>0</v>
      </c>
      <c r="BH13" s="39"/>
      <c r="BI13" s="39"/>
      <c r="BJ13" s="39"/>
      <c r="BK13" s="39"/>
      <c r="BL13" s="39"/>
      <c r="BM13" s="39"/>
      <c r="BN13" s="39"/>
      <c r="BO13" s="39"/>
      <c r="BP13" s="39"/>
      <c r="BQ13" s="41">
        <f>AZ13+BA13+BB13+BD13-BC13</f>
        <v>350</v>
      </c>
      <c r="BS13" s="145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</row>
    <row r="14" spans="1:124" s="165" customFormat="1" ht="15.75" thickBot="1" x14ac:dyDescent="0.3">
      <c r="A14" s="156"/>
      <c r="B14" s="43"/>
      <c r="C14" s="44">
        <f>SUBTOTAL(9,C12:C13)</f>
        <v>27336.240000000002</v>
      </c>
      <c r="D14" s="45">
        <f>SUBTOTAL(9,D12:D13)</f>
        <v>17072.78</v>
      </c>
      <c r="E14" s="45">
        <f>SUBTOTAL(9,E12:E13)</f>
        <v>17077</v>
      </c>
      <c r="F14" s="47"/>
      <c r="G14" s="45">
        <f>SUBTOTAL(9,G12:G13)</f>
        <v>0</v>
      </c>
      <c r="H14" s="45">
        <f>SUBTOTAL(9,H12:H13)</f>
        <v>4.2200000000002547</v>
      </c>
      <c r="I14" s="45">
        <f>SUBTOTAL(9,I12:I13)</f>
        <v>0</v>
      </c>
      <c r="J14" s="45">
        <f>SUBTOTAL(9,J12:J13)</f>
        <v>0</v>
      </c>
      <c r="K14" s="158">
        <f>SUBTOTAL(9,K12:K13)</f>
        <v>8594.4599999999991</v>
      </c>
      <c r="L14" s="45">
        <f>SUBTOTAL(9,L12:L13)</f>
        <v>0</v>
      </c>
      <c r="M14" s="46">
        <f>SUBTOTAL(9,M12:M13)</f>
        <v>184.78088999999997</v>
      </c>
      <c r="N14" s="46">
        <f>SUBTOTAL(9,N12:N13)</f>
        <v>42.972300000000004</v>
      </c>
      <c r="O14" s="46">
        <f>SUBTOTAL(9,O12:O13)</f>
        <v>8366.7068099999997</v>
      </c>
      <c r="P14" s="46">
        <f>SUBTOTAL(9,P12:P13)</f>
        <v>0</v>
      </c>
      <c r="Q14" s="47">
        <f>SUBTOTAL(9,Q12:Q13)</f>
        <v>0</v>
      </c>
      <c r="R14" s="45">
        <f>SUBTOTAL(9,R12:R13)</f>
        <v>0</v>
      </c>
      <c r="S14" s="45">
        <f>SUBTOTAL(9,S12:S13)</f>
        <v>0</v>
      </c>
      <c r="T14" s="46">
        <f>SUBTOTAL(9,T12:T13)</f>
        <v>0</v>
      </c>
      <c r="U14" s="46">
        <f>SUBTOTAL(9,U12:U13)</f>
        <v>0</v>
      </c>
      <c r="V14" s="46">
        <f>SUBTOTAL(9,V12:V13)</f>
        <v>0</v>
      </c>
      <c r="W14" s="46">
        <f>SUBTOTAL(9,W12:W13)</f>
        <v>0</v>
      </c>
      <c r="X14" s="47">
        <f>SUBTOTAL(9,X12:X13)</f>
        <v>0</v>
      </c>
      <c r="Y14" s="45">
        <f>SUBTOTAL(9,Y12:Y13)</f>
        <v>0</v>
      </c>
      <c r="Z14" s="45">
        <f>SUBTOTAL(9,Z12:Z13)</f>
        <v>101.5</v>
      </c>
      <c r="AA14" s="45">
        <f>SUBTOTAL(9,AA12:AA13)</f>
        <v>0</v>
      </c>
      <c r="AB14" s="45">
        <f>SUBTOTAL(9,AB12:AB13)</f>
        <v>0</v>
      </c>
      <c r="AC14" s="45">
        <f>SUBTOTAL(9,AC12:AC13)</f>
        <v>212.5</v>
      </c>
      <c r="AD14" s="48">
        <f>SUBTOTAL(9,AD12:AD13)</f>
        <v>0</v>
      </c>
      <c r="AE14" s="48">
        <f>SUBTOTAL(9,AE12:AE13)</f>
        <v>1355</v>
      </c>
      <c r="AF14" s="45"/>
      <c r="AG14" s="44">
        <f>SUBTOTAL(9,AG12:AG13)</f>
        <v>1411.5032000000001</v>
      </c>
      <c r="AH14" s="44">
        <f>SUBTOTAL(9,AH12:AH13)</f>
        <v>249.08879999999999</v>
      </c>
      <c r="AI14" s="44">
        <f>SUBTOTAL(9,AI12:AI13)</f>
        <v>415.14800000000002</v>
      </c>
      <c r="AJ14" s="45" t="e">
        <f>SUBTOTAL(9,#REF!)</f>
        <v>#REF!</v>
      </c>
      <c r="AK14" s="44">
        <f>SUBTOTAL(9,AK12:AK13)</f>
        <v>22554.017857142855</v>
      </c>
      <c r="AL14" s="44">
        <f>SUBTOTAL(9,AL12:AL13)</f>
        <v>22240.017857142855</v>
      </c>
      <c r="AM14" s="44">
        <f>SUBTOTAL(9,AM12:AM13)</f>
        <v>2668.8021428571428</v>
      </c>
      <c r="AN14" s="44">
        <f>SUBTOTAL(9,AN12:AN13)</f>
        <v>24908.82</v>
      </c>
      <c r="AO14" s="49">
        <f t="shared" ref="R14:BP14" si="9">SUBTOTAL(9,AO12:AO13)</f>
        <v>225</v>
      </c>
      <c r="AP14" s="49">
        <f t="shared" si="9"/>
        <v>0</v>
      </c>
      <c r="AQ14" s="49">
        <f t="shared" si="9"/>
        <v>125</v>
      </c>
      <c r="AR14" s="49">
        <f t="shared" si="9"/>
        <v>0</v>
      </c>
      <c r="AS14" s="49">
        <f t="shared" si="9"/>
        <v>0</v>
      </c>
      <c r="AT14" s="49">
        <f t="shared" si="9"/>
        <v>0</v>
      </c>
      <c r="AU14" s="49">
        <f>SUBTOTAL(9,AU12:AU13)</f>
        <v>0</v>
      </c>
      <c r="AV14" s="49">
        <f t="shared" si="9"/>
        <v>0</v>
      </c>
      <c r="AW14" s="49">
        <f t="shared" si="9"/>
        <v>0</v>
      </c>
      <c r="AX14" s="49">
        <f t="shared" si="9"/>
        <v>0</v>
      </c>
      <c r="AY14" s="49">
        <f t="shared" si="9"/>
        <v>0</v>
      </c>
      <c r="AZ14" s="44">
        <f t="shared" si="9"/>
        <v>350</v>
      </c>
      <c r="BA14" s="48">
        <f t="shared" si="9"/>
        <v>0</v>
      </c>
      <c r="BB14" s="48">
        <f t="shared" si="9"/>
        <v>0</v>
      </c>
      <c r="BC14" s="44">
        <f t="shared" si="9"/>
        <v>0</v>
      </c>
      <c r="BD14" s="44">
        <v>0</v>
      </c>
      <c r="BE14" s="49">
        <f>SUBTOTAL(9,BE12:BE13)</f>
        <v>0</v>
      </c>
      <c r="BF14" s="49">
        <f t="shared" si="9"/>
        <v>0</v>
      </c>
      <c r="BG14" s="49">
        <f t="shared" si="9"/>
        <v>0</v>
      </c>
      <c r="BH14" s="49">
        <f t="shared" si="9"/>
        <v>0</v>
      </c>
      <c r="BI14" s="49">
        <f t="shared" si="9"/>
        <v>0</v>
      </c>
      <c r="BJ14" s="49">
        <f t="shared" si="9"/>
        <v>0</v>
      </c>
      <c r="BK14" s="49">
        <f t="shared" si="9"/>
        <v>0</v>
      </c>
      <c r="BL14" s="49">
        <f t="shared" si="9"/>
        <v>0</v>
      </c>
      <c r="BM14" s="49">
        <f t="shared" si="9"/>
        <v>0</v>
      </c>
      <c r="BN14" s="49">
        <f t="shared" si="9"/>
        <v>0</v>
      </c>
      <c r="BO14" s="49">
        <f t="shared" si="9"/>
        <v>0</v>
      </c>
      <c r="BP14" s="49">
        <f t="shared" si="9"/>
        <v>0</v>
      </c>
      <c r="BQ14" s="44">
        <f>SUBTOTAL(9,BQ12:BQ13)</f>
        <v>350</v>
      </c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</row>
    <row r="15" spans="1:124" x14ac:dyDescent="0.25">
      <c r="A15" s="187">
        <f>+A12+1</f>
        <v>43649</v>
      </c>
      <c r="B15" s="32" t="s">
        <v>43</v>
      </c>
      <c r="C15" s="33">
        <v>19356.73</v>
      </c>
      <c r="D15" s="34">
        <v>11474.81</v>
      </c>
      <c r="E15" s="34">
        <v>11477</v>
      </c>
      <c r="F15" s="35">
        <v>43649</v>
      </c>
      <c r="G15" s="33">
        <f>IF(E15-D15&lt;0,E15-D15,0)*-1</f>
        <v>0</v>
      </c>
      <c r="H15" s="33">
        <f>IF(E15-D15&gt;0,E15-D15,0)</f>
        <v>2.1900000000005093</v>
      </c>
      <c r="I15" s="34"/>
      <c r="J15" s="34"/>
      <c r="K15" s="34">
        <v>6916.96</v>
      </c>
      <c r="L15" s="34"/>
      <c r="M15" s="36">
        <f t="shared" ref="M14:M22" si="10">(+K15)*M$5</f>
        <v>148.71464</v>
      </c>
      <c r="N15" s="36">
        <f t="shared" ref="N14:N22" si="11">(+K15)*N$5</f>
        <v>34.584800000000001</v>
      </c>
      <c r="O15" s="36">
        <f t="shared" ref="O14:O22" si="12">+K15-M15-N15+P15</f>
        <v>6733.6605600000003</v>
      </c>
      <c r="P15" s="36">
        <f t="shared" ref="P14:P20" si="13">L15-(L15*(M$5+N$5))</f>
        <v>0</v>
      </c>
      <c r="Q15" s="37"/>
      <c r="R15" s="34"/>
      <c r="S15" s="34"/>
      <c r="T15" s="36">
        <f>+R15*T$5</f>
        <v>0</v>
      </c>
      <c r="U15" s="36">
        <f>+R15*U$5</f>
        <v>0</v>
      </c>
      <c r="V15" s="36">
        <f>+R15-T15-U15+W15</f>
        <v>0</v>
      </c>
      <c r="W15" s="36">
        <f>+S15-(S15*(T$5+U$5))</f>
        <v>0</v>
      </c>
      <c r="X15" s="37"/>
      <c r="Y15" s="34"/>
      <c r="Z15" s="34">
        <v>10.5</v>
      </c>
      <c r="AA15" s="34"/>
      <c r="AB15" s="34"/>
      <c r="AC15" s="34">
        <v>79.459999999999994</v>
      </c>
      <c r="AD15" s="38"/>
      <c r="AE15" s="38">
        <v>875</v>
      </c>
      <c r="AF15" s="34">
        <v>1459.41</v>
      </c>
      <c r="AG15" s="33">
        <f>(AF15*0.8)*0.85</f>
        <v>992.39879999999994</v>
      </c>
      <c r="AH15" s="33">
        <f>(AF15*0.8)*0.15</f>
        <v>175.1292</v>
      </c>
      <c r="AI15" s="33">
        <f>AF15*0.2</f>
        <v>291.88200000000001</v>
      </c>
      <c r="AJ15" s="34"/>
      <c r="AK15" s="33">
        <f t="shared" ref="AK15:AK16" si="14">(C15-AF15-AJ15)/1.12</f>
        <v>15979.749999999998</v>
      </c>
      <c r="AL15" s="33">
        <f t="shared" ref="AL15:AL16" si="15">AK15-SUM(Y15:AC15)</f>
        <v>15889.789999999999</v>
      </c>
      <c r="AM15" s="33">
        <f t="shared" ref="AM15:AM16" si="16">+AL15*0.12</f>
        <v>1906.7747999999999</v>
      </c>
      <c r="AN15" s="33">
        <f t="shared" ref="AN14:AN43" si="17">+AM15+AL15+AJ15</f>
        <v>17796.5648</v>
      </c>
      <c r="AO15" s="39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33">
        <f>SUM(AO15:AY15)</f>
        <v>0</v>
      </c>
      <c r="BA15" s="38"/>
      <c r="BB15" s="38"/>
      <c r="BC15" s="33">
        <f>SUM(BE15:BL15)*0.1+(BM15*0.5)</f>
        <v>0</v>
      </c>
      <c r="BD15" s="33">
        <f>SUM(BE15:BL15)+(BM15*0.5)</f>
        <v>0</v>
      </c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41">
        <f>AZ15+BA15+BB15+BD15-BC15</f>
        <v>0</v>
      </c>
      <c r="BS15" s="145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</row>
    <row r="16" spans="1:124" ht="15.75" thickBot="1" x14ac:dyDescent="0.3">
      <c r="A16" s="188"/>
      <c r="B16" s="15" t="s">
        <v>44</v>
      </c>
      <c r="C16" s="33">
        <v>17484.05</v>
      </c>
      <c r="D16" s="34">
        <v>12145.83</v>
      </c>
      <c r="E16" s="34">
        <v>12150</v>
      </c>
      <c r="F16" s="35">
        <v>43650</v>
      </c>
      <c r="G16" s="33">
        <f>IF(E16-D16&lt;0,E16-D16,0)*-1</f>
        <v>0</v>
      </c>
      <c r="H16" s="33">
        <f>IF(E16-D16&gt;0,E16-D16,0)</f>
        <v>4.1700000000000728</v>
      </c>
      <c r="I16" s="34"/>
      <c r="J16" s="34"/>
      <c r="K16" s="34">
        <v>4688.58</v>
      </c>
      <c r="L16" s="34"/>
      <c r="M16" s="36">
        <f>(+K16)*M$5</f>
        <v>100.80446999999999</v>
      </c>
      <c r="N16" s="36">
        <f t="shared" si="11"/>
        <v>23.442900000000002</v>
      </c>
      <c r="O16" s="36">
        <f>+K16-M16-N16+P16</f>
        <v>4564.3326299999999</v>
      </c>
      <c r="P16" s="36">
        <f>L16-(L16*(M$5+N$5))</f>
        <v>0</v>
      </c>
      <c r="Q16" s="37"/>
      <c r="R16" s="34"/>
      <c r="S16" s="34"/>
      <c r="T16" s="36">
        <f>+R16*T$5</f>
        <v>0</v>
      </c>
      <c r="U16" s="36">
        <f>+R16*U$5</f>
        <v>0</v>
      </c>
      <c r="V16" s="36">
        <f>+R16-T16-U16+W16</f>
        <v>0</v>
      </c>
      <c r="W16" s="36">
        <f>+S16-(S16*(T$5+U$5))</f>
        <v>0</v>
      </c>
      <c r="X16" s="37"/>
      <c r="Y16" s="34"/>
      <c r="Z16" s="34"/>
      <c r="AA16" s="34"/>
      <c r="AB16" s="34"/>
      <c r="AC16" s="34">
        <v>194.64</v>
      </c>
      <c r="AD16" s="38"/>
      <c r="AE16" s="38">
        <v>455</v>
      </c>
      <c r="AF16" s="34">
        <v>1299.8399999999999</v>
      </c>
      <c r="AG16" s="33">
        <f>(AF16*0.8)*0.85</f>
        <v>883.89120000000003</v>
      </c>
      <c r="AH16" s="33">
        <f>(AF16*0.8)*0.15</f>
        <v>155.98080000000002</v>
      </c>
      <c r="AI16" s="33">
        <f>AF16*0.2</f>
        <v>259.96800000000002</v>
      </c>
      <c r="AJ16" s="34">
        <v>0</v>
      </c>
      <c r="AK16" s="33">
        <f t="shared" si="14"/>
        <v>14450.187499999998</v>
      </c>
      <c r="AL16" s="33">
        <f t="shared" si="15"/>
        <v>14255.547499999999</v>
      </c>
      <c r="AM16" s="33">
        <f t="shared" si="16"/>
        <v>1710.6656999999998</v>
      </c>
      <c r="AN16" s="33">
        <f t="shared" si="17"/>
        <v>15966.213199999998</v>
      </c>
      <c r="AO16" s="39">
        <v>70</v>
      </c>
      <c r="AP16" s="40">
        <v>165</v>
      </c>
      <c r="AQ16" s="40">
        <v>160</v>
      </c>
      <c r="AR16" s="40">
        <v>295</v>
      </c>
      <c r="AS16" s="40"/>
      <c r="AT16" s="40"/>
      <c r="AU16" s="40"/>
      <c r="AV16" s="40"/>
      <c r="AW16" s="40"/>
      <c r="AX16" s="40"/>
      <c r="AY16" s="40"/>
      <c r="AZ16" s="33">
        <f>SUM(AO16:AY16)</f>
        <v>690</v>
      </c>
      <c r="BA16" s="38"/>
      <c r="BB16" s="38"/>
      <c r="BC16" s="33">
        <v>0</v>
      </c>
      <c r="BD16" s="33">
        <v>0</v>
      </c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41">
        <f>AZ16+BA16+BB16+BD16-BC16</f>
        <v>690</v>
      </c>
      <c r="BS16" s="145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</row>
    <row r="17" spans="1:124" s="159" customFormat="1" ht="15.75" thickBot="1" x14ac:dyDescent="0.3">
      <c r="A17" s="156"/>
      <c r="B17" s="43"/>
      <c r="C17" s="44">
        <f>SUBTOTAL(9,C15:C16)</f>
        <v>36840.78</v>
      </c>
      <c r="D17" s="45">
        <f>SUBTOTAL(9,D15:D16)</f>
        <v>23620.639999999999</v>
      </c>
      <c r="E17" s="45">
        <f>SUBTOTAL(9,E15:E16)</f>
        <v>23627</v>
      </c>
      <c r="F17" s="47"/>
      <c r="G17" s="45">
        <f>SUBTOTAL(9,G15:G16)</f>
        <v>0</v>
      </c>
      <c r="H17" s="45">
        <f>SUBTOTAL(9,H15:H16)</f>
        <v>6.3600000000005821</v>
      </c>
      <c r="I17" s="45">
        <f>SUBTOTAL(9,I15:I16)</f>
        <v>0</v>
      </c>
      <c r="J17" s="45">
        <f>SUBTOTAL(9,J15:J16)</f>
        <v>0</v>
      </c>
      <c r="K17" s="158">
        <f>SUBTOTAL(9,K15:K16)</f>
        <v>11605.54</v>
      </c>
      <c r="L17" s="45">
        <f>SUBTOTAL(9,L15:L16)</f>
        <v>0</v>
      </c>
      <c r="M17" s="46">
        <f>SUBTOTAL(9,M15:M16)</f>
        <v>249.51911000000001</v>
      </c>
      <c r="N17" s="46">
        <f>SUBTOTAL(9,N15:N16)</f>
        <v>58.027700000000003</v>
      </c>
      <c r="O17" s="46">
        <f>SUBTOTAL(9,O15:O16)</f>
        <v>11297.993190000001</v>
      </c>
      <c r="P17" s="46">
        <f>SUBTOTAL(9,P15:P16)</f>
        <v>0</v>
      </c>
      <c r="Q17" s="47">
        <f>SUBTOTAL(9,Q15:Q16)</f>
        <v>0</v>
      </c>
      <c r="R17" s="45">
        <f>SUBTOTAL(9,R15:R16)</f>
        <v>0</v>
      </c>
      <c r="S17" s="45">
        <f>SUBTOTAL(9,S15:S16)</f>
        <v>0</v>
      </c>
      <c r="T17" s="46">
        <f>SUBTOTAL(9,T15:T16)</f>
        <v>0</v>
      </c>
      <c r="U17" s="46">
        <f>SUBTOTAL(9,U15:U16)</f>
        <v>0</v>
      </c>
      <c r="V17" s="46">
        <f>SUBTOTAL(9,V15:V16)</f>
        <v>0</v>
      </c>
      <c r="W17" s="46">
        <f>SUBTOTAL(9,W15:W16)</f>
        <v>0</v>
      </c>
      <c r="X17" s="47">
        <f>SUBTOTAL(9,X15:X16)</f>
        <v>0</v>
      </c>
      <c r="Y17" s="45">
        <f>SUBTOTAL(9,Y15:Y16)</f>
        <v>0</v>
      </c>
      <c r="Z17" s="45">
        <f>SUBTOTAL(9,Z15:Z16)</f>
        <v>10.5</v>
      </c>
      <c r="AA17" s="45">
        <f>SUBTOTAL(9,AA15:AA16)</f>
        <v>0</v>
      </c>
      <c r="AB17" s="45">
        <f>SUBTOTAL(9,AB15:AB16)</f>
        <v>0</v>
      </c>
      <c r="AC17" s="45">
        <f>SUBTOTAL(9,AC15:AC16)</f>
        <v>274.09999999999997</v>
      </c>
      <c r="AD17" s="48">
        <f>SUBTOTAL(9,AD15:AD16)</f>
        <v>0</v>
      </c>
      <c r="AE17" s="48">
        <f>SUBTOTAL(9,AE15:AE16)</f>
        <v>1330</v>
      </c>
      <c r="AF17" s="45"/>
      <c r="AG17" s="44">
        <f>SUBTOTAL(9,AG15:AG16)</f>
        <v>1876.29</v>
      </c>
      <c r="AH17" s="44">
        <f>SUBTOTAL(9,AH15:AH16)</f>
        <v>331.11</v>
      </c>
      <c r="AI17" s="44">
        <f>SUBTOTAL(9,AI15:AI16)</f>
        <v>551.85</v>
      </c>
      <c r="AJ17" s="45" t="e">
        <f>SUBTOTAL(9,#REF!)</f>
        <v>#REF!</v>
      </c>
      <c r="AK17" s="44">
        <f>SUBTOTAL(9,AK15:AK16)</f>
        <v>30429.937499999996</v>
      </c>
      <c r="AL17" s="44">
        <f>SUBTOTAL(9,AL15:AL16)</f>
        <v>30145.337499999998</v>
      </c>
      <c r="AM17" s="44">
        <f>SUBTOTAL(9,AM15:AM16)</f>
        <v>3617.4404999999997</v>
      </c>
      <c r="AN17" s="44">
        <f>SUBTOTAL(9,AN15:AN16)</f>
        <v>33762.777999999998</v>
      </c>
      <c r="AO17" s="49">
        <f t="shared" ref="R17:BP17" si="18">SUBTOTAL(9,AO15:AO16)</f>
        <v>70</v>
      </c>
      <c r="AP17" s="49">
        <f t="shared" si="18"/>
        <v>165</v>
      </c>
      <c r="AQ17" s="49">
        <f t="shared" si="18"/>
        <v>160</v>
      </c>
      <c r="AR17" s="49">
        <f t="shared" si="18"/>
        <v>295</v>
      </c>
      <c r="AS17" s="49">
        <f t="shared" si="18"/>
        <v>0</v>
      </c>
      <c r="AT17" s="49">
        <f t="shared" si="18"/>
        <v>0</v>
      </c>
      <c r="AU17" s="49">
        <f>SUBTOTAL(9,AU15:AU16)</f>
        <v>0</v>
      </c>
      <c r="AV17" s="49">
        <f t="shared" si="18"/>
        <v>0</v>
      </c>
      <c r="AW17" s="49">
        <f t="shared" si="18"/>
        <v>0</v>
      </c>
      <c r="AX17" s="49">
        <f t="shared" si="18"/>
        <v>0</v>
      </c>
      <c r="AY17" s="49">
        <f t="shared" si="18"/>
        <v>0</v>
      </c>
      <c r="AZ17" s="44">
        <f t="shared" si="18"/>
        <v>690</v>
      </c>
      <c r="BA17" s="48">
        <f t="shared" si="18"/>
        <v>0</v>
      </c>
      <c r="BB17" s="48">
        <f t="shared" si="18"/>
        <v>0</v>
      </c>
      <c r="BC17" s="44">
        <f t="shared" si="18"/>
        <v>0</v>
      </c>
      <c r="BD17" s="44">
        <f t="shared" si="18"/>
        <v>0</v>
      </c>
      <c r="BE17" s="49">
        <f>SUBTOTAL(9,BE15:BE16)</f>
        <v>0</v>
      </c>
      <c r="BF17" s="49">
        <f t="shared" si="18"/>
        <v>0</v>
      </c>
      <c r="BG17" s="49">
        <f t="shared" si="18"/>
        <v>0</v>
      </c>
      <c r="BH17" s="49">
        <f t="shared" si="18"/>
        <v>0</v>
      </c>
      <c r="BI17" s="49">
        <f t="shared" si="18"/>
        <v>0</v>
      </c>
      <c r="BJ17" s="49">
        <f t="shared" si="18"/>
        <v>0</v>
      </c>
      <c r="BK17" s="49">
        <f t="shared" si="18"/>
        <v>0</v>
      </c>
      <c r="BL17" s="49">
        <f t="shared" si="18"/>
        <v>0</v>
      </c>
      <c r="BM17" s="49">
        <f t="shared" si="18"/>
        <v>0</v>
      </c>
      <c r="BN17" s="49">
        <f t="shared" si="18"/>
        <v>0</v>
      </c>
      <c r="BO17" s="49">
        <f t="shared" si="18"/>
        <v>0</v>
      </c>
      <c r="BP17" s="49">
        <f t="shared" si="18"/>
        <v>0</v>
      </c>
      <c r="BQ17" s="44">
        <f>SUBTOTAL(9,BQ15:BQ16)</f>
        <v>690</v>
      </c>
      <c r="BT17" s="160"/>
      <c r="BU17" s="160"/>
      <c r="BV17" s="160"/>
      <c r="BW17" s="160"/>
      <c r="BX17" s="160"/>
      <c r="BY17" s="160"/>
      <c r="BZ17" s="160"/>
      <c r="CA17" s="160"/>
      <c r="CB17" s="160"/>
      <c r="CC17" s="160"/>
      <c r="CD17" s="160"/>
      <c r="CE17" s="160"/>
      <c r="CF17" s="160"/>
      <c r="CG17" s="160"/>
      <c r="CH17" s="160"/>
      <c r="CI17" s="160"/>
      <c r="CJ17" s="160"/>
      <c r="CK17" s="160"/>
      <c r="CL17" s="160"/>
      <c r="CM17" s="160"/>
      <c r="CN17" s="160"/>
      <c r="CO17" s="160"/>
      <c r="CP17" s="160"/>
      <c r="CQ17" s="160"/>
      <c r="CR17" s="160"/>
      <c r="CS17" s="160"/>
      <c r="CT17" s="160"/>
      <c r="CU17" s="160"/>
      <c r="CV17" s="160"/>
      <c r="CW17" s="160"/>
      <c r="CX17" s="160"/>
      <c r="CY17" s="160"/>
      <c r="CZ17" s="160"/>
      <c r="DA17" s="160"/>
      <c r="DB17" s="160"/>
      <c r="DC17" s="160"/>
      <c r="DD17" s="160"/>
      <c r="DE17" s="160"/>
      <c r="DF17" s="160"/>
      <c r="DG17" s="160"/>
      <c r="DH17" s="160"/>
      <c r="DI17" s="160"/>
      <c r="DJ17" s="160"/>
      <c r="DK17" s="160"/>
      <c r="DL17" s="160"/>
      <c r="DM17" s="160"/>
      <c r="DN17" s="160"/>
      <c r="DO17" s="160"/>
      <c r="DP17" s="160"/>
      <c r="DQ17" s="160"/>
      <c r="DR17" s="160"/>
      <c r="DS17" s="160"/>
      <c r="DT17" s="160"/>
    </row>
    <row r="18" spans="1:124" x14ac:dyDescent="0.25">
      <c r="A18" s="187">
        <f>+A15+1</f>
        <v>43650</v>
      </c>
      <c r="B18" s="32" t="s">
        <v>43</v>
      </c>
      <c r="C18" s="33">
        <v>20224.11</v>
      </c>
      <c r="D18" s="34">
        <v>11580.14</v>
      </c>
      <c r="E18" s="34">
        <v>11581</v>
      </c>
      <c r="F18" s="35">
        <v>43650</v>
      </c>
      <c r="G18" s="33">
        <f>IF(E18-D18&lt;0,E18-D18,0)*-1</f>
        <v>0</v>
      </c>
      <c r="H18" s="33">
        <f>IF(E18-D18&gt;0,E18-D18,0)</f>
        <v>0.86000000000058208</v>
      </c>
      <c r="I18" s="34"/>
      <c r="J18" s="34"/>
      <c r="K18" s="34">
        <v>6459.47</v>
      </c>
      <c r="L18" s="34"/>
      <c r="M18" s="36">
        <f t="shared" si="10"/>
        <v>138.87860499999999</v>
      </c>
      <c r="N18" s="36">
        <f t="shared" si="11"/>
        <v>32.297350000000002</v>
      </c>
      <c r="O18" s="36">
        <f t="shared" si="12"/>
        <v>6288.2940450000006</v>
      </c>
      <c r="P18" s="36"/>
      <c r="Q18" s="37"/>
      <c r="R18" s="34"/>
      <c r="S18" s="34"/>
      <c r="T18" s="36"/>
      <c r="U18" s="36"/>
      <c r="V18" s="36"/>
      <c r="W18" s="36"/>
      <c r="X18" s="37"/>
      <c r="Y18" s="34"/>
      <c r="Z18" s="34">
        <v>69.5</v>
      </c>
      <c r="AA18" s="34"/>
      <c r="AB18" s="34"/>
      <c r="AC18" s="34"/>
      <c r="AD18" s="38"/>
      <c r="AE18" s="38">
        <v>2115</v>
      </c>
      <c r="AF18" s="34">
        <v>1406.11</v>
      </c>
      <c r="AG18" s="33">
        <f>(AF18*0.8)*0.85</f>
        <v>956.15479999999991</v>
      </c>
      <c r="AH18" s="33">
        <f>(AF18*0.8)*0.15</f>
        <v>168.73319999999998</v>
      </c>
      <c r="AI18" s="33">
        <f>AF18*0.2</f>
        <v>281.22199999999998</v>
      </c>
      <c r="AJ18" s="34"/>
      <c r="AK18" s="33">
        <f t="shared" ref="AK18:AK19" si="19">(C18-AF18-AJ18)/1.12</f>
        <v>16801.785714285714</v>
      </c>
      <c r="AL18" s="33">
        <f t="shared" ref="AL18:AL19" si="20">AK18-SUM(Y18:AC18)</f>
        <v>16732.285714285714</v>
      </c>
      <c r="AM18" s="33">
        <f t="shared" ref="AM18:AM19" si="21">+AL18*0.12</f>
        <v>2007.8742857142856</v>
      </c>
      <c r="AN18" s="33">
        <f t="shared" ref="AN18:AN19" si="22">+AM18+AL18+AJ18</f>
        <v>18740.16</v>
      </c>
      <c r="AO18" s="39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33">
        <f>SUM(AO18:AY18)</f>
        <v>0</v>
      </c>
      <c r="BA18" s="38"/>
      <c r="BB18" s="38"/>
      <c r="BC18" s="33">
        <f>SUM(BE18:BL18)*0.1+(BM18*0.5)</f>
        <v>0</v>
      </c>
      <c r="BD18" s="33">
        <f>SUM(BE18:BL18)+(BM18*0.5)</f>
        <v>0</v>
      </c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41">
        <f>AZ18+BA18+BB18+BD18-BC18</f>
        <v>0</v>
      </c>
      <c r="BS18" s="145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</row>
    <row r="19" spans="1:124" ht="15.75" thickBot="1" x14ac:dyDescent="0.3">
      <c r="A19" s="188"/>
      <c r="B19" s="15" t="s">
        <v>44</v>
      </c>
      <c r="C19" s="33">
        <v>14054.19</v>
      </c>
      <c r="D19" s="34">
        <v>9220.17</v>
      </c>
      <c r="E19" s="34">
        <v>9224</v>
      </c>
      <c r="F19" s="35">
        <v>43651</v>
      </c>
      <c r="G19" s="33">
        <f>IF(E19-D19&lt;0,E19-D19,0)*-1</f>
        <v>0</v>
      </c>
      <c r="H19" s="33">
        <f>IF(E19-D19&gt;0,E19-D19,0)</f>
        <v>3.8299999999999272</v>
      </c>
      <c r="I19" s="34"/>
      <c r="J19" s="34"/>
      <c r="K19" s="34">
        <v>2843.31</v>
      </c>
      <c r="L19" s="34"/>
      <c r="M19" s="36">
        <f t="shared" si="10"/>
        <v>61.131164999999996</v>
      </c>
      <c r="N19" s="36">
        <f t="shared" si="11"/>
        <v>14.21655</v>
      </c>
      <c r="O19" s="36">
        <f t="shared" si="12"/>
        <v>2767.9622850000001</v>
      </c>
      <c r="P19" s="36"/>
      <c r="Q19" s="37"/>
      <c r="R19" s="34"/>
      <c r="S19" s="34"/>
      <c r="T19" s="36"/>
      <c r="U19" s="36"/>
      <c r="V19" s="36"/>
      <c r="W19" s="36"/>
      <c r="X19" s="37"/>
      <c r="Y19" s="34"/>
      <c r="Z19" s="34"/>
      <c r="AA19" s="34"/>
      <c r="AB19" s="34"/>
      <c r="AC19" s="34">
        <v>60.71</v>
      </c>
      <c r="AD19" s="38"/>
      <c r="AE19" s="38">
        <v>1930</v>
      </c>
      <c r="AF19" s="34">
        <v>975.62</v>
      </c>
      <c r="AG19" s="33">
        <f>(AF19*0.8)*0.85</f>
        <v>663.42160000000001</v>
      </c>
      <c r="AH19" s="33">
        <f>(AF19*0.8)*0.15</f>
        <v>117.07440000000001</v>
      </c>
      <c r="AI19" s="33">
        <f>AF19*0.2</f>
        <v>195.12400000000002</v>
      </c>
      <c r="AJ19" s="34">
        <v>0</v>
      </c>
      <c r="AK19" s="33">
        <f t="shared" si="19"/>
        <v>11677.294642857141</v>
      </c>
      <c r="AL19" s="33">
        <f t="shared" si="20"/>
        <v>11616.584642857142</v>
      </c>
      <c r="AM19" s="33">
        <f t="shared" si="21"/>
        <v>1393.990157142857</v>
      </c>
      <c r="AN19" s="33">
        <f t="shared" si="22"/>
        <v>13010.574799999999</v>
      </c>
      <c r="AO19" s="39">
        <v>168</v>
      </c>
      <c r="AP19" s="40"/>
      <c r="AQ19" s="40">
        <v>295</v>
      </c>
      <c r="AR19" s="40"/>
      <c r="AS19" s="40"/>
      <c r="AT19" s="40"/>
      <c r="AU19" s="40"/>
      <c r="AV19" s="40"/>
      <c r="AW19" s="40"/>
      <c r="AX19" s="40"/>
      <c r="AY19" s="40"/>
      <c r="AZ19" s="33">
        <f>SUM(AO19:AY19)</f>
        <v>463</v>
      </c>
      <c r="BA19" s="38"/>
      <c r="BB19" s="38"/>
      <c r="BC19" s="33">
        <v>0</v>
      </c>
      <c r="BD19" s="33">
        <v>0</v>
      </c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41">
        <f>AZ19+BA19+BB19+BD19-BC19</f>
        <v>463</v>
      </c>
      <c r="BS19" s="145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</row>
    <row r="20" spans="1:124" s="159" customFormat="1" ht="15.75" thickBot="1" x14ac:dyDescent="0.3">
      <c r="A20" s="156"/>
      <c r="B20" s="43"/>
      <c r="C20" s="44">
        <f>SUBTOTAL(9,C18:C19)</f>
        <v>34278.300000000003</v>
      </c>
      <c r="D20" s="45">
        <f>SUBTOTAL(9,D18:D19)</f>
        <v>20800.309999999998</v>
      </c>
      <c r="E20" s="45">
        <f>SUBTOTAL(9,E18:E19)</f>
        <v>20805</v>
      </c>
      <c r="F20" s="47"/>
      <c r="G20" s="45">
        <f>SUBTOTAL(9,G18:G19)</f>
        <v>0</v>
      </c>
      <c r="H20" s="45">
        <f>SUBTOTAL(9,H18:H19)</f>
        <v>4.6900000000005093</v>
      </c>
      <c r="I20" s="45">
        <f>SUBTOTAL(9,I18:I19)</f>
        <v>0</v>
      </c>
      <c r="J20" s="45">
        <f>SUBTOTAL(9,J18:J19)</f>
        <v>0</v>
      </c>
      <c r="K20" s="158">
        <f>SUBTOTAL(9,K18:K19)</f>
        <v>9302.7800000000007</v>
      </c>
      <c r="L20" s="45">
        <f>SUBTOTAL(9,L18:L19)</f>
        <v>0</v>
      </c>
      <c r="M20" s="46">
        <f>SUBTOTAL(9,M18:M19)</f>
        <v>200.00977</v>
      </c>
      <c r="N20" s="46">
        <f>SUBTOTAL(9,N18:N19)</f>
        <v>46.5139</v>
      </c>
      <c r="O20" s="46">
        <f>SUBTOTAL(9,O18:O19)</f>
        <v>9056.2563300000002</v>
      </c>
      <c r="P20" s="46">
        <f>SUBTOTAL(9,P18:P19)</f>
        <v>0</v>
      </c>
      <c r="Q20" s="47">
        <f>SUBTOTAL(9,Q18:Q19)</f>
        <v>0</v>
      </c>
      <c r="R20" s="45">
        <f>SUBTOTAL(9,R18:R19)</f>
        <v>0</v>
      </c>
      <c r="S20" s="45">
        <f>SUBTOTAL(9,S18:S19)</f>
        <v>0</v>
      </c>
      <c r="T20" s="46">
        <f>SUBTOTAL(9,T18:T19)</f>
        <v>0</v>
      </c>
      <c r="U20" s="46">
        <f>SUBTOTAL(9,U18:U19)</f>
        <v>0</v>
      </c>
      <c r="V20" s="46">
        <f>SUBTOTAL(9,V18:V19)</f>
        <v>0</v>
      </c>
      <c r="W20" s="46">
        <f>SUBTOTAL(9,W18:W19)</f>
        <v>0</v>
      </c>
      <c r="X20" s="47">
        <f>SUBTOTAL(9,X18:X19)</f>
        <v>0</v>
      </c>
      <c r="Y20" s="45">
        <f>SUBTOTAL(9,Y18:Y19)</f>
        <v>0</v>
      </c>
      <c r="Z20" s="45">
        <f>SUBTOTAL(9,Z18:Z19)</f>
        <v>69.5</v>
      </c>
      <c r="AA20" s="45">
        <f>SUBTOTAL(9,AA18:AA19)</f>
        <v>0</v>
      </c>
      <c r="AB20" s="45">
        <f>SUBTOTAL(9,AB18:AB19)</f>
        <v>0</v>
      </c>
      <c r="AC20" s="45">
        <f>SUBTOTAL(9,AC18:AC19)</f>
        <v>60.71</v>
      </c>
      <c r="AD20" s="48">
        <f>SUBTOTAL(9,AD18:AD19)</f>
        <v>0</v>
      </c>
      <c r="AE20" s="48">
        <f>SUBTOTAL(9,AE18:AE19)</f>
        <v>4045</v>
      </c>
      <c r="AF20" s="45"/>
      <c r="AG20" s="44">
        <f>SUBTOTAL(9,AG18:AG19)</f>
        <v>1619.5763999999999</v>
      </c>
      <c r="AH20" s="44">
        <f>SUBTOTAL(9,AH18:AH19)</f>
        <v>285.80759999999998</v>
      </c>
      <c r="AI20" s="44">
        <f>SUBTOTAL(9,AI18:AI19)</f>
        <v>476.346</v>
      </c>
      <c r="AJ20" s="45" t="e">
        <f>SUBTOTAL(9,#REF!)</f>
        <v>#REF!</v>
      </c>
      <c r="AK20" s="44">
        <f>SUBTOTAL(9,AK18:AK19)</f>
        <v>28479.080357142855</v>
      </c>
      <c r="AL20" s="44">
        <f>SUBTOTAL(9,AL18:AL19)</f>
        <v>28348.870357142856</v>
      </c>
      <c r="AM20" s="44">
        <f>SUBTOTAL(9,AM18:AM19)</f>
        <v>3401.8644428571424</v>
      </c>
      <c r="AN20" s="44">
        <f>SUBTOTAL(9,AN18:AN19)</f>
        <v>31750.734799999998</v>
      </c>
      <c r="AO20" s="49">
        <f t="shared" ref="R20:BP20" si="23">SUBTOTAL(9,AO18:AO19)</f>
        <v>168</v>
      </c>
      <c r="AP20" s="49">
        <f t="shared" si="23"/>
        <v>0</v>
      </c>
      <c r="AQ20" s="49">
        <f t="shared" si="23"/>
        <v>295</v>
      </c>
      <c r="AR20" s="49">
        <f t="shared" si="23"/>
        <v>0</v>
      </c>
      <c r="AS20" s="49">
        <f t="shared" si="23"/>
        <v>0</v>
      </c>
      <c r="AT20" s="49">
        <f t="shared" si="23"/>
        <v>0</v>
      </c>
      <c r="AU20" s="49">
        <f>SUBTOTAL(9,AU18:AU19)</f>
        <v>0</v>
      </c>
      <c r="AV20" s="49">
        <f t="shared" si="23"/>
        <v>0</v>
      </c>
      <c r="AW20" s="49">
        <f t="shared" si="23"/>
        <v>0</v>
      </c>
      <c r="AX20" s="49">
        <f t="shared" si="23"/>
        <v>0</v>
      </c>
      <c r="AY20" s="49">
        <f t="shared" si="23"/>
        <v>0</v>
      </c>
      <c r="AZ20" s="44">
        <f t="shared" si="23"/>
        <v>463</v>
      </c>
      <c r="BA20" s="48">
        <f t="shared" si="23"/>
        <v>0</v>
      </c>
      <c r="BB20" s="48">
        <f t="shared" si="23"/>
        <v>0</v>
      </c>
      <c r="BC20" s="44">
        <f t="shared" si="23"/>
        <v>0</v>
      </c>
      <c r="BD20" s="44">
        <f t="shared" si="23"/>
        <v>0</v>
      </c>
      <c r="BE20" s="49">
        <f>SUBTOTAL(9,BE18:BE19)</f>
        <v>0</v>
      </c>
      <c r="BF20" s="49">
        <f t="shared" si="23"/>
        <v>0</v>
      </c>
      <c r="BG20" s="49">
        <f t="shared" si="23"/>
        <v>0</v>
      </c>
      <c r="BH20" s="49">
        <f t="shared" si="23"/>
        <v>0</v>
      </c>
      <c r="BI20" s="49">
        <f t="shared" si="23"/>
        <v>0</v>
      </c>
      <c r="BJ20" s="49">
        <f t="shared" si="23"/>
        <v>0</v>
      </c>
      <c r="BK20" s="49">
        <f t="shared" si="23"/>
        <v>0</v>
      </c>
      <c r="BL20" s="49">
        <f t="shared" si="23"/>
        <v>0</v>
      </c>
      <c r="BM20" s="49">
        <f t="shared" si="23"/>
        <v>0</v>
      </c>
      <c r="BN20" s="49">
        <f t="shared" si="23"/>
        <v>0</v>
      </c>
      <c r="BO20" s="49">
        <f t="shared" si="23"/>
        <v>0</v>
      </c>
      <c r="BP20" s="49">
        <f t="shared" si="23"/>
        <v>0</v>
      </c>
      <c r="BQ20" s="44">
        <f>SUBTOTAL(9,BQ18:BQ19)</f>
        <v>463</v>
      </c>
      <c r="BT20" s="160"/>
      <c r="BU20" s="160"/>
      <c r="BV20" s="160"/>
      <c r="BW20" s="160"/>
      <c r="BX20" s="160"/>
      <c r="BY20" s="160"/>
      <c r="BZ20" s="160"/>
      <c r="CA20" s="160"/>
      <c r="CB20" s="160"/>
      <c r="CC20" s="160"/>
      <c r="CD20" s="160"/>
      <c r="CE20" s="160"/>
      <c r="CF20" s="160"/>
      <c r="CG20" s="160"/>
      <c r="CH20" s="160"/>
      <c r="CI20" s="160"/>
      <c r="CJ20" s="160"/>
      <c r="CK20" s="160"/>
      <c r="CL20" s="160"/>
      <c r="CM20" s="160"/>
      <c r="CN20" s="160"/>
      <c r="CO20" s="160"/>
      <c r="CP20" s="160"/>
      <c r="CQ20" s="160"/>
      <c r="CR20" s="160"/>
      <c r="CS20" s="160"/>
      <c r="CT20" s="160"/>
      <c r="CU20" s="160"/>
      <c r="CV20" s="160"/>
      <c r="CW20" s="160"/>
      <c r="CX20" s="160"/>
      <c r="CY20" s="160"/>
      <c r="CZ20" s="160"/>
      <c r="DA20" s="160"/>
      <c r="DB20" s="160"/>
      <c r="DC20" s="160"/>
      <c r="DD20" s="160"/>
      <c r="DE20" s="160"/>
      <c r="DF20" s="160"/>
      <c r="DG20" s="160"/>
      <c r="DH20" s="160"/>
      <c r="DI20" s="160"/>
      <c r="DJ20" s="160"/>
      <c r="DK20" s="160"/>
      <c r="DL20" s="160"/>
      <c r="DM20" s="160"/>
      <c r="DN20" s="160"/>
      <c r="DO20" s="160"/>
      <c r="DP20" s="160"/>
      <c r="DQ20" s="160"/>
      <c r="DR20" s="160"/>
      <c r="DS20" s="160"/>
      <c r="DT20" s="160"/>
    </row>
    <row r="21" spans="1:124" x14ac:dyDescent="0.25">
      <c r="A21" s="187">
        <f>+A18+1</f>
        <v>43651</v>
      </c>
      <c r="B21" s="32" t="s">
        <v>43</v>
      </c>
      <c r="C21" s="33">
        <v>27958.29</v>
      </c>
      <c r="D21" s="34">
        <v>18449.310000000001</v>
      </c>
      <c r="E21" s="34">
        <v>18450</v>
      </c>
      <c r="F21" s="35">
        <v>43651</v>
      </c>
      <c r="G21" s="33">
        <f>IF(E21-D21&lt;0,E21-D21,0)*-1</f>
        <v>0</v>
      </c>
      <c r="H21" s="33">
        <f>IF(E21-D21&gt;0,E21-D21,0)</f>
        <v>0.68999999999869033</v>
      </c>
      <c r="I21" s="34"/>
      <c r="J21" s="34"/>
      <c r="K21" s="34">
        <v>8319.07</v>
      </c>
      <c r="L21" s="34"/>
      <c r="M21" s="36">
        <f t="shared" si="10"/>
        <v>178.86000499999997</v>
      </c>
      <c r="N21" s="36">
        <f t="shared" si="11"/>
        <v>41.595349999999996</v>
      </c>
      <c r="O21" s="36">
        <f t="shared" si="12"/>
        <v>8098.6146450000006</v>
      </c>
      <c r="P21" s="36"/>
      <c r="Q21" s="37"/>
      <c r="R21" s="34"/>
      <c r="S21" s="34"/>
      <c r="T21" s="36"/>
      <c r="U21" s="36"/>
      <c r="V21" s="36"/>
      <c r="W21" s="36"/>
      <c r="X21" s="37"/>
      <c r="Y21" s="34"/>
      <c r="Z21" s="34">
        <v>121.75</v>
      </c>
      <c r="AA21" s="34"/>
      <c r="AB21" s="34"/>
      <c r="AC21" s="34">
        <v>143.16</v>
      </c>
      <c r="AD21" s="38"/>
      <c r="AE21" s="38">
        <v>925</v>
      </c>
      <c r="AF21" s="34">
        <v>2184.19</v>
      </c>
      <c r="AG21" s="33">
        <f>(AF21*0.8)*0.85</f>
        <v>1485.2492</v>
      </c>
      <c r="AH21" s="33">
        <f>(AF21*0.8)*0.15</f>
        <v>262.1028</v>
      </c>
      <c r="AI21" s="33">
        <f>AF21*0.2</f>
        <v>436.83800000000002</v>
      </c>
      <c r="AJ21" s="34">
        <v>0</v>
      </c>
      <c r="AK21" s="33">
        <f t="shared" ref="AK21:AK22" si="24">(C21-AF21-AJ21)/1.12</f>
        <v>23012.589285714286</v>
      </c>
      <c r="AL21" s="33">
        <f t="shared" ref="AL21:AL22" si="25">AK21-SUM(Y21:AC21)</f>
        <v>22747.679285714286</v>
      </c>
      <c r="AM21" s="33">
        <f t="shared" ref="AM21:AM22" si="26">+AL21*0.12</f>
        <v>2729.7215142857144</v>
      </c>
      <c r="AN21" s="33">
        <f t="shared" si="17"/>
        <v>25477.400799999999</v>
      </c>
      <c r="AO21" s="39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33">
        <f>SUM(AO21:AY21)</f>
        <v>0</v>
      </c>
      <c r="BA21" s="38"/>
      <c r="BB21" s="38"/>
      <c r="BC21" s="33">
        <f>SUM(BE21:BL21)*0.1+(BM21*0.5)</f>
        <v>0</v>
      </c>
      <c r="BD21" s="33">
        <f>SUM(BE21:BL21)+(BM21*0.5)</f>
        <v>0</v>
      </c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41">
        <f>AZ21+BA21+BB21+BD21-BC21</f>
        <v>0</v>
      </c>
      <c r="BS21" s="145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</row>
    <row r="22" spans="1:124" ht="15.75" thickBot="1" x14ac:dyDescent="0.3">
      <c r="A22" s="188"/>
      <c r="B22" s="15" t="s">
        <v>44</v>
      </c>
      <c r="C22" s="33">
        <v>33704.83</v>
      </c>
      <c r="D22" s="34">
        <v>19571.91</v>
      </c>
      <c r="E22" s="34">
        <v>19572</v>
      </c>
      <c r="F22" s="35">
        <v>43654</v>
      </c>
      <c r="G22" s="33">
        <f>IF(E22-D22&lt;0,E22-D22,0)*-1</f>
        <v>0</v>
      </c>
      <c r="H22" s="33">
        <f>IF(E22-D22&gt;0,E22-D22,0)</f>
        <v>9.0000000000145519E-2</v>
      </c>
      <c r="I22" s="34"/>
      <c r="J22" s="34"/>
      <c r="K22" s="34">
        <v>10241.24</v>
      </c>
      <c r="L22" s="34"/>
      <c r="M22" s="36">
        <f t="shared" si="10"/>
        <v>220.18665999999999</v>
      </c>
      <c r="N22" s="36">
        <f t="shared" si="11"/>
        <v>51.206200000000003</v>
      </c>
      <c r="O22" s="36">
        <f t="shared" si="12"/>
        <v>9969.8471399999999</v>
      </c>
      <c r="P22" s="36"/>
      <c r="Q22" s="37"/>
      <c r="R22" s="34"/>
      <c r="S22" s="34"/>
      <c r="T22" s="36"/>
      <c r="U22" s="36"/>
      <c r="V22" s="36"/>
      <c r="W22" s="36"/>
      <c r="X22" s="37"/>
      <c r="Y22" s="34"/>
      <c r="Z22" s="34">
        <f>1500+52.75</f>
        <v>1552.75</v>
      </c>
      <c r="AA22" s="34"/>
      <c r="AB22" s="34"/>
      <c r="AC22" s="34"/>
      <c r="AD22" s="38"/>
      <c r="AE22" s="38">
        <v>2155</v>
      </c>
      <c r="AF22" s="34">
        <v>2415.19</v>
      </c>
      <c r="AG22" s="33">
        <f>(AF22*0.8)*0.85</f>
        <v>1642.3291999999999</v>
      </c>
      <c r="AH22" s="33">
        <f>(AF22*0.8)*0.15</f>
        <v>289.82279999999997</v>
      </c>
      <c r="AI22" s="33">
        <f>AF22*0.2</f>
        <v>483.03800000000001</v>
      </c>
      <c r="AJ22" s="34">
        <v>0</v>
      </c>
      <c r="AK22" s="33">
        <f t="shared" si="24"/>
        <v>27937.178571428572</v>
      </c>
      <c r="AL22" s="33">
        <f t="shared" si="25"/>
        <v>26384.428571428572</v>
      </c>
      <c r="AM22" s="33">
        <f t="shared" si="26"/>
        <v>3166.1314285714284</v>
      </c>
      <c r="AN22" s="33">
        <f t="shared" si="17"/>
        <v>29550.560000000001</v>
      </c>
      <c r="AO22" s="39">
        <v>2040</v>
      </c>
      <c r="AP22" s="40">
        <v>515</v>
      </c>
      <c r="AQ22" s="40"/>
      <c r="AR22" s="40">
        <v>295</v>
      </c>
      <c r="AS22" s="40"/>
      <c r="AT22" s="40"/>
      <c r="AU22" s="40"/>
      <c r="AV22" s="40"/>
      <c r="AW22" s="40"/>
      <c r="AX22" s="40"/>
      <c r="AY22" s="40"/>
      <c r="AZ22" s="33">
        <f>SUM(AO22:AY22)</f>
        <v>2850</v>
      </c>
      <c r="BA22" s="38"/>
      <c r="BB22" s="38"/>
      <c r="BC22" s="33">
        <v>0</v>
      </c>
      <c r="BD22" s="33">
        <v>0</v>
      </c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41">
        <f>AZ22+BA22+BB22+BD22-BC22</f>
        <v>2850</v>
      </c>
      <c r="BS22" s="145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</row>
    <row r="23" spans="1:124" ht="15.75" thickBot="1" x14ac:dyDescent="0.3">
      <c r="A23" s="42"/>
      <c r="B23" s="43"/>
      <c r="C23" s="44">
        <f>SUBTOTAL(9,C21:C22)</f>
        <v>61663.12</v>
      </c>
      <c r="D23" s="45">
        <f>SUBTOTAL(9,D21:D22)</f>
        <v>38021.22</v>
      </c>
      <c r="E23" s="45">
        <f>SUBTOTAL(9,E21:E22)</f>
        <v>38022</v>
      </c>
      <c r="F23" s="47"/>
      <c r="G23" s="45">
        <f>SUBTOTAL(9,G21:G22)</f>
        <v>0</v>
      </c>
      <c r="H23" s="45">
        <f>SUBTOTAL(9,H21:H22)</f>
        <v>0.77999999999883585</v>
      </c>
      <c r="I23" s="45">
        <f>SUBTOTAL(9,I21:I22)</f>
        <v>0</v>
      </c>
      <c r="J23" s="45">
        <f>SUBTOTAL(9,J21:J22)</f>
        <v>0</v>
      </c>
      <c r="K23" s="158">
        <f>SUBTOTAL(9,K21:K22)</f>
        <v>18560.309999999998</v>
      </c>
      <c r="L23" s="45">
        <f>SUBTOTAL(9,L21:L22)</f>
        <v>0</v>
      </c>
      <c r="M23" s="46">
        <f>SUBTOTAL(9,M21:M22)</f>
        <v>399.04666499999996</v>
      </c>
      <c r="N23" s="46">
        <f>SUBTOTAL(9,N21:N22)</f>
        <v>92.801549999999992</v>
      </c>
      <c r="O23" s="46">
        <f>SUBTOTAL(9,O21:O22)</f>
        <v>18068.461785</v>
      </c>
      <c r="P23" s="46">
        <f>SUBTOTAL(9,P21:P22)</f>
        <v>0</v>
      </c>
      <c r="Q23" s="47">
        <f>SUBTOTAL(9,Q21:Q22)</f>
        <v>0</v>
      </c>
      <c r="R23" s="45">
        <f>SUBTOTAL(9,R21:R22)</f>
        <v>0</v>
      </c>
      <c r="S23" s="45">
        <f>SUBTOTAL(9,S21:S22)</f>
        <v>0</v>
      </c>
      <c r="T23" s="46">
        <f>SUBTOTAL(9,T21:T22)</f>
        <v>0</v>
      </c>
      <c r="U23" s="46">
        <f>SUBTOTAL(9,U21:U22)</f>
        <v>0</v>
      </c>
      <c r="V23" s="46">
        <f>SUBTOTAL(9,V21:V22)</f>
        <v>0</v>
      </c>
      <c r="W23" s="46">
        <f>SUBTOTAL(9,W21:W22)</f>
        <v>0</v>
      </c>
      <c r="X23" s="47">
        <f>SUBTOTAL(9,X21:X22)</f>
        <v>0</v>
      </c>
      <c r="Y23" s="45">
        <f>SUBTOTAL(9,Y21:Y22)</f>
        <v>0</v>
      </c>
      <c r="Z23" s="45">
        <f>SUBTOTAL(9,Z21:Z22)</f>
        <v>1674.5</v>
      </c>
      <c r="AA23" s="45">
        <f>SUBTOTAL(9,AA21:AA22)</f>
        <v>0</v>
      </c>
      <c r="AB23" s="45">
        <f>SUBTOTAL(9,AB21:AB22)</f>
        <v>0</v>
      </c>
      <c r="AC23" s="45">
        <f>SUBTOTAL(9,AC21:AC22)</f>
        <v>143.16</v>
      </c>
      <c r="AD23" s="48">
        <f>SUBTOTAL(9,AD21:AD22)</f>
        <v>0</v>
      </c>
      <c r="AE23" s="48">
        <f>SUBTOTAL(9,AE21:AE22)</f>
        <v>3080</v>
      </c>
      <c r="AF23" s="45"/>
      <c r="AG23" s="44">
        <f>SUBTOTAL(9,AG21:AG22)</f>
        <v>3127.5783999999999</v>
      </c>
      <c r="AH23" s="44">
        <f>SUBTOTAL(9,AH21:AH22)</f>
        <v>551.92560000000003</v>
      </c>
      <c r="AI23" s="44">
        <f>SUBTOTAL(9,AI21:AI22)</f>
        <v>919.87599999999998</v>
      </c>
      <c r="AJ23" s="45" t="e">
        <f>SUBTOTAL(9,#REF!)</f>
        <v>#REF!</v>
      </c>
      <c r="AK23" s="44">
        <f>SUBTOTAL(9,AK21:AK22)</f>
        <v>50949.767857142855</v>
      </c>
      <c r="AL23" s="44">
        <f>SUBTOTAL(9,AL21:AL22)</f>
        <v>49132.107857142859</v>
      </c>
      <c r="AM23" s="44">
        <f>SUBTOTAL(9,AM21:AM22)</f>
        <v>5895.8529428571428</v>
      </c>
      <c r="AN23" s="44">
        <f>SUBTOTAL(9,AN21:AN22)</f>
        <v>55027.960800000001</v>
      </c>
      <c r="AO23" s="49">
        <f t="shared" ref="R23:BP23" si="27">SUBTOTAL(9,AO21:AO22)</f>
        <v>2040</v>
      </c>
      <c r="AP23" s="49">
        <f t="shared" si="27"/>
        <v>515</v>
      </c>
      <c r="AQ23" s="49">
        <f t="shared" si="27"/>
        <v>0</v>
      </c>
      <c r="AR23" s="49">
        <f t="shared" si="27"/>
        <v>295</v>
      </c>
      <c r="AS23" s="49">
        <f t="shared" si="27"/>
        <v>0</v>
      </c>
      <c r="AT23" s="49">
        <f t="shared" si="27"/>
        <v>0</v>
      </c>
      <c r="AU23" s="49">
        <f>SUBTOTAL(9,AU21:AU22)</f>
        <v>0</v>
      </c>
      <c r="AV23" s="49">
        <f t="shared" si="27"/>
        <v>0</v>
      </c>
      <c r="AW23" s="49">
        <f t="shared" si="27"/>
        <v>0</v>
      </c>
      <c r="AX23" s="49">
        <f t="shared" si="27"/>
        <v>0</v>
      </c>
      <c r="AY23" s="49">
        <f t="shared" si="27"/>
        <v>0</v>
      </c>
      <c r="AZ23" s="44">
        <f t="shared" si="27"/>
        <v>2850</v>
      </c>
      <c r="BA23" s="48"/>
      <c r="BB23" s="48">
        <f t="shared" si="27"/>
        <v>0</v>
      </c>
      <c r="BC23" s="44">
        <f t="shared" si="27"/>
        <v>0</v>
      </c>
      <c r="BD23" s="44">
        <f t="shared" si="27"/>
        <v>0</v>
      </c>
      <c r="BE23" s="49">
        <f>SUBTOTAL(9,BE21:BE22)</f>
        <v>0</v>
      </c>
      <c r="BF23" s="49">
        <f t="shared" si="27"/>
        <v>0</v>
      </c>
      <c r="BG23" s="49">
        <f t="shared" si="27"/>
        <v>0</v>
      </c>
      <c r="BH23" s="49">
        <f t="shared" si="27"/>
        <v>0</v>
      </c>
      <c r="BI23" s="49">
        <f t="shared" si="27"/>
        <v>0</v>
      </c>
      <c r="BJ23" s="49">
        <f t="shared" si="27"/>
        <v>0</v>
      </c>
      <c r="BK23" s="49">
        <f t="shared" si="27"/>
        <v>0</v>
      </c>
      <c r="BL23" s="49">
        <f t="shared" si="27"/>
        <v>0</v>
      </c>
      <c r="BM23" s="49">
        <f t="shared" si="27"/>
        <v>0</v>
      </c>
      <c r="BN23" s="49">
        <f t="shared" si="27"/>
        <v>0</v>
      </c>
      <c r="BO23" s="49">
        <f t="shared" si="27"/>
        <v>0</v>
      </c>
      <c r="BP23" s="49">
        <f t="shared" si="27"/>
        <v>0</v>
      </c>
      <c r="BQ23" s="44">
        <f>SUBTOTAL(9,BQ21:BQ22)</f>
        <v>2850</v>
      </c>
    </row>
    <row r="24" spans="1:124" x14ac:dyDescent="0.25">
      <c r="A24" s="187">
        <f>A21+1</f>
        <v>43652</v>
      </c>
      <c r="B24" s="32" t="s">
        <v>43</v>
      </c>
      <c r="C24" s="33" t="s">
        <v>134</v>
      </c>
      <c r="D24" s="34"/>
      <c r="E24" s="34"/>
      <c r="F24" s="35"/>
      <c r="G24" s="33">
        <f>IF(E24-D24&lt;0,E24-D24,0)*-1</f>
        <v>0</v>
      </c>
      <c r="H24" s="33">
        <f>IF(E24-D24&gt;0,E24-D24,0)</f>
        <v>0</v>
      </c>
      <c r="I24" s="34"/>
      <c r="J24" s="34"/>
      <c r="K24" s="34"/>
      <c r="L24" s="34"/>
      <c r="M24" s="36">
        <f>(+K24)*M$5</f>
        <v>0</v>
      </c>
      <c r="N24" s="36">
        <f>(+K24)*N$5</f>
        <v>0</v>
      </c>
      <c r="O24" s="36">
        <f>+K24-M24-N24+P24</f>
        <v>0</v>
      </c>
      <c r="P24" s="36"/>
      <c r="Q24" s="37"/>
      <c r="R24" s="34"/>
      <c r="S24" s="34"/>
      <c r="T24" s="36"/>
      <c r="U24" s="36"/>
      <c r="V24" s="36"/>
      <c r="W24" s="36"/>
      <c r="X24" s="37"/>
      <c r="Y24" s="34"/>
      <c r="Z24" s="34"/>
      <c r="AA24" s="34"/>
      <c r="AB24" s="34"/>
      <c r="AC24" s="34"/>
      <c r="AD24" s="38"/>
      <c r="AE24" s="38"/>
      <c r="AF24" s="34"/>
      <c r="AG24" s="33">
        <f>(AF24*0.8)*0.85</f>
        <v>0</v>
      </c>
      <c r="AH24" s="33">
        <f>(AF24*0.8)*0.15</f>
        <v>0</v>
      </c>
      <c r="AI24" s="33">
        <f>AF24*0.2</f>
        <v>0</v>
      </c>
      <c r="AJ24" s="34">
        <v>0</v>
      </c>
      <c r="AK24" s="33">
        <v>0</v>
      </c>
      <c r="AL24" s="33">
        <f t="shared" ref="AL24:AL25" si="28">AK24-SUM(Y24:AC24)</f>
        <v>0</v>
      </c>
      <c r="AM24" s="33">
        <f t="shared" ref="AM24:AM25" si="29">+AL24*0.12</f>
        <v>0</v>
      </c>
      <c r="AN24" s="33">
        <f t="shared" si="17"/>
        <v>0</v>
      </c>
      <c r="AO24" s="39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33">
        <f>SUM(AO24:AY24)</f>
        <v>0</v>
      </c>
      <c r="BA24" s="38"/>
      <c r="BB24" s="38"/>
      <c r="BC24" s="33">
        <f>SUM(BE24:BL24)*0.1+(BM24*0.5)</f>
        <v>0</v>
      </c>
      <c r="BD24" s="33">
        <f>SUM(BE24:BL24)+(BM24*0.5)</f>
        <v>0</v>
      </c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41">
        <f>AZ24+BA24+BB24+BD24-BC24</f>
        <v>0</v>
      </c>
      <c r="BS24" s="145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</row>
    <row r="25" spans="1:124" ht="15.75" thickBot="1" x14ac:dyDescent="0.3">
      <c r="A25" s="188"/>
      <c r="B25" s="15" t="s">
        <v>44</v>
      </c>
      <c r="C25" s="33">
        <v>11717.94</v>
      </c>
      <c r="D25" s="34">
        <v>2118.5</v>
      </c>
      <c r="E25" s="34">
        <v>2121</v>
      </c>
      <c r="F25" s="35">
        <v>43654</v>
      </c>
      <c r="G25" s="33">
        <f>IF(E25-D25&lt;0,E25-D25,0)*-1</f>
        <v>0</v>
      </c>
      <c r="H25" s="33">
        <f>IF(E25-D25&gt;0,E25-D25,0)</f>
        <v>2.5</v>
      </c>
      <c r="I25" s="34"/>
      <c r="J25" s="34"/>
      <c r="K25" s="34">
        <v>7172.94</v>
      </c>
      <c r="L25" s="34"/>
      <c r="M25" s="36">
        <f>(+K25)*M$5</f>
        <v>154.21820999999997</v>
      </c>
      <c r="N25" s="36">
        <f>(+K25)*N$5</f>
        <v>35.864699999999999</v>
      </c>
      <c r="O25" s="36">
        <f>+K25-M25-N25+P25</f>
        <v>6982.8570899999995</v>
      </c>
      <c r="P25" s="36"/>
      <c r="Q25" s="37"/>
      <c r="R25" s="34"/>
      <c r="S25" s="34"/>
      <c r="T25" s="36"/>
      <c r="U25" s="36"/>
      <c r="V25" s="36"/>
      <c r="W25" s="36"/>
      <c r="X25" s="37"/>
      <c r="Y25" s="34"/>
      <c r="Z25" s="34"/>
      <c r="AA25" s="34"/>
      <c r="AB25" s="34">
        <v>21.5</v>
      </c>
      <c r="AC25" s="34"/>
      <c r="AD25" s="38"/>
      <c r="AE25" s="38">
        <v>2405</v>
      </c>
      <c r="AF25" s="34">
        <v>712.94</v>
      </c>
      <c r="AG25" s="33">
        <f>(AF25*0.8)*0.85</f>
        <v>484.79920000000004</v>
      </c>
      <c r="AH25" s="33">
        <f>(AF25*0.8)*0.15</f>
        <v>85.552800000000005</v>
      </c>
      <c r="AI25" s="33">
        <f>AF25*0.2</f>
        <v>142.58800000000002</v>
      </c>
      <c r="AJ25" s="34">
        <v>0</v>
      </c>
      <c r="AK25" s="33">
        <f t="shared" ref="AK25" si="30">(C25-AF25-AJ25)/1.12</f>
        <v>9825.8928571428569</v>
      </c>
      <c r="AL25" s="33">
        <f t="shared" si="28"/>
        <v>9804.3928571428569</v>
      </c>
      <c r="AM25" s="33">
        <f t="shared" si="29"/>
        <v>1176.5271428571427</v>
      </c>
      <c r="AN25" s="33">
        <f t="shared" si="17"/>
        <v>10980.92</v>
      </c>
      <c r="AO25" s="39"/>
      <c r="AP25" s="40">
        <v>520</v>
      </c>
      <c r="AQ25" s="40"/>
      <c r="AR25" s="40">
        <v>510</v>
      </c>
      <c r="AS25" s="40"/>
      <c r="AT25" s="40"/>
      <c r="AU25" s="40"/>
      <c r="AV25" s="40"/>
      <c r="AW25" s="40"/>
      <c r="AX25" s="40"/>
      <c r="AY25" s="40"/>
      <c r="AZ25" s="33"/>
      <c r="BA25" s="38"/>
      <c r="BB25" s="38"/>
      <c r="BC25" s="33">
        <f>SUM(BE25:BL25)*0.1+(BM25*0.5)</f>
        <v>0</v>
      </c>
      <c r="BD25" s="33">
        <f>SUM(BE25:BL25)+(BM25*0.5)</f>
        <v>0</v>
      </c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41">
        <f>AZ25+BA25+BB25+BD25-BC25</f>
        <v>0</v>
      </c>
      <c r="BS25" s="145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</row>
    <row r="26" spans="1:124" ht="15.75" thickBot="1" x14ac:dyDescent="0.3">
      <c r="A26" s="42"/>
      <c r="B26" s="43"/>
      <c r="C26" s="44">
        <f>SUBTOTAL(9,C24:C25)</f>
        <v>11717.94</v>
      </c>
      <c r="D26" s="45">
        <f>SUBTOTAL(9,D24:D25)</f>
        <v>2118.5</v>
      </c>
      <c r="E26" s="45">
        <f>SUBTOTAL(9,E24:E25)</f>
        <v>2121</v>
      </c>
      <c r="F26" s="47"/>
      <c r="G26" s="45">
        <f>SUBTOTAL(9,G24:G25)</f>
        <v>0</v>
      </c>
      <c r="H26" s="45">
        <f>SUBTOTAL(9,H24:H25)</f>
        <v>2.5</v>
      </c>
      <c r="I26" s="45">
        <f>SUBTOTAL(9,I24:I25)</f>
        <v>0</v>
      </c>
      <c r="J26" s="45">
        <f>SUBTOTAL(9,J24:J25)</f>
        <v>0</v>
      </c>
      <c r="K26" s="158">
        <f>SUBTOTAL(9,K24:K25)</f>
        <v>7172.94</v>
      </c>
      <c r="L26" s="45">
        <f>SUBTOTAL(9,L24:L25)</f>
        <v>0</v>
      </c>
      <c r="M26" s="46">
        <f>SUBTOTAL(9,M24:M25)</f>
        <v>154.21820999999997</v>
      </c>
      <c r="N26" s="46">
        <f>SUBTOTAL(9,N24:N25)</f>
        <v>35.864699999999999</v>
      </c>
      <c r="O26" s="46">
        <f>SUBTOTAL(9,O24:O25)</f>
        <v>6982.8570899999995</v>
      </c>
      <c r="P26" s="46">
        <f>SUBTOTAL(9,P24:P25)</f>
        <v>0</v>
      </c>
      <c r="Q26" s="47">
        <f>SUBTOTAL(9,Q24:Q25)</f>
        <v>0</v>
      </c>
      <c r="R26" s="45">
        <f>SUBTOTAL(9,R24:R25)</f>
        <v>0</v>
      </c>
      <c r="S26" s="45">
        <f>SUBTOTAL(9,S24:S25)</f>
        <v>0</v>
      </c>
      <c r="T26" s="46">
        <f>SUBTOTAL(9,T24:T25)</f>
        <v>0</v>
      </c>
      <c r="U26" s="46">
        <f>SUBTOTAL(9,U24:U25)</f>
        <v>0</v>
      </c>
      <c r="V26" s="46">
        <f>SUBTOTAL(9,V24:V25)</f>
        <v>0</v>
      </c>
      <c r="W26" s="46">
        <f>SUBTOTAL(9,W24:W25)</f>
        <v>0</v>
      </c>
      <c r="X26" s="47">
        <f>SUBTOTAL(9,X24:X25)</f>
        <v>0</v>
      </c>
      <c r="Y26" s="45">
        <f>SUBTOTAL(9,Y24:Y25)</f>
        <v>0</v>
      </c>
      <c r="Z26" s="45">
        <f>SUBTOTAL(9,Z24:Z25)</f>
        <v>0</v>
      </c>
      <c r="AA26" s="45">
        <f>SUBTOTAL(9,AA24:AA25)</f>
        <v>0</v>
      </c>
      <c r="AB26" s="45">
        <f>SUBTOTAL(9,AB24:AB25)</f>
        <v>21.5</v>
      </c>
      <c r="AC26" s="45">
        <f>SUBTOTAL(9,AC24:AC25)</f>
        <v>0</v>
      </c>
      <c r="AD26" s="48">
        <f>SUBTOTAL(9,AD24:AD25)</f>
        <v>0</v>
      </c>
      <c r="AE26" s="48">
        <f>SUBTOTAL(9,AE24:AE25)</f>
        <v>2405</v>
      </c>
      <c r="AF26" s="45"/>
      <c r="AG26" s="44">
        <f>SUBTOTAL(9,AG24:AG25)</f>
        <v>484.79920000000004</v>
      </c>
      <c r="AH26" s="44">
        <f>SUBTOTAL(9,AH24:AH25)</f>
        <v>85.552800000000005</v>
      </c>
      <c r="AI26" s="44">
        <f>SUBTOTAL(9,AI24:AI25)</f>
        <v>142.58800000000002</v>
      </c>
      <c r="AJ26" s="45" t="e">
        <f>SUBTOTAL(9,#REF!)</f>
        <v>#REF!</v>
      </c>
      <c r="AK26" s="44">
        <f>SUBTOTAL(9,AK24:AK25)</f>
        <v>9825.8928571428569</v>
      </c>
      <c r="AL26" s="44">
        <f>SUBTOTAL(9,AL24:AL25)</f>
        <v>9804.3928571428569</v>
      </c>
      <c r="AM26" s="44">
        <f>SUBTOTAL(9,AM24:AM25)</f>
        <v>1176.5271428571427</v>
      </c>
      <c r="AN26" s="44">
        <f>SUBTOTAL(9,AN24:AN25)</f>
        <v>10980.92</v>
      </c>
      <c r="AO26" s="49">
        <f t="shared" ref="R26:BP26" si="31">SUBTOTAL(9,AO24:AO25)</f>
        <v>0</v>
      </c>
      <c r="AP26" s="49">
        <f t="shared" si="31"/>
        <v>520</v>
      </c>
      <c r="AQ26" s="49">
        <f t="shared" si="31"/>
        <v>0</v>
      </c>
      <c r="AR26" s="49">
        <f t="shared" si="31"/>
        <v>510</v>
      </c>
      <c r="AS26" s="49">
        <f t="shared" si="31"/>
        <v>0</v>
      </c>
      <c r="AT26" s="49">
        <f t="shared" si="31"/>
        <v>0</v>
      </c>
      <c r="AU26" s="49">
        <f>SUBTOTAL(9,AU24:AU25)</f>
        <v>0</v>
      </c>
      <c r="AV26" s="49">
        <f t="shared" si="31"/>
        <v>0</v>
      </c>
      <c r="AW26" s="49">
        <f t="shared" si="31"/>
        <v>0</v>
      </c>
      <c r="AX26" s="49">
        <f t="shared" si="31"/>
        <v>0</v>
      </c>
      <c r="AY26" s="49">
        <f t="shared" si="31"/>
        <v>0</v>
      </c>
      <c r="AZ26" s="44">
        <f t="shared" si="31"/>
        <v>0</v>
      </c>
      <c r="BA26" s="48">
        <f t="shared" si="31"/>
        <v>0</v>
      </c>
      <c r="BB26" s="48">
        <f t="shared" si="31"/>
        <v>0</v>
      </c>
      <c r="BC26" s="44">
        <f t="shared" si="31"/>
        <v>0</v>
      </c>
      <c r="BD26" s="44">
        <f t="shared" si="31"/>
        <v>0</v>
      </c>
      <c r="BE26" s="49">
        <f>SUBTOTAL(9,BE24:BE25)</f>
        <v>0</v>
      </c>
      <c r="BF26" s="49">
        <f t="shared" si="31"/>
        <v>0</v>
      </c>
      <c r="BG26" s="49">
        <f t="shared" si="31"/>
        <v>0</v>
      </c>
      <c r="BH26" s="49">
        <f t="shared" si="31"/>
        <v>0</v>
      </c>
      <c r="BI26" s="49">
        <f t="shared" si="31"/>
        <v>0</v>
      </c>
      <c r="BJ26" s="49">
        <f t="shared" si="31"/>
        <v>0</v>
      </c>
      <c r="BK26" s="49">
        <f t="shared" si="31"/>
        <v>0</v>
      </c>
      <c r="BL26" s="49">
        <f t="shared" si="31"/>
        <v>0</v>
      </c>
      <c r="BM26" s="49">
        <f t="shared" si="31"/>
        <v>0</v>
      </c>
      <c r="BN26" s="49">
        <f t="shared" si="31"/>
        <v>0</v>
      </c>
      <c r="BO26" s="49">
        <f t="shared" si="31"/>
        <v>0</v>
      </c>
      <c r="BP26" s="49">
        <f t="shared" si="31"/>
        <v>0</v>
      </c>
      <c r="BQ26" s="44">
        <f>SUBTOTAL(9,BQ24:BQ25)</f>
        <v>0</v>
      </c>
    </row>
    <row r="27" spans="1:124" x14ac:dyDescent="0.25">
      <c r="A27" s="187">
        <f>+A24+1</f>
        <v>43653</v>
      </c>
      <c r="B27" s="32" t="s">
        <v>43</v>
      </c>
      <c r="C27" s="33" t="s">
        <v>135</v>
      </c>
      <c r="D27" s="34"/>
      <c r="E27" s="34"/>
      <c r="F27" s="35"/>
      <c r="G27" s="33"/>
      <c r="H27" s="33">
        <f>IF(E27-D27&gt;0,E27-D27,0)</f>
        <v>0</v>
      </c>
      <c r="I27" s="34"/>
      <c r="J27" s="34"/>
      <c r="K27" s="34"/>
      <c r="L27" s="34"/>
      <c r="M27" s="36">
        <f>(+K27)*M$5</f>
        <v>0</v>
      </c>
      <c r="N27" s="36">
        <f>(+K27)*N$5</f>
        <v>0</v>
      </c>
      <c r="O27" s="36">
        <f>+K27-M27-N27+P27</f>
        <v>0</v>
      </c>
      <c r="P27" s="36"/>
      <c r="Q27" s="37"/>
      <c r="R27" s="34"/>
      <c r="S27" s="34"/>
      <c r="T27" s="36"/>
      <c r="U27" s="36"/>
      <c r="V27" s="36"/>
      <c r="W27" s="36"/>
      <c r="X27" s="37"/>
      <c r="Y27" s="34"/>
      <c r="Z27" s="34"/>
      <c r="AA27" s="34"/>
      <c r="AB27" s="34"/>
      <c r="AC27" s="34"/>
      <c r="AD27" s="38"/>
      <c r="AE27" s="38"/>
      <c r="AF27" s="34"/>
      <c r="AG27" s="33">
        <f>(AF27*0.8)*0.85</f>
        <v>0</v>
      </c>
      <c r="AH27" s="33">
        <f>(AF27*0.8)*0.15</f>
        <v>0</v>
      </c>
      <c r="AI27" s="33">
        <f>AF27*0.2</f>
        <v>0</v>
      </c>
      <c r="AJ27" s="34">
        <v>0</v>
      </c>
      <c r="AK27" s="33">
        <v>0</v>
      </c>
      <c r="AL27" s="33">
        <f t="shared" ref="AL27:AL28" si="32">AK27-SUM(Y27:AC27)</f>
        <v>0</v>
      </c>
      <c r="AM27" s="33">
        <f t="shared" ref="AM27:AM28" si="33">+AL27*0.12</f>
        <v>0</v>
      </c>
      <c r="AN27" s="33">
        <f t="shared" ref="AN27:AN28" si="34">+AM27+AL27+AJ27</f>
        <v>0</v>
      </c>
      <c r="AO27" s="39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33">
        <f>SUM(AO27:AY27)</f>
        <v>0</v>
      </c>
      <c r="BA27" s="38"/>
      <c r="BB27" s="38"/>
      <c r="BC27" s="33">
        <f>SUM(BE27:BL27)*0.1+(BM27*0.5)</f>
        <v>0</v>
      </c>
      <c r="BD27" s="33">
        <f>SUM(BE27:BL27)+(BM27*0.5)</f>
        <v>0</v>
      </c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41">
        <f>AZ27+BA27+BB27+BD27-BC27</f>
        <v>0</v>
      </c>
      <c r="BS27" s="145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</row>
    <row r="28" spans="1:124" ht="15.75" thickBot="1" x14ac:dyDescent="0.3">
      <c r="A28" s="188"/>
      <c r="B28" s="15" t="s">
        <v>44</v>
      </c>
      <c r="C28" s="33"/>
      <c r="D28" s="34"/>
      <c r="E28" s="34"/>
      <c r="F28" s="35"/>
      <c r="G28" s="33"/>
      <c r="H28" s="33">
        <f>IF(E28-D28&gt;0,E28-D28,0)</f>
        <v>0</v>
      </c>
      <c r="I28" s="34"/>
      <c r="J28" s="34"/>
      <c r="K28" s="34"/>
      <c r="L28" s="34"/>
      <c r="M28" s="36">
        <f>(+K28)*M$5</f>
        <v>0</v>
      </c>
      <c r="N28" s="36">
        <f>(+K28)*N$5</f>
        <v>0</v>
      </c>
      <c r="O28" s="36">
        <f>+K28-M28-N28+P28</f>
        <v>0</v>
      </c>
      <c r="P28" s="36"/>
      <c r="Q28" s="37"/>
      <c r="R28" s="34"/>
      <c r="S28" s="34"/>
      <c r="T28" s="36"/>
      <c r="U28" s="36"/>
      <c r="V28" s="36"/>
      <c r="W28" s="36"/>
      <c r="X28" s="37"/>
      <c r="Y28" s="34"/>
      <c r="Z28" s="34"/>
      <c r="AA28" s="34"/>
      <c r="AB28" s="34"/>
      <c r="AC28" s="34"/>
      <c r="AD28" s="38"/>
      <c r="AE28" s="38"/>
      <c r="AF28" s="34"/>
      <c r="AG28" s="33">
        <f>(AF28*0.8)*0.85</f>
        <v>0</v>
      </c>
      <c r="AH28" s="33">
        <f>(AF28*0.8)*0.15</f>
        <v>0</v>
      </c>
      <c r="AI28" s="33">
        <f>AF28*0.2</f>
        <v>0</v>
      </c>
      <c r="AJ28" s="34">
        <v>0</v>
      </c>
      <c r="AK28" s="33">
        <f t="shared" ref="AK28" si="35">(C28-AF28-AJ28)/1.12</f>
        <v>0</v>
      </c>
      <c r="AL28" s="33">
        <f t="shared" si="32"/>
        <v>0</v>
      </c>
      <c r="AM28" s="33">
        <f t="shared" si="33"/>
        <v>0</v>
      </c>
      <c r="AN28" s="33">
        <f t="shared" si="34"/>
        <v>0</v>
      </c>
      <c r="AO28" s="39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33">
        <f>SUM(AO28:AY28)</f>
        <v>0</v>
      </c>
      <c r="BA28" s="38"/>
      <c r="BB28" s="38"/>
      <c r="BC28" s="33">
        <v>0</v>
      </c>
      <c r="BD28" s="33">
        <f>SUM(BE28:BL28)+(BM28*0.5)</f>
        <v>0</v>
      </c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41">
        <f>AZ28+BA28+BB28+BD28-BC28</f>
        <v>0</v>
      </c>
      <c r="BS28" s="145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</row>
    <row r="29" spans="1:124" ht="15.75" thickBot="1" x14ac:dyDescent="0.3">
      <c r="A29" s="42"/>
      <c r="B29" s="43"/>
      <c r="C29" s="44">
        <f>SUBTOTAL(9,C27:C28)</f>
        <v>0</v>
      </c>
      <c r="D29" s="45">
        <f>SUBTOTAL(9,D27:D28)</f>
        <v>0</v>
      </c>
      <c r="E29" s="45">
        <f>SUBTOTAL(9,E27:E28)</f>
        <v>0</v>
      </c>
      <c r="F29" s="47"/>
      <c r="G29" s="45">
        <f>SUBTOTAL(9,G27:G28)</f>
        <v>0</v>
      </c>
      <c r="H29" s="45">
        <f>SUBTOTAL(9,H27:H28)</f>
        <v>0</v>
      </c>
      <c r="I29" s="45">
        <f>SUBTOTAL(9,I27:I28)</f>
        <v>0</v>
      </c>
      <c r="J29" s="45">
        <f>SUBTOTAL(9,J27:J28)</f>
        <v>0</v>
      </c>
      <c r="K29" s="158">
        <f>SUBTOTAL(9,K27:K28)</f>
        <v>0</v>
      </c>
      <c r="L29" s="45">
        <f>SUBTOTAL(9,L27:L28)</f>
        <v>0</v>
      </c>
      <c r="M29" s="46">
        <f>SUBTOTAL(9,M27:M28)</f>
        <v>0</v>
      </c>
      <c r="N29" s="46">
        <f>SUBTOTAL(9,N27:N28)</f>
        <v>0</v>
      </c>
      <c r="O29" s="46">
        <f>SUBTOTAL(9,O27:O28)</f>
        <v>0</v>
      </c>
      <c r="P29" s="46">
        <f>SUBTOTAL(9,P27:P28)</f>
        <v>0</v>
      </c>
      <c r="Q29" s="47">
        <f>SUBTOTAL(9,Q27:Q28)</f>
        <v>0</v>
      </c>
      <c r="R29" s="45">
        <f>SUBTOTAL(9,R27:R28)</f>
        <v>0</v>
      </c>
      <c r="S29" s="45">
        <f>SUBTOTAL(9,S27:S28)</f>
        <v>0</v>
      </c>
      <c r="T29" s="46">
        <f>SUBTOTAL(9,T27:T28)</f>
        <v>0</v>
      </c>
      <c r="U29" s="46">
        <f>SUBTOTAL(9,U27:U28)</f>
        <v>0</v>
      </c>
      <c r="V29" s="46">
        <f>SUBTOTAL(9,V27:V28)</f>
        <v>0</v>
      </c>
      <c r="W29" s="46">
        <f>SUBTOTAL(9,W27:W28)</f>
        <v>0</v>
      </c>
      <c r="X29" s="47">
        <f>SUBTOTAL(9,X27:X28)</f>
        <v>0</v>
      </c>
      <c r="Y29" s="45">
        <f>SUBTOTAL(9,Y27:Y28)</f>
        <v>0</v>
      </c>
      <c r="Z29" s="45">
        <f>SUBTOTAL(9,Z27:Z28)</f>
        <v>0</v>
      </c>
      <c r="AA29" s="45">
        <f>SUBTOTAL(9,AA27:AA28)</f>
        <v>0</v>
      </c>
      <c r="AB29" s="45">
        <f>SUBTOTAL(9,AB27:AB28)</f>
        <v>0</v>
      </c>
      <c r="AC29" s="45">
        <f>SUBTOTAL(9,AC27:AC28)</f>
        <v>0</v>
      </c>
      <c r="AD29" s="48">
        <f>SUBTOTAL(9,AD27:AD28)</f>
        <v>0</v>
      </c>
      <c r="AE29" s="48">
        <f>SUBTOTAL(9,AE27:AE28)</f>
        <v>0</v>
      </c>
      <c r="AF29" s="45"/>
      <c r="AG29" s="44">
        <f>SUBTOTAL(9,AG27:AG28)</f>
        <v>0</v>
      </c>
      <c r="AH29" s="44">
        <f>SUBTOTAL(9,AH27:AH28)</f>
        <v>0</v>
      </c>
      <c r="AI29" s="44">
        <f>SUBTOTAL(9,AI27:AI28)</f>
        <v>0</v>
      </c>
      <c r="AJ29" s="45" t="e">
        <f>SUBTOTAL(9,#REF!)</f>
        <v>#REF!</v>
      </c>
      <c r="AK29" s="44">
        <f>SUBTOTAL(9,AK27:AK28)</f>
        <v>0</v>
      </c>
      <c r="AL29" s="44">
        <f>SUBTOTAL(9,AL27:AL28)</f>
        <v>0</v>
      </c>
      <c r="AM29" s="44">
        <f>SUBTOTAL(9,AM27:AM28)</f>
        <v>0</v>
      </c>
      <c r="AN29" s="44">
        <f>SUBTOTAL(9,AN27:AN28)</f>
        <v>0</v>
      </c>
      <c r="AO29" s="49">
        <f t="shared" ref="R29:BP29" si="36">SUBTOTAL(9,AO27:AO28)</f>
        <v>0</v>
      </c>
      <c r="AP29" s="49">
        <f t="shared" si="36"/>
        <v>0</v>
      </c>
      <c r="AQ29" s="49">
        <f t="shared" si="36"/>
        <v>0</v>
      </c>
      <c r="AR29" s="49">
        <f t="shared" si="36"/>
        <v>0</v>
      </c>
      <c r="AS29" s="49">
        <f t="shared" si="36"/>
        <v>0</v>
      </c>
      <c r="AT29" s="49">
        <f t="shared" si="36"/>
        <v>0</v>
      </c>
      <c r="AU29" s="49">
        <f>SUBTOTAL(9,AU27:AU28)</f>
        <v>0</v>
      </c>
      <c r="AV29" s="49">
        <f t="shared" si="36"/>
        <v>0</v>
      </c>
      <c r="AW29" s="49">
        <f t="shared" si="36"/>
        <v>0</v>
      </c>
      <c r="AX29" s="49">
        <f t="shared" si="36"/>
        <v>0</v>
      </c>
      <c r="AY29" s="49">
        <f t="shared" si="36"/>
        <v>0</v>
      </c>
      <c r="AZ29" s="44">
        <f t="shared" si="36"/>
        <v>0</v>
      </c>
      <c r="BA29" s="48">
        <f t="shared" si="36"/>
        <v>0</v>
      </c>
      <c r="BB29" s="48">
        <f t="shared" si="36"/>
        <v>0</v>
      </c>
      <c r="BC29" s="44">
        <f t="shared" si="36"/>
        <v>0</v>
      </c>
      <c r="BD29" s="44">
        <f t="shared" si="36"/>
        <v>0</v>
      </c>
      <c r="BE29" s="49">
        <f>SUBTOTAL(9,BE27:BE28)</f>
        <v>0</v>
      </c>
      <c r="BF29" s="49">
        <f t="shared" si="36"/>
        <v>0</v>
      </c>
      <c r="BG29" s="49">
        <f t="shared" si="36"/>
        <v>0</v>
      </c>
      <c r="BH29" s="49">
        <f t="shared" si="36"/>
        <v>0</v>
      </c>
      <c r="BI29" s="49">
        <f t="shared" si="36"/>
        <v>0</v>
      </c>
      <c r="BJ29" s="49">
        <f t="shared" si="36"/>
        <v>0</v>
      </c>
      <c r="BK29" s="49">
        <f t="shared" si="36"/>
        <v>0</v>
      </c>
      <c r="BL29" s="49">
        <f t="shared" si="36"/>
        <v>0</v>
      </c>
      <c r="BM29" s="49">
        <f t="shared" si="36"/>
        <v>0</v>
      </c>
      <c r="BN29" s="49">
        <f t="shared" si="36"/>
        <v>0</v>
      </c>
      <c r="BO29" s="49">
        <f t="shared" si="36"/>
        <v>0</v>
      </c>
      <c r="BP29" s="49">
        <f t="shared" si="36"/>
        <v>0</v>
      </c>
      <c r="BQ29" s="44">
        <f>SUBTOTAL(9,BQ27:BQ28)</f>
        <v>0</v>
      </c>
    </row>
    <row r="30" spans="1:124" x14ac:dyDescent="0.25">
      <c r="A30" s="187">
        <f>+A27+1</f>
        <v>43654</v>
      </c>
      <c r="B30" s="32" t="s">
        <v>43</v>
      </c>
      <c r="C30" s="33">
        <v>19243.84</v>
      </c>
      <c r="D30" s="34">
        <v>4276.43</v>
      </c>
      <c r="E30" s="34">
        <v>4278</v>
      </c>
      <c r="F30" s="35">
        <v>43654</v>
      </c>
      <c r="G30" s="33">
        <f>IF(E30-D30&lt;0,E30-D30,0)*-1</f>
        <v>0</v>
      </c>
      <c r="H30" s="33">
        <f>IF(E30-D30&gt;0,E30-D30,0)</f>
        <v>1.569999999999709</v>
      </c>
      <c r="I30" s="34"/>
      <c r="J30" s="34"/>
      <c r="K30" s="34">
        <v>13909.38</v>
      </c>
      <c r="L30" s="34"/>
      <c r="M30" s="36">
        <f>(+K30)*M$5</f>
        <v>299.05166999999994</v>
      </c>
      <c r="N30" s="36">
        <f>(+K30)*N$5</f>
        <v>69.546899999999994</v>
      </c>
      <c r="O30" s="36">
        <f>+K30-M30-N30+P30</f>
        <v>13540.781429999999</v>
      </c>
      <c r="P30" s="36"/>
      <c r="Q30" s="37"/>
      <c r="R30" s="34"/>
      <c r="S30" s="34"/>
      <c r="T30" s="36"/>
      <c r="U30" s="36"/>
      <c r="V30" s="36"/>
      <c r="W30" s="36"/>
      <c r="X30" s="37"/>
      <c r="Y30" s="34"/>
      <c r="Z30" s="34"/>
      <c r="AA30" s="34"/>
      <c r="AB30" s="34"/>
      <c r="AC30" s="34">
        <v>308.02999999999997</v>
      </c>
      <c r="AD30" s="38"/>
      <c r="AE30" s="38">
        <v>750</v>
      </c>
      <c r="AF30" s="34">
        <v>1473.67</v>
      </c>
      <c r="AG30" s="33">
        <f>(AF30*0.8)*0.85</f>
        <v>1002.0956000000001</v>
      </c>
      <c r="AH30" s="33">
        <f>(AF30*0.8)*0.15</f>
        <v>176.84040000000002</v>
      </c>
      <c r="AI30" s="33">
        <f>AF30*0.2</f>
        <v>294.73400000000004</v>
      </c>
      <c r="AJ30" s="34">
        <v>0</v>
      </c>
      <c r="AK30" s="33">
        <f t="shared" ref="AK30:AK31" si="37">(C30-AF30-AJ30)/1.12</f>
        <v>15866.223214285712</v>
      </c>
      <c r="AL30" s="33">
        <f t="shared" ref="AL30:AL31" si="38">AK30-SUM(Y30:AC30)</f>
        <v>15558.193214285711</v>
      </c>
      <c r="AM30" s="33">
        <f t="shared" ref="AM30:AM31" si="39">+AL30*0.12</f>
        <v>1866.9831857142854</v>
      </c>
      <c r="AN30" s="33">
        <f t="shared" ref="AN30:AN31" si="40">+AM30+AL30+AJ30</f>
        <v>17425.176399999997</v>
      </c>
      <c r="AO30" s="39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33">
        <f>SUM(AO30:AY30)</f>
        <v>0</v>
      </c>
      <c r="BA30" s="38"/>
      <c r="BB30" s="38"/>
      <c r="BC30" s="33">
        <f>SUM(BE30:BL30)*0.1+(BM30*0.5)</f>
        <v>0</v>
      </c>
      <c r="BD30" s="33">
        <f>SUM(BE30:BL30)+(BM30*0.5)</f>
        <v>0</v>
      </c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41">
        <f>AZ30+BA30+BB30+BD30-BC30</f>
        <v>0</v>
      </c>
      <c r="BS30" s="145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</row>
    <row r="31" spans="1:124" ht="15.75" thickBot="1" x14ac:dyDescent="0.3">
      <c r="A31" s="188"/>
      <c r="B31" s="15" t="s">
        <v>44</v>
      </c>
      <c r="C31" s="33">
        <v>18148.04</v>
      </c>
      <c r="D31" s="34">
        <v>11163.14</v>
      </c>
      <c r="E31" s="34">
        <v>11167</v>
      </c>
      <c r="F31" s="35">
        <v>43655</v>
      </c>
      <c r="G31" s="33">
        <f>IF(E31-D31&lt;0,E31-D31,0)*-1</f>
        <v>0</v>
      </c>
      <c r="H31" s="33">
        <f>IF(E31-D31&gt;0,E31-D31,0)</f>
        <v>3.8600000000005821</v>
      </c>
      <c r="I31" s="34"/>
      <c r="J31" s="34"/>
      <c r="K31" s="34">
        <v>3968.61</v>
      </c>
      <c r="L31" s="34"/>
      <c r="M31" s="36">
        <f>(+K31)*M$5</f>
        <v>85.325114999999997</v>
      </c>
      <c r="N31" s="36">
        <f>(+K31)*N$5</f>
        <v>19.843050000000002</v>
      </c>
      <c r="O31" s="36">
        <f>+K31-M31-N31+P31</f>
        <v>3863.4418350000001</v>
      </c>
      <c r="P31" s="36"/>
      <c r="Q31" s="37"/>
      <c r="R31" s="34"/>
      <c r="S31" s="34"/>
      <c r="T31" s="36"/>
      <c r="U31" s="36"/>
      <c r="V31" s="36"/>
      <c r="W31" s="36"/>
      <c r="X31" s="37"/>
      <c r="Y31" s="34"/>
      <c r="Z31" s="34">
        <f>173+47.5</f>
        <v>220.5</v>
      </c>
      <c r="AA31" s="34"/>
      <c r="AB31" s="34">
        <v>76.5</v>
      </c>
      <c r="AC31" s="34">
        <v>239.29</v>
      </c>
      <c r="AD31" s="38"/>
      <c r="AE31" s="38">
        <v>2480</v>
      </c>
      <c r="AF31" s="34">
        <v>1136.6099999999999</v>
      </c>
      <c r="AG31" s="33">
        <f>(AF31*0.8)*0.85</f>
        <v>772.89480000000003</v>
      </c>
      <c r="AH31" s="33">
        <f>(AF31*0.8)*0.15</f>
        <v>136.39320000000001</v>
      </c>
      <c r="AI31" s="33">
        <f>AF31*0.2</f>
        <v>227.322</v>
      </c>
      <c r="AJ31" s="34">
        <v>0</v>
      </c>
      <c r="AK31" s="33">
        <f t="shared" si="37"/>
        <v>15188.776785714284</v>
      </c>
      <c r="AL31" s="33">
        <f t="shared" si="38"/>
        <v>14652.486785714285</v>
      </c>
      <c r="AM31" s="33">
        <f t="shared" si="39"/>
        <v>1758.2984142857142</v>
      </c>
      <c r="AN31" s="33">
        <f t="shared" si="40"/>
        <v>16410.785199999998</v>
      </c>
      <c r="AO31" s="39"/>
      <c r="AP31" s="40"/>
      <c r="AQ31" s="40">
        <v>1205</v>
      </c>
      <c r="AR31" s="40">
        <v>1125</v>
      </c>
      <c r="AS31" s="40"/>
      <c r="AT31" s="40"/>
      <c r="AU31" s="40"/>
      <c r="AV31" s="40"/>
      <c r="AW31" s="40"/>
      <c r="AX31" s="40"/>
      <c r="AY31" s="40"/>
      <c r="AZ31" s="33">
        <f>SUM(AO31:AY31)</f>
        <v>2330</v>
      </c>
      <c r="BA31" s="38"/>
      <c r="BB31" s="38">
        <v>0</v>
      </c>
      <c r="BC31" s="33">
        <v>0</v>
      </c>
      <c r="BD31" s="33">
        <v>0</v>
      </c>
      <c r="BE31" s="39">
        <v>0</v>
      </c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41">
        <f>AZ31+BA31+BB31+BD31-BC31</f>
        <v>2330</v>
      </c>
      <c r="BS31" s="145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</row>
    <row r="32" spans="1:124" ht="15.75" thickBot="1" x14ac:dyDescent="0.3">
      <c r="A32" s="42"/>
      <c r="B32" s="43"/>
      <c r="C32" s="44">
        <f>SUBTOTAL(9,C30:C31)</f>
        <v>37391.880000000005</v>
      </c>
      <c r="D32" s="45">
        <f>SUBTOTAL(9,D30:D31)</f>
        <v>15439.57</v>
      </c>
      <c r="E32" s="45">
        <f>SUBTOTAL(9,E30:E31)</f>
        <v>15445</v>
      </c>
      <c r="F32" s="47"/>
      <c r="G32" s="45">
        <f>SUBTOTAL(9,G30:G31)</f>
        <v>0</v>
      </c>
      <c r="H32" s="45">
        <f>SUBTOTAL(9,H30:H31)</f>
        <v>5.430000000000291</v>
      </c>
      <c r="I32" s="45">
        <f>SUBTOTAL(9,I30:I31)</f>
        <v>0</v>
      </c>
      <c r="J32" s="45">
        <f>SUBTOTAL(9,J30:J31)</f>
        <v>0</v>
      </c>
      <c r="K32" s="158">
        <f>SUBTOTAL(9,K30:K31)</f>
        <v>17877.989999999998</v>
      </c>
      <c r="L32" s="45">
        <f>SUBTOTAL(9,L30:L31)</f>
        <v>0</v>
      </c>
      <c r="M32" s="46">
        <f>SUBTOTAL(9,M30:M31)</f>
        <v>384.37678499999993</v>
      </c>
      <c r="N32" s="46">
        <f>SUBTOTAL(9,N30:N31)</f>
        <v>89.389949999999999</v>
      </c>
      <c r="O32" s="46">
        <f>SUBTOTAL(9,O30:O31)</f>
        <v>17404.223265000001</v>
      </c>
      <c r="P32" s="46">
        <f>SUBTOTAL(9,P30:P31)</f>
        <v>0</v>
      </c>
      <c r="Q32" s="47">
        <f>SUBTOTAL(9,Q30:Q31)</f>
        <v>0</v>
      </c>
      <c r="R32" s="45">
        <f>SUBTOTAL(9,R30:R31)</f>
        <v>0</v>
      </c>
      <c r="S32" s="45">
        <f>SUBTOTAL(9,S30:S31)</f>
        <v>0</v>
      </c>
      <c r="T32" s="46">
        <f>SUBTOTAL(9,T30:T31)</f>
        <v>0</v>
      </c>
      <c r="U32" s="46">
        <f>SUBTOTAL(9,U30:U31)</f>
        <v>0</v>
      </c>
      <c r="V32" s="46">
        <f>SUBTOTAL(9,V30:V31)</f>
        <v>0</v>
      </c>
      <c r="W32" s="46">
        <f>SUBTOTAL(9,W30:W31)</f>
        <v>0</v>
      </c>
      <c r="X32" s="47">
        <f>SUBTOTAL(9,X30:X31)</f>
        <v>0</v>
      </c>
      <c r="Y32" s="45">
        <f>SUBTOTAL(9,Y30:Y31)</f>
        <v>0</v>
      </c>
      <c r="Z32" s="45">
        <f>SUBTOTAL(9,Z30:Z31)</f>
        <v>220.5</v>
      </c>
      <c r="AA32" s="45">
        <f>SUBTOTAL(9,AA30:AA31)</f>
        <v>0</v>
      </c>
      <c r="AB32" s="45">
        <f>SUBTOTAL(9,AB30:AB31)</f>
        <v>76.5</v>
      </c>
      <c r="AC32" s="45">
        <f>SUBTOTAL(9,AC30:AC31)</f>
        <v>547.31999999999994</v>
      </c>
      <c r="AD32" s="48">
        <f>SUBTOTAL(9,AD30:AD31)</f>
        <v>0</v>
      </c>
      <c r="AE32" s="48">
        <f>SUBTOTAL(9,AE30:AE31)</f>
        <v>3230</v>
      </c>
      <c r="AF32" s="45"/>
      <c r="AG32" s="44">
        <f>SUBTOTAL(9,AG30:AG31)</f>
        <v>1774.9904000000001</v>
      </c>
      <c r="AH32" s="44">
        <f>SUBTOTAL(9,AH30:AH31)</f>
        <v>313.23360000000002</v>
      </c>
      <c r="AI32" s="44">
        <f>SUBTOTAL(9,AI30:AI31)</f>
        <v>522.05600000000004</v>
      </c>
      <c r="AJ32" s="45" t="e">
        <f>SUBTOTAL(9,#REF!)</f>
        <v>#REF!</v>
      </c>
      <c r="AK32" s="44">
        <f>SUBTOTAL(9,AK30:AK31)</f>
        <v>31054.999999999996</v>
      </c>
      <c r="AL32" s="44">
        <f>SUBTOTAL(9,AL30:AL31)</f>
        <v>30210.679999999997</v>
      </c>
      <c r="AM32" s="44">
        <f>SUBTOTAL(9,AM30:AM31)</f>
        <v>3625.2815999999993</v>
      </c>
      <c r="AN32" s="44">
        <f>SUBTOTAL(9,AN30:AN31)</f>
        <v>33835.961599999995</v>
      </c>
      <c r="AO32" s="49">
        <f t="shared" ref="R32:BP32" si="41">SUBTOTAL(9,AO30:AO31)</f>
        <v>0</v>
      </c>
      <c r="AP32" s="49" t="s">
        <v>1</v>
      </c>
      <c r="AQ32" s="49">
        <f t="shared" si="41"/>
        <v>1205</v>
      </c>
      <c r="AR32" s="49">
        <f t="shared" si="41"/>
        <v>1125</v>
      </c>
      <c r="AS32" s="49">
        <f t="shared" si="41"/>
        <v>0</v>
      </c>
      <c r="AT32" s="49">
        <f t="shared" si="41"/>
        <v>0</v>
      </c>
      <c r="AU32" s="49">
        <f>SUBTOTAL(9,AU30:AU31)</f>
        <v>0</v>
      </c>
      <c r="AV32" s="49">
        <f t="shared" si="41"/>
        <v>0</v>
      </c>
      <c r="AW32" s="49">
        <f t="shared" si="41"/>
        <v>0</v>
      </c>
      <c r="AX32" s="49">
        <f t="shared" si="41"/>
        <v>0</v>
      </c>
      <c r="AY32" s="49">
        <f t="shared" si="41"/>
        <v>0</v>
      </c>
      <c r="AZ32" s="44">
        <f t="shared" si="41"/>
        <v>2330</v>
      </c>
      <c r="BA32" s="48">
        <f t="shared" si="41"/>
        <v>0</v>
      </c>
      <c r="BB32" s="48">
        <f t="shared" si="41"/>
        <v>0</v>
      </c>
      <c r="BC32" s="44">
        <f t="shared" si="41"/>
        <v>0</v>
      </c>
      <c r="BD32" s="44">
        <f t="shared" si="41"/>
        <v>0</v>
      </c>
      <c r="BE32" s="49">
        <f>SUBTOTAL(9,BE30:BE31)</f>
        <v>0</v>
      </c>
      <c r="BF32" s="49">
        <f t="shared" si="41"/>
        <v>0</v>
      </c>
      <c r="BG32" s="49">
        <f t="shared" si="41"/>
        <v>0</v>
      </c>
      <c r="BH32" s="49">
        <f t="shared" si="41"/>
        <v>0</v>
      </c>
      <c r="BI32" s="49">
        <f t="shared" si="41"/>
        <v>0</v>
      </c>
      <c r="BJ32" s="49">
        <f t="shared" si="41"/>
        <v>0</v>
      </c>
      <c r="BK32" s="49">
        <f t="shared" si="41"/>
        <v>0</v>
      </c>
      <c r="BL32" s="49">
        <f t="shared" si="41"/>
        <v>0</v>
      </c>
      <c r="BM32" s="49">
        <f t="shared" si="41"/>
        <v>0</v>
      </c>
      <c r="BN32" s="49">
        <f t="shared" si="41"/>
        <v>0</v>
      </c>
      <c r="BO32" s="49">
        <f t="shared" si="41"/>
        <v>0</v>
      </c>
      <c r="BP32" s="49">
        <f t="shared" si="41"/>
        <v>0</v>
      </c>
      <c r="BQ32" s="44">
        <f>SUBTOTAL(9,BQ30:BQ31)</f>
        <v>2330</v>
      </c>
    </row>
    <row r="33" spans="1:124" x14ac:dyDescent="0.25">
      <c r="A33" s="187">
        <f>+A30+1</f>
        <v>43655</v>
      </c>
      <c r="B33" s="32" t="s">
        <v>43</v>
      </c>
      <c r="C33" s="33">
        <v>17973.41</v>
      </c>
      <c r="D33" s="34">
        <v>10330.74</v>
      </c>
      <c r="E33" s="34">
        <v>10332</v>
      </c>
      <c r="F33" s="35">
        <v>43655</v>
      </c>
      <c r="G33" s="33">
        <f>IF(E33-D33&lt;0,E33-D33,0)*-1</f>
        <v>0</v>
      </c>
      <c r="H33" s="33">
        <f>IF(E33-D33&gt;0,E33-D33,0)</f>
        <v>1.2600000000002183</v>
      </c>
      <c r="I33" s="34"/>
      <c r="J33" s="34"/>
      <c r="K33" s="34">
        <v>6858.52</v>
      </c>
      <c r="L33" s="34"/>
      <c r="M33" s="36">
        <f>(+K33)*M$5</f>
        <v>147.45818</v>
      </c>
      <c r="N33" s="36">
        <f>(+K33)*N$5</f>
        <v>34.2926</v>
      </c>
      <c r="O33" s="36">
        <f>+K33-M33-N33+P33</f>
        <v>6676.769220000001</v>
      </c>
      <c r="P33" s="36"/>
      <c r="Q33" s="37"/>
      <c r="R33" s="34"/>
      <c r="S33" s="34"/>
      <c r="T33" s="36"/>
      <c r="U33" s="36"/>
      <c r="V33" s="36"/>
      <c r="W33" s="36"/>
      <c r="X33" s="37"/>
      <c r="Y33" s="34"/>
      <c r="Z33" s="34">
        <v>60.5</v>
      </c>
      <c r="AA33" s="34"/>
      <c r="AB33" s="34"/>
      <c r="AC33" s="34">
        <v>280.64999999999998</v>
      </c>
      <c r="AD33" s="38"/>
      <c r="AE33" s="38">
        <v>443</v>
      </c>
      <c r="AF33" s="34">
        <v>1192.8</v>
      </c>
      <c r="AG33" s="33">
        <f>(AF33*0.8)*0.85</f>
        <v>811.10400000000004</v>
      </c>
      <c r="AH33" s="33">
        <f>(AF33*0.8)*0.15</f>
        <v>143.136</v>
      </c>
      <c r="AI33" s="33">
        <f>AF33*0.2</f>
        <v>238.56</v>
      </c>
      <c r="AJ33" s="34"/>
      <c r="AK33" s="33">
        <f t="shared" ref="AK33:AK34" si="42">(C33-AF33-AJ33)/1.12</f>
        <v>14982.6875</v>
      </c>
      <c r="AL33" s="33">
        <f t="shared" ref="AL33:AL34" si="43">AK33-SUM(Y33:AC33)</f>
        <v>14641.5375</v>
      </c>
      <c r="AM33" s="33">
        <f t="shared" ref="AM33:AM34" si="44">+AL33*0.12</f>
        <v>1756.9845</v>
      </c>
      <c r="AN33" s="33">
        <f t="shared" si="17"/>
        <v>16398.522000000001</v>
      </c>
      <c r="AO33" s="39"/>
      <c r="AP33" s="40">
        <v>0</v>
      </c>
      <c r="AQ33" s="40"/>
      <c r="AR33" s="40"/>
      <c r="AS33" s="40"/>
      <c r="AT33" s="40"/>
      <c r="AU33" s="40"/>
      <c r="AV33" s="40"/>
      <c r="AW33" s="40"/>
      <c r="AX33" s="40"/>
      <c r="AY33" s="40"/>
      <c r="AZ33" s="33">
        <f>SUM(AO33:AY33)</f>
        <v>0</v>
      </c>
      <c r="BA33" s="38"/>
      <c r="BB33" s="38"/>
      <c r="BC33" s="33">
        <f>SUM(BE33:BL33)*0.1+(BM33*0.5)</f>
        <v>0</v>
      </c>
      <c r="BD33" s="33">
        <f>SUM(BE33:BL33)+(BM33*0.5)</f>
        <v>0</v>
      </c>
      <c r="BE33" s="39"/>
      <c r="BF33" s="39"/>
      <c r="BG33" s="39"/>
      <c r="BH33" s="39"/>
      <c r="BI33" s="39"/>
      <c r="BJ33" s="39"/>
      <c r="BK33" s="39"/>
      <c r="BL33" s="39">
        <v>0</v>
      </c>
      <c r="BM33" s="39"/>
      <c r="BN33" s="39"/>
      <c r="BO33" s="39"/>
      <c r="BP33" s="39"/>
      <c r="BQ33" s="41">
        <f>AZ33+BA33+BB33+BD33-BC33</f>
        <v>0</v>
      </c>
      <c r="BS33" s="145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</row>
    <row r="34" spans="1:124" ht="15.75" thickBot="1" x14ac:dyDescent="0.3">
      <c r="A34" s="188"/>
      <c r="B34" s="15" t="s">
        <v>44</v>
      </c>
      <c r="C34" s="33">
        <v>11116.54</v>
      </c>
      <c r="D34" s="34">
        <v>7277.88</v>
      </c>
      <c r="E34" s="34">
        <v>7278</v>
      </c>
      <c r="F34" s="35">
        <v>43656</v>
      </c>
      <c r="G34" s="33">
        <f>IF(E34-D34&lt;0,E34-D34,0)*-1</f>
        <v>0</v>
      </c>
      <c r="H34" s="33">
        <f>IF(E34-D34&gt;0,E34-D34,0)</f>
        <v>0.11999999999989086</v>
      </c>
      <c r="I34" s="34"/>
      <c r="J34" s="34"/>
      <c r="K34" s="34">
        <v>1840.89</v>
      </c>
      <c r="L34" s="34"/>
      <c r="M34" s="36">
        <f>(+K34)*M$5</f>
        <v>39.579135000000001</v>
      </c>
      <c r="N34" s="36">
        <f>(+K34)*N$5</f>
        <v>9.2044500000000014</v>
      </c>
      <c r="O34" s="36">
        <f>+K34-M34-N34+P34</f>
        <v>1792.1064150000002</v>
      </c>
      <c r="P34" s="36"/>
      <c r="Q34" s="37"/>
      <c r="R34" s="34"/>
      <c r="S34" s="34"/>
      <c r="T34" s="36"/>
      <c r="U34" s="36"/>
      <c r="V34" s="36"/>
      <c r="W34" s="36"/>
      <c r="X34" s="37"/>
      <c r="Y34" s="34"/>
      <c r="Z34" s="34"/>
      <c r="AA34" s="34"/>
      <c r="AB34" s="34"/>
      <c r="AC34" s="34">
        <v>47.77</v>
      </c>
      <c r="AD34" s="38"/>
      <c r="AE34" s="38">
        <v>1950</v>
      </c>
      <c r="AF34" s="34">
        <v>736.2</v>
      </c>
      <c r="AG34" s="33">
        <f>(AF34*0.8)*0.85</f>
        <v>500.61600000000004</v>
      </c>
      <c r="AH34" s="33">
        <f>(AF34*0.8)*0.15</f>
        <v>88.344000000000008</v>
      </c>
      <c r="AI34" s="33">
        <f>AF34*0.2</f>
        <v>147.24</v>
      </c>
      <c r="AJ34" s="34">
        <v>0</v>
      </c>
      <c r="AK34" s="33">
        <f t="shared" si="42"/>
        <v>9268.1607142857138</v>
      </c>
      <c r="AL34" s="33">
        <f t="shared" si="43"/>
        <v>9220.3907142857133</v>
      </c>
      <c r="AM34" s="33">
        <f t="shared" si="44"/>
        <v>1106.4468857142856</v>
      </c>
      <c r="AN34" s="33">
        <f t="shared" si="17"/>
        <v>10326.837599999999</v>
      </c>
      <c r="AO34" s="39">
        <v>540</v>
      </c>
      <c r="AP34" s="40">
        <v>1040</v>
      </c>
      <c r="AQ34" s="40" t="s">
        <v>1</v>
      </c>
      <c r="AR34" s="40"/>
      <c r="AS34" s="40"/>
      <c r="AT34" s="40"/>
      <c r="AU34" s="40"/>
      <c r="AV34" s="40"/>
      <c r="AW34" s="40"/>
      <c r="AX34" s="40"/>
      <c r="AY34" s="40"/>
      <c r="AZ34" s="33">
        <f>SUM(AO34:AY34)</f>
        <v>1580</v>
      </c>
      <c r="BA34" s="38"/>
      <c r="BB34" s="38"/>
      <c r="BC34" s="33">
        <v>0</v>
      </c>
      <c r="BD34" s="33">
        <v>0</v>
      </c>
      <c r="BE34" s="39"/>
      <c r="BF34" s="39"/>
      <c r="BG34" s="39"/>
      <c r="BH34" s="39"/>
      <c r="BI34" s="39"/>
      <c r="BJ34" s="39"/>
      <c r="BK34" s="39"/>
      <c r="BL34" s="39">
        <v>0</v>
      </c>
      <c r="BM34" s="39"/>
      <c r="BN34" s="39"/>
      <c r="BO34" s="39"/>
      <c r="BP34" s="39"/>
      <c r="BQ34" s="41">
        <f>AZ34+BA34+BB34+BD34-BC34</f>
        <v>1580</v>
      </c>
      <c r="BS34" s="145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</row>
    <row r="35" spans="1:124" s="120" customFormat="1" ht="15.75" thickBot="1" x14ac:dyDescent="0.3">
      <c r="A35" s="42"/>
      <c r="B35" s="43"/>
      <c r="C35" s="44">
        <f t="shared" ref="C35:Y35" si="45">SUBTOTAL(9,C33:C34)</f>
        <v>29089.95</v>
      </c>
      <c r="D35" s="158">
        <f t="shared" si="45"/>
        <v>17608.62</v>
      </c>
      <c r="E35" s="45">
        <f>SUBTOTAL(9,E33:E34)</f>
        <v>17610</v>
      </c>
      <c r="F35" s="47"/>
      <c r="G35" s="45">
        <f>SUBTOTAL(9,G33:G34)</f>
        <v>0</v>
      </c>
      <c r="H35" s="45">
        <f>SUBTOTAL(9,H33:H34)</f>
        <v>1.3800000000001091</v>
      </c>
      <c r="I35" s="45">
        <f>SUBTOTAL(9,I33:I34)</f>
        <v>0</v>
      </c>
      <c r="J35" s="45">
        <f>SUBTOTAL(9,J33:J34)</f>
        <v>0</v>
      </c>
      <c r="K35" s="158">
        <f>SUBTOTAL(9,K33:K34)</f>
        <v>8699.41</v>
      </c>
      <c r="L35" s="45">
        <f>SUBTOTAL(9,L33:L34)</f>
        <v>0</v>
      </c>
      <c r="M35" s="46">
        <f>SUBTOTAL(9,M33:M34)</f>
        <v>187.03731500000001</v>
      </c>
      <c r="N35" s="46">
        <f>SUBTOTAL(9,N33:N34)</f>
        <v>43.497050000000002</v>
      </c>
      <c r="O35" s="46">
        <f>SUBTOTAL(9,O33:O34)</f>
        <v>8468.8756350000003</v>
      </c>
      <c r="P35" s="46">
        <f>SUBTOTAL(9,P33:P34)</f>
        <v>0</v>
      </c>
      <c r="Q35" s="47">
        <f>SUBTOTAL(9,Q33:Q34)</f>
        <v>0</v>
      </c>
      <c r="R35" s="45">
        <f>SUBTOTAL(9,R33:R34)</f>
        <v>0</v>
      </c>
      <c r="S35" s="45">
        <f>SUBTOTAL(9,S33:S34)</f>
        <v>0</v>
      </c>
      <c r="T35" s="46">
        <f>SUBTOTAL(9,T33:T34)</f>
        <v>0</v>
      </c>
      <c r="U35" s="46">
        <f>SUBTOTAL(9,U33:U34)</f>
        <v>0</v>
      </c>
      <c r="V35" s="46">
        <f>SUBTOTAL(9,V33:V34)</f>
        <v>0</v>
      </c>
      <c r="W35" s="46">
        <f>SUBTOTAL(9,W33:W34)</f>
        <v>0</v>
      </c>
      <c r="X35" s="47">
        <f>SUBTOTAL(9,X33:X34)</f>
        <v>0</v>
      </c>
      <c r="Y35" s="45">
        <f>SUBTOTAL(9,Y33:Y34)</f>
        <v>0</v>
      </c>
      <c r="Z35" s="45">
        <f>SUBTOTAL(9,Z33:Z34)</f>
        <v>60.5</v>
      </c>
      <c r="AA35" s="45">
        <f>SUBTOTAL(9,AA33:AA34)</f>
        <v>0</v>
      </c>
      <c r="AB35" s="45">
        <f>SUBTOTAL(9,AB33:AB34)</f>
        <v>0</v>
      </c>
      <c r="AC35" s="45">
        <f>SUBTOTAL(9,AC33:AC34)</f>
        <v>328.41999999999996</v>
      </c>
      <c r="AD35" s="48">
        <f>SUBTOTAL(9,AD33:AD34)</f>
        <v>0</v>
      </c>
      <c r="AE35" s="48">
        <f>SUBTOTAL(9,AE33:AE34)</f>
        <v>2393</v>
      </c>
      <c r="AF35" s="45"/>
      <c r="AG35" s="44">
        <f>SUBTOTAL(9,AG33:AG34)</f>
        <v>1311.72</v>
      </c>
      <c r="AH35" s="44">
        <f>SUBTOTAL(9,AH33:AH34)</f>
        <v>231.48000000000002</v>
      </c>
      <c r="AI35" s="44">
        <f>SUBTOTAL(9,AI33:AI34)</f>
        <v>385.8</v>
      </c>
      <c r="AJ35" s="45" t="e">
        <f>SUBTOTAL(9,#REF!)</f>
        <v>#REF!</v>
      </c>
      <c r="AK35" s="44">
        <f>SUBTOTAL(9,AK33:AK34)</f>
        <v>24250.848214285714</v>
      </c>
      <c r="AL35" s="44">
        <f>SUBTOTAL(9,AL33:AL34)</f>
        <v>23861.928214285712</v>
      </c>
      <c r="AM35" s="44">
        <f>SUBTOTAL(9,AM33:AM34)</f>
        <v>2863.4313857142856</v>
      </c>
      <c r="AN35" s="44">
        <f>SUBTOTAL(9,AN33:AN34)</f>
        <v>26725.3596</v>
      </c>
      <c r="AO35" s="49">
        <f t="shared" ref="AG35:BP35" si="46">SUBTOTAL(9,AO33:AO34)</f>
        <v>540</v>
      </c>
      <c r="AP35" s="49">
        <f t="shared" si="46"/>
        <v>1040</v>
      </c>
      <c r="AQ35" s="49">
        <f t="shared" si="46"/>
        <v>0</v>
      </c>
      <c r="AR35" s="49">
        <f t="shared" si="46"/>
        <v>0</v>
      </c>
      <c r="AS35" s="49">
        <f t="shared" si="46"/>
        <v>0</v>
      </c>
      <c r="AT35" s="49">
        <f t="shared" si="46"/>
        <v>0</v>
      </c>
      <c r="AU35" s="49">
        <f>SUBTOTAL(9,AU33:AU34)</f>
        <v>0</v>
      </c>
      <c r="AV35" s="49">
        <f t="shared" si="46"/>
        <v>0</v>
      </c>
      <c r="AW35" s="49">
        <f t="shared" si="46"/>
        <v>0</v>
      </c>
      <c r="AX35" s="49">
        <f t="shared" si="46"/>
        <v>0</v>
      </c>
      <c r="AY35" s="49">
        <f t="shared" si="46"/>
        <v>0</v>
      </c>
      <c r="AZ35" s="44">
        <f t="shared" si="46"/>
        <v>1580</v>
      </c>
      <c r="BA35" s="48">
        <f t="shared" si="46"/>
        <v>0</v>
      </c>
      <c r="BB35" s="48">
        <f t="shared" si="46"/>
        <v>0</v>
      </c>
      <c r="BC35" s="44">
        <f t="shared" si="46"/>
        <v>0</v>
      </c>
      <c r="BD35" s="44">
        <f t="shared" si="46"/>
        <v>0</v>
      </c>
      <c r="BE35" s="49">
        <f>SUBTOTAL(9,BE33:BE34)</f>
        <v>0</v>
      </c>
      <c r="BF35" s="49">
        <f t="shared" si="46"/>
        <v>0</v>
      </c>
      <c r="BG35" s="49">
        <f t="shared" si="46"/>
        <v>0</v>
      </c>
      <c r="BH35" s="49">
        <f t="shared" si="46"/>
        <v>0</v>
      </c>
      <c r="BI35" s="49">
        <f t="shared" si="46"/>
        <v>0</v>
      </c>
      <c r="BJ35" s="49">
        <f t="shared" si="46"/>
        <v>0</v>
      </c>
      <c r="BK35" s="49">
        <f t="shared" si="46"/>
        <v>0</v>
      </c>
      <c r="BL35" s="49">
        <f t="shared" si="46"/>
        <v>0</v>
      </c>
      <c r="BM35" s="49">
        <f t="shared" si="46"/>
        <v>0</v>
      </c>
      <c r="BN35" s="49">
        <f t="shared" si="46"/>
        <v>0</v>
      </c>
      <c r="BO35" s="49">
        <f t="shared" si="46"/>
        <v>0</v>
      </c>
      <c r="BP35" s="49">
        <f t="shared" si="46"/>
        <v>0</v>
      </c>
      <c r="BQ35" s="44">
        <f>SUBTOTAL(9,BQ33:BQ34)</f>
        <v>1580</v>
      </c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</row>
    <row r="36" spans="1:124" x14ac:dyDescent="0.25">
      <c r="A36" s="187">
        <f>+A33+1</f>
        <v>43656</v>
      </c>
      <c r="B36" s="15" t="s">
        <v>43</v>
      </c>
      <c r="C36" s="33">
        <v>23093.4</v>
      </c>
      <c r="D36" s="34">
        <v>17265.84</v>
      </c>
      <c r="E36" s="34">
        <v>17266</v>
      </c>
      <c r="F36" s="35">
        <v>43656</v>
      </c>
      <c r="G36" s="33">
        <f>IF(E36-D36&lt;0,E36-D36,0)*-1</f>
        <v>0</v>
      </c>
      <c r="H36" s="33">
        <f>IF(E36-D36&gt;0,E36-D36,0)</f>
        <v>0.15999999999985448</v>
      </c>
      <c r="I36" s="34"/>
      <c r="J36" s="34"/>
      <c r="K36" s="34">
        <v>4980.1400000000003</v>
      </c>
      <c r="L36" s="34"/>
      <c r="M36" s="36">
        <f>(+K36)*M$5</f>
        <v>107.07301</v>
      </c>
      <c r="N36" s="36">
        <f>(+K36)*N$5</f>
        <v>24.900700000000001</v>
      </c>
      <c r="O36" s="36">
        <f>+K36-M36-N36+P36</f>
        <v>4848.1662900000001</v>
      </c>
      <c r="P36" s="36">
        <f>L36-(L36*(M$5+N$5))</f>
        <v>0</v>
      </c>
      <c r="Q36" s="37"/>
      <c r="R36" s="34"/>
      <c r="S36" s="34"/>
      <c r="T36" s="36">
        <f>+R36*T$5</f>
        <v>0</v>
      </c>
      <c r="U36" s="36">
        <f>+R36*U$5</f>
        <v>0</v>
      </c>
      <c r="V36" s="36">
        <f>+R36-T36-U36+W36</f>
        <v>0</v>
      </c>
      <c r="W36" s="36">
        <f>+S36-(S36*(T$5+U$5))</f>
        <v>0</v>
      </c>
      <c r="X36" s="37"/>
      <c r="Y36" s="34"/>
      <c r="Z36" s="34"/>
      <c r="AA36" s="34"/>
      <c r="AB36" s="34"/>
      <c r="AC36" s="34">
        <v>217.42</v>
      </c>
      <c r="AD36" s="38"/>
      <c r="AE36" s="38">
        <v>630</v>
      </c>
      <c r="AF36" s="34">
        <v>1659.86</v>
      </c>
      <c r="AG36" s="33">
        <f>(AF36*0.8)*0.85</f>
        <v>1128.7048</v>
      </c>
      <c r="AH36" s="33">
        <f>(AF36*0.8)*0.15</f>
        <v>199.18319999999997</v>
      </c>
      <c r="AI36" s="33">
        <f>AF36*0.2</f>
        <v>331.97199999999998</v>
      </c>
      <c r="AJ36" s="34">
        <v>0</v>
      </c>
      <c r="AK36" s="33">
        <f t="shared" ref="AK36:AK37" si="47">(C36-AF36-AJ36)/1.12</f>
        <v>19137.089285714286</v>
      </c>
      <c r="AL36" s="33">
        <f t="shared" ref="AL36:AL37" si="48">AK36-SUM(Y36:AC36)</f>
        <v>18919.669285714288</v>
      </c>
      <c r="AM36" s="33">
        <f t="shared" ref="AM36:AM37" si="49">+AL36*0.12</f>
        <v>2270.3603142857146</v>
      </c>
      <c r="AN36" s="33">
        <f t="shared" si="17"/>
        <v>21190.029600000002</v>
      </c>
      <c r="AO36" s="39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33">
        <f>SUM(AO36:AY36)</f>
        <v>0</v>
      </c>
      <c r="BA36" s="38"/>
      <c r="BB36" s="38"/>
      <c r="BC36" s="33">
        <f>SUM(BE36:BL36)*0.1+(BM36*0.5)</f>
        <v>0</v>
      </c>
      <c r="BD36" s="33">
        <f>SUM(BE36:BL36)+(BM36*0.5)</f>
        <v>0</v>
      </c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41">
        <f>AZ36+BA36+BB36+BD36-BC36</f>
        <v>0</v>
      </c>
      <c r="BS36" s="145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</row>
    <row r="37" spans="1:124" ht="15.75" thickBot="1" x14ac:dyDescent="0.3">
      <c r="A37" s="188"/>
      <c r="B37" s="15" t="s">
        <v>44</v>
      </c>
      <c r="C37" s="33">
        <v>13319.01</v>
      </c>
      <c r="D37" s="34">
        <v>6466.16</v>
      </c>
      <c r="E37" s="34">
        <v>6467</v>
      </c>
      <c r="F37" s="35">
        <v>43657</v>
      </c>
      <c r="G37" s="33">
        <f>IF(E37-D37&lt;0,E37-D37,0)*-1</f>
        <v>0</v>
      </c>
      <c r="H37" s="33">
        <f>IF(E37-D37&gt;0,E37-D37,0)</f>
        <v>0.84000000000014552</v>
      </c>
      <c r="I37" s="34"/>
      <c r="J37" s="34"/>
      <c r="K37" s="34">
        <v>5402.85</v>
      </c>
      <c r="L37" s="34"/>
      <c r="M37" s="36">
        <f>(+K37)*M$5</f>
        <v>116.161275</v>
      </c>
      <c r="N37" s="36">
        <f>(+K37)*N$5</f>
        <v>27.014250000000004</v>
      </c>
      <c r="O37" s="36">
        <f>+K37-M37-N37+P37</f>
        <v>5259.6744749999998</v>
      </c>
      <c r="P37" s="36">
        <f>L37-(L37*(M$5+N$5))</f>
        <v>0</v>
      </c>
      <c r="Q37" s="37"/>
      <c r="R37" s="34"/>
      <c r="S37" s="34"/>
      <c r="T37" s="36">
        <f>+R37*T$5</f>
        <v>0</v>
      </c>
      <c r="U37" s="36">
        <f>+R37*U$5</f>
        <v>0</v>
      </c>
      <c r="V37" s="36">
        <f>+R37-T37-U37+W37</f>
        <v>0</v>
      </c>
      <c r="W37" s="36">
        <f>+S37-(S37*(T$5+U$5))</f>
        <v>0</v>
      </c>
      <c r="X37" s="37"/>
      <c r="Y37" s="34"/>
      <c r="Z37" s="34"/>
      <c r="AA37" s="34"/>
      <c r="AB37" s="34"/>
      <c r="AC37" s="34"/>
      <c r="AD37" s="38"/>
      <c r="AE37" s="38">
        <v>1450</v>
      </c>
      <c r="AF37" s="34">
        <v>954.01</v>
      </c>
      <c r="AG37" s="33">
        <f>(AF37*0.8)*0.85</f>
        <v>648.72680000000003</v>
      </c>
      <c r="AH37" s="33">
        <f>(AF37*0.8)*0.15</f>
        <v>114.48120000000002</v>
      </c>
      <c r="AI37" s="33">
        <f>AF37*0.2</f>
        <v>190.80200000000002</v>
      </c>
      <c r="AJ37" s="34"/>
      <c r="AK37" s="33">
        <f t="shared" si="47"/>
        <v>11040.178571428571</v>
      </c>
      <c r="AL37" s="33">
        <f t="shared" si="48"/>
        <v>11040.178571428571</v>
      </c>
      <c r="AM37" s="33">
        <f t="shared" si="49"/>
        <v>1324.8214285714284</v>
      </c>
      <c r="AN37" s="33">
        <f t="shared" si="17"/>
        <v>12365</v>
      </c>
      <c r="AO37" s="39">
        <v>265</v>
      </c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33">
        <f>SUM(AO37:AY37)</f>
        <v>265</v>
      </c>
      <c r="BA37" s="38"/>
      <c r="BB37" s="38">
        <v>0</v>
      </c>
      <c r="BC37" s="33">
        <v>0</v>
      </c>
      <c r="BD37" s="33">
        <v>0</v>
      </c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41">
        <f>AZ37+BA37+BB37+BD37-BC37</f>
        <v>265</v>
      </c>
      <c r="BS37" s="145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</row>
    <row r="38" spans="1:124" ht="15.75" thickBot="1" x14ac:dyDescent="0.3">
      <c r="A38" s="42"/>
      <c r="B38" s="43"/>
      <c r="C38" s="44">
        <f>SUBTOTAL(9,C36:C37)</f>
        <v>36412.410000000003</v>
      </c>
      <c r="D38" s="45">
        <f>SUBTOTAL(9,D36:D37)</f>
        <v>23732</v>
      </c>
      <c r="E38" s="45">
        <f>SUBTOTAL(9,E36:E37)</f>
        <v>23733</v>
      </c>
      <c r="F38" s="47"/>
      <c r="G38" s="45">
        <f>SUBTOTAL(9,G36:G37)</f>
        <v>0</v>
      </c>
      <c r="H38" s="45">
        <f>SUBTOTAL(9,H36:H37)</f>
        <v>1</v>
      </c>
      <c r="I38" s="45">
        <f>SUBTOTAL(9,I36:I37)</f>
        <v>0</v>
      </c>
      <c r="J38" s="45">
        <f>SUBTOTAL(9,J36:J37)</f>
        <v>0</v>
      </c>
      <c r="K38" s="158">
        <f>SUBTOTAL(9,K36:K37)</f>
        <v>10382.990000000002</v>
      </c>
      <c r="L38" s="45">
        <f>SUBTOTAL(9,L36:L37)</f>
        <v>0</v>
      </c>
      <c r="M38" s="46">
        <f>SUBTOTAL(9,M36:M37)</f>
        <v>223.234285</v>
      </c>
      <c r="N38" s="46">
        <f>SUBTOTAL(9,N36:N37)</f>
        <v>51.914950000000005</v>
      </c>
      <c r="O38" s="46">
        <f>SUBTOTAL(9,O36:O37)</f>
        <v>10107.840765000001</v>
      </c>
      <c r="P38" s="46">
        <f>SUBTOTAL(9,P36:P37)</f>
        <v>0</v>
      </c>
      <c r="Q38" s="47">
        <f>SUBTOTAL(9,Q36:Q37)</f>
        <v>0</v>
      </c>
      <c r="R38" s="45">
        <f>SUBTOTAL(9,R36:R37)</f>
        <v>0</v>
      </c>
      <c r="S38" s="45">
        <f>SUBTOTAL(9,S36:S37)</f>
        <v>0</v>
      </c>
      <c r="T38" s="46">
        <f>SUBTOTAL(9,T36:T37)</f>
        <v>0</v>
      </c>
      <c r="U38" s="46">
        <f>SUBTOTAL(9,U36:U37)</f>
        <v>0</v>
      </c>
      <c r="V38" s="46">
        <f>SUBTOTAL(9,V36:V37)</f>
        <v>0</v>
      </c>
      <c r="W38" s="46">
        <f>SUBTOTAL(9,W36:W37)</f>
        <v>0</v>
      </c>
      <c r="X38" s="47">
        <f>SUBTOTAL(9,X36:X37)</f>
        <v>0</v>
      </c>
      <c r="Y38" s="45">
        <f>SUBTOTAL(9,Y36:Y37)</f>
        <v>0</v>
      </c>
      <c r="Z38" s="45">
        <f>SUBTOTAL(9,Z36:Z37)</f>
        <v>0</v>
      </c>
      <c r="AA38" s="45">
        <f>SUBTOTAL(9,AA36:AA37)</f>
        <v>0</v>
      </c>
      <c r="AB38" s="45">
        <f>SUBTOTAL(9,AB36:AB37)</f>
        <v>0</v>
      </c>
      <c r="AC38" s="45">
        <f>SUBTOTAL(9,AC36:AC37)</f>
        <v>217.42</v>
      </c>
      <c r="AD38" s="48">
        <f>SUBTOTAL(9,AD36:AD37)</f>
        <v>0</v>
      </c>
      <c r="AE38" s="48">
        <f>SUBTOTAL(9,AE36:AE37)</f>
        <v>2080</v>
      </c>
      <c r="AF38" s="45"/>
      <c r="AG38" s="44">
        <f>SUBTOTAL(9,AG36:AG37)</f>
        <v>1777.4315999999999</v>
      </c>
      <c r="AH38" s="44">
        <f>SUBTOTAL(9,AH36:AH37)</f>
        <v>313.6644</v>
      </c>
      <c r="AI38" s="44">
        <f>SUBTOTAL(9,AI36:AI37)</f>
        <v>522.774</v>
      </c>
      <c r="AJ38" s="45" t="e">
        <f>SUBTOTAL(9,#REF!)</f>
        <v>#REF!</v>
      </c>
      <c r="AK38" s="44">
        <f>SUBTOTAL(9,AK36:AK37)</f>
        <v>30177.267857142855</v>
      </c>
      <c r="AL38" s="44">
        <f>SUBTOTAL(9,AL36:AL37)</f>
        <v>29959.847857142857</v>
      </c>
      <c r="AM38" s="44">
        <f>SUBTOTAL(9,AM36:AM37)</f>
        <v>3595.181742857143</v>
      </c>
      <c r="AN38" s="44">
        <f>SUBTOTAL(9,AN36:AN37)</f>
        <v>33555.029600000002</v>
      </c>
      <c r="AO38" s="49">
        <f t="shared" ref="R38:BP38" si="50">SUBTOTAL(9,AO36:AO37)</f>
        <v>265</v>
      </c>
      <c r="AP38" s="49">
        <f t="shared" si="50"/>
        <v>0</v>
      </c>
      <c r="AQ38" s="49">
        <f t="shared" si="50"/>
        <v>0</v>
      </c>
      <c r="AR38" s="49">
        <f t="shared" si="50"/>
        <v>0</v>
      </c>
      <c r="AS38" s="49">
        <f t="shared" si="50"/>
        <v>0</v>
      </c>
      <c r="AT38" s="49">
        <f t="shared" si="50"/>
        <v>0</v>
      </c>
      <c r="AU38" s="49">
        <f>SUBTOTAL(9,AU36:AU37)</f>
        <v>0</v>
      </c>
      <c r="AV38" s="49">
        <f t="shared" si="50"/>
        <v>0</v>
      </c>
      <c r="AW38" s="49">
        <f t="shared" si="50"/>
        <v>0</v>
      </c>
      <c r="AX38" s="49">
        <f t="shared" si="50"/>
        <v>0</v>
      </c>
      <c r="AY38" s="49">
        <f t="shared" si="50"/>
        <v>0</v>
      </c>
      <c r="AZ38" s="44">
        <f t="shared" si="50"/>
        <v>265</v>
      </c>
      <c r="BA38" s="48">
        <f t="shared" si="50"/>
        <v>0</v>
      </c>
      <c r="BB38" s="48">
        <f t="shared" si="50"/>
        <v>0</v>
      </c>
      <c r="BC38" s="44">
        <f t="shared" si="50"/>
        <v>0</v>
      </c>
      <c r="BD38" s="44">
        <f t="shared" si="50"/>
        <v>0</v>
      </c>
      <c r="BE38" s="49">
        <f>SUBTOTAL(9,BE36:BE37)</f>
        <v>0</v>
      </c>
      <c r="BF38" s="49">
        <f t="shared" si="50"/>
        <v>0</v>
      </c>
      <c r="BG38" s="49">
        <f t="shared" si="50"/>
        <v>0</v>
      </c>
      <c r="BH38" s="49">
        <f t="shared" si="50"/>
        <v>0</v>
      </c>
      <c r="BI38" s="49">
        <f t="shared" si="50"/>
        <v>0</v>
      </c>
      <c r="BJ38" s="49">
        <f t="shared" si="50"/>
        <v>0</v>
      </c>
      <c r="BK38" s="49">
        <f t="shared" si="50"/>
        <v>0</v>
      </c>
      <c r="BL38" s="49">
        <f t="shared" si="50"/>
        <v>0</v>
      </c>
      <c r="BM38" s="49">
        <f t="shared" si="50"/>
        <v>0</v>
      </c>
      <c r="BN38" s="49">
        <f t="shared" si="50"/>
        <v>0</v>
      </c>
      <c r="BO38" s="49">
        <f t="shared" si="50"/>
        <v>0</v>
      </c>
      <c r="BP38" s="49">
        <f t="shared" si="50"/>
        <v>0</v>
      </c>
      <c r="BQ38" s="44">
        <f>SUBTOTAL(9,BQ36:BQ37)</f>
        <v>265</v>
      </c>
    </row>
    <row r="39" spans="1:124" x14ac:dyDescent="0.25">
      <c r="A39" s="187">
        <f>+A36+1</f>
        <v>43657</v>
      </c>
      <c r="B39" s="16" t="s">
        <v>43</v>
      </c>
      <c r="C39" s="33">
        <v>16447.240000000002</v>
      </c>
      <c r="D39" s="34">
        <v>7542.39</v>
      </c>
      <c r="E39" s="34">
        <v>7543</v>
      </c>
      <c r="F39" s="35">
        <v>43657</v>
      </c>
      <c r="G39" s="33">
        <f>IF(E39-D39&lt;0,E39-D39,0)*-1</f>
        <v>0</v>
      </c>
      <c r="H39" s="33">
        <f>IF(E39-D39&gt;0,E39-D39,0)</f>
        <v>0.60999999999967258</v>
      </c>
      <c r="I39" s="34"/>
      <c r="J39" s="34"/>
      <c r="K39" s="34">
        <v>8503.85</v>
      </c>
      <c r="L39" s="34"/>
      <c r="M39" s="36">
        <f>(+K39)*M$5</f>
        <v>182.832775</v>
      </c>
      <c r="N39" s="36">
        <f>(+K39)*N$5</f>
        <v>42.51925</v>
      </c>
      <c r="O39" s="36">
        <f>+K39-M39-N39+P39</f>
        <v>8278.4979750000002</v>
      </c>
      <c r="P39" s="36"/>
      <c r="Q39" s="37"/>
      <c r="R39" s="34"/>
      <c r="S39" s="34"/>
      <c r="T39" s="36"/>
      <c r="U39" s="36"/>
      <c r="V39" s="36"/>
      <c r="W39" s="36"/>
      <c r="X39" s="37"/>
      <c r="Y39" s="34"/>
      <c r="Z39" s="34">
        <v>36</v>
      </c>
      <c r="AA39" s="34"/>
      <c r="AB39" s="34"/>
      <c r="AC39" s="34">
        <v>100</v>
      </c>
      <c r="AD39" s="38"/>
      <c r="AE39" s="38">
        <v>265</v>
      </c>
      <c r="AF39" s="34">
        <v>1062.24</v>
      </c>
      <c r="AG39" s="33">
        <f>(AF39*0.8)*0.85</f>
        <v>722.32320000000004</v>
      </c>
      <c r="AH39" s="33">
        <f>(AF39*0.8)*0.15</f>
        <v>127.4688</v>
      </c>
      <c r="AI39" s="33">
        <f>AF39*0.2</f>
        <v>212.44800000000001</v>
      </c>
      <c r="AJ39" s="34"/>
      <c r="AK39" s="33">
        <f t="shared" ref="AK39:AK40" si="51">(C39-AF39-AJ39)/1.12</f>
        <v>13736.607142857143</v>
      </c>
      <c r="AL39" s="33">
        <f t="shared" ref="AL39:AL40" si="52">AK39-SUM(Y39:AC39)</f>
        <v>13600.607142857143</v>
      </c>
      <c r="AM39" s="33">
        <f t="shared" ref="AM39:AM40" si="53">+AL39*0.12</f>
        <v>1632.0728571428572</v>
      </c>
      <c r="AN39" s="33">
        <f t="shared" ref="AN39:AN40" si="54">+AM39+AL39+AJ39</f>
        <v>15232.68</v>
      </c>
      <c r="AO39" s="39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33">
        <f>SUM(AO39:AY39)</f>
        <v>0</v>
      </c>
      <c r="BA39" s="38"/>
      <c r="BB39" s="38"/>
      <c r="BC39" s="33">
        <f>SUM(BE39:BL39)*0.1+(BM39*0.5)</f>
        <v>0</v>
      </c>
      <c r="BD39" s="33">
        <f>SUM(BE39:BL39)+(BM39*0.5)</f>
        <v>0</v>
      </c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41">
        <f>AZ39+BA39+BB39+BD39-BC39</f>
        <v>0</v>
      </c>
      <c r="BS39" s="145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</row>
    <row r="40" spans="1:124" ht="15.75" thickBot="1" x14ac:dyDescent="0.3">
      <c r="A40" s="188"/>
      <c r="B40" s="16" t="s">
        <v>44</v>
      </c>
      <c r="C40" s="33">
        <v>27154.15</v>
      </c>
      <c r="D40" s="34">
        <v>17171.89</v>
      </c>
      <c r="E40" s="34">
        <v>17181</v>
      </c>
      <c r="F40" s="35">
        <v>43658</v>
      </c>
      <c r="G40" s="33">
        <f>IF(E40-D40&lt;0,E40-D40,0)*-1</f>
        <v>0</v>
      </c>
      <c r="H40" s="33">
        <f>IF(E40-D40&gt;0,E40-D40,0)</f>
        <v>9.1100000000005821</v>
      </c>
      <c r="I40" s="34"/>
      <c r="J40" s="34"/>
      <c r="K40" s="34">
        <v>9544.19</v>
      </c>
      <c r="L40" s="34"/>
      <c r="M40" s="36">
        <f>(+K40)*M$5</f>
        <v>205.200085</v>
      </c>
      <c r="N40" s="36">
        <f>(+K40)*N$5</f>
        <v>47.720950000000002</v>
      </c>
      <c r="O40" s="36">
        <f>+K40-M40-N40+P40</f>
        <v>9291.2689649999993</v>
      </c>
      <c r="P40" s="36"/>
      <c r="Q40" s="37"/>
      <c r="R40" s="34"/>
      <c r="S40" s="34"/>
      <c r="T40" s="36"/>
      <c r="U40" s="36"/>
      <c r="V40" s="36"/>
      <c r="W40" s="36"/>
      <c r="X40" s="37"/>
      <c r="Y40" s="34"/>
      <c r="Z40" s="34">
        <v>157</v>
      </c>
      <c r="AA40" s="34"/>
      <c r="AB40" s="34"/>
      <c r="AC40" s="34">
        <v>66.069999999999993</v>
      </c>
      <c r="AD40" s="38"/>
      <c r="AE40" s="38">
        <v>215</v>
      </c>
      <c r="AF40" s="34">
        <v>2015.79</v>
      </c>
      <c r="AG40" s="33">
        <f>(AF40*0.8)*0.85</f>
        <v>1370.7372</v>
      </c>
      <c r="AH40" s="33">
        <f>(AF40*0.8)*0.15</f>
        <v>241.8948</v>
      </c>
      <c r="AI40" s="33">
        <f>AF40*0.2</f>
        <v>403.15800000000002</v>
      </c>
      <c r="AJ40" s="34"/>
      <c r="AK40" s="33">
        <f t="shared" si="51"/>
        <v>22444.964285714283</v>
      </c>
      <c r="AL40" s="33">
        <f t="shared" si="52"/>
        <v>22221.894285714283</v>
      </c>
      <c r="AM40" s="33">
        <f t="shared" si="53"/>
        <v>2666.627314285714</v>
      </c>
      <c r="AN40" s="33">
        <f t="shared" si="54"/>
        <v>24888.521599999996</v>
      </c>
      <c r="AO40" s="39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33">
        <f>SUM(AO40:AY40)</f>
        <v>0</v>
      </c>
      <c r="BA40" s="38">
        <f>485+140</f>
        <v>625</v>
      </c>
      <c r="BB40" s="38"/>
      <c r="BC40" s="33"/>
      <c r="BD40" s="33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41">
        <f>AZ40+BA40+BB40+BD40-BC40</f>
        <v>625</v>
      </c>
      <c r="BS40" s="145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</row>
    <row r="41" spans="1:124" ht="15.75" thickBot="1" x14ac:dyDescent="0.3">
      <c r="A41" s="42"/>
      <c r="B41" s="43"/>
      <c r="C41" s="44">
        <f>SUBTOTAL(9,C39:C40)</f>
        <v>43601.39</v>
      </c>
      <c r="D41" s="45">
        <f>SUBTOTAL(9,D39:D40)</f>
        <v>24714.28</v>
      </c>
      <c r="E41" s="45">
        <f>SUBTOTAL(9,E39:E40)</f>
        <v>24724</v>
      </c>
      <c r="F41" s="47"/>
      <c r="G41" s="45">
        <f>SUBTOTAL(9,G39:G40)</f>
        <v>0</v>
      </c>
      <c r="H41" s="45">
        <f>SUBTOTAL(9,H39:H40)</f>
        <v>9.7200000000002547</v>
      </c>
      <c r="I41" s="45">
        <f>SUBTOTAL(9,I39:I40)</f>
        <v>0</v>
      </c>
      <c r="J41" s="45">
        <f>SUBTOTAL(9,J39:J40)</f>
        <v>0</v>
      </c>
      <c r="K41" s="158">
        <f>SUBTOTAL(9,K39:K40)</f>
        <v>18048.04</v>
      </c>
      <c r="L41" s="45">
        <f>SUBTOTAL(9,L39:L40)</f>
        <v>0</v>
      </c>
      <c r="M41" s="46">
        <f>SUBTOTAL(9,M39:M40)</f>
        <v>388.03286000000003</v>
      </c>
      <c r="N41" s="46">
        <f>SUBTOTAL(9,N39:N40)</f>
        <v>90.240200000000002</v>
      </c>
      <c r="O41" s="46">
        <f>SUBTOTAL(9,O39:O40)</f>
        <v>17569.766940000001</v>
      </c>
      <c r="P41" s="46">
        <f>SUBTOTAL(9,P39:P40)</f>
        <v>0</v>
      </c>
      <c r="Q41" s="47">
        <f>SUBTOTAL(9,Q39:Q40)</f>
        <v>0</v>
      </c>
      <c r="R41" s="45">
        <f>SUBTOTAL(9,R39:R40)</f>
        <v>0</v>
      </c>
      <c r="S41" s="45">
        <f>SUBTOTAL(9,S39:S40)</f>
        <v>0</v>
      </c>
      <c r="T41" s="46">
        <f>SUBTOTAL(9,T39:T40)</f>
        <v>0</v>
      </c>
      <c r="U41" s="46">
        <f>SUBTOTAL(9,U39:U40)</f>
        <v>0</v>
      </c>
      <c r="V41" s="46">
        <f>SUBTOTAL(9,V39:V40)</f>
        <v>0</v>
      </c>
      <c r="W41" s="46">
        <f>SUBTOTAL(9,W39:W40)</f>
        <v>0</v>
      </c>
      <c r="X41" s="47">
        <f>SUBTOTAL(9,X39:X40)</f>
        <v>0</v>
      </c>
      <c r="Y41" s="45">
        <f>SUBTOTAL(9,Y39:Y40)</f>
        <v>0</v>
      </c>
      <c r="Z41" s="45">
        <f>SUBTOTAL(9,Z39:Z40)</f>
        <v>193</v>
      </c>
      <c r="AA41" s="45">
        <f>SUBTOTAL(9,AA39:AA40)</f>
        <v>0</v>
      </c>
      <c r="AB41" s="45">
        <f>SUBTOTAL(9,AB39:AB40)</f>
        <v>0</v>
      </c>
      <c r="AC41" s="45">
        <f>SUBTOTAL(9,AC39:AC40)</f>
        <v>166.07</v>
      </c>
      <c r="AD41" s="48">
        <f>SUBTOTAL(9,AD39:AD40)</f>
        <v>0</v>
      </c>
      <c r="AE41" s="48">
        <f>SUBTOTAL(9,AE39:AE40)</f>
        <v>480</v>
      </c>
      <c r="AF41" s="45"/>
      <c r="AG41" s="44">
        <f>SUBTOTAL(9,AG39:AG40)</f>
        <v>2093.0604000000003</v>
      </c>
      <c r="AH41" s="44">
        <f>SUBTOTAL(9,AH39:AH40)</f>
        <v>369.36360000000002</v>
      </c>
      <c r="AI41" s="44">
        <f>SUBTOTAL(9,AI39:AI40)</f>
        <v>615.60599999999999</v>
      </c>
      <c r="AJ41" s="45" t="e">
        <f>SUBTOTAL(9,#REF!)</f>
        <v>#REF!</v>
      </c>
      <c r="AK41" s="44">
        <f>SUBTOTAL(9,AK39:AK40)</f>
        <v>36181.571428571428</v>
      </c>
      <c r="AL41" s="44">
        <f>SUBTOTAL(9,AL39:AL40)</f>
        <v>35822.501428571428</v>
      </c>
      <c r="AM41" s="44">
        <f>SUBTOTAL(9,AM39:AM40)</f>
        <v>4298.7001714285707</v>
      </c>
      <c r="AN41" s="44">
        <f>SUBTOTAL(9,AN39:AN40)</f>
        <v>40121.2016</v>
      </c>
      <c r="AO41" s="49">
        <f t="shared" ref="R41:BP41" si="55">SUBTOTAL(9,AO39:AO40)</f>
        <v>0</v>
      </c>
      <c r="AP41" s="49">
        <f t="shared" si="55"/>
        <v>0</v>
      </c>
      <c r="AQ41" s="49">
        <f t="shared" si="55"/>
        <v>0</v>
      </c>
      <c r="AR41" s="49">
        <f t="shared" si="55"/>
        <v>0</v>
      </c>
      <c r="AS41" s="49">
        <f t="shared" si="55"/>
        <v>0</v>
      </c>
      <c r="AT41" s="49">
        <f t="shared" si="55"/>
        <v>0</v>
      </c>
      <c r="AU41" s="49">
        <f>SUBTOTAL(9,AU39:AU40)</f>
        <v>0</v>
      </c>
      <c r="AV41" s="49">
        <f t="shared" si="55"/>
        <v>0</v>
      </c>
      <c r="AW41" s="49">
        <f t="shared" si="55"/>
        <v>0</v>
      </c>
      <c r="AX41" s="49">
        <f t="shared" si="55"/>
        <v>0</v>
      </c>
      <c r="AY41" s="49">
        <f t="shared" si="55"/>
        <v>0</v>
      </c>
      <c r="AZ41" s="44">
        <f t="shared" si="55"/>
        <v>0</v>
      </c>
      <c r="BA41" s="48">
        <f t="shared" si="55"/>
        <v>625</v>
      </c>
      <c r="BB41" s="48">
        <f t="shared" si="55"/>
        <v>0</v>
      </c>
      <c r="BC41" s="44">
        <f t="shared" si="55"/>
        <v>0</v>
      </c>
      <c r="BD41" s="44">
        <f t="shared" si="55"/>
        <v>0</v>
      </c>
      <c r="BE41" s="49">
        <f>SUBTOTAL(9,BE39:BE40)</f>
        <v>0</v>
      </c>
      <c r="BF41" s="49">
        <f t="shared" si="55"/>
        <v>0</v>
      </c>
      <c r="BG41" s="49">
        <f t="shared" si="55"/>
        <v>0</v>
      </c>
      <c r="BH41" s="49">
        <f t="shared" si="55"/>
        <v>0</v>
      </c>
      <c r="BI41" s="49">
        <f t="shared" si="55"/>
        <v>0</v>
      </c>
      <c r="BJ41" s="49">
        <f t="shared" si="55"/>
        <v>0</v>
      </c>
      <c r="BK41" s="49">
        <f t="shared" si="55"/>
        <v>0</v>
      </c>
      <c r="BL41" s="49">
        <f t="shared" si="55"/>
        <v>0</v>
      </c>
      <c r="BM41" s="49">
        <f t="shared" si="55"/>
        <v>0</v>
      </c>
      <c r="BN41" s="49">
        <f t="shared" si="55"/>
        <v>0</v>
      </c>
      <c r="BO41" s="49">
        <f t="shared" si="55"/>
        <v>0</v>
      </c>
      <c r="BP41" s="49">
        <f t="shared" si="55"/>
        <v>0</v>
      </c>
      <c r="BQ41" s="44">
        <f>SUBTOTAL(9,BQ39:BQ40)</f>
        <v>625</v>
      </c>
    </row>
    <row r="42" spans="1:124" x14ac:dyDescent="0.25">
      <c r="A42" s="187">
        <f>+A39+1</f>
        <v>43658</v>
      </c>
      <c r="B42" s="15" t="s">
        <v>43</v>
      </c>
      <c r="C42" s="33">
        <v>31266.959999999999</v>
      </c>
      <c r="D42" s="34">
        <v>21566.86</v>
      </c>
      <c r="E42" s="34">
        <v>21570</v>
      </c>
      <c r="F42" s="35">
        <v>43658</v>
      </c>
      <c r="G42" s="33">
        <f>IF(E42-D42&lt;0,E42-D42,0)*-1</f>
        <v>0</v>
      </c>
      <c r="H42" s="33">
        <f>IF(E42-D42&gt;0,E42-D42,0)</f>
        <v>3.1399999999994179</v>
      </c>
      <c r="I42" s="34"/>
      <c r="J42" s="34"/>
      <c r="K42" s="34">
        <v>9289.81</v>
      </c>
      <c r="L42" s="34"/>
      <c r="M42" s="36">
        <f>(+K42)*M$5</f>
        <v>199.73091499999998</v>
      </c>
      <c r="N42" s="36">
        <f>(+K42)*N$5</f>
        <v>46.44905</v>
      </c>
      <c r="O42" s="36">
        <f>+K42-M42-N42+P42</f>
        <v>9043.6300350000001</v>
      </c>
      <c r="P42" s="36"/>
      <c r="Q42" s="37"/>
      <c r="R42" s="34"/>
      <c r="S42" s="34"/>
      <c r="T42" s="36"/>
      <c r="U42" s="36"/>
      <c r="V42" s="36"/>
      <c r="W42" s="36"/>
      <c r="X42" s="37"/>
      <c r="Y42" s="34"/>
      <c r="Z42" s="34">
        <v>121</v>
      </c>
      <c r="AA42" s="34"/>
      <c r="AB42" s="34"/>
      <c r="AC42" s="34">
        <v>289.29000000000002</v>
      </c>
      <c r="AD42" s="38"/>
      <c r="AE42" s="38"/>
      <c r="AF42" s="34">
        <v>9289.81</v>
      </c>
      <c r="AG42" s="33">
        <f>(AF42*0.8)*0.85</f>
        <v>6317.0707999999995</v>
      </c>
      <c r="AH42" s="33">
        <f>(AF42*0.8)*0.15</f>
        <v>1114.7772</v>
      </c>
      <c r="AI42" s="33">
        <f>AF42*0.2</f>
        <v>1857.962</v>
      </c>
      <c r="AJ42" s="34"/>
      <c r="AK42" s="33">
        <f t="shared" ref="AK42:AK43" si="56">(C42-AF42-AJ42)/1.12</f>
        <v>19622.455357142855</v>
      </c>
      <c r="AL42" s="33">
        <f t="shared" ref="AL42:AL43" si="57">AK42-SUM(Y42:AC42)</f>
        <v>19212.165357142854</v>
      </c>
      <c r="AM42" s="33">
        <f t="shared" ref="AM42:AM43" si="58">+AL42*0.12</f>
        <v>2305.4598428571426</v>
      </c>
      <c r="AN42" s="33">
        <f t="shared" si="17"/>
        <v>21517.625199999995</v>
      </c>
      <c r="AO42" s="39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33">
        <f>SUM(AO42:AY42)</f>
        <v>0</v>
      </c>
      <c r="BA42" s="38"/>
      <c r="BB42" s="38"/>
      <c r="BC42" s="33">
        <f>SUM(BE42:BL42)*0.1+(BM42*0.5)</f>
        <v>0</v>
      </c>
      <c r="BD42" s="33">
        <f>SUM(BE42:BL42)+(BM42*0.5)</f>
        <v>0</v>
      </c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41">
        <f>AZ42+BA42+BB42+BD42-BC42</f>
        <v>0</v>
      </c>
      <c r="BS42" s="145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</row>
    <row r="43" spans="1:124" ht="15.75" thickBot="1" x14ac:dyDescent="0.3">
      <c r="A43" s="188"/>
      <c r="B43" s="15" t="s">
        <v>44</v>
      </c>
      <c r="C43" s="33">
        <v>15635.95</v>
      </c>
      <c r="D43" s="34">
        <v>10517.3</v>
      </c>
      <c r="E43" s="34">
        <v>10516</v>
      </c>
      <c r="F43" s="35">
        <v>43659</v>
      </c>
      <c r="G43" s="33">
        <f>IF(E43-D43&lt;0,E43-D43,0)*-1</f>
        <v>1.2999999999992724</v>
      </c>
      <c r="H43" s="33">
        <f>IF(E43-D43&gt;0,E43-D43,0)</f>
        <v>0</v>
      </c>
      <c r="I43" s="34"/>
      <c r="J43" s="34"/>
      <c r="K43" s="34">
        <v>4613.12</v>
      </c>
      <c r="L43" s="34"/>
      <c r="M43" s="36">
        <f>(+K43)*M$5</f>
        <v>99.182079999999985</v>
      </c>
      <c r="N43" s="36">
        <f>(+K43)*N$5</f>
        <v>23.0656</v>
      </c>
      <c r="O43" s="36">
        <f>+K43-M43-N43+P43</f>
        <v>4490.8723200000004</v>
      </c>
      <c r="P43" s="36"/>
      <c r="Q43" s="37"/>
      <c r="R43" s="34"/>
      <c r="S43" s="34"/>
      <c r="T43" s="36"/>
      <c r="U43" s="36"/>
      <c r="V43" s="36"/>
      <c r="W43" s="36"/>
      <c r="X43" s="37"/>
      <c r="Y43" s="34"/>
      <c r="Z43" s="34"/>
      <c r="AA43" s="34"/>
      <c r="AB43" s="34"/>
      <c r="AC43" s="34">
        <v>95.53</v>
      </c>
      <c r="AD43" s="38"/>
      <c r="AE43" s="38">
        <v>410</v>
      </c>
      <c r="AF43" s="34">
        <v>1190.27</v>
      </c>
      <c r="AG43" s="33">
        <f>(AF43*0.8)*0.85</f>
        <v>809.3836</v>
      </c>
      <c r="AH43" s="33">
        <f>(AF43*0.8)*0.15</f>
        <v>142.83240000000001</v>
      </c>
      <c r="AI43" s="33">
        <f>AF43*0.2</f>
        <v>238.054</v>
      </c>
      <c r="AJ43" s="34"/>
      <c r="AK43" s="33">
        <f t="shared" si="56"/>
        <v>12897.928571428571</v>
      </c>
      <c r="AL43" s="33">
        <f t="shared" si="57"/>
        <v>12802.39857142857</v>
      </c>
      <c r="AM43" s="33">
        <f t="shared" si="58"/>
        <v>1536.2878285714282</v>
      </c>
      <c r="AN43" s="33">
        <f t="shared" si="17"/>
        <v>14338.686399999999</v>
      </c>
      <c r="AO43" s="39">
        <v>245</v>
      </c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33">
        <f>SUM(AO43:AY43)</f>
        <v>245</v>
      </c>
      <c r="BA43" s="38"/>
      <c r="BB43" s="38">
        <v>0</v>
      </c>
      <c r="BC43" s="33"/>
      <c r="BD43" s="33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41">
        <f>AZ43+BA43+BB43+BD43-BC43</f>
        <v>245</v>
      </c>
      <c r="BS43" s="145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</row>
    <row r="44" spans="1:124" ht="15.75" thickBot="1" x14ac:dyDescent="0.3">
      <c r="A44" s="42"/>
      <c r="B44" s="43"/>
      <c r="C44" s="44">
        <f>SUBTOTAL(9,C42:C43)</f>
        <v>46902.91</v>
      </c>
      <c r="D44" s="45">
        <f>SUBTOTAL(9,D42:D43)</f>
        <v>32084.16</v>
      </c>
      <c r="E44" s="45">
        <f>SUBTOTAL(9,E42:E43)</f>
        <v>32086</v>
      </c>
      <c r="F44" s="47"/>
      <c r="G44" s="45">
        <f>SUBTOTAL(9,G42:G43)</f>
        <v>1.2999999999992724</v>
      </c>
      <c r="H44" s="45">
        <f>SUBTOTAL(9,H42:H43)</f>
        <v>3.1399999999994179</v>
      </c>
      <c r="I44" s="45">
        <f>SUBTOTAL(9,I42:I43)</f>
        <v>0</v>
      </c>
      <c r="J44" s="45">
        <f>SUBTOTAL(9,J42:J43)</f>
        <v>0</v>
      </c>
      <c r="K44" s="158">
        <f>SUBTOTAL(9,K42:K43)</f>
        <v>13902.93</v>
      </c>
      <c r="L44" s="45">
        <f>SUBTOTAL(9,L42:L43)</f>
        <v>0</v>
      </c>
      <c r="M44" s="46">
        <f>SUBTOTAL(9,M42:M43)</f>
        <v>298.91299499999997</v>
      </c>
      <c r="N44" s="46">
        <f>SUBTOTAL(9,N42:N43)</f>
        <v>69.514650000000003</v>
      </c>
      <c r="O44" s="46">
        <f>SUBTOTAL(9,O42:O43)</f>
        <v>13534.502355000001</v>
      </c>
      <c r="P44" s="46">
        <f>SUBTOTAL(9,P42:P43)</f>
        <v>0</v>
      </c>
      <c r="Q44" s="47">
        <f>SUBTOTAL(9,Q42:Q43)</f>
        <v>0</v>
      </c>
      <c r="R44" s="45">
        <f>SUBTOTAL(9,R42:R43)</f>
        <v>0</v>
      </c>
      <c r="S44" s="45">
        <f>SUBTOTAL(9,S42:S43)</f>
        <v>0</v>
      </c>
      <c r="T44" s="46">
        <f>SUBTOTAL(9,T42:T43)</f>
        <v>0</v>
      </c>
      <c r="U44" s="46">
        <f>SUBTOTAL(9,U42:U43)</f>
        <v>0</v>
      </c>
      <c r="V44" s="46">
        <f>SUBTOTAL(9,V42:V43)</f>
        <v>0</v>
      </c>
      <c r="W44" s="46">
        <f>SUBTOTAL(9,W42:W43)</f>
        <v>0</v>
      </c>
      <c r="X44" s="47">
        <f>SUBTOTAL(9,X42:X43)</f>
        <v>0</v>
      </c>
      <c r="Y44" s="45">
        <f>SUBTOTAL(9,Y42:Y43)</f>
        <v>0</v>
      </c>
      <c r="Z44" s="45">
        <f>SUBTOTAL(9,Z42:Z43)</f>
        <v>121</v>
      </c>
      <c r="AA44" s="45">
        <f>SUBTOTAL(9,AA42:AA43)</f>
        <v>0</v>
      </c>
      <c r="AB44" s="45">
        <f>SUBTOTAL(9,AB42:AB43)</f>
        <v>0</v>
      </c>
      <c r="AC44" s="45">
        <f>SUBTOTAL(9,AC42:AC43)</f>
        <v>384.82000000000005</v>
      </c>
      <c r="AD44" s="48">
        <f>SUBTOTAL(9,AD42:AD43)</f>
        <v>0</v>
      </c>
      <c r="AE44" s="48">
        <f>SUBTOTAL(9,AE42:AE43)</f>
        <v>410</v>
      </c>
      <c r="AF44" s="45"/>
      <c r="AG44" s="44">
        <f>SUBTOTAL(9,AG42:AG43)</f>
        <v>7126.4543999999996</v>
      </c>
      <c r="AH44" s="44">
        <f>SUBTOTAL(9,AH42:AH43)</f>
        <v>1257.6096</v>
      </c>
      <c r="AI44" s="44">
        <f>SUBTOTAL(9,AI42:AI43)</f>
        <v>2096.0160000000001</v>
      </c>
      <c r="AJ44" s="45" t="e">
        <f>SUBTOTAL(9,#REF!)</f>
        <v>#REF!</v>
      </c>
      <c r="AK44" s="44">
        <f>SUBTOTAL(9,AK42:AK43)</f>
        <v>32520.383928571428</v>
      </c>
      <c r="AL44" s="44">
        <f>SUBTOTAL(9,AL42:AL43)</f>
        <v>32014.563928571424</v>
      </c>
      <c r="AM44" s="44">
        <f>SUBTOTAL(9,AM42:AM43)</f>
        <v>3841.7476714285708</v>
      </c>
      <c r="AN44" s="44">
        <f>SUBTOTAL(9,AN42:AN43)</f>
        <v>35856.311599999994</v>
      </c>
      <c r="AO44" s="49">
        <f t="shared" ref="R44:BP44" si="59">SUBTOTAL(9,AO42:AO43)</f>
        <v>245</v>
      </c>
      <c r="AP44" s="49">
        <f t="shared" si="59"/>
        <v>0</v>
      </c>
      <c r="AQ44" s="49">
        <f t="shared" si="59"/>
        <v>0</v>
      </c>
      <c r="AR44" s="49">
        <f t="shared" si="59"/>
        <v>0</v>
      </c>
      <c r="AS44" s="49">
        <f t="shared" si="59"/>
        <v>0</v>
      </c>
      <c r="AT44" s="49">
        <f t="shared" si="59"/>
        <v>0</v>
      </c>
      <c r="AU44" s="49">
        <f>SUBTOTAL(9,AU42:AU43)</f>
        <v>0</v>
      </c>
      <c r="AV44" s="49">
        <f t="shared" si="59"/>
        <v>0</v>
      </c>
      <c r="AW44" s="49">
        <f t="shared" si="59"/>
        <v>0</v>
      </c>
      <c r="AX44" s="49">
        <f t="shared" si="59"/>
        <v>0</v>
      </c>
      <c r="AY44" s="49">
        <f t="shared" si="59"/>
        <v>0</v>
      </c>
      <c r="AZ44" s="44">
        <f t="shared" si="59"/>
        <v>245</v>
      </c>
      <c r="BA44" s="48">
        <f t="shared" si="59"/>
        <v>0</v>
      </c>
      <c r="BB44" s="48">
        <f t="shared" si="59"/>
        <v>0</v>
      </c>
      <c r="BC44" s="44">
        <f t="shared" si="59"/>
        <v>0</v>
      </c>
      <c r="BD44" s="44">
        <f t="shared" si="59"/>
        <v>0</v>
      </c>
      <c r="BE44" s="49">
        <f>SUBTOTAL(9,BE42:BE43)</f>
        <v>0</v>
      </c>
      <c r="BF44" s="49">
        <f t="shared" si="59"/>
        <v>0</v>
      </c>
      <c r="BG44" s="49">
        <f t="shared" si="59"/>
        <v>0</v>
      </c>
      <c r="BH44" s="49">
        <f t="shared" si="59"/>
        <v>0</v>
      </c>
      <c r="BI44" s="49">
        <f t="shared" si="59"/>
        <v>0</v>
      </c>
      <c r="BJ44" s="49">
        <f t="shared" si="59"/>
        <v>0</v>
      </c>
      <c r="BK44" s="49">
        <f t="shared" si="59"/>
        <v>0</v>
      </c>
      <c r="BL44" s="49">
        <f t="shared" si="59"/>
        <v>0</v>
      </c>
      <c r="BM44" s="49">
        <f t="shared" si="59"/>
        <v>0</v>
      </c>
      <c r="BN44" s="49">
        <f t="shared" si="59"/>
        <v>0</v>
      </c>
      <c r="BO44" s="49">
        <f t="shared" si="59"/>
        <v>0</v>
      </c>
      <c r="BP44" s="49">
        <f t="shared" si="59"/>
        <v>0</v>
      </c>
      <c r="BQ44" s="44">
        <f>SUBTOTAL(9,BQ42:BQ43)</f>
        <v>245</v>
      </c>
    </row>
    <row r="45" spans="1:124" x14ac:dyDescent="0.25">
      <c r="A45" s="187">
        <f>+A42+1</f>
        <v>43659</v>
      </c>
      <c r="B45" s="15" t="s">
        <v>43</v>
      </c>
      <c r="C45" s="33" t="s">
        <v>134</v>
      </c>
      <c r="D45" s="34"/>
      <c r="E45" s="34"/>
      <c r="F45" s="35"/>
      <c r="G45" s="33">
        <v>0</v>
      </c>
      <c r="H45" s="33">
        <f>IF(E45-D45&gt;0,E45-D45,0)</f>
        <v>0</v>
      </c>
      <c r="I45" s="34"/>
      <c r="J45" s="34"/>
      <c r="K45" s="34"/>
      <c r="L45" s="34"/>
      <c r="M45" s="36">
        <f>(+K45)*M$5</f>
        <v>0</v>
      </c>
      <c r="N45" s="36">
        <f>(+K45)*N$5</f>
        <v>0</v>
      </c>
      <c r="O45" s="36">
        <f>+K45-M45-N45+P45</f>
        <v>0</v>
      </c>
      <c r="P45" s="36"/>
      <c r="Q45" s="37"/>
      <c r="R45" s="34"/>
      <c r="S45" s="34"/>
      <c r="T45" s="36"/>
      <c r="U45" s="36"/>
      <c r="V45" s="36"/>
      <c r="W45" s="36"/>
      <c r="X45" s="37"/>
      <c r="Y45" s="34"/>
      <c r="Z45" s="34"/>
      <c r="AA45" s="34"/>
      <c r="AB45" s="34"/>
      <c r="AC45" s="34"/>
      <c r="AD45" s="38"/>
      <c r="AE45" s="38"/>
      <c r="AF45" s="34"/>
      <c r="AG45" s="33">
        <f>(AF45*0.8)*0.85</f>
        <v>0</v>
      </c>
      <c r="AH45" s="33">
        <f>(AF45*0.8)*0.15</f>
        <v>0</v>
      </c>
      <c r="AI45" s="33">
        <f>AF45*0.2</f>
        <v>0</v>
      </c>
      <c r="AJ45" s="34"/>
      <c r="AK45" s="33">
        <v>0</v>
      </c>
      <c r="AL45" s="33">
        <f t="shared" ref="AL45:AL46" si="60">AK45-SUM(Y45:AC45)</f>
        <v>0</v>
      </c>
      <c r="AM45" s="33">
        <f t="shared" ref="AM45:AM46" si="61">+AL45*0.12</f>
        <v>0</v>
      </c>
      <c r="AN45" s="33">
        <f t="shared" ref="AN44:AN74" si="62">+AM45+AL45+AJ45</f>
        <v>0</v>
      </c>
      <c r="AO45" s="39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33">
        <f>SUM(AO45:AY45)</f>
        <v>0</v>
      </c>
      <c r="BA45" s="38"/>
      <c r="BB45" s="38"/>
      <c r="BC45" s="33">
        <f>SUM(BE45:BL45)*0.1+(BM45*0.5)</f>
        <v>0</v>
      </c>
      <c r="BD45" s="33">
        <f>SUM(BE45:BL45)+(BM45*0.5)</f>
        <v>0</v>
      </c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41">
        <f>AZ45+BA45+BB45+BD45-BC45</f>
        <v>0</v>
      </c>
      <c r="BS45" s="145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</row>
    <row r="46" spans="1:124" ht="15.75" thickBot="1" x14ac:dyDescent="0.3">
      <c r="A46" s="188"/>
      <c r="B46" s="15" t="s">
        <v>44</v>
      </c>
      <c r="C46" s="33">
        <v>8783.5</v>
      </c>
      <c r="D46" s="34">
        <v>5805.82</v>
      </c>
      <c r="E46" s="34">
        <v>5805</v>
      </c>
      <c r="F46" s="35">
        <v>43661</v>
      </c>
      <c r="G46" s="33">
        <f>IF(E46-D46&lt;0,E46-D46,0)*-1</f>
        <v>0.81999999999970896</v>
      </c>
      <c r="H46" s="33">
        <f>IF(E46-D46&gt;0,E46-D46,0)</f>
        <v>0</v>
      </c>
      <c r="I46" s="34"/>
      <c r="J46" s="34"/>
      <c r="K46" s="34">
        <v>2238.48</v>
      </c>
      <c r="L46" s="34"/>
      <c r="M46" s="36">
        <f>(+K46)*M$5</f>
        <v>48.127319999999997</v>
      </c>
      <c r="N46" s="36">
        <f>(+K46)*N$5</f>
        <v>11.192400000000001</v>
      </c>
      <c r="O46" s="36">
        <f>+K46-M46-N46+P46</f>
        <v>2179.1602800000001</v>
      </c>
      <c r="P46" s="36"/>
      <c r="Q46" s="37"/>
      <c r="R46" s="34"/>
      <c r="S46" s="34"/>
      <c r="T46" s="36"/>
      <c r="U46" s="36"/>
      <c r="V46" s="36"/>
      <c r="W46" s="36"/>
      <c r="X46" s="37"/>
      <c r="Y46" s="34"/>
      <c r="Z46" s="34"/>
      <c r="AA46" s="34"/>
      <c r="AB46" s="34"/>
      <c r="AC46" s="34">
        <v>19.2</v>
      </c>
      <c r="AD46" s="38"/>
      <c r="AE46" s="38">
        <v>720</v>
      </c>
      <c r="AF46" s="34">
        <v>597.02</v>
      </c>
      <c r="AG46" s="33">
        <f>(AF46*0.8)*0.85</f>
        <v>405.97359999999998</v>
      </c>
      <c r="AH46" s="33">
        <f>(AF46*0.8)*0.15</f>
        <v>71.642399999999995</v>
      </c>
      <c r="AI46" s="33">
        <f>AF46*0.2</f>
        <v>119.404</v>
      </c>
      <c r="AJ46" s="34"/>
      <c r="AK46" s="33">
        <f t="shared" ref="AK46" si="63">(C46-AF46-AJ46)/1.12</f>
        <v>7309.3571428571422</v>
      </c>
      <c r="AL46" s="33">
        <f t="shared" si="60"/>
        <v>7290.1571428571424</v>
      </c>
      <c r="AM46" s="33">
        <f t="shared" si="61"/>
        <v>874.81885714285704</v>
      </c>
      <c r="AN46" s="33">
        <f t="shared" si="62"/>
        <v>8164.9759999999997</v>
      </c>
      <c r="AO46" s="39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33">
        <f>SUM(AO46:AY46)</f>
        <v>0</v>
      </c>
      <c r="BA46" s="38"/>
      <c r="BB46" s="38"/>
      <c r="BC46" s="33"/>
      <c r="BD46" s="33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41">
        <f>AZ46+BA46+BB46+BD46-BC46</f>
        <v>0</v>
      </c>
      <c r="BS46" s="145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</row>
    <row r="47" spans="1:124" ht="15.75" thickBot="1" x14ac:dyDescent="0.3">
      <c r="A47" s="42"/>
      <c r="B47" s="43"/>
      <c r="C47" s="44">
        <f>SUBTOTAL(9,C45:C46)</f>
        <v>8783.5</v>
      </c>
      <c r="D47" s="45">
        <f>SUBTOTAL(9,D45:D46)</f>
        <v>5805.82</v>
      </c>
      <c r="E47" s="45">
        <f>SUBTOTAL(9,E45:E46)</f>
        <v>5805</v>
      </c>
      <c r="F47" s="47"/>
      <c r="G47" s="45">
        <f>SUBTOTAL(9,G45:G46)</f>
        <v>0.81999999999970896</v>
      </c>
      <c r="H47" s="45">
        <f>SUBTOTAL(9,H45:H46)</f>
        <v>0</v>
      </c>
      <c r="I47" s="45">
        <f>SUBTOTAL(9,I45:I46)</f>
        <v>0</v>
      </c>
      <c r="J47" s="45">
        <f>SUBTOTAL(9,J45:J46)</f>
        <v>0</v>
      </c>
      <c r="K47" s="158">
        <f>SUBTOTAL(9,K45:K46)</f>
        <v>2238.48</v>
      </c>
      <c r="L47" s="45">
        <f>SUBTOTAL(9,L45:L46)</f>
        <v>0</v>
      </c>
      <c r="M47" s="46">
        <f>SUBTOTAL(9,M45:M46)</f>
        <v>48.127319999999997</v>
      </c>
      <c r="N47" s="46">
        <f>SUBTOTAL(9,N45:N46)</f>
        <v>11.192400000000001</v>
      </c>
      <c r="O47" s="46">
        <f>SUBTOTAL(9,O45:O46)</f>
        <v>2179.1602800000001</v>
      </c>
      <c r="P47" s="46">
        <f>SUBTOTAL(9,P45:P46)</f>
        <v>0</v>
      </c>
      <c r="Q47" s="47">
        <f>SUBTOTAL(9,Q45:Q46)</f>
        <v>0</v>
      </c>
      <c r="R47" s="45">
        <f>SUBTOTAL(9,R45:R46)</f>
        <v>0</v>
      </c>
      <c r="S47" s="45">
        <f>SUBTOTAL(9,S45:S46)</f>
        <v>0</v>
      </c>
      <c r="T47" s="46">
        <f>SUBTOTAL(9,T45:T46)</f>
        <v>0</v>
      </c>
      <c r="U47" s="46">
        <f>SUBTOTAL(9,U45:U46)</f>
        <v>0</v>
      </c>
      <c r="V47" s="46">
        <f>SUBTOTAL(9,V45:V46)</f>
        <v>0</v>
      </c>
      <c r="W47" s="46">
        <f>SUBTOTAL(9,W45:W46)</f>
        <v>0</v>
      </c>
      <c r="X47" s="47">
        <f>SUBTOTAL(9,X45:X46)</f>
        <v>0</v>
      </c>
      <c r="Y47" s="45">
        <f>SUBTOTAL(9,Y45:Y46)</f>
        <v>0</v>
      </c>
      <c r="Z47" s="45">
        <f>SUBTOTAL(9,Z45:Z46)</f>
        <v>0</v>
      </c>
      <c r="AA47" s="45">
        <f>SUBTOTAL(9,AA45:AA46)</f>
        <v>0</v>
      </c>
      <c r="AB47" s="45">
        <f>SUBTOTAL(9,AB45:AB46)</f>
        <v>0</v>
      </c>
      <c r="AC47" s="45">
        <f>SUBTOTAL(9,AC45:AC46)</f>
        <v>19.2</v>
      </c>
      <c r="AD47" s="48">
        <f>SUBTOTAL(9,AD45:AD46)</f>
        <v>0</v>
      </c>
      <c r="AE47" s="48">
        <f>SUBTOTAL(9,AE45:AE46)</f>
        <v>720</v>
      </c>
      <c r="AF47" s="45"/>
      <c r="AG47" s="44">
        <f>SUBTOTAL(9,AG45:AG46)</f>
        <v>405.97359999999998</v>
      </c>
      <c r="AH47" s="44">
        <f>SUBTOTAL(9,AH45:AH46)</f>
        <v>71.642399999999995</v>
      </c>
      <c r="AI47" s="44">
        <f>SUBTOTAL(9,AI45:AI46)</f>
        <v>119.404</v>
      </c>
      <c r="AJ47" s="45" t="e">
        <f>SUBTOTAL(9,#REF!)</f>
        <v>#REF!</v>
      </c>
      <c r="AK47" s="44">
        <f>SUBTOTAL(9,AK45:AK46)</f>
        <v>7309.3571428571422</v>
      </c>
      <c r="AL47" s="44">
        <f>SUBTOTAL(9,AL45:AL46)</f>
        <v>7290.1571428571424</v>
      </c>
      <c r="AM47" s="44">
        <f>SUBTOTAL(9,AM45:AM46)</f>
        <v>874.81885714285704</v>
      </c>
      <c r="AN47" s="44">
        <f>SUBTOTAL(9,AN45:AN46)</f>
        <v>8164.9759999999997</v>
      </c>
      <c r="AO47" s="49">
        <f t="shared" ref="R47:BP47" si="64">SUBTOTAL(9,AO45:AO46)</f>
        <v>0</v>
      </c>
      <c r="AP47" s="49">
        <f t="shared" si="64"/>
        <v>0</v>
      </c>
      <c r="AQ47" s="49">
        <f t="shared" si="64"/>
        <v>0</v>
      </c>
      <c r="AR47" s="49">
        <f t="shared" si="64"/>
        <v>0</v>
      </c>
      <c r="AS47" s="49">
        <f t="shared" si="64"/>
        <v>0</v>
      </c>
      <c r="AT47" s="49">
        <f t="shared" si="64"/>
        <v>0</v>
      </c>
      <c r="AU47" s="49">
        <f>SUBTOTAL(9,AU45:AU46)</f>
        <v>0</v>
      </c>
      <c r="AV47" s="49">
        <f t="shared" si="64"/>
        <v>0</v>
      </c>
      <c r="AW47" s="49">
        <f t="shared" si="64"/>
        <v>0</v>
      </c>
      <c r="AX47" s="49">
        <f t="shared" si="64"/>
        <v>0</v>
      </c>
      <c r="AY47" s="49">
        <f t="shared" si="64"/>
        <v>0</v>
      </c>
      <c r="AZ47" s="44">
        <f t="shared" si="64"/>
        <v>0</v>
      </c>
      <c r="BA47" s="48">
        <f t="shared" si="64"/>
        <v>0</v>
      </c>
      <c r="BB47" s="48">
        <f t="shared" si="64"/>
        <v>0</v>
      </c>
      <c r="BC47" s="44">
        <f t="shared" si="64"/>
        <v>0</v>
      </c>
      <c r="BD47" s="44">
        <f t="shared" si="64"/>
        <v>0</v>
      </c>
      <c r="BE47" s="49">
        <f>SUBTOTAL(9,BE45:BE46)</f>
        <v>0</v>
      </c>
      <c r="BF47" s="49">
        <f t="shared" si="64"/>
        <v>0</v>
      </c>
      <c r="BG47" s="49">
        <f t="shared" si="64"/>
        <v>0</v>
      </c>
      <c r="BH47" s="49">
        <f t="shared" si="64"/>
        <v>0</v>
      </c>
      <c r="BI47" s="49">
        <f t="shared" si="64"/>
        <v>0</v>
      </c>
      <c r="BJ47" s="49">
        <f t="shared" si="64"/>
        <v>0</v>
      </c>
      <c r="BK47" s="49">
        <f t="shared" si="64"/>
        <v>0</v>
      </c>
      <c r="BL47" s="49">
        <f t="shared" si="64"/>
        <v>0</v>
      </c>
      <c r="BM47" s="49">
        <f t="shared" si="64"/>
        <v>0</v>
      </c>
      <c r="BN47" s="49">
        <f t="shared" si="64"/>
        <v>0</v>
      </c>
      <c r="BO47" s="49">
        <f t="shared" si="64"/>
        <v>0</v>
      </c>
      <c r="BP47" s="49">
        <f t="shared" si="64"/>
        <v>0</v>
      </c>
      <c r="BQ47" s="44">
        <f>SUBTOTAL(9,BQ45:BQ46)</f>
        <v>0</v>
      </c>
    </row>
    <row r="48" spans="1:124" x14ac:dyDescent="0.25">
      <c r="A48" s="187">
        <f>A45+1</f>
        <v>43660</v>
      </c>
      <c r="B48" s="16" t="s">
        <v>43</v>
      </c>
      <c r="C48" s="33" t="s">
        <v>135</v>
      </c>
      <c r="D48" s="34"/>
      <c r="E48" s="34"/>
      <c r="F48" s="35"/>
      <c r="G48" s="33"/>
      <c r="H48" s="33">
        <f>IF(E48-D48&gt;0,E48-D48,0)</f>
        <v>0</v>
      </c>
      <c r="I48" s="34"/>
      <c r="J48" s="34">
        <v>0</v>
      </c>
      <c r="K48" s="34"/>
      <c r="L48" s="34"/>
      <c r="M48" s="36">
        <f>(+K48)*M$5</f>
        <v>0</v>
      </c>
      <c r="N48" s="36">
        <f>(+K48)*N$5</f>
        <v>0</v>
      </c>
      <c r="O48" s="36">
        <f>+K48-M48-N48+P48</f>
        <v>0</v>
      </c>
      <c r="P48" s="36"/>
      <c r="Q48" s="37"/>
      <c r="R48" s="34"/>
      <c r="S48" s="34"/>
      <c r="T48" s="36"/>
      <c r="U48" s="36"/>
      <c r="V48" s="36"/>
      <c r="W48" s="36"/>
      <c r="X48" s="37"/>
      <c r="Y48" s="34"/>
      <c r="Z48" s="34"/>
      <c r="AA48" s="34"/>
      <c r="AB48" s="34"/>
      <c r="AC48" s="34"/>
      <c r="AD48" s="38"/>
      <c r="AE48" s="38"/>
      <c r="AF48" s="34"/>
      <c r="AG48" s="33">
        <f>(AF48*0.8)*0.85</f>
        <v>0</v>
      </c>
      <c r="AH48" s="33">
        <f>(AF48*0.8)*0.15</f>
        <v>0</v>
      </c>
      <c r="AI48" s="33">
        <f>AF48*0.2</f>
        <v>0</v>
      </c>
      <c r="AJ48" s="34"/>
      <c r="AK48" s="33">
        <v>0</v>
      </c>
      <c r="AL48" s="33">
        <f t="shared" ref="AL48:AL49" si="65">AK48-SUM(Y48:AC48)</f>
        <v>0</v>
      </c>
      <c r="AM48" s="33">
        <f t="shared" ref="AM48:AM49" si="66">+AL48*0.12</f>
        <v>0</v>
      </c>
      <c r="AN48" s="33">
        <f t="shared" si="62"/>
        <v>0</v>
      </c>
      <c r="AO48" s="39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33">
        <f>SUM(AO48:AY48)</f>
        <v>0</v>
      </c>
      <c r="BA48" s="38"/>
      <c r="BB48" s="38"/>
      <c r="BC48" s="33">
        <f>SUM(BE48:BL48)*0.1+(BM48*0.5)</f>
        <v>0</v>
      </c>
      <c r="BD48" s="33">
        <f>SUM(BE48:BL48)+(BM48*0.5)</f>
        <v>0</v>
      </c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41">
        <f>AZ48+BA48+BB48+BD48-BC48</f>
        <v>0</v>
      </c>
      <c r="BS48" s="145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</row>
    <row r="49" spans="1:96" ht="15.75" thickBot="1" x14ac:dyDescent="0.3">
      <c r="A49" s="188"/>
      <c r="B49" s="16" t="s">
        <v>44</v>
      </c>
      <c r="C49" s="33"/>
      <c r="D49" s="34"/>
      <c r="E49" s="34"/>
      <c r="F49" s="35"/>
      <c r="G49" s="33"/>
      <c r="H49" s="33">
        <f>IF(E49-D49&gt;0,E49-D49,0)</f>
        <v>0</v>
      </c>
      <c r="I49" s="34"/>
      <c r="J49" s="34"/>
      <c r="K49" s="34"/>
      <c r="L49" s="34"/>
      <c r="M49" s="36">
        <f>(+K49)*M$5</f>
        <v>0</v>
      </c>
      <c r="N49" s="36">
        <f>(+K49)*N$5</f>
        <v>0</v>
      </c>
      <c r="O49" s="36">
        <f>+K49-M49-N49+P49</f>
        <v>0</v>
      </c>
      <c r="P49" s="36"/>
      <c r="Q49" s="37"/>
      <c r="R49" s="34"/>
      <c r="S49" s="34"/>
      <c r="T49" s="36"/>
      <c r="U49" s="36"/>
      <c r="V49" s="36"/>
      <c r="W49" s="36"/>
      <c r="X49" s="37"/>
      <c r="Y49" s="34"/>
      <c r="Z49" s="34"/>
      <c r="AA49" s="34"/>
      <c r="AB49" s="34"/>
      <c r="AC49" s="34"/>
      <c r="AD49" s="38"/>
      <c r="AE49" s="38"/>
      <c r="AF49" s="34"/>
      <c r="AG49" s="33">
        <f>(AF49*0.8)*0.85</f>
        <v>0</v>
      </c>
      <c r="AH49" s="33">
        <f>(AF49*0.8)*0.15</f>
        <v>0</v>
      </c>
      <c r="AI49" s="33">
        <f>AF49*0.2</f>
        <v>0</v>
      </c>
      <c r="AJ49" s="34"/>
      <c r="AK49" s="33">
        <f t="shared" ref="AK49" si="67">(C49-AF49-AJ49)/1.12</f>
        <v>0</v>
      </c>
      <c r="AL49" s="33">
        <f t="shared" si="65"/>
        <v>0</v>
      </c>
      <c r="AM49" s="33">
        <f t="shared" si="66"/>
        <v>0</v>
      </c>
      <c r="AN49" s="33">
        <f t="shared" si="62"/>
        <v>0</v>
      </c>
      <c r="AO49" s="39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33">
        <f>SUM(AO49:AY49)</f>
        <v>0</v>
      </c>
      <c r="BA49" s="38"/>
      <c r="BB49" s="38"/>
      <c r="BC49" s="33">
        <v>0</v>
      </c>
      <c r="BD49" s="33">
        <v>0</v>
      </c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41">
        <f>AZ49+BA49+BB49+BD49-BC49</f>
        <v>0</v>
      </c>
      <c r="BS49" s="145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</row>
    <row r="50" spans="1:96" ht="15.75" thickBot="1" x14ac:dyDescent="0.3">
      <c r="A50" s="42"/>
      <c r="B50" s="43"/>
      <c r="C50" s="44">
        <f>SUBTOTAL(9,C48:C49)</f>
        <v>0</v>
      </c>
      <c r="D50" s="45">
        <f>SUBTOTAL(9,D48:D49)</f>
        <v>0</v>
      </c>
      <c r="E50" s="45">
        <f>SUBTOTAL(9,E48:E49)</f>
        <v>0</v>
      </c>
      <c r="F50" s="47"/>
      <c r="G50" s="45">
        <f>SUBTOTAL(9,G48:G49)</f>
        <v>0</v>
      </c>
      <c r="H50" s="45">
        <f>SUBTOTAL(9,H48:H49)</f>
        <v>0</v>
      </c>
      <c r="I50" s="45">
        <f>SUBTOTAL(9,I48:I49)</f>
        <v>0</v>
      </c>
      <c r="J50" s="45">
        <f>SUBTOTAL(9,J48:J49)</f>
        <v>0</v>
      </c>
      <c r="K50" s="158">
        <f>SUBTOTAL(9,K48:K49)</f>
        <v>0</v>
      </c>
      <c r="L50" s="45">
        <f>SUBTOTAL(9,L48:L49)</f>
        <v>0</v>
      </c>
      <c r="M50" s="46">
        <f>SUBTOTAL(9,M48:M49)</f>
        <v>0</v>
      </c>
      <c r="N50" s="46">
        <f>SUBTOTAL(9,N48:N49)</f>
        <v>0</v>
      </c>
      <c r="O50" s="46">
        <f>SUBTOTAL(9,O48:O49)</f>
        <v>0</v>
      </c>
      <c r="P50" s="46">
        <f>SUBTOTAL(9,P48:P49)</f>
        <v>0</v>
      </c>
      <c r="Q50" s="47">
        <f>SUBTOTAL(9,Q48:Q49)</f>
        <v>0</v>
      </c>
      <c r="R50" s="45">
        <f>SUBTOTAL(9,R48:R49)</f>
        <v>0</v>
      </c>
      <c r="S50" s="45">
        <f>SUBTOTAL(9,S48:S49)</f>
        <v>0</v>
      </c>
      <c r="T50" s="46">
        <f>SUBTOTAL(9,T48:T49)</f>
        <v>0</v>
      </c>
      <c r="U50" s="46">
        <f>SUBTOTAL(9,U48:U49)</f>
        <v>0</v>
      </c>
      <c r="V50" s="46">
        <f>SUBTOTAL(9,V48:V49)</f>
        <v>0</v>
      </c>
      <c r="W50" s="46">
        <f>SUBTOTAL(9,W48:W49)</f>
        <v>0</v>
      </c>
      <c r="X50" s="47">
        <f>SUBTOTAL(9,X48:X49)</f>
        <v>0</v>
      </c>
      <c r="Y50" s="45">
        <f>SUBTOTAL(9,Y48:Y49)</f>
        <v>0</v>
      </c>
      <c r="Z50" s="45">
        <f>SUBTOTAL(9,Z48:Z49)</f>
        <v>0</v>
      </c>
      <c r="AA50" s="45">
        <f>SUBTOTAL(9,AA48:AA49)</f>
        <v>0</v>
      </c>
      <c r="AB50" s="45">
        <f>SUBTOTAL(9,AB48:AB49)</f>
        <v>0</v>
      </c>
      <c r="AC50" s="45">
        <f>SUBTOTAL(9,AC48:AC49)</f>
        <v>0</v>
      </c>
      <c r="AD50" s="48">
        <f>SUBTOTAL(9,AD48:AD49)</f>
        <v>0</v>
      </c>
      <c r="AE50" s="48">
        <f>SUBTOTAL(9,AE48:AE49)</f>
        <v>0</v>
      </c>
      <c r="AF50" s="45"/>
      <c r="AG50" s="44">
        <f>SUBTOTAL(9,AG48:AG49)</f>
        <v>0</v>
      </c>
      <c r="AH50" s="44">
        <f>SUBTOTAL(9,AH48:AH49)</f>
        <v>0</v>
      </c>
      <c r="AI50" s="44">
        <f>SUBTOTAL(9,AI48:AI49)</f>
        <v>0</v>
      </c>
      <c r="AJ50" s="45" t="e">
        <f>SUBTOTAL(9,#REF!)</f>
        <v>#REF!</v>
      </c>
      <c r="AK50" s="44">
        <f>SUBTOTAL(9,AK48:AK49)</f>
        <v>0</v>
      </c>
      <c r="AL50" s="44">
        <f>SUBTOTAL(9,AL48:AL49)</f>
        <v>0</v>
      </c>
      <c r="AM50" s="44">
        <f>SUBTOTAL(9,AM48:AM49)</f>
        <v>0</v>
      </c>
      <c r="AN50" s="44">
        <f>SUBTOTAL(9,AN48:AN49)</f>
        <v>0</v>
      </c>
      <c r="AO50" s="49">
        <f t="shared" ref="R50:BP50" si="68">SUBTOTAL(9,AO48:AO49)</f>
        <v>0</v>
      </c>
      <c r="AP50" s="49">
        <f t="shared" si="68"/>
        <v>0</v>
      </c>
      <c r="AQ50" s="49">
        <f t="shared" si="68"/>
        <v>0</v>
      </c>
      <c r="AR50" s="49">
        <f t="shared" si="68"/>
        <v>0</v>
      </c>
      <c r="AS50" s="49">
        <f t="shared" si="68"/>
        <v>0</v>
      </c>
      <c r="AT50" s="49">
        <f t="shared" si="68"/>
        <v>0</v>
      </c>
      <c r="AU50" s="49">
        <f>SUBTOTAL(9,AU48:AU49)</f>
        <v>0</v>
      </c>
      <c r="AV50" s="49">
        <f t="shared" si="68"/>
        <v>0</v>
      </c>
      <c r="AW50" s="49">
        <f t="shared" si="68"/>
        <v>0</v>
      </c>
      <c r="AX50" s="49">
        <f t="shared" si="68"/>
        <v>0</v>
      </c>
      <c r="AY50" s="49">
        <f t="shared" si="68"/>
        <v>0</v>
      </c>
      <c r="AZ50" s="44">
        <f t="shared" si="68"/>
        <v>0</v>
      </c>
      <c r="BA50" s="48">
        <f t="shared" si="68"/>
        <v>0</v>
      </c>
      <c r="BB50" s="48">
        <f t="shared" si="68"/>
        <v>0</v>
      </c>
      <c r="BC50" s="44">
        <f t="shared" si="68"/>
        <v>0</v>
      </c>
      <c r="BD50" s="44">
        <f t="shared" si="68"/>
        <v>0</v>
      </c>
      <c r="BE50" s="49">
        <f>SUBTOTAL(9,BE48:BE49)</f>
        <v>0</v>
      </c>
      <c r="BF50" s="49">
        <f t="shared" si="68"/>
        <v>0</v>
      </c>
      <c r="BG50" s="49">
        <f t="shared" si="68"/>
        <v>0</v>
      </c>
      <c r="BH50" s="49">
        <f t="shared" si="68"/>
        <v>0</v>
      </c>
      <c r="BI50" s="49">
        <f t="shared" si="68"/>
        <v>0</v>
      </c>
      <c r="BJ50" s="49">
        <f t="shared" si="68"/>
        <v>0</v>
      </c>
      <c r="BK50" s="49">
        <f t="shared" si="68"/>
        <v>0</v>
      </c>
      <c r="BL50" s="49">
        <f t="shared" si="68"/>
        <v>0</v>
      </c>
      <c r="BM50" s="49">
        <f t="shared" si="68"/>
        <v>0</v>
      </c>
      <c r="BN50" s="49">
        <f t="shared" si="68"/>
        <v>0</v>
      </c>
      <c r="BO50" s="49">
        <f t="shared" si="68"/>
        <v>0</v>
      </c>
      <c r="BP50" s="49">
        <f t="shared" si="68"/>
        <v>0</v>
      </c>
      <c r="BQ50" s="44">
        <f>SUBTOTAL(9,BQ48:BQ49)</f>
        <v>0</v>
      </c>
    </row>
    <row r="51" spans="1:96" x14ac:dyDescent="0.25">
      <c r="A51" s="187">
        <f>+A48+1</f>
        <v>43661</v>
      </c>
      <c r="B51" s="16" t="s">
        <v>43</v>
      </c>
      <c r="C51" s="33">
        <v>19005.810000000001</v>
      </c>
      <c r="D51" s="34">
        <v>14730.31</v>
      </c>
      <c r="E51" s="34">
        <v>14730</v>
      </c>
      <c r="F51" s="35">
        <v>43661</v>
      </c>
      <c r="G51" s="33">
        <f>IF(E51-D51&lt;0,E51-D51,0)*-1</f>
        <v>0.30999999999949068</v>
      </c>
      <c r="H51" s="33">
        <f>IF(E51-D51&gt;0,E51-D51,0)</f>
        <v>0</v>
      </c>
      <c r="I51" s="34"/>
      <c r="J51" s="34"/>
      <c r="K51" s="34">
        <v>3053.04</v>
      </c>
      <c r="L51" s="34"/>
      <c r="M51" s="36">
        <f>(+K51)*M$5</f>
        <v>65.640359999999987</v>
      </c>
      <c r="N51" s="36">
        <f>(+K51)*N$5</f>
        <v>15.2652</v>
      </c>
      <c r="O51" s="36">
        <f>+K51-M51-N51+P51</f>
        <v>2972.1344400000003</v>
      </c>
      <c r="P51" s="36"/>
      <c r="Q51" s="37"/>
      <c r="R51" s="34"/>
      <c r="S51" s="34"/>
      <c r="T51" s="36"/>
      <c r="U51" s="36"/>
      <c r="V51" s="36"/>
      <c r="W51" s="36"/>
      <c r="X51" s="37"/>
      <c r="Y51" s="34"/>
      <c r="Z51" s="34"/>
      <c r="AA51" s="34"/>
      <c r="AB51" s="34"/>
      <c r="AC51" s="34">
        <v>557.46</v>
      </c>
      <c r="AD51" s="38"/>
      <c r="AE51" s="38">
        <v>665</v>
      </c>
      <c r="AF51" s="34">
        <v>1303.3</v>
      </c>
      <c r="AG51" s="33">
        <f>(AF51*0.8)*0.85</f>
        <v>886.24400000000003</v>
      </c>
      <c r="AH51" s="33">
        <f>(AF51*0.8)*0.15</f>
        <v>156.39600000000002</v>
      </c>
      <c r="AI51" s="33">
        <f>AF51*0.2</f>
        <v>260.66000000000003</v>
      </c>
      <c r="AJ51" s="34"/>
      <c r="AK51" s="33">
        <f t="shared" ref="AK51:AK52" si="69">(C51-AF51-AJ51)/1.12</f>
        <v>15805.8125</v>
      </c>
      <c r="AL51" s="33">
        <f t="shared" ref="AL51:AL52" si="70">AK51-SUM(Y51:AC51)</f>
        <v>15248.352500000001</v>
      </c>
      <c r="AM51" s="33">
        <f t="shared" ref="AM51:AM52" si="71">+AL51*0.12</f>
        <v>1829.8023000000001</v>
      </c>
      <c r="AN51" s="33">
        <f t="shared" si="62"/>
        <v>17078.1548</v>
      </c>
      <c r="AO51" s="39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33">
        <f>SUM(AO51:AY51)</f>
        <v>0</v>
      </c>
      <c r="BA51" s="38"/>
      <c r="BB51" s="38"/>
      <c r="BC51" s="33">
        <f>SUM(BE51:BL51)*0.1+(BM51*0.5)</f>
        <v>0</v>
      </c>
      <c r="BD51" s="33">
        <f>SUM(BE51:BL51)+(BM51*0.5)</f>
        <v>0</v>
      </c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41">
        <f>AZ51+BA51+BB51+BD51-BC51</f>
        <v>0</v>
      </c>
      <c r="BS51" s="145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</row>
    <row r="52" spans="1:96" ht="15.75" thickBot="1" x14ac:dyDescent="0.3">
      <c r="A52" s="188"/>
      <c r="B52" s="16" t="s">
        <v>44</v>
      </c>
      <c r="C52" s="33">
        <v>20516.09</v>
      </c>
      <c r="D52" s="34">
        <v>8049.35</v>
      </c>
      <c r="E52" s="34">
        <v>8048</v>
      </c>
      <c r="F52" s="35">
        <v>43662</v>
      </c>
      <c r="G52" s="33">
        <f>IF(E52-D52&lt;0,E52-D52,0)*-1</f>
        <v>1.3500000000003638</v>
      </c>
      <c r="H52" s="33">
        <f>IF(E52-D52&gt;0,E52-D52,0)</f>
        <v>0</v>
      </c>
      <c r="I52" s="34"/>
      <c r="J52" s="34"/>
      <c r="K52" s="34">
        <v>9154.3799999999992</v>
      </c>
      <c r="L52" s="34"/>
      <c r="M52" s="36">
        <f>(+K52)*M$5</f>
        <v>196.81916999999996</v>
      </c>
      <c r="N52" s="36">
        <f>(+K52)*N$5</f>
        <v>45.771899999999995</v>
      </c>
      <c r="O52" s="36">
        <f>+K52-M52-N52+P52</f>
        <v>8911.7889299999988</v>
      </c>
      <c r="P52" s="36"/>
      <c r="Q52" s="37"/>
      <c r="R52" s="34"/>
      <c r="S52" s="34"/>
      <c r="T52" s="36"/>
      <c r="U52" s="36"/>
      <c r="V52" s="36"/>
      <c r="W52" s="36"/>
      <c r="X52" s="37"/>
      <c r="Y52" s="34"/>
      <c r="Z52" s="34">
        <v>18.25</v>
      </c>
      <c r="AA52" s="34"/>
      <c r="AB52" s="34"/>
      <c r="AC52" s="34">
        <v>174.11</v>
      </c>
      <c r="AD52" s="38"/>
      <c r="AE52" s="38">
        <v>3120</v>
      </c>
      <c r="AF52" s="34">
        <v>1272.56</v>
      </c>
      <c r="AG52" s="33">
        <f>(AF52*0.8)*0.85</f>
        <v>865.34079999999994</v>
      </c>
      <c r="AH52" s="33">
        <f>(AF52*0.8)*0.15</f>
        <v>152.7072</v>
      </c>
      <c r="AI52" s="33">
        <f>AF52*0.2</f>
        <v>254.512</v>
      </c>
      <c r="AJ52" s="34"/>
      <c r="AK52" s="33">
        <f t="shared" si="69"/>
        <v>17181.72321428571</v>
      </c>
      <c r="AL52" s="33">
        <f t="shared" si="70"/>
        <v>16989.36321428571</v>
      </c>
      <c r="AM52" s="33">
        <f t="shared" si="71"/>
        <v>2038.723585714285</v>
      </c>
      <c r="AN52" s="33">
        <f t="shared" si="62"/>
        <v>19028.086799999994</v>
      </c>
      <c r="AO52" s="39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33">
        <f>SUM(AO52:AY52)</f>
        <v>0</v>
      </c>
      <c r="BA52" s="38">
        <v>430</v>
      </c>
      <c r="BB52" s="38"/>
      <c r="BC52" s="33"/>
      <c r="BD52" s="33"/>
      <c r="BE52" s="39"/>
      <c r="BF52" s="39">
        <v>0</v>
      </c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41">
        <f>AZ52+BA52+BB52+BD52-BC52</f>
        <v>430</v>
      </c>
      <c r="BS52" s="145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</row>
    <row r="53" spans="1:96" ht="15.75" thickBot="1" x14ac:dyDescent="0.3">
      <c r="A53" s="42"/>
      <c r="B53" s="43"/>
      <c r="C53" s="44">
        <f>SUBTOTAL(9,C51:C52)</f>
        <v>39521.9</v>
      </c>
      <c r="D53" s="45">
        <f>SUBTOTAL(9,D51:D52)</f>
        <v>22779.66</v>
      </c>
      <c r="E53" s="45">
        <f>SUBTOTAL(9,E51:E52)</f>
        <v>22778</v>
      </c>
      <c r="F53" s="47"/>
      <c r="G53" s="45">
        <f>SUBTOTAL(9,G51:G52)</f>
        <v>1.6599999999998545</v>
      </c>
      <c r="H53" s="45">
        <f>SUBTOTAL(9,H51:H52)</f>
        <v>0</v>
      </c>
      <c r="I53" s="45">
        <f>SUBTOTAL(9,I51:I52)</f>
        <v>0</v>
      </c>
      <c r="J53" s="45">
        <f>SUBTOTAL(9,J51:J52)</f>
        <v>0</v>
      </c>
      <c r="K53" s="158">
        <f>SUBTOTAL(9,K51:K52)</f>
        <v>12207.419999999998</v>
      </c>
      <c r="L53" s="45">
        <f>SUBTOTAL(9,L51:L52)</f>
        <v>0</v>
      </c>
      <c r="M53" s="46">
        <f>SUBTOTAL(9,M51:M52)</f>
        <v>262.45952999999997</v>
      </c>
      <c r="N53" s="46">
        <f>SUBTOTAL(9,N51:N52)</f>
        <v>61.037099999999995</v>
      </c>
      <c r="O53" s="46">
        <f>SUBTOTAL(9,O51:O52)</f>
        <v>11883.923369999999</v>
      </c>
      <c r="P53" s="46">
        <f>SUBTOTAL(9,P51:P52)</f>
        <v>0</v>
      </c>
      <c r="Q53" s="47">
        <f>SUBTOTAL(9,Q51:Q52)</f>
        <v>0</v>
      </c>
      <c r="R53" s="45">
        <f>SUBTOTAL(9,R51:R52)</f>
        <v>0</v>
      </c>
      <c r="S53" s="45">
        <f>SUBTOTAL(9,S51:S52)</f>
        <v>0</v>
      </c>
      <c r="T53" s="46">
        <f>SUBTOTAL(9,T51:T52)</f>
        <v>0</v>
      </c>
      <c r="U53" s="46">
        <f>SUBTOTAL(9,U51:U52)</f>
        <v>0</v>
      </c>
      <c r="V53" s="46">
        <f>SUBTOTAL(9,V51:V52)</f>
        <v>0</v>
      </c>
      <c r="W53" s="46">
        <f>SUBTOTAL(9,W51:W52)</f>
        <v>0</v>
      </c>
      <c r="X53" s="47">
        <f>SUBTOTAL(9,X51:X52)</f>
        <v>0</v>
      </c>
      <c r="Y53" s="45">
        <f>SUBTOTAL(9,Y51:Y52)</f>
        <v>0</v>
      </c>
      <c r="Z53" s="45">
        <f>SUBTOTAL(9,Z51:Z52)</f>
        <v>18.25</v>
      </c>
      <c r="AA53" s="45">
        <f>SUBTOTAL(9,AA51:AA52)</f>
        <v>0</v>
      </c>
      <c r="AB53" s="45">
        <f>SUBTOTAL(9,AB51:AB52)</f>
        <v>0</v>
      </c>
      <c r="AC53" s="45">
        <f>SUBTOTAL(9,AC51:AC52)</f>
        <v>731.57</v>
      </c>
      <c r="AD53" s="48">
        <f>SUBTOTAL(9,AD51:AD52)</f>
        <v>0</v>
      </c>
      <c r="AE53" s="48">
        <f>SUBTOTAL(9,AE51:AE52)</f>
        <v>3785</v>
      </c>
      <c r="AF53" s="45"/>
      <c r="AG53" s="44">
        <f>SUBTOTAL(9,AG51:AG52)</f>
        <v>1751.5848000000001</v>
      </c>
      <c r="AH53" s="44">
        <f>SUBTOTAL(9,AH51:AH52)</f>
        <v>309.10320000000002</v>
      </c>
      <c r="AI53" s="44">
        <f>SUBTOTAL(9,AI51:AI52)</f>
        <v>515.17200000000003</v>
      </c>
      <c r="AJ53" s="45" t="e">
        <f>SUBTOTAL(9,#REF!)</f>
        <v>#REF!</v>
      </c>
      <c r="AK53" s="44">
        <f>SUBTOTAL(9,AK51:AK52)</f>
        <v>32987.53571428571</v>
      </c>
      <c r="AL53" s="44">
        <f>SUBTOTAL(9,AL51:AL52)</f>
        <v>32237.71571428571</v>
      </c>
      <c r="AM53" s="44">
        <f>SUBTOTAL(9,AM51:AM52)</f>
        <v>3868.5258857142853</v>
      </c>
      <c r="AN53" s="44">
        <f>SUBTOTAL(9,AN51:AN52)</f>
        <v>36106.241599999994</v>
      </c>
      <c r="AO53" s="49">
        <f t="shared" ref="R53:BP53" si="72">SUBTOTAL(9,AO51:AO52)</f>
        <v>0</v>
      </c>
      <c r="AP53" s="49">
        <f t="shared" si="72"/>
        <v>0</v>
      </c>
      <c r="AQ53" s="49" t="s">
        <v>1</v>
      </c>
      <c r="AR53" s="49">
        <f t="shared" si="72"/>
        <v>0</v>
      </c>
      <c r="AS53" s="49">
        <f t="shared" si="72"/>
        <v>0</v>
      </c>
      <c r="AT53" s="49">
        <f t="shared" si="72"/>
        <v>0</v>
      </c>
      <c r="AU53" s="49">
        <f>SUBTOTAL(9,AU51:AU52)</f>
        <v>0</v>
      </c>
      <c r="AV53" s="49">
        <f t="shared" si="72"/>
        <v>0</v>
      </c>
      <c r="AW53" s="49">
        <f t="shared" si="72"/>
        <v>0</v>
      </c>
      <c r="AX53" s="49">
        <f t="shared" si="72"/>
        <v>0</v>
      </c>
      <c r="AY53" s="49">
        <f t="shared" si="72"/>
        <v>0</v>
      </c>
      <c r="AZ53" s="44">
        <f t="shared" si="72"/>
        <v>0</v>
      </c>
      <c r="BA53" s="48">
        <f t="shared" si="72"/>
        <v>430</v>
      </c>
      <c r="BB53" s="48">
        <f t="shared" si="72"/>
        <v>0</v>
      </c>
      <c r="BC53" s="44">
        <f t="shared" si="72"/>
        <v>0</v>
      </c>
      <c r="BD53" s="44">
        <f t="shared" si="72"/>
        <v>0</v>
      </c>
      <c r="BE53" s="49">
        <f>SUBTOTAL(9,BE51:BE52)</f>
        <v>0</v>
      </c>
      <c r="BF53" s="49">
        <f t="shared" si="72"/>
        <v>0</v>
      </c>
      <c r="BG53" s="49">
        <f t="shared" si="72"/>
        <v>0</v>
      </c>
      <c r="BH53" s="49">
        <f t="shared" si="72"/>
        <v>0</v>
      </c>
      <c r="BI53" s="49">
        <f t="shared" si="72"/>
        <v>0</v>
      </c>
      <c r="BJ53" s="49">
        <f t="shared" si="72"/>
        <v>0</v>
      </c>
      <c r="BK53" s="49">
        <f t="shared" si="72"/>
        <v>0</v>
      </c>
      <c r="BL53" s="49">
        <f t="shared" si="72"/>
        <v>0</v>
      </c>
      <c r="BM53" s="49">
        <f t="shared" si="72"/>
        <v>0</v>
      </c>
      <c r="BN53" s="49">
        <f t="shared" si="72"/>
        <v>0</v>
      </c>
      <c r="BO53" s="49">
        <f t="shared" si="72"/>
        <v>0</v>
      </c>
      <c r="BP53" s="49">
        <f t="shared" si="72"/>
        <v>0</v>
      </c>
      <c r="BQ53" s="44">
        <f>SUBTOTAL(9,BQ51:BQ52)</f>
        <v>430</v>
      </c>
    </row>
    <row r="54" spans="1:96" x14ac:dyDescent="0.25">
      <c r="A54" s="187">
        <f>+A51+1</f>
        <v>43662</v>
      </c>
      <c r="B54" s="16" t="s">
        <v>43</v>
      </c>
      <c r="C54" s="33">
        <v>15662.64</v>
      </c>
      <c r="D54" s="34">
        <v>6198.32</v>
      </c>
      <c r="E54" s="34">
        <v>6200</v>
      </c>
      <c r="F54" s="35">
        <v>43662</v>
      </c>
      <c r="G54" s="33">
        <f>IF(E54-D54&lt;0,E54-D54,0)*-1</f>
        <v>0</v>
      </c>
      <c r="H54" s="33">
        <f>IF(E54-D54&gt;0,E54-D54,0)</f>
        <v>1.680000000000291</v>
      </c>
      <c r="I54" s="34"/>
      <c r="J54" s="34"/>
      <c r="K54" s="34">
        <v>8311.25</v>
      </c>
      <c r="L54" s="34"/>
      <c r="M54" s="36">
        <f>(+K54)*M$5</f>
        <v>178.69187499999998</v>
      </c>
      <c r="N54" s="36">
        <f>(+K54)*N$5</f>
        <v>41.556249999999999</v>
      </c>
      <c r="O54" s="36">
        <f>+K54-M54-N54+P54</f>
        <v>8091.0018749999999</v>
      </c>
      <c r="P54" s="36"/>
      <c r="Q54" s="37"/>
      <c r="R54" s="34"/>
      <c r="S54" s="34"/>
      <c r="T54" s="36"/>
      <c r="U54" s="36"/>
      <c r="V54" s="36"/>
      <c r="W54" s="36"/>
      <c r="X54" s="37"/>
      <c r="Y54" s="34"/>
      <c r="Z54" s="34">
        <v>19</v>
      </c>
      <c r="AA54" s="34">
        <v>50.5</v>
      </c>
      <c r="AB54" s="34"/>
      <c r="AC54" s="34">
        <v>353.51</v>
      </c>
      <c r="AD54" s="38"/>
      <c r="AE54" s="38">
        <v>730</v>
      </c>
      <c r="AF54" s="34">
        <v>1144.78</v>
      </c>
      <c r="AG54" s="33">
        <f>(AF54*0.8)*0.85</f>
        <v>778.45040000000006</v>
      </c>
      <c r="AH54" s="33">
        <f>(AF54*0.8)*0.15</f>
        <v>137.37360000000001</v>
      </c>
      <c r="AI54" s="33">
        <f>AF54*0.2</f>
        <v>228.95600000000002</v>
      </c>
      <c r="AJ54" s="34"/>
      <c r="AK54" s="33">
        <f t="shared" ref="AK54:AK55" si="73">(C54-AF54-AJ54)/1.12</f>
        <v>12962.374999999998</v>
      </c>
      <c r="AL54" s="33">
        <f t="shared" ref="AL54:AL55" si="74">AK54-SUM(Y54:AC54)</f>
        <v>12539.364999999998</v>
      </c>
      <c r="AM54" s="33">
        <f t="shared" ref="AM54:AM55" si="75">+AL54*0.12</f>
        <v>1504.7237999999998</v>
      </c>
      <c r="AN54" s="33">
        <f t="shared" ref="AN54:AN55" si="76">+AM54+AL54+AJ54</f>
        <v>14044.088799999998</v>
      </c>
      <c r="AO54" s="39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33">
        <f>SUM(AO54:AY54)</f>
        <v>0</v>
      </c>
      <c r="BA54" s="38"/>
      <c r="BB54" s="38"/>
      <c r="BC54" s="33">
        <f>SUM(BE54:BL54)*0.1+(BM54*0.5)</f>
        <v>0</v>
      </c>
      <c r="BD54" s="33">
        <f>SUM(BE54:BL54)+(BM54*0.5)</f>
        <v>0</v>
      </c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41">
        <f>AZ54+BA54+BB54+BD54-BC54</f>
        <v>0</v>
      </c>
      <c r="BS54" s="145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</row>
    <row r="55" spans="1:96" ht="15.75" thickBot="1" x14ac:dyDescent="0.3">
      <c r="A55" s="188"/>
      <c r="B55" s="16" t="s">
        <v>44</v>
      </c>
      <c r="C55" s="33">
        <v>15990.64</v>
      </c>
      <c r="D55" s="34">
        <v>9353.44</v>
      </c>
      <c r="E55" s="34">
        <v>9355</v>
      </c>
      <c r="F55" s="35">
        <v>43663</v>
      </c>
      <c r="G55" s="33">
        <f>IF(E55-D55&lt;0,E55-D55,0)*-1</f>
        <v>0</v>
      </c>
      <c r="H55" s="33">
        <f>IF(E55-D55&gt;0,E55-D55,0)</f>
        <v>1.5599999999994907</v>
      </c>
      <c r="I55" s="34"/>
      <c r="J55" s="34"/>
      <c r="K55" s="34">
        <v>5970.45</v>
      </c>
      <c r="L55" s="34"/>
      <c r="M55" s="36">
        <f>(+K55)*M$5</f>
        <v>128.36467499999998</v>
      </c>
      <c r="N55" s="36">
        <f>(+K55)*N$5</f>
        <v>29.852249999999998</v>
      </c>
      <c r="O55" s="36">
        <f>+K55-M55-N55+P55</f>
        <v>5812.2330750000001</v>
      </c>
      <c r="P55" s="36"/>
      <c r="Q55" s="37"/>
      <c r="R55" s="34"/>
      <c r="S55" s="34"/>
      <c r="T55" s="36"/>
      <c r="U55" s="36"/>
      <c r="V55" s="36"/>
      <c r="W55" s="36"/>
      <c r="X55" s="37"/>
      <c r="Y55" s="34"/>
      <c r="Z55" s="34">
        <v>36.75</v>
      </c>
      <c r="AA55" s="34"/>
      <c r="AB55" s="34"/>
      <c r="AC55" s="34"/>
      <c r="AD55" s="38"/>
      <c r="AE55" s="38">
        <v>630</v>
      </c>
      <c r="AF55" s="34">
        <v>1030.6400000000001</v>
      </c>
      <c r="AG55" s="33">
        <f>(AF55*0.8)*0.85</f>
        <v>700.8352000000001</v>
      </c>
      <c r="AH55" s="33">
        <f>(AF55*0.8)*0.15</f>
        <v>123.67680000000001</v>
      </c>
      <c r="AI55" s="33">
        <f>AF55*0.2</f>
        <v>206.12800000000004</v>
      </c>
      <c r="AJ55" s="34"/>
      <c r="AK55" s="33">
        <f t="shared" si="73"/>
        <v>13357.142857142855</v>
      </c>
      <c r="AL55" s="33">
        <f t="shared" si="74"/>
        <v>13320.392857142855</v>
      </c>
      <c r="AM55" s="33">
        <f t="shared" si="75"/>
        <v>1598.4471428571426</v>
      </c>
      <c r="AN55" s="33">
        <f t="shared" si="76"/>
        <v>14918.839999999998</v>
      </c>
      <c r="AO55" s="39"/>
      <c r="AP55" s="40"/>
      <c r="AQ55" s="40">
        <v>160</v>
      </c>
      <c r="AR55" s="40"/>
      <c r="AS55" s="40"/>
      <c r="AT55" s="40"/>
      <c r="AU55" s="40"/>
      <c r="AV55" s="40"/>
      <c r="AW55" s="40"/>
      <c r="AX55" s="40"/>
      <c r="AY55" s="40"/>
      <c r="AZ55" s="33">
        <f>SUM(AO55:AY55)</f>
        <v>160</v>
      </c>
      <c r="BA55" s="38">
        <v>315</v>
      </c>
      <c r="BB55" s="38"/>
      <c r="BC55" s="33">
        <v>0</v>
      </c>
      <c r="BD55" s="33">
        <v>0</v>
      </c>
      <c r="BE55" s="39"/>
      <c r="BF55" s="39"/>
      <c r="BG55" s="39"/>
      <c r="BH55" s="39"/>
      <c r="BI55" s="39"/>
      <c r="BJ55" s="39"/>
      <c r="BK55" s="39"/>
      <c r="BL55" s="39">
        <v>170</v>
      </c>
      <c r="BM55" s="39"/>
      <c r="BN55" s="39"/>
      <c r="BO55" s="39"/>
      <c r="BP55" s="39"/>
      <c r="BQ55" s="41">
        <f>AZ55+BA55+BB55+BD55-BC55</f>
        <v>475</v>
      </c>
      <c r="BS55" s="145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</row>
    <row r="56" spans="1:96" ht="15.75" thickBot="1" x14ac:dyDescent="0.3">
      <c r="A56" s="42"/>
      <c r="B56" s="43"/>
      <c r="C56" s="44">
        <f>SUBTOTAL(9,C54:C55)</f>
        <v>31653.279999999999</v>
      </c>
      <c r="D56" s="45">
        <f>SUBTOTAL(9,D54:D55)</f>
        <v>15551.76</v>
      </c>
      <c r="E56" s="45">
        <f>SUBTOTAL(9,E54:E55)</f>
        <v>15555</v>
      </c>
      <c r="F56" s="47"/>
      <c r="G56" s="45">
        <f>SUBTOTAL(9,G54:G55)</f>
        <v>0</v>
      </c>
      <c r="H56" s="45">
        <f>SUBTOTAL(9,H54:H55)</f>
        <v>3.2399999999997817</v>
      </c>
      <c r="I56" s="45">
        <f>SUBTOTAL(9,I54:I55)</f>
        <v>0</v>
      </c>
      <c r="J56" s="45">
        <f>SUBTOTAL(9,J54:J55)</f>
        <v>0</v>
      </c>
      <c r="K56" s="158">
        <f>SUBTOTAL(9,K54:K55)</f>
        <v>14281.7</v>
      </c>
      <c r="L56" s="45">
        <f>SUBTOTAL(9,L54:L55)</f>
        <v>0</v>
      </c>
      <c r="M56" s="46">
        <f>SUBTOTAL(9,M54:M55)</f>
        <v>307.05654999999996</v>
      </c>
      <c r="N56" s="46">
        <f>SUBTOTAL(9,N54:N55)</f>
        <v>71.408500000000004</v>
      </c>
      <c r="O56" s="46">
        <f>SUBTOTAL(9,O54:O55)</f>
        <v>13903.23495</v>
      </c>
      <c r="P56" s="46">
        <f>SUBTOTAL(9,P54:P55)</f>
        <v>0</v>
      </c>
      <c r="Q56" s="47">
        <f>SUBTOTAL(9,Q54:Q55)</f>
        <v>0</v>
      </c>
      <c r="R56" s="45">
        <f>SUBTOTAL(9,R54:R55)</f>
        <v>0</v>
      </c>
      <c r="S56" s="45">
        <f>SUBTOTAL(9,S54:S55)</f>
        <v>0</v>
      </c>
      <c r="T56" s="46">
        <f>SUBTOTAL(9,T54:T55)</f>
        <v>0</v>
      </c>
      <c r="U56" s="46">
        <f>SUBTOTAL(9,U54:U55)</f>
        <v>0</v>
      </c>
      <c r="V56" s="46">
        <f>SUBTOTAL(9,V54:V55)</f>
        <v>0</v>
      </c>
      <c r="W56" s="46">
        <f>SUBTOTAL(9,W54:W55)</f>
        <v>0</v>
      </c>
      <c r="X56" s="47">
        <f>SUBTOTAL(9,X54:X55)</f>
        <v>0</v>
      </c>
      <c r="Y56" s="45">
        <f>SUBTOTAL(9,Y54:Y55)</f>
        <v>0</v>
      </c>
      <c r="Z56" s="45">
        <f>SUBTOTAL(9,Z54:Z55)</f>
        <v>55.75</v>
      </c>
      <c r="AA56" s="45">
        <f>SUBTOTAL(9,AA54:AA55)</f>
        <v>50.5</v>
      </c>
      <c r="AB56" s="45">
        <f>SUBTOTAL(9,AB54:AB55)</f>
        <v>0</v>
      </c>
      <c r="AC56" s="45">
        <f>SUBTOTAL(9,AC54:AC55)</f>
        <v>353.51</v>
      </c>
      <c r="AD56" s="48">
        <f>SUBTOTAL(9,AD54:AD55)</f>
        <v>0</v>
      </c>
      <c r="AE56" s="48">
        <f>SUBTOTAL(9,AE54:AE55)</f>
        <v>1360</v>
      </c>
      <c r="AF56" s="45"/>
      <c r="AG56" s="44">
        <f>SUBTOTAL(9,AG54:AG55)</f>
        <v>1479.2856000000002</v>
      </c>
      <c r="AH56" s="44">
        <f>SUBTOTAL(9,AH54:AH55)</f>
        <v>261.05040000000002</v>
      </c>
      <c r="AI56" s="44">
        <f>SUBTOTAL(9,AI54:AI55)</f>
        <v>435.08400000000006</v>
      </c>
      <c r="AJ56" s="45" t="e">
        <f>SUBTOTAL(9,#REF!)</f>
        <v>#REF!</v>
      </c>
      <c r="AK56" s="44">
        <f>SUBTOTAL(9,AK54:AK55)</f>
        <v>26319.517857142855</v>
      </c>
      <c r="AL56" s="44">
        <f>SUBTOTAL(9,AL54:AL55)</f>
        <v>25859.757857142853</v>
      </c>
      <c r="AM56" s="44">
        <f>SUBTOTAL(9,AM54:AM55)</f>
        <v>3103.1709428571421</v>
      </c>
      <c r="AN56" s="44">
        <f>SUBTOTAL(9,AN54:AN55)</f>
        <v>28962.928799999994</v>
      </c>
      <c r="AO56" s="49">
        <f t="shared" ref="R56:BP56" si="77">SUBTOTAL(9,AO54:AO55)</f>
        <v>0</v>
      </c>
      <c r="AP56" s="49">
        <f t="shared" si="77"/>
        <v>0</v>
      </c>
      <c r="AQ56" s="49">
        <f t="shared" si="77"/>
        <v>160</v>
      </c>
      <c r="AR56" s="49">
        <f t="shared" si="77"/>
        <v>0</v>
      </c>
      <c r="AS56" s="49">
        <f t="shared" si="77"/>
        <v>0</v>
      </c>
      <c r="AT56" s="49">
        <f t="shared" si="77"/>
        <v>0</v>
      </c>
      <c r="AU56" s="49">
        <f>SUBTOTAL(9,AU54:AU55)</f>
        <v>0</v>
      </c>
      <c r="AV56" s="49">
        <f t="shared" si="77"/>
        <v>0</v>
      </c>
      <c r="AW56" s="49">
        <f t="shared" si="77"/>
        <v>0</v>
      </c>
      <c r="AX56" s="49">
        <f t="shared" si="77"/>
        <v>0</v>
      </c>
      <c r="AY56" s="49">
        <f t="shared" si="77"/>
        <v>0</v>
      </c>
      <c r="AZ56" s="44">
        <f t="shared" si="77"/>
        <v>160</v>
      </c>
      <c r="BA56" s="48">
        <f t="shared" si="77"/>
        <v>315</v>
      </c>
      <c r="BB56" s="48">
        <f t="shared" si="77"/>
        <v>0</v>
      </c>
      <c r="BC56" s="44">
        <f t="shared" si="77"/>
        <v>0</v>
      </c>
      <c r="BD56" s="44">
        <f t="shared" si="77"/>
        <v>0</v>
      </c>
      <c r="BE56" s="49">
        <f>SUBTOTAL(9,BE54:BE55)</f>
        <v>0</v>
      </c>
      <c r="BF56" s="49">
        <f t="shared" si="77"/>
        <v>0</v>
      </c>
      <c r="BG56" s="49">
        <f t="shared" si="77"/>
        <v>0</v>
      </c>
      <c r="BH56" s="49">
        <f t="shared" si="77"/>
        <v>0</v>
      </c>
      <c r="BI56" s="49">
        <f t="shared" si="77"/>
        <v>0</v>
      </c>
      <c r="BJ56" s="49">
        <f t="shared" si="77"/>
        <v>0</v>
      </c>
      <c r="BK56" s="49">
        <f t="shared" si="77"/>
        <v>0</v>
      </c>
      <c r="BL56" s="49">
        <f t="shared" si="77"/>
        <v>170</v>
      </c>
      <c r="BM56" s="49">
        <f t="shared" si="77"/>
        <v>0</v>
      </c>
      <c r="BN56" s="49">
        <f t="shared" si="77"/>
        <v>0</v>
      </c>
      <c r="BO56" s="49">
        <f t="shared" si="77"/>
        <v>0</v>
      </c>
      <c r="BP56" s="49">
        <f t="shared" si="77"/>
        <v>0</v>
      </c>
      <c r="BQ56" s="44">
        <f>SUBTOTAL(9,BQ54:BQ55)</f>
        <v>475</v>
      </c>
    </row>
    <row r="57" spans="1:96" x14ac:dyDescent="0.25">
      <c r="A57" s="187">
        <f>+A54+1</f>
        <v>43663</v>
      </c>
      <c r="B57" s="16" t="s">
        <v>43</v>
      </c>
      <c r="C57" s="33">
        <v>22972.73</v>
      </c>
      <c r="D57" s="34">
        <v>10124.790000000001</v>
      </c>
      <c r="E57" s="34">
        <v>10125</v>
      </c>
      <c r="F57" s="35">
        <v>43663</v>
      </c>
      <c r="G57" s="33"/>
      <c r="H57" s="33">
        <f>IF(E57-D57&gt;0,E57-D57,0)</f>
        <v>0.20999999999912689</v>
      </c>
      <c r="I57" s="34"/>
      <c r="J57" s="34"/>
      <c r="K57" s="34">
        <v>11263.28</v>
      </c>
      <c r="L57" s="34" t="s">
        <v>1</v>
      </c>
      <c r="M57" s="36">
        <f>(+K57)*M$5</f>
        <v>242.16051999999999</v>
      </c>
      <c r="N57" s="36">
        <f>(+K57)*N$5</f>
        <v>56.316400000000002</v>
      </c>
      <c r="O57" s="36">
        <f>+K57-M57-N57+P57</f>
        <v>10964.803080000002</v>
      </c>
      <c r="P57" s="36">
        <v>0</v>
      </c>
      <c r="Q57" s="37"/>
      <c r="R57" s="34"/>
      <c r="S57" s="34"/>
      <c r="T57" s="36">
        <f>+R57*T$5</f>
        <v>0</v>
      </c>
      <c r="U57" s="36">
        <f>+R57*U$5</f>
        <v>0</v>
      </c>
      <c r="V57" s="36">
        <f>+R57-T57-U57+W57</f>
        <v>0</v>
      </c>
      <c r="W57" s="36">
        <f>+S57-(S57*(T$5+U$5))</f>
        <v>0</v>
      </c>
      <c r="X57" s="37"/>
      <c r="Y57" s="34"/>
      <c r="Z57" s="34">
        <v>64.75</v>
      </c>
      <c r="AA57" s="34"/>
      <c r="AB57" s="34"/>
      <c r="AC57" s="34">
        <v>384.91</v>
      </c>
      <c r="AD57" s="38"/>
      <c r="AE57" s="38">
        <v>1135</v>
      </c>
      <c r="AF57" s="34">
        <v>1687.68</v>
      </c>
      <c r="AG57" s="33">
        <f>(AF57*0.8)*0.85</f>
        <v>1147.6224000000002</v>
      </c>
      <c r="AH57" s="33">
        <f>(AF57*0.8)*0.15</f>
        <v>202.52160000000003</v>
      </c>
      <c r="AI57" s="33">
        <f>AF57*0.2</f>
        <v>337.53600000000006</v>
      </c>
      <c r="AJ57" s="34"/>
      <c r="AK57" s="33">
        <f>(C57-AF57-AJ57)/1.12</f>
        <v>19004.508928571428</v>
      </c>
      <c r="AL57" s="33">
        <f>AK57-SUM(Y57:AC57)</f>
        <v>18554.848928571428</v>
      </c>
      <c r="AM57" s="33">
        <f>+AL57*0.12</f>
        <v>2226.581871428571</v>
      </c>
      <c r="AN57" s="33">
        <f>+AM57+AL57+AJ57</f>
        <v>20781.430799999998</v>
      </c>
      <c r="AO57" s="39"/>
      <c r="AP57" s="40">
        <v>0</v>
      </c>
      <c r="AQ57" s="40"/>
      <c r="AR57" s="40"/>
      <c r="AS57" s="40"/>
      <c r="AT57" s="40"/>
      <c r="AU57" s="40"/>
      <c r="AV57" s="40"/>
      <c r="AW57" s="40"/>
      <c r="AX57" s="40"/>
      <c r="AY57" s="40"/>
      <c r="AZ57" s="33">
        <f>SUM(AO57:AY57)</f>
        <v>0</v>
      </c>
      <c r="BA57" s="38"/>
      <c r="BB57" s="38"/>
      <c r="BC57" s="33">
        <f>SUM(BE57:BL57)*0.1+(BM57*0.5)</f>
        <v>0</v>
      </c>
      <c r="BD57" s="33">
        <f>SUM(BE57:BL57)+(BM57*0.5)</f>
        <v>0</v>
      </c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41">
        <f>AZ57+BA57+BB57+BD57-BC57</f>
        <v>0</v>
      </c>
      <c r="BS57" s="145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</row>
    <row r="58" spans="1:96" ht="15.75" thickBot="1" x14ac:dyDescent="0.3">
      <c r="A58" s="188"/>
      <c r="B58" s="16" t="s">
        <v>44</v>
      </c>
      <c r="C58" s="162">
        <v>10167.83</v>
      </c>
      <c r="D58" s="34">
        <v>3343.32</v>
      </c>
      <c r="E58" s="34">
        <v>3345</v>
      </c>
      <c r="F58" s="35">
        <v>43664</v>
      </c>
      <c r="G58" s="33"/>
      <c r="H58" s="33">
        <f>IF(E58-D58&gt;0,E58-D58,0)</f>
        <v>1.6799999999998363</v>
      </c>
      <c r="I58" s="34"/>
      <c r="J58" s="34"/>
      <c r="K58" s="34">
        <v>6451.3</v>
      </c>
      <c r="L58" s="34"/>
      <c r="M58" s="36">
        <f>(+K58)*M$5</f>
        <v>138.70294999999999</v>
      </c>
      <c r="N58" s="36">
        <f>(+K58)*N$5</f>
        <v>32.256500000000003</v>
      </c>
      <c r="O58" s="36">
        <f>+K58-M58-N58+P58</f>
        <v>6280.3405499999999</v>
      </c>
      <c r="P58" s="36">
        <f>L58-(L58*(M$5+N$5))</f>
        <v>0</v>
      </c>
      <c r="Q58" s="37"/>
      <c r="R58" s="34"/>
      <c r="S58" s="34"/>
      <c r="T58" s="36">
        <f>+R58*T$5</f>
        <v>0</v>
      </c>
      <c r="U58" s="36">
        <f>+R58*U$5</f>
        <v>0</v>
      </c>
      <c r="V58" s="36">
        <f>+R58-T58-U58+W58</f>
        <v>0</v>
      </c>
      <c r="W58" s="36">
        <f>+S58-(S58*(T$5+U$5))</f>
        <v>0</v>
      </c>
      <c r="X58" s="37"/>
      <c r="Y58" s="34"/>
      <c r="Z58" s="34">
        <v>37.5</v>
      </c>
      <c r="AA58" s="34"/>
      <c r="AB58" s="34"/>
      <c r="AC58" s="34">
        <v>110.71</v>
      </c>
      <c r="AD58" s="38"/>
      <c r="AE58" s="38">
        <v>225</v>
      </c>
      <c r="AF58" s="34">
        <v>729.26</v>
      </c>
      <c r="AG58" s="33">
        <f>(AF58*0.8)*0.85</f>
        <v>495.89679999999998</v>
      </c>
      <c r="AH58" s="33">
        <f>(AF58*0.8)*0.15</f>
        <v>87.511200000000002</v>
      </c>
      <c r="AI58" s="33">
        <f>AF58*0.2</f>
        <v>145.852</v>
      </c>
      <c r="AJ58" s="34"/>
      <c r="AK58" s="33">
        <f>(C58-AF58-AJ58)/1.12</f>
        <v>8427.2946428571413</v>
      </c>
      <c r="AL58" s="33">
        <f>AK58-SUM(Y58:AC58)</f>
        <v>8279.0846428571422</v>
      </c>
      <c r="AM58" s="33">
        <f>+AL58*0.12</f>
        <v>993.49015714285702</v>
      </c>
      <c r="AN58" s="33">
        <f>+AM58+AL58+AJ58</f>
        <v>9272.5747999999985</v>
      </c>
      <c r="AO58" s="39"/>
      <c r="AP58" s="40" t="s">
        <v>1</v>
      </c>
      <c r="AQ58" s="40"/>
      <c r="AR58" s="40"/>
      <c r="AS58" s="40"/>
      <c r="AT58" s="40"/>
      <c r="AU58" s="40"/>
      <c r="AV58" s="40"/>
      <c r="AW58" s="40"/>
      <c r="AX58" s="40"/>
      <c r="AY58" s="40"/>
      <c r="AZ58" s="33">
        <f>SUM(AO58:AY58)</f>
        <v>0</v>
      </c>
      <c r="BA58" s="38"/>
      <c r="BB58" s="38"/>
      <c r="BC58" s="33"/>
      <c r="BD58" s="33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41">
        <f>AZ58+BA58+BB58+BD58-BC58</f>
        <v>0</v>
      </c>
      <c r="BS58" s="145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</row>
    <row r="59" spans="1:96" ht="15.75" thickBot="1" x14ac:dyDescent="0.3">
      <c r="A59" s="42"/>
      <c r="B59" s="43"/>
      <c r="C59" s="44">
        <f>SUBTOTAL(9,C57:C58)</f>
        <v>33140.559999999998</v>
      </c>
      <c r="D59" s="45">
        <f>SUBTOTAL(9,D57:D58)</f>
        <v>13468.11</v>
      </c>
      <c r="E59" s="45">
        <f>SUBTOTAL(9,E57:E58)</f>
        <v>13470</v>
      </c>
      <c r="F59" s="47"/>
      <c r="G59" s="45">
        <f>SUBTOTAL(9,G57:G58)</f>
        <v>0</v>
      </c>
      <c r="H59" s="45">
        <f>SUBTOTAL(9,H57:H58)</f>
        <v>1.8899999999989632</v>
      </c>
      <c r="I59" s="45">
        <f>SUBTOTAL(9,I57:I58)</f>
        <v>0</v>
      </c>
      <c r="J59" s="45">
        <f>SUBTOTAL(9,J57:J58)</f>
        <v>0</v>
      </c>
      <c r="K59" s="158">
        <f>SUBTOTAL(9,K57:K58)</f>
        <v>17714.580000000002</v>
      </c>
      <c r="L59" s="45">
        <f>SUBTOTAL(9,L57:L58)</f>
        <v>0</v>
      </c>
      <c r="M59" s="46">
        <f>SUBTOTAL(9,M57:M58)</f>
        <v>380.86347000000001</v>
      </c>
      <c r="N59" s="46">
        <f>SUBTOTAL(9,N57:N58)</f>
        <v>88.572900000000004</v>
      </c>
      <c r="O59" s="46">
        <f>SUBTOTAL(9,O57:O58)</f>
        <v>17245.143630000002</v>
      </c>
      <c r="P59" s="46">
        <f>SUBTOTAL(9,P57:P58)</f>
        <v>0</v>
      </c>
      <c r="Q59" s="47">
        <f>SUBTOTAL(9,Q57:Q58)</f>
        <v>0</v>
      </c>
      <c r="R59" s="45">
        <f>SUBTOTAL(9,R57:R58)</f>
        <v>0</v>
      </c>
      <c r="S59" s="45">
        <f>SUBTOTAL(9,S57:S58)</f>
        <v>0</v>
      </c>
      <c r="T59" s="46">
        <f>SUBTOTAL(9,T57:T58)</f>
        <v>0</v>
      </c>
      <c r="U59" s="46">
        <f>SUBTOTAL(9,U57:U58)</f>
        <v>0</v>
      </c>
      <c r="V59" s="46">
        <f>SUBTOTAL(9,V57:V58)</f>
        <v>0</v>
      </c>
      <c r="W59" s="46">
        <f>SUBTOTAL(9,W57:W58)</f>
        <v>0</v>
      </c>
      <c r="X59" s="47">
        <f>SUBTOTAL(9,X57:X58)</f>
        <v>0</v>
      </c>
      <c r="Y59" s="45">
        <f>SUBTOTAL(9,Y57:Y58)</f>
        <v>0</v>
      </c>
      <c r="Z59" s="45">
        <f>SUBTOTAL(9,Z57:Z58)</f>
        <v>102.25</v>
      </c>
      <c r="AA59" s="45">
        <f>SUBTOTAL(9,AA57:AA58)</f>
        <v>0</v>
      </c>
      <c r="AB59" s="45">
        <f>SUBTOTAL(9,AB57:AB58)</f>
        <v>0</v>
      </c>
      <c r="AC59" s="45">
        <f>SUBTOTAL(9,AC57:AC58)</f>
        <v>495.62</v>
      </c>
      <c r="AD59" s="48">
        <f>SUBTOTAL(9,AD57:AD58)</f>
        <v>0</v>
      </c>
      <c r="AE59" s="48">
        <f>SUBTOTAL(9,AE57:AE58)</f>
        <v>1360</v>
      </c>
      <c r="AF59" s="45"/>
      <c r="AG59" s="44">
        <f>SUBTOTAL(9,AG57:AG58)</f>
        <v>1643.5192000000002</v>
      </c>
      <c r="AH59" s="44">
        <f>SUBTOTAL(9,AH57:AH58)</f>
        <v>290.03280000000007</v>
      </c>
      <c r="AI59" s="44">
        <f>SUBTOTAL(9,AI57:AI58)</f>
        <v>483.38800000000003</v>
      </c>
      <c r="AJ59" s="45" t="e">
        <f>SUBTOTAL(9,#REF!)</f>
        <v>#REF!</v>
      </c>
      <c r="AK59" s="44">
        <f>SUBTOTAL(9,AK57:AK58)</f>
        <v>27431.803571428569</v>
      </c>
      <c r="AL59" s="44">
        <f>SUBTOTAL(9,AL57:AL58)</f>
        <v>26833.93357142857</v>
      </c>
      <c r="AM59" s="44">
        <f>SUBTOTAL(9,AM57:AM58)</f>
        <v>3220.0720285714278</v>
      </c>
      <c r="AN59" s="44">
        <f>SUBTOTAL(9,AN57:AN58)</f>
        <v>30054.005599999997</v>
      </c>
      <c r="AO59" s="49">
        <f t="shared" ref="R59:BP59" si="78">SUBTOTAL(9,AO57:AO58)</f>
        <v>0</v>
      </c>
      <c r="AP59" s="49">
        <f t="shared" si="78"/>
        <v>0</v>
      </c>
      <c r="AQ59" s="49">
        <f t="shared" si="78"/>
        <v>0</v>
      </c>
      <c r="AR59" s="49">
        <f t="shared" si="78"/>
        <v>0</v>
      </c>
      <c r="AS59" s="49">
        <f t="shared" si="78"/>
        <v>0</v>
      </c>
      <c r="AT59" s="49">
        <f t="shared" si="78"/>
        <v>0</v>
      </c>
      <c r="AU59" s="49">
        <f>SUBTOTAL(9,AU57:AU58)</f>
        <v>0</v>
      </c>
      <c r="AV59" s="49">
        <f t="shared" si="78"/>
        <v>0</v>
      </c>
      <c r="AW59" s="49">
        <f t="shared" si="78"/>
        <v>0</v>
      </c>
      <c r="AX59" s="49">
        <f t="shared" si="78"/>
        <v>0</v>
      </c>
      <c r="AY59" s="49">
        <f t="shared" si="78"/>
        <v>0</v>
      </c>
      <c r="AZ59" s="44">
        <f t="shared" si="78"/>
        <v>0</v>
      </c>
      <c r="BA59" s="48">
        <f t="shared" si="78"/>
        <v>0</v>
      </c>
      <c r="BB59" s="48">
        <f t="shared" si="78"/>
        <v>0</v>
      </c>
      <c r="BC59" s="44">
        <f t="shared" si="78"/>
        <v>0</v>
      </c>
      <c r="BD59" s="44">
        <f t="shared" si="78"/>
        <v>0</v>
      </c>
      <c r="BE59" s="49">
        <f>SUBTOTAL(9,BE57:BE58)</f>
        <v>0</v>
      </c>
      <c r="BF59" s="49">
        <f t="shared" si="78"/>
        <v>0</v>
      </c>
      <c r="BG59" s="49">
        <f t="shared" si="78"/>
        <v>0</v>
      </c>
      <c r="BH59" s="49">
        <f t="shared" si="78"/>
        <v>0</v>
      </c>
      <c r="BI59" s="49">
        <f t="shared" si="78"/>
        <v>0</v>
      </c>
      <c r="BJ59" s="49">
        <f t="shared" si="78"/>
        <v>0</v>
      </c>
      <c r="BK59" s="49">
        <f t="shared" si="78"/>
        <v>0</v>
      </c>
      <c r="BL59" s="49">
        <f t="shared" si="78"/>
        <v>0</v>
      </c>
      <c r="BM59" s="49">
        <f t="shared" si="78"/>
        <v>0</v>
      </c>
      <c r="BN59" s="49">
        <f t="shared" si="78"/>
        <v>0</v>
      </c>
      <c r="BO59" s="49">
        <f t="shared" si="78"/>
        <v>0</v>
      </c>
      <c r="BP59" s="49">
        <f t="shared" si="78"/>
        <v>0</v>
      </c>
      <c r="BQ59" s="44">
        <f>SUBTOTAL(9,BQ57:BQ58)</f>
        <v>0</v>
      </c>
    </row>
    <row r="60" spans="1:96" x14ac:dyDescent="0.25">
      <c r="A60" s="187">
        <f>A57+1</f>
        <v>43664</v>
      </c>
      <c r="B60" s="16" t="s">
        <v>43</v>
      </c>
      <c r="C60" s="33">
        <v>24392.55</v>
      </c>
      <c r="D60" s="34">
        <v>12113.63</v>
      </c>
      <c r="E60" s="34">
        <v>12114</v>
      </c>
      <c r="F60" s="35">
        <v>43664</v>
      </c>
      <c r="G60" s="33"/>
      <c r="H60" s="33">
        <f>IF(E60-D60&gt;0,E60-D60,0)</f>
        <v>0.37000000000080036</v>
      </c>
      <c r="I60" s="34"/>
      <c r="J60" s="34"/>
      <c r="K60" s="34">
        <v>11731.42</v>
      </c>
      <c r="L60" s="34"/>
      <c r="M60" s="36">
        <f>(+K60)*M$5</f>
        <v>252.22552999999999</v>
      </c>
      <c r="N60" s="36">
        <f>(+K60)*N$5</f>
        <v>58.6571</v>
      </c>
      <c r="O60" s="36">
        <f>+K60-M60-N60+P60</f>
        <v>11420.53737</v>
      </c>
      <c r="P60" s="36"/>
      <c r="Q60" s="37"/>
      <c r="R60" s="34"/>
      <c r="S60" s="34"/>
      <c r="T60" s="36"/>
      <c r="U60" s="36"/>
      <c r="V60" s="36"/>
      <c r="W60" s="36"/>
      <c r="X60" s="37"/>
      <c r="Y60" s="34"/>
      <c r="Z60" s="34"/>
      <c r="AA60" s="34"/>
      <c r="AB60" s="34"/>
      <c r="AC60" s="34">
        <v>362.5</v>
      </c>
      <c r="AD60" s="38"/>
      <c r="AE60" s="38">
        <v>185</v>
      </c>
      <c r="AF60" s="34">
        <v>1872.05</v>
      </c>
      <c r="AG60" s="33">
        <f>(AF60*0.8)*0.85</f>
        <v>1272.9940000000001</v>
      </c>
      <c r="AH60" s="33">
        <f>(AF60*0.8)*0.15</f>
        <v>224.64600000000002</v>
      </c>
      <c r="AI60" s="33">
        <f>AF60*0.2</f>
        <v>374.41</v>
      </c>
      <c r="AJ60" s="34"/>
      <c r="AK60" s="33">
        <f>(C60-AF60-AJ60)/1.12</f>
        <v>20107.589285714283</v>
      </c>
      <c r="AL60" s="33">
        <f>AK60-SUM(Y60:AC60)</f>
        <v>19745.089285714283</v>
      </c>
      <c r="AM60" s="33">
        <f>+AL60*0.12</f>
        <v>2369.4107142857138</v>
      </c>
      <c r="AN60" s="33">
        <f>+AM60+AL60+AJ60</f>
        <v>22114.499999999996</v>
      </c>
      <c r="AO60" s="39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33">
        <f>SUM(AO60:AY60)</f>
        <v>0</v>
      </c>
      <c r="BA60" s="38"/>
      <c r="BB60" s="38"/>
      <c r="BC60" s="33">
        <f>SUM(BE60:BL60)*0.1+(BM60*0.5)</f>
        <v>0</v>
      </c>
      <c r="BD60" s="33">
        <f>SUM(BE60:BL60)+(BM60*0.5)</f>
        <v>0</v>
      </c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41">
        <f>AZ60+BA60+BB60+BD60-BC60</f>
        <v>0</v>
      </c>
      <c r="BS60" s="145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</row>
    <row r="61" spans="1:96" ht="15.75" thickBot="1" x14ac:dyDescent="0.3">
      <c r="A61" s="188"/>
      <c r="B61" s="16" t="s">
        <v>44</v>
      </c>
      <c r="C61" s="33">
        <v>10190.950000000001</v>
      </c>
      <c r="D61" s="34">
        <v>5767.93</v>
      </c>
      <c r="E61" s="34">
        <v>5770</v>
      </c>
      <c r="F61" s="35">
        <v>43665</v>
      </c>
      <c r="G61" s="33"/>
      <c r="H61" s="33">
        <f>IF(E61-D61&gt;0,E61-D61,0)</f>
        <v>2.069999999999709</v>
      </c>
      <c r="I61" s="34">
        <v>600</v>
      </c>
      <c r="J61" s="34"/>
      <c r="K61" s="34">
        <v>2461.79</v>
      </c>
      <c r="L61" s="34"/>
      <c r="M61" s="36">
        <f>(+K61)*M$5</f>
        <v>52.928484999999995</v>
      </c>
      <c r="N61" s="36">
        <f>(+K61)*N$5</f>
        <v>12.308949999999999</v>
      </c>
      <c r="O61" s="36">
        <f>+K61-M61-N61+P61</f>
        <v>2396.552565</v>
      </c>
      <c r="P61" s="36">
        <f>L61-(L61*(M$5+N$5))</f>
        <v>0</v>
      </c>
      <c r="Q61" s="37"/>
      <c r="R61" s="34"/>
      <c r="S61" s="34"/>
      <c r="T61" s="36">
        <f>+R61*T$5</f>
        <v>0</v>
      </c>
      <c r="U61" s="36">
        <f>+R61*U$5</f>
        <v>0</v>
      </c>
      <c r="V61" s="36">
        <f>+R61-T61-U61+W61</f>
        <v>0</v>
      </c>
      <c r="W61" s="36">
        <f>+S61-(S61*(T$5+U$5))</f>
        <v>0</v>
      </c>
      <c r="X61" s="37"/>
      <c r="Y61" s="34"/>
      <c r="Z61" s="34">
        <v>26.5</v>
      </c>
      <c r="AA61" s="34"/>
      <c r="AB61" s="34"/>
      <c r="AC61" s="34">
        <v>64.73</v>
      </c>
      <c r="AD61" s="38"/>
      <c r="AE61" s="38">
        <v>1280</v>
      </c>
      <c r="AF61" s="34">
        <v>646.79</v>
      </c>
      <c r="AG61" s="33">
        <f>(AF61*0.8)*0.85</f>
        <v>439.81720000000001</v>
      </c>
      <c r="AH61" s="33">
        <f>(AF61*0.8)*0.15</f>
        <v>77.614800000000002</v>
      </c>
      <c r="AI61" s="33">
        <f>AF61*0.2</f>
        <v>129.358</v>
      </c>
      <c r="AJ61" s="34"/>
      <c r="AK61" s="33">
        <f>(C61-AF61-AJ61)/1.12</f>
        <v>8521.5714285714275</v>
      </c>
      <c r="AL61" s="33">
        <f>AK61-SUM(Y61:AC61)</f>
        <v>8430.341428571428</v>
      </c>
      <c r="AM61" s="33">
        <f>+AL61*0.12</f>
        <v>1011.6409714285713</v>
      </c>
      <c r="AN61" s="33">
        <f>+AM61+AL61+AJ61</f>
        <v>9441.982399999999</v>
      </c>
      <c r="AO61" s="39"/>
      <c r="AP61" s="40">
        <v>155</v>
      </c>
      <c r="AQ61" s="40"/>
      <c r="AR61" s="40"/>
      <c r="AS61" s="40"/>
      <c r="AT61" s="40"/>
      <c r="AU61" s="40"/>
      <c r="AV61" s="40"/>
      <c r="AW61" s="40"/>
      <c r="AX61" s="40"/>
      <c r="AY61" s="40"/>
      <c r="AZ61" s="33">
        <f>SUM(AO61:AY61)</f>
        <v>155</v>
      </c>
      <c r="BA61" s="38"/>
      <c r="BB61" s="38"/>
      <c r="BC61" s="33"/>
      <c r="BD61" s="33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41">
        <f>AZ61+BA61+BB61+BD61-BC61</f>
        <v>155</v>
      </c>
      <c r="BS61" s="145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</row>
    <row r="62" spans="1:96" ht="15.75" thickBot="1" x14ac:dyDescent="0.3">
      <c r="A62" s="42"/>
      <c r="B62" s="43"/>
      <c r="C62" s="44">
        <f>SUBTOTAL(9,C60:C61)</f>
        <v>34583.5</v>
      </c>
      <c r="D62" s="45">
        <f>SUBTOTAL(9,D60:D61)</f>
        <v>17881.559999999998</v>
      </c>
      <c r="E62" s="45">
        <f>SUBTOTAL(9,E60:E61)</f>
        <v>17884</v>
      </c>
      <c r="F62" s="47"/>
      <c r="G62" s="45">
        <f>SUBTOTAL(9,G60:G61)</f>
        <v>0</v>
      </c>
      <c r="H62" s="45">
        <f>SUBTOTAL(9,H60:H61)</f>
        <v>2.4400000000005093</v>
      </c>
      <c r="I62" s="45">
        <f>SUBTOTAL(9,I60:I61)</f>
        <v>600</v>
      </c>
      <c r="J62" s="45">
        <f>SUBTOTAL(9,J60:J61)</f>
        <v>0</v>
      </c>
      <c r="K62" s="158">
        <f>SUBTOTAL(9,K60:K61)</f>
        <v>14193.21</v>
      </c>
      <c r="L62" s="45">
        <f>SUBTOTAL(9,L60:L61)</f>
        <v>0</v>
      </c>
      <c r="M62" s="46">
        <f>SUBTOTAL(9,M60:M61)</f>
        <v>305.15401499999996</v>
      </c>
      <c r="N62" s="46">
        <f>SUBTOTAL(9,N60:N61)</f>
        <v>70.966049999999996</v>
      </c>
      <c r="O62" s="46">
        <f>SUBTOTAL(9,O60:O61)</f>
        <v>13817.089935</v>
      </c>
      <c r="P62" s="46">
        <f>SUBTOTAL(9,P60:P61)</f>
        <v>0</v>
      </c>
      <c r="Q62" s="47">
        <f>SUBTOTAL(9,Q60:Q61)</f>
        <v>0</v>
      </c>
      <c r="R62" s="45">
        <f>SUBTOTAL(9,R60:R61)</f>
        <v>0</v>
      </c>
      <c r="S62" s="45">
        <f>SUBTOTAL(9,S60:S61)</f>
        <v>0</v>
      </c>
      <c r="T62" s="46">
        <f>SUBTOTAL(9,T60:T61)</f>
        <v>0</v>
      </c>
      <c r="U62" s="46">
        <f>SUBTOTAL(9,U60:U61)</f>
        <v>0</v>
      </c>
      <c r="V62" s="46">
        <f>SUBTOTAL(9,V60:V61)</f>
        <v>0</v>
      </c>
      <c r="W62" s="46">
        <f>SUBTOTAL(9,W60:W61)</f>
        <v>0</v>
      </c>
      <c r="X62" s="47">
        <f>SUBTOTAL(9,X60:X61)</f>
        <v>0</v>
      </c>
      <c r="Y62" s="45">
        <f>SUBTOTAL(9,Y60:Y61)</f>
        <v>0</v>
      </c>
      <c r="Z62" s="45">
        <f>SUBTOTAL(9,Z60:Z61)</f>
        <v>26.5</v>
      </c>
      <c r="AA62" s="45">
        <f>SUBTOTAL(9,AA60:AA61)</f>
        <v>0</v>
      </c>
      <c r="AB62" s="45">
        <f>SUBTOTAL(9,AB60:AB61)</f>
        <v>0</v>
      </c>
      <c r="AC62" s="45">
        <f>SUBTOTAL(9,AC60:AC61)</f>
        <v>427.23</v>
      </c>
      <c r="AD62" s="48">
        <f>SUBTOTAL(9,AD60:AD61)</f>
        <v>0</v>
      </c>
      <c r="AE62" s="48">
        <f>SUBTOTAL(9,AE60:AE61)</f>
        <v>1465</v>
      </c>
      <c r="AF62" s="45"/>
      <c r="AG62" s="44">
        <f>SUBTOTAL(9,AG60:AG61)</f>
        <v>1712.8112000000001</v>
      </c>
      <c r="AH62" s="44">
        <f>SUBTOTAL(9,AH60:AH61)</f>
        <v>302.26080000000002</v>
      </c>
      <c r="AI62" s="44">
        <f>SUBTOTAL(9,AI60:AI61)</f>
        <v>503.76800000000003</v>
      </c>
      <c r="AJ62" s="45" t="e">
        <f>SUBTOTAL(9,#REF!)</f>
        <v>#REF!</v>
      </c>
      <c r="AK62" s="44">
        <f>SUBTOTAL(9,AK60:AK61)</f>
        <v>28629.16071428571</v>
      </c>
      <c r="AL62" s="44">
        <f>SUBTOTAL(9,AL60:AL61)</f>
        <v>28175.430714285711</v>
      </c>
      <c r="AM62" s="44">
        <f>SUBTOTAL(9,AM60:AM61)</f>
        <v>3381.0516857142852</v>
      </c>
      <c r="AN62" s="44">
        <f>SUBTOTAL(9,AN60:AN61)</f>
        <v>31556.482399999994</v>
      </c>
      <c r="AO62" s="49">
        <f t="shared" ref="R62:BP62" si="79">SUBTOTAL(9,AO60:AO61)</f>
        <v>0</v>
      </c>
      <c r="AP62" s="49">
        <f t="shared" si="79"/>
        <v>155</v>
      </c>
      <c r="AQ62" s="49">
        <f t="shared" si="79"/>
        <v>0</v>
      </c>
      <c r="AR62" s="49">
        <f t="shared" si="79"/>
        <v>0</v>
      </c>
      <c r="AS62" s="49">
        <f t="shared" si="79"/>
        <v>0</v>
      </c>
      <c r="AT62" s="49">
        <f t="shared" si="79"/>
        <v>0</v>
      </c>
      <c r="AU62" s="49">
        <f>SUBTOTAL(9,AU60:AU61)</f>
        <v>0</v>
      </c>
      <c r="AV62" s="49">
        <f t="shared" si="79"/>
        <v>0</v>
      </c>
      <c r="AW62" s="49">
        <f t="shared" si="79"/>
        <v>0</v>
      </c>
      <c r="AX62" s="49">
        <f t="shared" si="79"/>
        <v>0</v>
      </c>
      <c r="AY62" s="49">
        <f t="shared" si="79"/>
        <v>0</v>
      </c>
      <c r="AZ62" s="44">
        <f t="shared" si="79"/>
        <v>155</v>
      </c>
      <c r="BA62" s="48">
        <f t="shared" si="79"/>
        <v>0</v>
      </c>
      <c r="BB62" s="48">
        <f t="shared" si="79"/>
        <v>0</v>
      </c>
      <c r="BC62" s="44">
        <f t="shared" si="79"/>
        <v>0</v>
      </c>
      <c r="BD62" s="44">
        <f t="shared" si="79"/>
        <v>0</v>
      </c>
      <c r="BE62" s="49">
        <f>SUBTOTAL(9,BE60:BE61)</f>
        <v>0</v>
      </c>
      <c r="BF62" s="49">
        <f t="shared" si="79"/>
        <v>0</v>
      </c>
      <c r="BG62" s="49">
        <f t="shared" si="79"/>
        <v>0</v>
      </c>
      <c r="BH62" s="49">
        <f t="shared" si="79"/>
        <v>0</v>
      </c>
      <c r="BI62" s="49">
        <f t="shared" si="79"/>
        <v>0</v>
      </c>
      <c r="BJ62" s="49">
        <f t="shared" si="79"/>
        <v>0</v>
      </c>
      <c r="BK62" s="49">
        <f t="shared" si="79"/>
        <v>0</v>
      </c>
      <c r="BL62" s="49">
        <f t="shared" si="79"/>
        <v>0</v>
      </c>
      <c r="BM62" s="49">
        <f t="shared" si="79"/>
        <v>0</v>
      </c>
      <c r="BN62" s="49">
        <f t="shared" si="79"/>
        <v>0</v>
      </c>
      <c r="BO62" s="49">
        <f t="shared" si="79"/>
        <v>0</v>
      </c>
      <c r="BP62" s="49">
        <f t="shared" si="79"/>
        <v>0</v>
      </c>
      <c r="BQ62" s="44">
        <f>SUBTOTAL(9,BQ60:BQ61)</f>
        <v>155</v>
      </c>
    </row>
    <row r="63" spans="1:96" x14ac:dyDescent="0.25">
      <c r="A63" s="187">
        <f>+A60+1</f>
        <v>43665</v>
      </c>
      <c r="B63" s="16" t="s">
        <v>43</v>
      </c>
      <c r="C63" s="33">
        <v>32185.99</v>
      </c>
      <c r="D63" s="34">
        <v>17902.060000000001</v>
      </c>
      <c r="E63" s="34">
        <v>17903</v>
      </c>
      <c r="F63" s="35">
        <v>43665</v>
      </c>
      <c r="G63" s="33">
        <f>IF(E63-D63&lt;0,E63-D63,0)*-1</f>
        <v>0</v>
      </c>
      <c r="H63" s="33">
        <f>IF(E63-D63&gt;0,E63-D63,0)</f>
        <v>0.93999999999869033</v>
      </c>
      <c r="I63" s="34"/>
      <c r="J63" s="34"/>
      <c r="K63" s="34">
        <v>12285.05</v>
      </c>
      <c r="L63" s="34"/>
      <c r="M63" s="36">
        <f>(+K63)*M$5</f>
        <v>264.12857499999996</v>
      </c>
      <c r="N63" s="36">
        <f>(+K63)*N$5</f>
        <v>61.425249999999998</v>
      </c>
      <c r="O63" s="36">
        <f>+K63-M63-N63+P63</f>
        <v>11959.496174999998</v>
      </c>
      <c r="P63" s="36"/>
      <c r="Q63" s="37"/>
      <c r="R63" s="34"/>
      <c r="S63" s="34"/>
      <c r="T63" s="36"/>
      <c r="U63" s="36"/>
      <c r="V63" s="36"/>
      <c r="W63" s="36"/>
      <c r="X63" s="37"/>
      <c r="Y63" s="34"/>
      <c r="Z63" s="34">
        <v>5.5</v>
      </c>
      <c r="AA63" s="34">
        <v>39</v>
      </c>
      <c r="AB63" s="34"/>
      <c r="AC63" s="34">
        <v>459.38</v>
      </c>
      <c r="AD63" s="38"/>
      <c r="AE63" s="38">
        <v>1495</v>
      </c>
      <c r="AF63" s="34">
        <v>2066.61</v>
      </c>
      <c r="AG63" s="33">
        <f>(AF63*0.8)*0.85</f>
        <v>1405.2948000000001</v>
      </c>
      <c r="AH63" s="33">
        <f>(AF63*0.8)*0.15</f>
        <v>247.99320000000003</v>
      </c>
      <c r="AI63" s="33">
        <f>AF63*0.2</f>
        <v>413.32200000000006</v>
      </c>
      <c r="AJ63" s="34"/>
      <c r="AK63" s="33">
        <f>(C63-AF63-AJ63)/1.12</f>
        <v>26892.303571428569</v>
      </c>
      <c r="AL63" s="33">
        <f>AK63-SUM(Y63:AC63)</f>
        <v>26388.423571428568</v>
      </c>
      <c r="AM63" s="33">
        <f>+AL63*0.12</f>
        <v>3166.6108285714281</v>
      </c>
      <c r="AN63" s="33">
        <f>+AM63+AL63+AJ63</f>
        <v>29555.034399999997</v>
      </c>
      <c r="AO63" s="39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33">
        <f>SUM(AO63:AY63)</f>
        <v>0</v>
      </c>
      <c r="BA63" s="38"/>
      <c r="BB63" s="38"/>
      <c r="BC63" s="33">
        <f>SUM(BE63:BL63)*0.1+(BM63*0.5)</f>
        <v>0</v>
      </c>
      <c r="BD63" s="33">
        <f>SUM(BE63:BL63)+(BM63*0.5)</f>
        <v>0</v>
      </c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41">
        <f>AZ63+BA63+BB63+BD63-BC63</f>
        <v>0</v>
      </c>
      <c r="BS63" s="145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</row>
    <row r="64" spans="1:96" ht="15.75" thickBot="1" x14ac:dyDescent="0.3">
      <c r="A64" s="188"/>
      <c r="B64" s="16" t="s">
        <v>44</v>
      </c>
      <c r="C64" s="33">
        <v>25308.799999999999</v>
      </c>
      <c r="D64" s="34">
        <v>12160.66</v>
      </c>
      <c r="E64" s="34">
        <v>12161</v>
      </c>
      <c r="F64" s="35">
        <v>43668</v>
      </c>
      <c r="G64" s="33">
        <f>IF(E64-D64&lt;0,E64-D64,0)*-1</f>
        <v>0</v>
      </c>
      <c r="H64" s="33">
        <f>IF(E64-D64&gt;0,E64-D64,0)</f>
        <v>0.34000000000014552</v>
      </c>
      <c r="I64" s="34">
        <v>600</v>
      </c>
      <c r="J64" s="34"/>
      <c r="K64" s="34">
        <v>9971.7099999999991</v>
      </c>
      <c r="L64" s="34"/>
      <c r="M64" s="36">
        <f>(+K64)*M$5</f>
        <v>214.39176499999996</v>
      </c>
      <c r="N64" s="36">
        <f>(+K64)*N$5</f>
        <v>49.858549999999994</v>
      </c>
      <c r="O64" s="36">
        <f>+K64-M64-N64+P64</f>
        <v>9707.459684999998</v>
      </c>
      <c r="P64" s="36"/>
      <c r="Q64" s="37"/>
      <c r="R64" s="34"/>
      <c r="S64" s="34"/>
      <c r="T64" s="36"/>
      <c r="U64" s="36"/>
      <c r="V64" s="36"/>
      <c r="W64" s="36"/>
      <c r="X64" s="37"/>
      <c r="Y64" s="34"/>
      <c r="Z64" s="34">
        <v>86.5</v>
      </c>
      <c r="AA64" s="34"/>
      <c r="AB64" s="34"/>
      <c r="AC64" s="34">
        <v>124.91</v>
      </c>
      <c r="AD64" s="38"/>
      <c r="AE64" s="38">
        <v>2365</v>
      </c>
      <c r="AF64" s="34">
        <v>1713.73</v>
      </c>
      <c r="AG64" s="33">
        <f>(AF64*0.8)*0.85</f>
        <v>1165.3364000000001</v>
      </c>
      <c r="AH64" s="33">
        <f>(AF64*0.8)*0.15</f>
        <v>205.64760000000001</v>
      </c>
      <c r="AI64" s="33">
        <f>AF64*0.2</f>
        <v>342.74600000000004</v>
      </c>
      <c r="AJ64" s="34"/>
      <c r="AK64" s="33">
        <f>(C64-AF64-AJ64)/1.12</f>
        <v>21067.026785714283</v>
      </c>
      <c r="AL64" s="33">
        <f>AK64-SUM(Y64:AC64)</f>
        <v>20855.616785714283</v>
      </c>
      <c r="AM64" s="33">
        <f>+AL64*0.12</f>
        <v>2502.6740142857138</v>
      </c>
      <c r="AN64" s="33">
        <f>+AM64+AL64+AJ64</f>
        <v>23358.290799999995</v>
      </c>
      <c r="AO64" s="39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33">
        <f>SUM(AO64:AY64)</f>
        <v>0</v>
      </c>
      <c r="BA64" s="38"/>
      <c r="BB64" s="38"/>
      <c r="BC64" s="33">
        <v>0</v>
      </c>
      <c r="BD64" s="33">
        <v>0</v>
      </c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41">
        <f>AZ64+BA64+BB64+BD64-BC64</f>
        <v>0</v>
      </c>
      <c r="BS64" s="145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</row>
    <row r="65" spans="1:96" ht="15.75" thickBot="1" x14ac:dyDescent="0.3">
      <c r="A65" s="42"/>
      <c r="B65" s="43"/>
      <c r="C65" s="44">
        <f>SUBTOTAL(9,C63:C64)</f>
        <v>57494.79</v>
      </c>
      <c r="D65" s="45">
        <f>SUBTOTAL(9,D63:D64)</f>
        <v>30062.720000000001</v>
      </c>
      <c r="E65" s="45">
        <f>SUBTOTAL(9,E63:E64)</f>
        <v>30064</v>
      </c>
      <c r="F65" s="47"/>
      <c r="G65" s="45">
        <f>SUBTOTAL(9,G63:G64)</f>
        <v>0</v>
      </c>
      <c r="H65" s="45">
        <f>SUBTOTAL(9,H63:H64)</f>
        <v>1.2799999999988358</v>
      </c>
      <c r="I65" s="45">
        <f>SUBTOTAL(9,I63:I64)</f>
        <v>600</v>
      </c>
      <c r="J65" s="45">
        <f>SUBTOTAL(9,J63:J64)</f>
        <v>0</v>
      </c>
      <c r="K65" s="158">
        <f>SUBTOTAL(9,K63:K64)</f>
        <v>22256.76</v>
      </c>
      <c r="L65" s="45">
        <f>SUBTOTAL(9,L63:L64)</f>
        <v>0</v>
      </c>
      <c r="M65" s="46">
        <f>SUBTOTAL(9,M63:M64)</f>
        <v>478.52033999999992</v>
      </c>
      <c r="N65" s="46">
        <f>SUBTOTAL(9,N63:N64)</f>
        <v>111.28379999999999</v>
      </c>
      <c r="O65" s="46">
        <f>SUBTOTAL(9,O63:O64)</f>
        <v>21666.955859999995</v>
      </c>
      <c r="P65" s="46">
        <f>SUBTOTAL(9,P63:P64)</f>
        <v>0</v>
      </c>
      <c r="Q65" s="47">
        <f>SUBTOTAL(9,Q63:Q64)</f>
        <v>0</v>
      </c>
      <c r="R65" s="45">
        <f>SUBTOTAL(9,R63:R64)</f>
        <v>0</v>
      </c>
      <c r="S65" s="45">
        <f>SUBTOTAL(9,S63:S64)</f>
        <v>0</v>
      </c>
      <c r="T65" s="46">
        <f>SUBTOTAL(9,T63:T64)</f>
        <v>0</v>
      </c>
      <c r="U65" s="46">
        <f>SUBTOTAL(9,U63:U64)</f>
        <v>0</v>
      </c>
      <c r="V65" s="46">
        <f>SUBTOTAL(9,V63:V64)</f>
        <v>0</v>
      </c>
      <c r="W65" s="46">
        <f>SUBTOTAL(9,W63:W64)</f>
        <v>0</v>
      </c>
      <c r="X65" s="47">
        <f>SUBTOTAL(9,X63:X64)</f>
        <v>0</v>
      </c>
      <c r="Y65" s="45">
        <f>SUBTOTAL(9,Y63:Y64)</f>
        <v>0</v>
      </c>
      <c r="Z65" s="45">
        <f>SUBTOTAL(9,Z63:Z64)</f>
        <v>92</v>
      </c>
      <c r="AA65" s="45">
        <f>SUBTOTAL(9,AA63:AA64)</f>
        <v>39</v>
      </c>
      <c r="AB65" s="45">
        <f>SUBTOTAL(9,AB63:AB64)</f>
        <v>0</v>
      </c>
      <c r="AC65" s="45">
        <f>SUBTOTAL(9,AC63:AC64)</f>
        <v>584.29</v>
      </c>
      <c r="AD65" s="48">
        <f>SUBTOTAL(9,AD63:AD64)</f>
        <v>0</v>
      </c>
      <c r="AE65" s="48">
        <f>SUBTOTAL(9,AE63:AE64)</f>
        <v>3860</v>
      </c>
      <c r="AF65" s="45"/>
      <c r="AG65" s="44">
        <f>SUBTOTAL(9,AG63:AG64)</f>
        <v>2570.6312000000003</v>
      </c>
      <c r="AH65" s="44">
        <f>SUBTOTAL(9,AH63:AH64)</f>
        <v>453.64080000000001</v>
      </c>
      <c r="AI65" s="44">
        <f>SUBTOTAL(9,AI63:AI64)</f>
        <v>756.0680000000001</v>
      </c>
      <c r="AJ65" s="45" t="e">
        <f>SUBTOTAL(9,#REF!)</f>
        <v>#REF!</v>
      </c>
      <c r="AK65" s="44">
        <f>SUBTOTAL(9,AK63:AK64)</f>
        <v>47959.330357142855</v>
      </c>
      <c r="AL65" s="44">
        <f>SUBTOTAL(9,AL63:AL64)</f>
        <v>47244.040357142847</v>
      </c>
      <c r="AM65" s="44">
        <f>SUBTOTAL(9,AM63:AM64)</f>
        <v>5669.2848428571415</v>
      </c>
      <c r="AN65" s="44">
        <f>SUBTOTAL(9,AN63:AN64)</f>
        <v>52913.325199999992</v>
      </c>
      <c r="AO65" s="49">
        <f t="shared" ref="R65:BP65" si="80">SUBTOTAL(9,AO63:AO64)</f>
        <v>0</v>
      </c>
      <c r="AP65" s="49">
        <f t="shared" si="80"/>
        <v>0</v>
      </c>
      <c r="AQ65" s="49">
        <f t="shared" si="80"/>
        <v>0</v>
      </c>
      <c r="AR65" s="49">
        <f t="shared" si="80"/>
        <v>0</v>
      </c>
      <c r="AS65" s="49">
        <f t="shared" si="80"/>
        <v>0</v>
      </c>
      <c r="AT65" s="49">
        <f t="shared" si="80"/>
        <v>0</v>
      </c>
      <c r="AU65" s="49">
        <f>SUBTOTAL(9,AU63:AU64)</f>
        <v>0</v>
      </c>
      <c r="AV65" s="49">
        <f t="shared" si="80"/>
        <v>0</v>
      </c>
      <c r="AW65" s="49">
        <f t="shared" si="80"/>
        <v>0</v>
      </c>
      <c r="AX65" s="49">
        <f t="shared" si="80"/>
        <v>0</v>
      </c>
      <c r="AY65" s="49">
        <f t="shared" si="80"/>
        <v>0</v>
      </c>
      <c r="AZ65" s="44">
        <f t="shared" si="80"/>
        <v>0</v>
      </c>
      <c r="BA65" s="48">
        <f t="shared" si="80"/>
        <v>0</v>
      </c>
      <c r="BB65" s="48">
        <f t="shared" si="80"/>
        <v>0</v>
      </c>
      <c r="BC65" s="44">
        <f t="shared" si="80"/>
        <v>0</v>
      </c>
      <c r="BD65" s="44">
        <f t="shared" si="80"/>
        <v>0</v>
      </c>
      <c r="BE65" s="49">
        <f>SUBTOTAL(9,BE63:BE64)</f>
        <v>0</v>
      </c>
      <c r="BF65" s="49">
        <f t="shared" si="80"/>
        <v>0</v>
      </c>
      <c r="BG65" s="49" t="s">
        <v>1</v>
      </c>
      <c r="BH65" s="49">
        <f t="shared" si="80"/>
        <v>0</v>
      </c>
      <c r="BI65" s="49">
        <f t="shared" si="80"/>
        <v>0</v>
      </c>
      <c r="BJ65" s="49">
        <f t="shared" si="80"/>
        <v>0</v>
      </c>
      <c r="BK65" s="49">
        <f t="shared" si="80"/>
        <v>0</v>
      </c>
      <c r="BL65" s="49">
        <f t="shared" si="80"/>
        <v>0</v>
      </c>
      <c r="BM65" s="49">
        <f t="shared" si="80"/>
        <v>0</v>
      </c>
      <c r="BN65" s="49">
        <f t="shared" si="80"/>
        <v>0</v>
      </c>
      <c r="BO65" s="49">
        <f t="shared" si="80"/>
        <v>0</v>
      </c>
      <c r="BP65" s="49">
        <f t="shared" si="80"/>
        <v>0</v>
      </c>
      <c r="BQ65" s="44">
        <f>SUBTOTAL(9,BQ63:BQ64)</f>
        <v>0</v>
      </c>
    </row>
    <row r="66" spans="1:96" x14ac:dyDescent="0.25">
      <c r="A66" s="187">
        <f>A63+1</f>
        <v>43666</v>
      </c>
      <c r="B66" s="16" t="s">
        <v>43</v>
      </c>
      <c r="C66" s="33" t="s">
        <v>135</v>
      </c>
      <c r="D66" s="34"/>
      <c r="E66" s="34"/>
      <c r="F66" s="35"/>
      <c r="G66" s="33">
        <f>IF(E66-D66&lt;0,E66-D66,0)*-1</f>
        <v>0</v>
      </c>
      <c r="H66" s="33">
        <f>IF(E66-D66&gt;0,E66-D66,0)</f>
        <v>0</v>
      </c>
      <c r="I66" s="34"/>
      <c r="J66" s="34"/>
      <c r="K66" s="34"/>
      <c r="L66" s="34"/>
      <c r="M66" s="36">
        <f>(+K66)*M$5</f>
        <v>0</v>
      </c>
      <c r="N66" s="36">
        <f>(+K66)*N$5</f>
        <v>0</v>
      </c>
      <c r="O66" s="36">
        <f>+K66-M66-N66+P66</f>
        <v>0</v>
      </c>
      <c r="P66" s="36"/>
      <c r="Q66" s="37"/>
      <c r="R66" s="34"/>
      <c r="S66" s="34"/>
      <c r="T66" s="36"/>
      <c r="U66" s="36"/>
      <c r="V66" s="36"/>
      <c r="W66" s="36"/>
      <c r="X66" s="37"/>
      <c r="Y66" s="34"/>
      <c r="Z66" s="34"/>
      <c r="AA66" s="34"/>
      <c r="AB66" s="34"/>
      <c r="AC66" s="34"/>
      <c r="AD66" s="38"/>
      <c r="AE66" s="38"/>
      <c r="AF66" s="34"/>
      <c r="AG66" s="33">
        <f>(AF66*0.8)*0.85</f>
        <v>0</v>
      </c>
      <c r="AH66" s="33">
        <f>(AF66*0.8)*0.15</f>
        <v>0</v>
      </c>
      <c r="AI66" s="33">
        <f>AF66*0.2</f>
        <v>0</v>
      </c>
      <c r="AJ66" s="34"/>
      <c r="AK66" s="33">
        <v>0</v>
      </c>
      <c r="AL66" s="33">
        <f>AK66-SUM(Y66:AC66)</f>
        <v>0</v>
      </c>
      <c r="AM66" s="33">
        <f>+AL66*0.12</f>
        <v>0</v>
      </c>
      <c r="AN66" s="33">
        <f t="shared" ref="AN66" si="81">+AM66+AL66+AJ66</f>
        <v>0</v>
      </c>
      <c r="AO66" s="39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33">
        <f>SUM(AO66:AY66)</f>
        <v>0</v>
      </c>
      <c r="BA66" s="38"/>
      <c r="BB66" s="38"/>
      <c r="BC66" s="33">
        <f>SUM(BE66:BL66)*0.1+(BM66*0.5)</f>
        <v>0</v>
      </c>
      <c r="BD66" s="33">
        <f>SUM(BE66:BL66)+(BM66*0.5)</f>
        <v>0</v>
      </c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41">
        <f>AZ66+BA66+BB66+BD66-BC66</f>
        <v>0</v>
      </c>
      <c r="BS66" s="145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</row>
    <row r="67" spans="1:96" ht="15.75" thickBot="1" x14ac:dyDescent="0.3">
      <c r="A67" s="188"/>
      <c r="B67" s="16" t="s">
        <v>44</v>
      </c>
      <c r="C67" s="33">
        <v>4831.34</v>
      </c>
      <c r="D67" s="34">
        <v>1078.1300000000001</v>
      </c>
      <c r="E67" s="34">
        <v>1083</v>
      </c>
      <c r="F67" s="35">
        <v>43668</v>
      </c>
      <c r="G67" s="33">
        <f>IF(E67-D67&lt;0,E67-D67,0)*-1</f>
        <v>0</v>
      </c>
      <c r="H67" s="33">
        <f>IF(E67-D67&gt;0,E67-D67,0)</f>
        <v>4.8699999999998909</v>
      </c>
      <c r="I67" s="34"/>
      <c r="J67" s="34"/>
      <c r="K67" s="34">
        <v>2418.21</v>
      </c>
      <c r="L67" s="34"/>
      <c r="M67" s="36">
        <f>(+K67)*M$5</f>
        <v>51.991515</v>
      </c>
      <c r="N67" s="36">
        <f>(+K67)*N$5</f>
        <v>12.091050000000001</v>
      </c>
      <c r="O67" s="36">
        <f>+K67-M67-N67+P67</f>
        <v>2354.1274349999999</v>
      </c>
      <c r="P67" s="36"/>
      <c r="Q67" s="37"/>
      <c r="R67" s="34"/>
      <c r="S67" s="34"/>
      <c r="T67" s="36"/>
      <c r="U67" s="36"/>
      <c r="V67" s="36"/>
      <c r="W67" s="36"/>
      <c r="X67" s="37"/>
      <c r="Y67" s="34"/>
      <c r="Z67" s="34"/>
      <c r="AA67" s="34"/>
      <c r="AB67" s="34"/>
      <c r="AC67" s="34"/>
      <c r="AD67" s="38"/>
      <c r="AE67" s="38">
        <v>1335</v>
      </c>
      <c r="AF67" s="34">
        <v>251.34</v>
      </c>
      <c r="AG67" s="33">
        <f>(AF67*0.8)*0.85</f>
        <v>170.91120000000001</v>
      </c>
      <c r="AH67" s="33">
        <f>(AF67*0.8)*0.15</f>
        <v>30.160799999999998</v>
      </c>
      <c r="AI67" s="33">
        <f>AF67*0.2</f>
        <v>50.268000000000001</v>
      </c>
      <c r="AJ67" s="34"/>
      <c r="AK67" s="33">
        <f>(C67-AF67-AJ67)/1.12</f>
        <v>4089.2857142857138</v>
      </c>
      <c r="AL67" s="33">
        <f>AK67-SUM(Y67:AC67)</f>
        <v>4089.2857142857138</v>
      </c>
      <c r="AM67" s="33">
        <f>+AL67*0.12</f>
        <v>490.71428571428561</v>
      </c>
      <c r="AN67" s="33">
        <f t="shared" ref="AN67" si="82">+AM67+AL67+AJ67</f>
        <v>4579.9999999999991</v>
      </c>
      <c r="AO67" s="39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33">
        <f>SUM(AO67:AY67)</f>
        <v>0</v>
      </c>
      <c r="BA67" s="38"/>
      <c r="BB67" s="38"/>
      <c r="BC67" s="33">
        <v>0</v>
      </c>
      <c r="BD67" s="33">
        <v>0</v>
      </c>
      <c r="BE67" s="39"/>
      <c r="BF67" s="39"/>
      <c r="BG67" s="39"/>
      <c r="BH67" s="39"/>
      <c r="BI67" s="39"/>
      <c r="BJ67" s="39"/>
      <c r="BK67" s="39"/>
      <c r="BL67" s="39"/>
      <c r="BM67" s="164"/>
      <c r="BN67" s="39"/>
      <c r="BO67" s="39"/>
      <c r="BP67" s="39"/>
      <c r="BQ67" s="41">
        <f>AZ67+BA67+BB67+BD67-BC67</f>
        <v>0</v>
      </c>
      <c r="BS67" s="145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</row>
    <row r="68" spans="1:96" ht="15.75" thickBot="1" x14ac:dyDescent="0.3">
      <c r="A68" s="42"/>
      <c r="B68" s="43"/>
      <c r="C68" s="44">
        <f>SUBTOTAL(9,C66:C67)</f>
        <v>4831.34</v>
      </c>
      <c r="D68" s="45">
        <f>SUBTOTAL(9,D66:D67)</f>
        <v>1078.1300000000001</v>
      </c>
      <c r="E68" s="45">
        <f>SUBTOTAL(9,E66:E67)</f>
        <v>1083</v>
      </c>
      <c r="F68" s="47"/>
      <c r="G68" s="45">
        <f>SUBTOTAL(9,G66:G67)</f>
        <v>0</v>
      </c>
      <c r="H68" s="45">
        <f>SUBTOTAL(9,H66:H67)</f>
        <v>4.8699999999998909</v>
      </c>
      <c r="I68" s="45">
        <f>SUBTOTAL(9,I66:I67)</f>
        <v>0</v>
      </c>
      <c r="J68" s="45">
        <f>SUBTOTAL(9,J66:J67)</f>
        <v>0</v>
      </c>
      <c r="K68" s="158">
        <f>SUBTOTAL(9,K66:K67)</f>
        <v>2418.21</v>
      </c>
      <c r="L68" s="45">
        <f>SUBTOTAL(9,L66:L67)</f>
        <v>0</v>
      </c>
      <c r="M68" s="46">
        <f>SUBTOTAL(9,M66:M67)</f>
        <v>51.991515</v>
      </c>
      <c r="N68" s="46">
        <f>SUBTOTAL(9,N66:N67)</f>
        <v>12.091050000000001</v>
      </c>
      <c r="O68" s="46">
        <f>SUBTOTAL(9,O66:O67)</f>
        <v>2354.1274349999999</v>
      </c>
      <c r="P68" s="46">
        <f>SUBTOTAL(9,P66:P67)</f>
        <v>0</v>
      </c>
      <c r="Q68" s="47">
        <f>SUBTOTAL(9,Q66:Q67)</f>
        <v>0</v>
      </c>
      <c r="R68" s="45">
        <f>SUBTOTAL(9,R66:R67)</f>
        <v>0</v>
      </c>
      <c r="S68" s="45">
        <f>SUBTOTAL(9,S66:S67)</f>
        <v>0</v>
      </c>
      <c r="T68" s="46">
        <f>SUBTOTAL(9,T66:T67)</f>
        <v>0</v>
      </c>
      <c r="U68" s="46">
        <f>SUBTOTAL(9,U66:U67)</f>
        <v>0</v>
      </c>
      <c r="V68" s="46">
        <f>SUBTOTAL(9,V66:V67)</f>
        <v>0</v>
      </c>
      <c r="W68" s="46">
        <f>SUBTOTAL(9,W66:W67)</f>
        <v>0</v>
      </c>
      <c r="X68" s="47">
        <f>SUBTOTAL(9,X66:X67)</f>
        <v>0</v>
      </c>
      <c r="Y68" s="45">
        <f>SUBTOTAL(9,Y66:Y67)</f>
        <v>0</v>
      </c>
      <c r="Z68" s="45">
        <f>SUBTOTAL(9,Z66:Z67)</f>
        <v>0</v>
      </c>
      <c r="AA68" s="45">
        <f>SUBTOTAL(9,AA66:AA67)</f>
        <v>0</v>
      </c>
      <c r="AB68" s="45">
        <f>SUBTOTAL(9,AB66:AB67)</f>
        <v>0</v>
      </c>
      <c r="AC68" s="45">
        <f>SUBTOTAL(9,AC66:AC67)</f>
        <v>0</v>
      </c>
      <c r="AD68" s="48">
        <f>SUBTOTAL(9,AD66:AD67)</f>
        <v>0</v>
      </c>
      <c r="AE68" s="48">
        <f>SUBTOTAL(9,AE66:AE67)</f>
        <v>1335</v>
      </c>
      <c r="AF68" s="45"/>
      <c r="AG68" s="44">
        <f>SUBTOTAL(9,AG66:AG67)</f>
        <v>170.91120000000001</v>
      </c>
      <c r="AH68" s="44">
        <f>SUBTOTAL(9,AH66:AH67)</f>
        <v>30.160799999999998</v>
      </c>
      <c r="AI68" s="44">
        <f>SUBTOTAL(9,AI66:AI67)</f>
        <v>50.268000000000001</v>
      </c>
      <c r="AJ68" s="45" t="e">
        <f>SUBTOTAL(9,#REF!)</f>
        <v>#REF!</v>
      </c>
      <c r="AK68" s="44">
        <f>SUBTOTAL(9,AK66:AK67)</f>
        <v>4089.2857142857138</v>
      </c>
      <c r="AL68" s="44">
        <f>SUBTOTAL(9,AL66:AL67)</f>
        <v>4089.2857142857138</v>
      </c>
      <c r="AM68" s="44">
        <f>SUBTOTAL(9,AM66:AM67)</f>
        <v>490.71428571428561</v>
      </c>
      <c r="AN68" s="44">
        <f>SUBTOTAL(9,AN66:AN67)</f>
        <v>4579.9999999999991</v>
      </c>
      <c r="AO68" s="49">
        <f t="shared" ref="R68:BP68" si="83">SUBTOTAL(9,AO66:AO67)</f>
        <v>0</v>
      </c>
      <c r="AP68" s="49">
        <f t="shared" si="83"/>
        <v>0</v>
      </c>
      <c r="AQ68" s="49">
        <f t="shared" si="83"/>
        <v>0</v>
      </c>
      <c r="AR68" s="49">
        <f t="shared" si="83"/>
        <v>0</v>
      </c>
      <c r="AS68" s="49">
        <f t="shared" si="83"/>
        <v>0</v>
      </c>
      <c r="AT68" s="49">
        <f t="shared" si="83"/>
        <v>0</v>
      </c>
      <c r="AU68" s="49">
        <f>SUBTOTAL(9,AU66:AU67)</f>
        <v>0</v>
      </c>
      <c r="AV68" s="49">
        <f t="shared" si="83"/>
        <v>0</v>
      </c>
      <c r="AW68" s="49">
        <f t="shared" si="83"/>
        <v>0</v>
      </c>
      <c r="AX68" s="49">
        <f t="shared" si="83"/>
        <v>0</v>
      </c>
      <c r="AY68" s="49">
        <f t="shared" si="83"/>
        <v>0</v>
      </c>
      <c r="AZ68" s="44">
        <f t="shared" si="83"/>
        <v>0</v>
      </c>
      <c r="BA68" s="48">
        <f t="shared" si="83"/>
        <v>0</v>
      </c>
      <c r="BB68" s="48">
        <f t="shared" si="83"/>
        <v>0</v>
      </c>
      <c r="BC68" s="44">
        <f t="shared" si="83"/>
        <v>0</v>
      </c>
      <c r="BD68" s="44">
        <f t="shared" si="83"/>
        <v>0</v>
      </c>
      <c r="BE68" s="49">
        <f>SUBTOTAL(9,BE66:BE67)</f>
        <v>0</v>
      </c>
      <c r="BF68" s="49">
        <f t="shared" si="83"/>
        <v>0</v>
      </c>
      <c r="BG68" s="49">
        <f t="shared" si="83"/>
        <v>0</v>
      </c>
      <c r="BH68" s="49">
        <f t="shared" si="83"/>
        <v>0</v>
      </c>
      <c r="BI68" s="49">
        <f t="shared" si="83"/>
        <v>0</v>
      </c>
      <c r="BJ68" s="49">
        <f t="shared" si="83"/>
        <v>0</v>
      </c>
      <c r="BK68" s="49">
        <f t="shared" si="83"/>
        <v>0</v>
      </c>
      <c r="BL68" s="49">
        <f t="shared" si="83"/>
        <v>0</v>
      </c>
      <c r="BM68" s="49">
        <f t="shared" si="83"/>
        <v>0</v>
      </c>
      <c r="BN68" s="49">
        <f t="shared" si="83"/>
        <v>0</v>
      </c>
      <c r="BO68" s="49">
        <f t="shared" si="83"/>
        <v>0</v>
      </c>
      <c r="BP68" s="49">
        <f t="shared" si="83"/>
        <v>0</v>
      </c>
      <c r="BQ68" s="44">
        <f>SUBTOTAL(9,BQ66:BQ67)</f>
        <v>0</v>
      </c>
    </row>
    <row r="69" spans="1:96" x14ac:dyDescent="0.25">
      <c r="A69" s="187">
        <f>+A66+1</f>
        <v>43667</v>
      </c>
      <c r="B69" s="16" t="s">
        <v>43</v>
      </c>
      <c r="C69" s="33" t="s">
        <v>135</v>
      </c>
      <c r="D69" s="34"/>
      <c r="E69" s="34"/>
      <c r="F69" s="35"/>
      <c r="G69" s="33">
        <f>IF(E69-D69&lt;0,E69-D69,0)*-1</f>
        <v>0</v>
      </c>
      <c r="H69" s="33">
        <f>IF(E69-D69&gt;0,E69-D69,0)</f>
        <v>0</v>
      </c>
      <c r="I69" s="34"/>
      <c r="J69" s="34"/>
      <c r="K69" s="34"/>
      <c r="L69" s="34"/>
      <c r="M69" s="36">
        <f>(+K69)*M$5</f>
        <v>0</v>
      </c>
      <c r="N69" s="36">
        <f>(+K69)*N$5</f>
        <v>0</v>
      </c>
      <c r="O69" s="36">
        <f>+K69-M69-N69+P69</f>
        <v>0</v>
      </c>
      <c r="P69" s="36"/>
      <c r="Q69" s="37"/>
      <c r="R69" s="34"/>
      <c r="S69" s="34"/>
      <c r="T69" s="36"/>
      <c r="U69" s="36"/>
      <c r="V69" s="36"/>
      <c r="W69" s="36"/>
      <c r="X69" s="37"/>
      <c r="Y69" s="34"/>
      <c r="Z69" s="34"/>
      <c r="AA69" s="34"/>
      <c r="AB69" s="34"/>
      <c r="AC69" s="34"/>
      <c r="AD69" s="38"/>
      <c r="AE69" s="38"/>
      <c r="AF69" s="34"/>
      <c r="AG69" s="33">
        <f>(AF69*0.8)*0.85</f>
        <v>0</v>
      </c>
      <c r="AH69" s="33">
        <f>(AF69*0.8)*0.15</f>
        <v>0</v>
      </c>
      <c r="AI69" s="33">
        <f>AF69*0.2</f>
        <v>0</v>
      </c>
      <c r="AJ69" s="34"/>
      <c r="AK69" s="33">
        <v>0</v>
      </c>
      <c r="AL69" s="33">
        <f>AK69-SUM(Y69:AC69)</f>
        <v>0</v>
      </c>
      <c r="AM69" s="33">
        <f>+AL69*0.12</f>
        <v>0</v>
      </c>
      <c r="AN69" s="33">
        <f t="shared" ref="AN69" si="84">+AM69+AL69+AJ69</f>
        <v>0</v>
      </c>
      <c r="AO69" s="39">
        <v>0</v>
      </c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33">
        <f>SUM(AO69:AY69)</f>
        <v>0</v>
      </c>
      <c r="BA69" s="38"/>
      <c r="BB69" s="38"/>
      <c r="BC69" s="33">
        <f>SUM(BE69:BL69)*0.1+(BM69*0.5)</f>
        <v>0</v>
      </c>
      <c r="BD69" s="33">
        <f>SUM(BE69:BL69)+(BM69*0.5)</f>
        <v>0</v>
      </c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41">
        <f>AZ69+BA69+BB69+BD69-BC69</f>
        <v>0</v>
      </c>
      <c r="BS69" s="145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</row>
    <row r="70" spans="1:96" ht="15.75" thickBot="1" x14ac:dyDescent="0.3">
      <c r="A70" s="188"/>
      <c r="B70" s="16" t="s">
        <v>44</v>
      </c>
      <c r="C70" s="33"/>
      <c r="D70" s="34"/>
      <c r="E70" s="34"/>
      <c r="F70" s="35"/>
      <c r="G70" s="33">
        <f>IF(E70-D70&lt;0,E70-D70,0)*-1</f>
        <v>0</v>
      </c>
      <c r="H70" s="33">
        <f>IF(E70-D70&gt;0,E70-D70,0)</f>
        <v>0</v>
      </c>
      <c r="I70" s="34"/>
      <c r="J70" s="34"/>
      <c r="K70" s="34"/>
      <c r="L70" s="34"/>
      <c r="M70" s="36">
        <f>(+K70)*M$5</f>
        <v>0</v>
      </c>
      <c r="N70" s="36">
        <f>(+K70)*N$5</f>
        <v>0</v>
      </c>
      <c r="O70" s="36">
        <f>+K70-M70-N70+P70</f>
        <v>0</v>
      </c>
      <c r="P70" s="36"/>
      <c r="Q70" s="37"/>
      <c r="R70" s="34"/>
      <c r="S70" s="34"/>
      <c r="T70" s="36"/>
      <c r="U70" s="36"/>
      <c r="V70" s="36"/>
      <c r="W70" s="36"/>
      <c r="X70" s="37"/>
      <c r="Y70" s="34"/>
      <c r="Z70" s="34"/>
      <c r="AA70" s="34"/>
      <c r="AB70" s="34"/>
      <c r="AC70" s="34"/>
      <c r="AD70" s="38"/>
      <c r="AE70" s="38"/>
      <c r="AF70" s="34"/>
      <c r="AG70" s="33">
        <f>(AF70*0.8)*0.85</f>
        <v>0</v>
      </c>
      <c r="AH70" s="33">
        <f>(AF70*0.8)*0.15</f>
        <v>0</v>
      </c>
      <c r="AI70" s="33">
        <f>AF70*0.2</f>
        <v>0</v>
      </c>
      <c r="AJ70" s="34"/>
      <c r="AK70" s="33">
        <f>(C70-AF70-AJ70)/1.12</f>
        <v>0</v>
      </c>
      <c r="AL70" s="33">
        <f>AK70-SUM(Y70:AC70)</f>
        <v>0</v>
      </c>
      <c r="AM70" s="33">
        <f>+AL70*0.12</f>
        <v>0</v>
      </c>
      <c r="AN70" s="33">
        <f t="shared" ref="AN70" si="85">+AM70+AL70+AJ70</f>
        <v>0</v>
      </c>
      <c r="AO70" s="39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33">
        <f>SUM(AO70:AY70)</f>
        <v>0</v>
      </c>
      <c r="BA70" s="38"/>
      <c r="BB70" s="38">
        <v>0</v>
      </c>
      <c r="BC70" s="33"/>
      <c r="BD70" s="33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41">
        <f>AZ70+BA70+BB70+BD70-BC70</f>
        <v>0</v>
      </c>
      <c r="BS70" s="145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</row>
    <row r="71" spans="1:96" ht="15.75" thickBot="1" x14ac:dyDescent="0.3">
      <c r="A71" s="42"/>
      <c r="B71" s="43"/>
      <c r="C71" s="44">
        <f>SUBTOTAL(9,C69:C70)</f>
        <v>0</v>
      </c>
      <c r="D71" s="45">
        <f>SUBTOTAL(9,D69:D70)</f>
        <v>0</v>
      </c>
      <c r="E71" s="45">
        <f>SUBTOTAL(9,E69:E70)</f>
        <v>0</v>
      </c>
      <c r="F71" s="47"/>
      <c r="G71" s="45">
        <f>SUBTOTAL(9,G69:G70)</f>
        <v>0</v>
      </c>
      <c r="H71" s="45">
        <f>SUBTOTAL(9,H69:H70)</f>
        <v>0</v>
      </c>
      <c r="I71" s="45">
        <f>SUBTOTAL(9,I69:I70)</f>
        <v>0</v>
      </c>
      <c r="J71" s="45">
        <f>SUBTOTAL(9,J69:J70)</f>
        <v>0</v>
      </c>
      <c r="K71" s="158">
        <f>SUBTOTAL(9,K69:K70)</f>
        <v>0</v>
      </c>
      <c r="L71" s="45">
        <f>SUBTOTAL(9,L69:L70)</f>
        <v>0</v>
      </c>
      <c r="M71" s="46">
        <f>SUBTOTAL(9,M69:M70)</f>
        <v>0</v>
      </c>
      <c r="N71" s="46">
        <f>SUBTOTAL(9,N69:N70)</f>
        <v>0</v>
      </c>
      <c r="O71" s="46">
        <f>SUBTOTAL(9,O69:O70)</f>
        <v>0</v>
      </c>
      <c r="P71" s="46">
        <f>SUBTOTAL(9,P69:P70)</f>
        <v>0</v>
      </c>
      <c r="Q71" s="47">
        <f>SUBTOTAL(9,Q69:Q70)</f>
        <v>0</v>
      </c>
      <c r="R71" s="45">
        <f>SUBTOTAL(9,R69:R70)</f>
        <v>0</v>
      </c>
      <c r="S71" s="45">
        <f>SUBTOTAL(9,S69:S70)</f>
        <v>0</v>
      </c>
      <c r="T71" s="46">
        <f>SUBTOTAL(9,T69:T70)</f>
        <v>0</v>
      </c>
      <c r="U71" s="46">
        <f>SUBTOTAL(9,U69:U70)</f>
        <v>0</v>
      </c>
      <c r="V71" s="46">
        <f>SUBTOTAL(9,V69:V70)</f>
        <v>0</v>
      </c>
      <c r="W71" s="46">
        <f>SUBTOTAL(9,W69:W70)</f>
        <v>0</v>
      </c>
      <c r="X71" s="47">
        <f>SUBTOTAL(9,X69:X70)</f>
        <v>0</v>
      </c>
      <c r="Y71" s="45">
        <f>SUBTOTAL(9,Y69:Y70)</f>
        <v>0</v>
      </c>
      <c r="Z71" s="45">
        <f>SUBTOTAL(9,Z69:Z70)</f>
        <v>0</v>
      </c>
      <c r="AA71" s="45">
        <f>SUBTOTAL(9,AA69:AA70)</f>
        <v>0</v>
      </c>
      <c r="AB71" s="45">
        <f>SUBTOTAL(9,AB69:AB70)</f>
        <v>0</v>
      </c>
      <c r="AC71" s="45">
        <f>SUBTOTAL(9,AC69:AC70)</f>
        <v>0</v>
      </c>
      <c r="AD71" s="48">
        <f>SUBTOTAL(9,AD69:AD70)</f>
        <v>0</v>
      </c>
      <c r="AE71" s="48">
        <f>SUBTOTAL(9,AE69:AE70)</f>
        <v>0</v>
      </c>
      <c r="AF71" s="45"/>
      <c r="AG71" s="44">
        <f>SUBTOTAL(9,AG69:AG70)</f>
        <v>0</v>
      </c>
      <c r="AH71" s="44">
        <f>SUBTOTAL(9,AH69:AH70)</f>
        <v>0</v>
      </c>
      <c r="AI71" s="44">
        <f>SUBTOTAL(9,AI69:AI70)</f>
        <v>0</v>
      </c>
      <c r="AJ71" s="45" t="e">
        <f>SUBTOTAL(9,#REF!)</f>
        <v>#REF!</v>
      </c>
      <c r="AK71" s="44">
        <f>SUBTOTAL(9,AK69:AK70)</f>
        <v>0</v>
      </c>
      <c r="AL71" s="44">
        <f>SUBTOTAL(9,AL69:AL70)</f>
        <v>0</v>
      </c>
      <c r="AM71" s="44">
        <f>SUBTOTAL(9,AM69:AM70)</f>
        <v>0</v>
      </c>
      <c r="AN71" s="44">
        <f>SUBTOTAL(9,AN69:AN70)</f>
        <v>0</v>
      </c>
      <c r="AO71" s="49">
        <f t="shared" ref="R71:BP71" si="86">SUBTOTAL(9,AO69:AO70)</f>
        <v>0</v>
      </c>
      <c r="AP71" s="49">
        <f t="shared" si="86"/>
        <v>0</v>
      </c>
      <c r="AQ71" s="49">
        <f t="shared" si="86"/>
        <v>0</v>
      </c>
      <c r="AR71" s="49">
        <f t="shared" si="86"/>
        <v>0</v>
      </c>
      <c r="AS71" s="49">
        <f t="shared" si="86"/>
        <v>0</v>
      </c>
      <c r="AT71" s="49">
        <f t="shared" si="86"/>
        <v>0</v>
      </c>
      <c r="AU71" s="49">
        <f>SUBTOTAL(9,AU69:AU70)</f>
        <v>0</v>
      </c>
      <c r="AV71" s="49">
        <f t="shared" si="86"/>
        <v>0</v>
      </c>
      <c r="AW71" s="49">
        <f t="shared" si="86"/>
        <v>0</v>
      </c>
      <c r="AX71" s="49">
        <f t="shared" si="86"/>
        <v>0</v>
      </c>
      <c r="AY71" s="49">
        <f t="shared" si="86"/>
        <v>0</v>
      </c>
      <c r="AZ71" s="44">
        <f t="shared" si="86"/>
        <v>0</v>
      </c>
      <c r="BA71" s="48">
        <f t="shared" si="86"/>
        <v>0</v>
      </c>
      <c r="BB71" s="48">
        <f t="shared" si="86"/>
        <v>0</v>
      </c>
      <c r="BC71" s="44">
        <f t="shared" si="86"/>
        <v>0</v>
      </c>
      <c r="BD71" s="44">
        <f t="shared" si="86"/>
        <v>0</v>
      </c>
      <c r="BE71" s="49">
        <f>SUBTOTAL(9,BE69:BE70)</f>
        <v>0</v>
      </c>
      <c r="BF71" s="49">
        <f t="shared" si="86"/>
        <v>0</v>
      </c>
      <c r="BG71" s="49">
        <f t="shared" si="86"/>
        <v>0</v>
      </c>
      <c r="BH71" s="49">
        <f t="shared" si="86"/>
        <v>0</v>
      </c>
      <c r="BI71" s="49">
        <f t="shared" si="86"/>
        <v>0</v>
      </c>
      <c r="BJ71" s="49">
        <f t="shared" si="86"/>
        <v>0</v>
      </c>
      <c r="BK71" s="49">
        <f t="shared" si="86"/>
        <v>0</v>
      </c>
      <c r="BL71" s="49">
        <f t="shared" si="86"/>
        <v>0</v>
      </c>
      <c r="BM71" s="49">
        <f t="shared" si="86"/>
        <v>0</v>
      </c>
      <c r="BN71" s="49">
        <f t="shared" si="86"/>
        <v>0</v>
      </c>
      <c r="BO71" s="49">
        <f t="shared" si="86"/>
        <v>0</v>
      </c>
      <c r="BP71" s="49">
        <f t="shared" si="86"/>
        <v>0</v>
      </c>
      <c r="BQ71" s="44">
        <f>SUBTOTAL(9,BQ69:BQ70)</f>
        <v>0</v>
      </c>
    </row>
    <row r="72" spans="1:96" x14ac:dyDescent="0.25">
      <c r="A72" s="187">
        <f>+A69+1</f>
        <v>43668</v>
      </c>
      <c r="B72" s="16" t="s">
        <v>43</v>
      </c>
      <c r="C72" s="33">
        <v>11520.47</v>
      </c>
      <c r="D72" s="34">
        <v>6002.1</v>
      </c>
      <c r="E72" s="34">
        <v>6003</v>
      </c>
      <c r="F72" s="35">
        <v>43668</v>
      </c>
      <c r="G72" s="33">
        <f>IF(E72-D72&lt;0,E72-D72,0)*-1</f>
        <v>0</v>
      </c>
      <c r="H72" s="33">
        <f>IF(E72-D72&gt;0,E72-D72,0)</f>
        <v>0.8999999999996362</v>
      </c>
      <c r="I72" s="34"/>
      <c r="J72" s="34"/>
      <c r="K72" s="34">
        <v>3831.3</v>
      </c>
      <c r="L72" s="34"/>
      <c r="M72" s="36">
        <f>(+K72)*M$5</f>
        <v>82.372950000000003</v>
      </c>
      <c r="N72" s="36">
        <f>(+K72)*N$5</f>
        <v>19.156500000000001</v>
      </c>
      <c r="O72" s="36">
        <f>+K72-M72-N72+P72</f>
        <v>3729.7705500000002</v>
      </c>
      <c r="P72" s="36"/>
      <c r="Q72" s="37"/>
      <c r="R72" s="34"/>
      <c r="S72" s="34"/>
      <c r="T72" s="36"/>
      <c r="U72" s="36"/>
      <c r="V72" s="36"/>
      <c r="W72" s="36"/>
      <c r="X72" s="37"/>
      <c r="Y72" s="34"/>
      <c r="Z72" s="34">
        <v>18.25</v>
      </c>
      <c r="AA72" s="34"/>
      <c r="AB72" s="34"/>
      <c r="AC72" s="34">
        <v>313.82</v>
      </c>
      <c r="AD72" s="38"/>
      <c r="AE72" s="38">
        <v>1355</v>
      </c>
      <c r="AF72" s="34">
        <v>800.75</v>
      </c>
      <c r="AG72" s="33">
        <f>(AF72*0.8)*0.85</f>
        <v>544.51</v>
      </c>
      <c r="AH72" s="33">
        <f>(AF72*0.8)*0.15</f>
        <v>96.09</v>
      </c>
      <c r="AI72" s="33">
        <f>AF72*0.2</f>
        <v>160.15</v>
      </c>
      <c r="AJ72" s="34"/>
      <c r="AK72" s="33">
        <f>(C72-AF72-AJ72)/1.12</f>
        <v>9571.1785714285706</v>
      </c>
      <c r="AL72" s="33">
        <f>AK72-SUM(Y72:AC72)</f>
        <v>9239.1085714285709</v>
      </c>
      <c r="AM72" s="33">
        <f>+AL72*0.12</f>
        <v>1108.6930285714284</v>
      </c>
      <c r="AN72" s="33">
        <f>+AM72+AL72+AJ72</f>
        <v>10347.801599999999</v>
      </c>
      <c r="AO72" s="39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33">
        <f>SUM(AO72:AY72)</f>
        <v>0</v>
      </c>
      <c r="BA72" s="38"/>
      <c r="BB72" s="38"/>
      <c r="BC72" s="33">
        <f>SUM(BE72:BL72)*0.1+(BM72*0.5)</f>
        <v>0</v>
      </c>
      <c r="BD72" s="33">
        <f>SUM(BE72:BL72)+(BM72*0.5)</f>
        <v>0</v>
      </c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41">
        <f>AZ72+BA72+BB72+BD72-BC72</f>
        <v>0</v>
      </c>
      <c r="BS72" s="145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</row>
    <row r="73" spans="1:96" ht="15.75" thickBot="1" x14ac:dyDescent="0.3">
      <c r="A73" s="188"/>
      <c r="B73" s="16" t="s">
        <v>44</v>
      </c>
      <c r="C73" s="33">
        <v>12014.57</v>
      </c>
      <c r="D73" s="34">
        <v>9034.9500000000007</v>
      </c>
      <c r="E73" s="34">
        <v>9035</v>
      </c>
      <c r="F73" s="35">
        <v>43669</v>
      </c>
      <c r="G73" s="33">
        <f>IF(E73-D73&lt;0,E73-D73,0)*-1</f>
        <v>0</v>
      </c>
      <c r="H73" s="33">
        <f>IF(E73-D73&gt;0,E73-D73,0)</f>
        <v>4.9999999999272404E-2</v>
      </c>
      <c r="I73" s="34"/>
      <c r="J73" s="34"/>
      <c r="K73" s="34">
        <v>1824.55</v>
      </c>
      <c r="L73" s="34"/>
      <c r="M73" s="36">
        <f>(+K73)*M$5</f>
        <v>39.227824999999996</v>
      </c>
      <c r="N73" s="36">
        <f>(+K73)*N$5</f>
        <v>9.1227499999999999</v>
      </c>
      <c r="O73" s="36">
        <f>+K73-M73-N73+P73</f>
        <v>1776.199425</v>
      </c>
      <c r="P73" s="36"/>
      <c r="Q73" s="37"/>
      <c r="R73" s="34"/>
      <c r="S73" s="34"/>
      <c r="T73" s="36"/>
      <c r="U73" s="36"/>
      <c r="V73" s="36"/>
      <c r="W73" s="36"/>
      <c r="X73" s="37"/>
      <c r="Y73" s="34"/>
      <c r="Z73" s="34">
        <v>42.75</v>
      </c>
      <c r="AA73" s="34"/>
      <c r="AB73" s="34"/>
      <c r="AC73" s="34">
        <v>72.319999999999993</v>
      </c>
      <c r="AD73" s="38"/>
      <c r="AE73" s="38">
        <v>1040</v>
      </c>
      <c r="AF73" s="34">
        <v>892.96</v>
      </c>
      <c r="AG73" s="33">
        <f>(AF73*0.8)*0.85</f>
        <v>607.21280000000002</v>
      </c>
      <c r="AH73" s="33">
        <f>(AF73*0.8)*0.15</f>
        <v>107.15520000000001</v>
      </c>
      <c r="AI73" s="33">
        <f>AF73*0.2</f>
        <v>178.59200000000001</v>
      </c>
      <c r="AJ73" s="34"/>
      <c r="AK73" s="33">
        <f>(C73-AF73-AJ73)/1.12</f>
        <v>9930.0089285714275</v>
      </c>
      <c r="AL73" s="33">
        <f>AK73-SUM(Y73:AC73)</f>
        <v>9814.9389285714278</v>
      </c>
      <c r="AM73" s="33">
        <f>+AL73*0.12</f>
        <v>1177.7926714285713</v>
      </c>
      <c r="AN73" s="33">
        <f>+AM73+AL73+AJ73</f>
        <v>10992.731599999999</v>
      </c>
      <c r="AO73" s="39"/>
      <c r="AP73" s="40">
        <v>0</v>
      </c>
      <c r="AQ73" s="40"/>
      <c r="AR73" s="40"/>
      <c r="AS73" s="40"/>
      <c r="AT73" s="40"/>
      <c r="AU73" s="40"/>
      <c r="AV73" s="40"/>
      <c r="AW73" s="40"/>
      <c r="AX73" s="40"/>
      <c r="AY73" s="40"/>
      <c r="AZ73" s="33">
        <f>SUM(AO73:AY73)</f>
        <v>0</v>
      </c>
      <c r="BA73" s="38"/>
      <c r="BB73" s="38"/>
      <c r="BC73" s="33">
        <f>SUM(BE73:BL73)*0.1+(BM73*0.5)</f>
        <v>0</v>
      </c>
      <c r="BD73" s="33">
        <f>SUM(BE73:BL73)+(BM73*0.5)</f>
        <v>0</v>
      </c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41">
        <f>AZ73+BA73+BB73+BD73-BC73</f>
        <v>0</v>
      </c>
      <c r="BS73" s="145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</row>
    <row r="74" spans="1:96" ht="15.75" thickBot="1" x14ac:dyDescent="0.3">
      <c r="A74" s="42"/>
      <c r="B74" s="43"/>
      <c r="C74" s="44">
        <f>SUBTOTAL(9,C72:C73)</f>
        <v>23535.040000000001</v>
      </c>
      <c r="D74" s="45">
        <f>SUBTOTAL(9,D72:D73)</f>
        <v>15037.050000000001</v>
      </c>
      <c r="E74" s="45">
        <f>SUBTOTAL(9,E72:E73)</f>
        <v>15038</v>
      </c>
      <c r="F74" s="47"/>
      <c r="G74" s="45">
        <f>SUBTOTAL(9,G72:G73)</f>
        <v>0</v>
      </c>
      <c r="H74" s="45">
        <f>SUBTOTAL(9,H72:H73)</f>
        <v>0.94999999999890861</v>
      </c>
      <c r="I74" s="45">
        <f>SUBTOTAL(9,I72:I73)</f>
        <v>0</v>
      </c>
      <c r="J74" s="45">
        <f>SUBTOTAL(9,J72:J73)</f>
        <v>0</v>
      </c>
      <c r="K74" s="158">
        <f>SUBTOTAL(9,K72:K73)</f>
        <v>5655.85</v>
      </c>
      <c r="L74" s="45">
        <f>SUBTOTAL(9,L72:L73)</f>
        <v>0</v>
      </c>
      <c r="M74" s="46">
        <f>SUBTOTAL(9,M72:M73)</f>
        <v>121.600775</v>
      </c>
      <c r="N74" s="46">
        <f>SUBTOTAL(9,N72:N73)</f>
        <v>28.279250000000001</v>
      </c>
      <c r="O74" s="46">
        <f>SUBTOTAL(9,O72:O73)</f>
        <v>5505.969975</v>
      </c>
      <c r="P74" s="46">
        <f>SUBTOTAL(9,P72:P73)</f>
        <v>0</v>
      </c>
      <c r="Q74" s="47">
        <f>SUBTOTAL(9,Q72:Q73)</f>
        <v>0</v>
      </c>
      <c r="R74" s="45">
        <f>SUBTOTAL(9,R72:R73)</f>
        <v>0</v>
      </c>
      <c r="S74" s="45">
        <f>SUBTOTAL(9,S72:S73)</f>
        <v>0</v>
      </c>
      <c r="T74" s="46">
        <f>SUBTOTAL(9,T72:T73)</f>
        <v>0</v>
      </c>
      <c r="U74" s="46">
        <f>SUBTOTAL(9,U72:U73)</f>
        <v>0</v>
      </c>
      <c r="V74" s="46">
        <f>SUBTOTAL(9,V72:V73)</f>
        <v>0</v>
      </c>
      <c r="W74" s="46">
        <f>SUBTOTAL(9,W72:W73)</f>
        <v>0</v>
      </c>
      <c r="X74" s="47">
        <f>SUBTOTAL(9,X72:X73)</f>
        <v>0</v>
      </c>
      <c r="Y74" s="45">
        <f>SUBTOTAL(9,Y72:Y73)</f>
        <v>0</v>
      </c>
      <c r="Z74" s="45">
        <f>SUBTOTAL(9,Z72:Z73)</f>
        <v>61</v>
      </c>
      <c r="AA74" s="45">
        <f>SUBTOTAL(9,AA72:AA73)</f>
        <v>0</v>
      </c>
      <c r="AB74" s="45">
        <f>SUBTOTAL(9,AB72:AB73)</f>
        <v>0</v>
      </c>
      <c r="AC74" s="45">
        <f>SUBTOTAL(9,AC72:AC73)</f>
        <v>386.14</v>
      </c>
      <c r="AD74" s="48">
        <f>SUBTOTAL(9,AD72:AD73)</f>
        <v>0</v>
      </c>
      <c r="AE74" s="48">
        <f>SUBTOTAL(9,AE72:AE73)</f>
        <v>2395</v>
      </c>
      <c r="AF74" s="45"/>
      <c r="AG74" s="44">
        <f>SUBTOTAL(9,AG72:AG73)</f>
        <v>1151.7228</v>
      </c>
      <c r="AH74" s="44">
        <f>SUBTOTAL(9,AH72:AH73)</f>
        <v>203.24520000000001</v>
      </c>
      <c r="AI74" s="44">
        <f>SUBTOTAL(9,AI72:AI73)</f>
        <v>338.74200000000002</v>
      </c>
      <c r="AJ74" s="45" t="e">
        <f>SUBTOTAL(9,#REF!)</f>
        <v>#REF!</v>
      </c>
      <c r="AK74" s="44">
        <f>SUBTOTAL(9,AK72:AK73)</f>
        <v>19501.1875</v>
      </c>
      <c r="AL74" s="44">
        <f>SUBTOTAL(9,AL72:AL73)</f>
        <v>19054.047500000001</v>
      </c>
      <c r="AM74" s="44">
        <f>SUBTOTAL(9,AM72:AM73)</f>
        <v>2286.4856999999997</v>
      </c>
      <c r="AN74" s="44">
        <f>SUBTOTAL(9,AN72:AN73)</f>
        <v>21340.533199999998</v>
      </c>
      <c r="AO74" s="49">
        <f t="shared" ref="R74:BP74" si="87">SUBTOTAL(9,AO72:AO73)</f>
        <v>0</v>
      </c>
      <c r="AP74" s="49">
        <f t="shared" si="87"/>
        <v>0</v>
      </c>
      <c r="AQ74" s="49">
        <f t="shared" si="87"/>
        <v>0</v>
      </c>
      <c r="AR74" s="49">
        <f t="shared" si="87"/>
        <v>0</v>
      </c>
      <c r="AS74" s="49">
        <f t="shared" si="87"/>
        <v>0</v>
      </c>
      <c r="AT74" s="49">
        <f t="shared" si="87"/>
        <v>0</v>
      </c>
      <c r="AU74" s="49">
        <f>SUBTOTAL(9,AU72:AU73)</f>
        <v>0</v>
      </c>
      <c r="AV74" s="49">
        <f t="shared" si="87"/>
        <v>0</v>
      </c>
      <c r="AW74" s="49">
        <f t="shared" si="87"/>
        <v>0</v>
      </c>
      <c r="AX74" s="49">
        <f t="shared" si="87"/>
        <v>0</v>
      </c>
      <c r="AY74" s="49">
        <f t="shared" si="87"/>
        <v>0</v>
      </c>
      <c r="AZ74" s="44">
        <f t="shared" si="87"/>
        <v>0</v>
      </c>
      <c r="BA74" s="48">
        <f t="shared" si="87"/>
        <v>0</v>
      </c>
      <c r="BB74" s="48">
        <f t="shared" si="87"/>
        <v>0</v>
      </c>
      <c r="BC74" s="44">
        <f t="shared" si="87"/>
        <v>0</v>
      </c>
      <c r="BD74" s="44">
        <f t="shared" si="87"/>
        <v>0</v>
      </c>
      <c r="BE74" s="49">
        <f>SUBTOTAL(9,BE72:BE73)</f>
        <v>0</v>
      </c>
      <c r="BF74" s="49">
        <f t="shared" si="87"/>
        <v>0</v>
      </c>
      <c r="BG74" s="49">
        <f t="shared" si="87"/>
        <v>0</v>
      </c>
      <c r="BH74" s="49">
        <f t="shared" si="87"/>
        <v>0</v>
      </c>
      <c r="BI74" s="49">
        <f t="shared" si="87"/>
        <v>0</v>
      </c>
      <c r="BJ74" s="49">
        <f t="shared" si="87"/>
        <v>0</v>
      </c>
      <c r="BK74" s="49">
        <f t="shared" si="87"/>
        <v>0</v>
      </c>
      <c r="BL74" s="49">
        <f t="shared" si="87"/>
        <v>0</v>
      </c>
      <c r="BM74" s="49">
        <f t="shared" si="87"/>
        <v>0</v>
      </c>
      <c r="BN74" s="49">
        <f t="shared" si="87"/>
        <v>0</v>
      </c>
      <c r="BO74" s="49">
        <f t="shared" si="87"/>
        <v>0</v>
      </c>
      <c r="BP74" s="49">
        <f t="shared" si="87"/>
        <v>0</v>
      </c>
      <c r="BQ74" s="44">
        <f>SUBTOTAL(9,BQ72:BQ73)</f>
        <v>0</v>
      </c>
    </row>
    <row r="75" spans="1:96" x14ac:dyDescent="0.25">
      <c r="A75" s="187">
        <f>+A72+1</f>
        <v>43669</v>
      </c>
      <c r="B75" s="16" t="s">
        <v>43</v>
      </c>
      <c r="C75" s="33">
        <v>19599.79</v>
      </c>
      <c r="D75" s="34">
        <v>10009.08</v>
      </c>
      <c r="E75" s="34">
        <v>10010</v>
      </c>
      <c r="F75" s="35">
        <v>43669</v>
      </c>
      <c r="G75" s="33">
        <f t="shared" ref="G75:G76" si="88">IF(E75-D75&lt;0,E75-D75,0)*-1</f>
        <v>0</v>
      </c>
      <c r="H75" s="33">
        <f t="shared" ref="H75:H76" si="89">IF(E75-D75&gt;0,E75-D75,0)</f>
        <v>0.92000000000007276</v>
      </c>
      <c r="I75" s="34"/>
      <c r="J75" s="34"/>
      <c r="K75" s="34">
        <v>9090.09</v>
      </c>
      <c r="L75" s="34"/>
      <c r="M75" s="36">
        <f>(+K75)*M$5</f>
        <v>195.43693499999998</v>
      </c>
      <c r="N75" s="36">
        <f>(+K75)*N$5</f>
        <v>45.450450000000004</v>
      </c>
      <c r="O75" s="36">
        <f>+K75-M75-N75+P75</f>
        <v>8849.2026150000002</v>
      </c>
      <c r="P75" s="36"/>
      <c r="Q75" s="37"/>
      <c r="R75" s="34"/>
      <c r="S75" s="34"/>
      <c r="T75" s="36"/>
      <c r="U75" s="36"/>
      <c r="V75" s="36"/>
      <c r="W75" s="36"/>
      <c r="X75" s="37"/>
      <c r="Y75" s="34"/>
      <c r="Z75" s="34"/>
      <c r="AA75" s="34"/>
      <c r="AB75" s="34"/>
      <c r="AC75" s="34">
        <v>140.62</v>
      </c>
      <c r="AD75" s="38"/>
      <c r="AE75" s="38">
        <v>360</v>
      </c>
      <c r="AF75" s="34">
        <v>1459.16</v>
      </c>
      <c r="AG75" s="33">
        <f>(AF75*0.8)*0.85</f>
        <v>992.22880000000009</v>
      </c>
      <c r="AH75" s="33">
        <f>(AF75*0.8)*0.15</f>
        <v>175.09920000000002</v>
      </c>
      <c r="AI75" s="33">
        <f>AF75*0.2</f>
        <v>291.83200000000005</v>
      </c>
      <c r="AJ75" s="34"/>
      <c r="AK75" s="33">
        <f>(C75-AF75-AJ75)/1.12</f>
        <v>16196.991071428571</v>
      </c>
      <c r="AL75" s="33">
        <f>AK75-SUM(Y75:AC75)</f>
        <v>16056.37107142857</v>
      </c>
      <c r="AM75" s="33">
        <f>+AL75*0.12</f>
        <v>1926.7645285714284</v>
      </c>
      <c r="AN75" s="33">
        <f>+AM75+AL75+AJ75</f>
        <v>17983.135599999998</v>
      </c>
      <c r="AO75" s="39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33">
        <f>SUM(AO75:AY75)</f>
        <v>0</v>
      </c>
      <c r="BA75" s="38"/>
      <c r="BB75" s="38"/>
      <c r="BC75" s="33">
        <f>SUM(BE75:BL75)*0.1+(BM75*0.5)</f>
        <v>0</v>
      </c>
      <c r="BD75" s="33">
        <f>SUM(BE75:BL75)+(BM75*0.5)</f>
        <v>0</v>
      </c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41">
        <f>AZ75+BA75+BB75+BD75-BC75</f>
        <v>0</v>
      </c>
      <c r="BS75" s="145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</row>
    <row r="76" spans="1:96" ht="15.75" thickBot="1" x14ac:dyDescent="0.3">
      <c r="A76" s="188"/>
      <c r="B76" s="16" t="s">
        <v>44</v>
      </c>
      <c r="C76" s="33">
        <v>9780.4699999999993</v>
      </c>
      <c r="D76" s="34">
        <v>8421.81</v>
      </c>
      <c r="E76" s="34">
        <v>8422</v>
      </c>
      <c r="F76" s="35">
        <v>43670</v>
      </c>
      <c r="G76" s="33">
        <f t="shared" si="88"/>
        <v>0</v>
      </c>
      <c r="H76" s="33">
        <f t="shared" si="89"/>
        <v>0.19000000000050932</v>
      </c>
      <c r="I76" s="34"/>
      <c r="J76" s="34"/>
      <c r="K76" s="34">
        <v>865.98</v>
      </c>
      <c r="L76" s="34"/>
      <c r="M76" s="36">
        <f>(+K76)*M$5</f>
        <v>18.618569999999998</v>
      </c>
      <c r="N76" s="36">
        <f>(+K76)*N$5</f>
        <v>4.3299000000000003</v>
      </c>
      <c r="O76" s="36">
        <f>+K76-M76-N76+P76</f>
        <v>843.03153000000009</v>
      </c>
      <c r="P76" s="36"/>
      <c r="Q76" s="37"/>
      <c r="R76" s="34"/>
      <c r="S76" s="34"/>
      <c r="T76" s="36"/>
      <c r="U76" s="36"/>
      <c r="V76" s="36"/>
      <c r="W76" s="36"/>
      <c r="X76" s="37"/>
      <c r="Y76" s="34"/>
      <c r="Z76" s="34">
        <v>67.5</v>
      </c>
      <c r="AA76" s="34"/>
      <c r="AB76" s="34"/>
      <c r="AC76" s="34">
        <v>65.180000000000007</v>
      </c>
      <c r="AD76" s="38"/>
      <c r="AE76" s="38">
        <v>360</v>
      </c>
      <c r="AF76" s="34">
        <v>744.58</v>
      </c>
      <c r="AG76" s="33">
        <f>(AF76*0.8)*0.85</f>
        <v>506.31440000000009</v>
      </c>
      <c r="AH76" s="33">
        <f>(AF76*0.8)*0.15</f>
        <v>89.349600000000009</v>
      </c>
      <c r="AI76" s="33">
        <f>AF76*0.2</f>
        <v>148.91600000000003</v>
      </c>
      <c r="AJ76" s="34"/>
      <c r="AK76" s="33">
        <f>(C76-AF76-AJ76)/1.12</f>
        <v>8067.7589285714275</v>
      </c>
      <c r="AL76" s="33">
        <f>AK76-SUM(Y76:AC76)</f>
        <v>7935.0789285714272</v>
      </c>
      <c r="AM76" s="33">
        <f>+AL76*0.12</f>
        <v>952.20947142857119</v>
      </c>
      <c r="AN76" s="33">
        <f>+AM76+AL76+AJ76</f>
        <v>8887.2883999999976</v>
      </c>
      <c r="AO76" s="39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33">
        <f>SUM(AO76:AY76)</f>
        <v>0</v>
      </c>
      <c r="BA76" s="38"/>
      <c r="BB76" s="38">
        <v>0</v>
      </c>
      <c r="BC76" s="33"/>
      <c r="BD76" s="33"/>
      <c r="BE76" s="39"/>
      <c r="BF76" s="39">
        <v>0</v>
      </c>
      <c r="BG76" s="39"/>
      <c r="BH76" s="39">
        <v>0</v>
      </c>
      <c r="BI76" s="39"/>
      <c r="BJ76" s="39"/>
      <c r="BK76" s="39"/>
      <c r="BL76" s="39"/>
      <c r="BM76" s="39"/>
      <c r="BN76" s="39"/>
      <c r="BO76" s="39"/>
      <c r="BP76" s="39"/>
      <c r="BQ76" s="41">
        <f>AZ76+BA76+BB76+BD76-BC76</f>
        <v>0</v>
      </c>
      <c r="BS76" s="145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</row>
    <row r="77" spans="1:96" ht="15.75" thickBot="1" x14ac:dyDescent="0.3">
      <c r="A77" s="42"/>
      <c r="B77" s="43"/>
      <c r="C77" s="44">
        <f>SUBTOTAL(9,C75:C76)</f>
        <v>29380.260000000002</v>
      </c>
      <c r="D77" s="45">
        <f>SUBTOTAL(9,D75:D76)</f>
        <v>18430.89</v>
      </c>
      <c r="E77" s="45">
        <f>SUBTOTAL(9,E75:E76)</f>
        <v>18432</v>
      </c>
      <c r="F77" s="47"/>
      <c r="G77" s="45">
        <f>SUBTOTAL(9,G75:G76)</f>
        <v>0</v>
      </c>
      <c r="H77" s="45">
        <f>SUBTOTAL(9,H75:H76)</f>
        <v>1.1100000000005821</v>
      </c>
      <c r="I77" s="45">
        <f>SUBTOTAL(9,I75:I76)</f>
        <v>0</v>
      </c>
      <c r="J77" s="45">
        <f>SUBTOTAL(9,J75:J76)</f>
        <v>0</v>
      </c>
      <c r="K77" s="158">
        <f>SUBTOTAL(9,K75:K76)</f>
        <v>9956.07</v>
      </c>
      <c r="L77" s="45">
        <f>SUBTOTAL(9,L75:L76)</f>
        <v>0</v>
      </c>
      <c r="M77" s="46">
        <f>SUBTOTAL(9,M75:M76)</f>
        <v>214.05550499999998</v>
      </c>
      <c r="N77" s="46">
        <f>SUBTOTAL(9,N75:N76)</f>
        <v>49.780350000000006</v>
      </c>
      <c r="O77" s="46">
        <f>SUBTOTAL(9,O75:O76)</f>
        <v>9692.2341450000004</v>
      </c>
      <c r="P77" s="46">
        <f>SUBTOTAL(9,P75:P76)</f>
        <v>0</v>
      </c>
      <c r="Q77" s="47">
        <f>SUBTOTAL(9,Q75:Q76)</f>
        <v>0</v>
      </c>
      <c r="R77" s="45">
        <f>SUBTOTAL(9,R75:R76)</f>
        <v>0</v>
      </c>
      <c r="S77" s="45">
        <f>SUBTOTAL(9,S75:S76)</f>
        <v>0</v>
      </c>
      <c r="T77" s="46">
        <f>SUBTOTAL(9,T75:T76)</f>
        <v>0</v>
      </c>
      <c r="U77" s="46">
        <f>SUBTOTAL(9,U75:U76)</f>
        <v>0</v>
      </c>
      <c r="V77" s="46">
        <f>SUBTOTAL(9,V75:V76)</f>
        <v>0</v>
      </c>
      <c r="W77" s="46">
        <f>SUBTOTAL(9,W75:W76)</f>
        <v>0</v>
      </c>
      <c r="X77" s="47">
        <f>SUBTOTAL(9,X75:X76)</f>
        <v>0</v>
      </c>
      <c r="Y77" s="45">
        <f>SUBTOTAL(9,Y75:Y76)</f>
        <v>0</v>
      </c>
      <c r="Z77" s="45">
        <f>SUBTOTAL(9,Z75:Z76)</f>
        <v>67.5</v>
      </c>
      <c r="AA77" s="45">
        <f>SUBTOTAL(9,AA75:AA76)</f>
        <v>0</v>
      </c>
      <c r="AB77" s="45">
        <f>SUBTOTAL(9,AB75:AB76)</f>
        <v>0</v>
      </c>
      <c r="AC77" s="45">
        <f>SUBTOTAL(9,AC75:AC76)</f>
        <v>205.8</v>
      </c>
      <c r="AD77" s="48">
        <f>SUBTOTAL(9,AD75:AD76)</f>
        <v>0</v>
      </c>
      <c r="AE77" s="48">
        <f>SUBTOTAL(9,AE75:AE76)</f>
        <v>720</v>
      </c>
      <c r="AF77" s="45"/>
      <c r="AG77" s="44">
        <f>SUBTOTAL(9,AG75:AG76)</f>
        <v>1498.5432000000001</v>
      </c>
      <c r="AH77" s="44">
        <f>SUBTOTAL(9,AH75:AH76)</f>
        <v>264.44880000000001</v>
      </c>
      <c r="AI77" s="44">
        <f>SUBTOTAL(9,AI75:AI76)</f>
        <v>440.74800000000005</v>
      </c>
      <c r="AJ77" s="45" t="e">
        <f>SUBTOTAL(9,#REF!)</f>
        <v>#REF!</v>
      </c>
      <c r="AK77" s="44">
        <f>SUBTOTAL(9,AK75:AK76)</f>
        <v>24264.75</v>
      </c>
      <c r="AL77" s="44">
        <f>SUBTOTAL(9,AL75:AL76)</f>
        <v>23991.449999999997</v>
      </c>
      <c r="AM77" s="44">
        <f>SUBTOTAL(9,AM75:AM76)</f>
        <v>2878.9739999999997</v>
      </c>
      <c r="AN77" s="44">
        <f>SUBTOTAL(9,AN75:AN76)</f>
        <v>26870.423999999995</v>
      </c>
      <c r="AO77" s="49">
        <f t="shared" ref="R77:BP77" si="90">SUBTOTAL(9,AO75:AO76)</f>
        <v>0</v>
      </c>
      <c r="AP77" s="49">
        <f t="shared" si="90"/>
        <v>0</v>
      </c>
      <c r="AQ77" s="49">
        <f t="shared" si="90"/>
        <v>0</v>
      </c>
      <c r="AR77" s="49">
        <f t="shared" si="90"/>
        <v>0</v>
      </c>
      <c r="AS77" s="49">
        <f t="shared" si="90"/>
        <v>0</v>
      </c>
      <c r="AT77" s="49">
        <f t="shared" si="90"/>
        <v>0</v>
      </c>
      <c r="AU77" s="49">
        <f>SUBTOTAL(9,AU75:AU76)</f>
        <v>0</v>
      </c>
      <c r="AV77" s="49">
        <f t="shared" si="90"/>
        <v>0</v>
      </c>
      <c r="AW77" s="49">
        <f t="shared" si="90"/>
        <v>0</v>
      </c>
      <c r="AX77" s="49">
        <f t="shared" si="90"/>
        <v>0</v>
      </c>
      <c r="AY77" s="49">
        <f t="shared" si="90"/>
        <v>0</v>
      </c>
      <c r="AZ77" s="44">
        <f t="shared" si="90"/>
        <v>0</v>
      </c>
      <c r="BA77" s="48">
        <f t="shared" si="90"/>
        <v>0</v>
      </c>
      <c r="BB77" s="48">
        <f t="shared" si="90"/>
        <v>0</v>
      </c>
      <c r="BC77" s="44">
        <f t="shared" si="90"/>
        <v>0</v>
      </c>
      <c r="BD77" s="44">
        <f t="shared" si="90"/>
        <v>0</v>
      </c>
      <c r="BE77" s="49">
        <f>SUBTOTAL(9,BE75:BE76)</f>
        <v>0</v>
      </c>
      <c r="BF77" s="49">
        <f t="shared" si="90"/>
        <v>0</v>
      </c>
      <c r="BG77" s="49">
        <f t="shared" si="90"/>
        <v>0</v>
      </c>
      <c r="BH77" s="49">
        <f t="shared" si="90"/>
        <v>0</v>
      </c>
      <c r="BI77" s="49">
        <f t="shared" si="90"/>
        <v>0</v>
      </c>
      <c r="BJ77" s="49">
        <f t="shared" si="90"/>
        <v>0</v>
      </c>
      <c r="BK77" s="49">
        <f t="shared" si="90"/>
        <v>0</v>
      </c>
      <c r="BL77" s="49">
        <f t="shared" si="90"/>
        <v>0</v>
      </c>
      <c r="BM77" s="49">
        <f t="shared" si="90"/>
        <v>0</v>
      </c>
      <c r="BN77" s="49">
        <f t="shared" si="90"/>
        <v>0</v>
      </c>
      <c r="BO77" s="49">
        <f t="shared" si="90"/>
        <v>0</v>
      </c>
      <c r="BP77" s="49">
        <f t="shared" si="90"/>
        <v>0</v>
      </c>
      <c r="BQ77" s="44">
        <f>SUBTOTAL(9,BQ75:BQ76)</f>
        <v>0</v>
      </c>
    </row>
    <row r="78" spans="1:96" x14ac:dyDescent="0.25">
      <c r="A78" s="187">
        <f>+A75+1</f>
        <v>43670</v>
      </c>
      <c r="B78" s="16" t="s">
        <v>43</v>
      </c>
      <c r="C78" s="33">
        <v>15206.52</v>
      </c>
      <c r="D78" s="34">
        <v>11255.8</v>
      </c>
      <c r="E78" s="34">
        <v>11256</v>
      </c>
      <c r="F78" s="35">
        <v>43670</v>
      </c>
      <c r="G78" s="33">
        <f>IF(E78-D78&lt;0,E78-D78,0)*-1</f>
        <v>0</v>
      </c>
      <c r="H78" s="33">
        <f>IF(E78-D78&gt;0,E78-D78,0)</f>
        <v>0.2000000000007276</v>
      </c>
      <c r="I78" s="34"/>
      <c r="J78" s="34"/>
      <c r="K78" s="34">
        <v>2788.58</v>
      </c>
      <c r="L78" s="34"/>
      <c r="M78" s="36">
        <f>(+K78)*M$5</f>
        <v>59.954469999999993</v>
      </c>
      <c r="N78" s="36">
        <f>(+K78)*N$5</f>
        <v>13.9429</v>
      </c>
      <c r="O78" s="36">
        <f>+K78-M78-N78+P78</f>
        <v>2714.6826299999998</v>
      </c>
      <c r="P78" s="36">
        <f>L78-(L78*(M$5+N$5))</f>
        <v>0</v>
      </c>
      <c r="Q78" s="37"/>
      <c r="R78" s="34"/>
      <c r="S78" s="34"/>
      <c r="T78" s="36">
        <f>+R78*T$5</f>
        <v>0</v>
      </c>
      <c r="U78" s="36">
        <f>+R78*U$5</f>
        <v>0</v>
      </c>
      <c r="V78" s="36">
        <f>+R78-T78-U78+W78</f>
        <v>0</v>
      </c>
      <c r="W78" s="36">
        <f>+S78-(S78*(T$5+U$5))</f>
        <v>0</v>
      </c>
      <c r="X78" s="37"/>
      <c r="Y78" s="34"/>
      <c r="Z78" s="34"/>
      <c r="AA78" s="34"/>
      <c r="AB78" s="34"/>
      <c r="AC78" s="34">
        <v>207.14</v>
      </c>
      <c r="AD78" s="38"/>
      <c r="AE78" s="38">
        <v>955</v>
      </c>
      <c r="AF78" s="34">
        <v>1145.81</v>
      </c>
      <c r="AG78" s="33">
        <f>(AF78*0.8)*0.85</f>
        <v>779.1508</v>
      </c>
      <c r="AH78" s="33">
        <f>(AF78*0.8)*0.15</f>
        <v>137.49719999999999</v>
      </c>
      <c r="AI78" s="33">
        <f>AF78*0.2</f>
        <v>229.16200000000001</v>
      </c>
      <c r="AJ78" s="34"/>
      <c r="AK78" s="33">
        <f t="shared" ref="AK78:AK79" si="91">(C78-AF78-AJ78)/1.12</f>
        <v>12554.205357142857</v>
      </c>
      <c r="AL78" s="33">
        <f t="shared" ref="AL78:AL79" si="92">AK78-SUM(Y78:AC78)</f>
        <v>12347.065357142857</v>
      </c>
      <c r="AM78" s="33">
        <f t="shared" ref="AM78:AM79" si="93">+AL78*0.12</f>
        <v>1481.6478428571429</v>
      </c>
      <c r="AN78" s="33">
        <f t="shared" ref="AN77:AN100" si="94">+AM78+AL78+AJ78</f>
        <v>13828.7132</v>
      </c>
      <c r="AO78" s="39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33">
        <f>SUM(AO78:AY78)</f>
        <v>0</v>
      </c>
      <c r="BA78" s="38"/>
      <c r="BB78" s="38"/>
      <c r="BC78" s="33">
        <f>SUM(BE78:BL78)*0.1+(BM78*0.5)</f>
        <v>0</v>
      </c>
      <c r="BD78" s="33">
        <f>SUM(BE78:BL78)+(BM78*0.5)</f>
        <v>0</v>
      </c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41">
        <f>AZ78+BA78+BB78+BD78-BC78</f>
        <v>0</v>
      </c>
      <c r="BS78" s="145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</row>
    <row r="79" spans="1:96" ht="15.75" thickBot="1" x14ac:dyDescent="0.3">
      <c r="A79" s="188"/>
      <c r="B79" s="16" t="s">
        <v>44</v>
      </c>
      <c r="C79" s="33">
        <v>16887.59</v>
      </c>
      <c r="D79" s="34">
        <v>4669.6499999999996</v>
      </c>
      <c r="E79" s="34">
        <v>4670</v>
      </c>
      <c r="F79" s="35">
        <v>43671</v>
      </c>
      <c r="G79" s="33">
        <f>IF(E79-D79&lt;0,E79-D79,0)*-1</f>
        <v>0</v>
      </c>
      <c r="H79" s="33">
        <f>IF(E79-D79&gt;0,E79-D79,0)</f>
        <v>0.3500000000003638</v>
      </c>
      <c r="I79" s="34"/>
      <c r="J79" s="34"/>
      <c r="K79" s="34">
        <v>11442.94</v>
      </c>
      <c r="L79" s="34"/>
      <c r="M79" s="36">
        <f>(+K79)*M$5</f>
        <v>246.02320999999998</v>
      </c>
      <c r="N79" s="36">
        <f>(+K79)*N$5</f>
        <v>57.214700000000001</v>
      </c>
      <c r="O79" s="36">
        <f>+K79-M79-N79+P79</f>
        <v>11139.702090000001</v>
      </c>
      <c r="P79" s="36">
        <f>L79-(L79*(M$5+N$5))</f>
        <v>0</v>
      </c>
      <c r="Q79" s="37"/>
      <c r="R79" s="34"/>
      <c r="S79" s="34"/>
      <c r="T79" s="36">
        <f>+R79*T$5</f>
        <v>0</v>
      </c>
      <c r="U79" s="36">
        <f>+R79*U$5</f>
        <v>0</v>
      </c>
      <c r="V79" s="36">
        <f>+R79-T79-U79+W79</f>
        <v>0</v>
      </c>
      <c r="W79" s="36">
        <f>+S79-(S79*(T$5+U$5))</f>
        <v>0</v>
      </c>
      <c r="X79" s="37"/>
      <c r="Y79" s="34"/>
      <c r="Z79" s="34"/>
      <c r="AA79" s="34"/>
      <c r="AB79" s="34"/>
      <c r="AC79" s="34"/>
      <c r="AD79" s="38"/>
      <c r="AE79" s="38">
        <v>775</v>
      </c>
      <c r="AF79" s="34">
        <v>1307.5899999999999</v>
      </c>
      <c r="AG79" s="33">
        <f>(AF79*0.8)*0.85</f>
        <v>889.16119999999989</v>
      </c>
      <c r="AH79" s="33">
        <f>(AF79*0.8)*0.15</f>
        <v>156.91079999999997</v>
      </c>
      <c r="AI79" s="33">
        <f>AF79*0.2</f>
        <v>261.51799999999997</v>
      </c>
      <c r="AJ79" s="34"/>
      <c r="AK79" s="33">
        <f t="shared" si="91"/>
        <v>13910.714285714284</v>
      </c>
      <c r="AL79" s="33">
        <f t="shared" si="92"/>
        <v>13910.714285714284</v>
      </c>
      <c r="AM79" s="33">
        <f t="shared" si="93"/>
        <v>1669.285714285714</v>
      </c>
      <c r="AN79" s="33">
        <f t="shared" si="94"/>
        <v>15579.999999999998</v>
      </c>
      <c r="AO79" s="39">
        <v>225</v>
      </c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33">
        <f>SUM(AO79:AY79)</f>
        <v>225</v>
      </c>
      <c r="BA79" s="38"/>
      <c r="BB79" s="38"/>
      <c r="BC79" s="33">
        <v>0</v>
      </c>
      <c r="BD79" s="33">
        <v>0</v>
      </c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41">
        <f>AZ79+BA79+BB79+BD79-BC79</f>
        <v>225</v>
      </c>
      <c r="BS79" s="145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</row>
    <row r="80" spans="1:96" ht="15.75" thickBot="1" x14ac:dyDescent="0.3">
      <c r="A80" s="42"/>
      <c r="B80" s="43"/>
      <c r="C80" s="44">
        <f>SUBTOTAL(9,C78:C79)</f>
        <v>32094.11</v>
      </c>
      <c r="D80" s="45">
        <f>SUBTOTAL(9,D78:D79)</f>
        <v>15925.449999999999</v>
      </c>
      <c r="E80" s="45">
        <f>SUBTOTAL(9,E78:E79)</f>
        <v>15926</v>
      </c>
      <c r="F80" s="47"/>
      <c r="G80" s="45">
        <f>SUBTOTAL(9,G78:G79)</f>
        <v>0</v>
      </c>
      <c r="H80" s="45">
        <f>SUBTOTAL(9,H78:H79)</f>
        <v>0.55000000000109139</v>
      </c>
      <c r="I80" s="45">
        <f>SUBTOTAL(9,I78:I79)</f>
        <v>0</v>
      </c>
      <c r="J80" s="45">
        <f>SUBTOTAL(9,J78:J79)</f>
        <v>0</v>
      </c>
      <c r="K80" s="158">
        <f>SUBTOTAL(9,K78:K79)</f>
        <v>14231.52</v>
      </c>
      <c r="L80" s="45">
        <f>SUBTOTAL(9,L78:L79)</f>
        <v>0</v>
      </c>
      <c r="M80" s="46">
        <f>SUBTOTAL(9,M78:M79)</f>
        <v>305.97767999999996</v>
      </c>
      <c r="N80" s="46">
        <f>SUBTOTAL(9,N78:N79)</f>
        <v>71.157600000000002</v>
      </c>
      <c r="O80" s="46">
        <f>SUBTOTAL(9,O78:O79)</f>
        <v>13854.38472</v>
      </c>
      <c r="P80" s="46">
        <f>SUBTOTAL(9,P78:P79)</f>
        <v>0</v>
      </c>
      <c r="Q80" s="47">
        <f>SUBTOTAL(9,Q78:Q79)</f>
        <v>0</v>
      </c>
      <c r="R80" s="45">
        <f>SUBTOTAL(9,R78:R79)</f>
        <v>0</v>
      </c>
      <c r="S80" s="45">
        <f>SUBTOTAL(9,S78:S79)</f>
        <v>0</v>
      </c>
      <c r="T80" s="46">
        <f>SUBTOTAL(9,T78:T79)</f>
        <v>0</v>
      </c>
      <c r="U80" s="46">
        <f>SUBTOTAL(9,U78:U79)</f>
        <v>0</v>
      </c>
      <c r="V80" s="46">
        <f>SUBTOTAL(9,V78:V79)</f>
        <v>0</v>
      </c>
      <c r="W80" s="46">
        <f>SUBTOTAL(9,W78:W79)</f>
        <v>0</v>
      </c>
      <c r="X80" s="47">
        <f>SUBTOTAL(9,X78:X79)</f>
        <v>0</v>
      </c>
      <c r="Y80" s="45">
        <f>SUBTOTAL(9,Y78:Y79)</f>
        <v>0</v>
      </c>
      <c r="Z80" s="45">
        <f>SUBTOTAL(9,Z78:Z79)</f>
        <v>0</v>
      </c>
      <c r="AA80" s="45">
        <f>SUBTOTAL(9,AA78:AA79)</f>
        <v>0</v>
      </c>
      <c r="AB80" s="45">
        <f>SUBTOTAL(9,AB78:AB79)</f>
        <v>0</v>
      </c>
      <c r="AC80" s="45">
        <f>SUBTOTAL(9,AC78:AC79)</f>
        <v>207.14</v>
      </c>
      <c r="AD80" s="48">
        <f>SUBTOTAL(9,AD78:AD79)</f>
        <v>0</v>
      </c>
      <c r="AE80" s="48">
        <f>SUBTOTAL(9,AE78:AE79)</f>
        <v>1730</v>
      </c>
      <c r="AF80" s="45"/>
      <c r="AG80" s="44">
        <f>SUBTOTAL(9,AG78:AG79)</f>
        <v>1668.3119999999999</v>
      </c>
      <c r="AH80" s="44">
        <f>SUBTOTAL(9,AH78:AH79)</f>
        <v>294.40799999999996</v>
      </c>
      <c r="AI80" s="44">
        <f>SUBTOTAL(9,AI78:AI79)</f>
        <v>490.67999999999995</v>
      </c>
      <c r="AJ80" s="45" t="e">
        <f>SUBTOTAL(9,#REF!)</f>
        <v>#REF!</v>
      </c>
      <c r="AK80" s="44">
        <f>SUBTOTAL(9,AK78:AK79)</f>
        <v>26464.919642857141</v>
      </c>
      <c r="AL80" s="44">
        <f>SUBTOTAL(9,AL78:AL79)</f>
        <v>26257.779642857142</v>
      </c>
      <c r="AM80" s="44">
        <f>SUBTOTAL(9,AM78:AM79)</f>
        <v>3150.9335571428569</v>
      </c>
      <c r="AN80" s="44">
        <f>SUBTOTAL(9,AN78:AN79)</f>
        <v>29408.713199999998</v>
      </c>
      <c r="AO80" s="49">
        <f t="shared" ref="R80:BP80" si="95">SUBTOTAL(9,AO78:AO79)</f>
        <v>225</v>
      </c>
      <c r="AP80" s="49">
        <f t="shared" si="95"/>
        <v>0</v>
      </c>
      <c r="AQ80" s="49">
        <f t="shared" si="95"/>
        <v>0</v>
      </c>
      <c r="AR80" s="49">
        <f t="shared" si="95"/>
        <v>0</v>
      </c>
      <c r="AS80" s="49">
        <f t="shared" si="95"/>
        <v>0</v>
      </c>
      <c r="AT80" s="49">
        <f t="shared" si="95"/>
        <v>0</v>
      </c>
      <c r="AU80" s="49">
        <f>SUBTOTAL(9,AU78:AU79)</f>
        <v>0</v>
      </c>
      <c r="AV80" s="49">
        <f t="shared" si="95"/>
        <v>0</v>
      </c>
      <c r="AW80" s="49">
        <f t="shared" si="95"/>
        <v>0</v>
      </c>
      <c r="AX80" s="49">
        <f t="shared" si="95"/>
        <v>0</v>
      </c>
      <c r="AY80" s="49">
        <f t="shared" si="95"/>
        <v>0</v>
      </c>
      <c r="AZ80" s="44">
        <f t="shared" si="95"/>
        <v>225</v>
      </c>
      <c r="BA80" s="48">
        <f t="shared" si="95"/>
        <v>0</v>
      </c>
      <c r="BB80" s="48">
        <f t="shared" si="95"/>
        <v>0</v>
      </c>
      <c r="BC80" s="44">
        <f t="shared" si="95"/>
        <v>0</v>
      </c>
      <c r="BD80" s="44">
        <f t="shared" si="95"/>
        <v>0</v>
      </c>
      <c r="BE80" s="49">
        <f>SUBTOTAL(9,BE78:BE79)</f>
        <v>0</v>
      </c>
      <c r="BF80" s="49">
        <f t="shared" si="95"/>
        <v>0</v>
      </c>
      <c r="BG80" s="49">
        <f t="shared" si="95"/>
        <v>0</v>
      </c>
      <c r="BH80" s="49">
        <f t="shared" si="95"/>
        <v>0</v>
      </c>
      <c r="BI80" s="49">
        <f t="shared" si="95"/>
        <v>0</v>
      </c>
      <c r="BJ80" s="49">
        <f t="shared" si="95"/>
        <v>0</v>
      </c>
      <c r="BK80" s="49">
        <f t="shared" si="95"/>
        <v>0</v>
      </c>
      <c r="BL80" s="49">
        <f t="shared" si="95"/>
        <v>0</v>
      </c>
      <c r="BM80" s="49">
        <f t="shared" si="95"/>
        <v>0</v>
      </c>
      <c r="BN80" s="49">
        <f t="shared" si="95"/>
        <v>0</v>
      </c>
      <c r="BO80" s="49">
        <f t="shared" si="95"/>
        <v>0</v>
      </c>
      <c r="BP80" s="49">
        <f t="shared" si="95"/>
        <v>0</v>
      </c>
      <c r="BQ80" s="44">
        <f>SUBTOTAL(9,BQ78:BQ79)</f>
        <v>225</v>
      </c>
    </row>
    <row r="81" spans="1:96" x14ac:dyDescent="0.25">
      <c r="A81" s="187">
        <f>+A78+1</f>
        <v>43671</v>
      </c>
      <c r="B81" s="16" t="s">
        <v>43</v>
      </c>
      <c r="C81" s="33">
        <v>23563.85</v>
      </c>
      <c r="D81" s="34">
        <v>17730.38</v>
      </c>
      <c r="E81" s="34">
        <v>17731</v>
      </c>
      <c r="F81" s="35">
        <v>43671</v>
      </c>
      <c r="G81" s="33">
        <f>IF(E81-D81&lt;0,E81-D81,0)*-1</f>
        <v>0</v>
      </c>
      <c r="H81" s="33">
        <f>IF(E81-D81&gt;0,E81-D81,0)</f>
        <v>0.61999999999898137</v>
      </c>
      <c r="I81" s="34"/>
      <c r="J81" s="34"/>
      <c r="K81" s="34">
        <v>5400.67</v>
      </c>
      <c r="L81" s="34"/>
      <c r="M81" s="36">
        <f>(+K81)*M$5</f>
        <v>116.11440499999999</v>
      </c>
      <c r="N81" s="36">
        <f>(+K81)*N$5</f>
        <v>27.003350000000001</v>
      </c>
      <c r="O81" s="36">
        <f>+K81-M81-N81+P81</f>
        <v>5257.5522449999999</v>
      </c>
      <c r="P81" s="36">
        <f>L81-(L81*(M$5+N$5))</f>
        <v>0</v>
      </c>
      <c r="Q81" s="116"/>
      <c r="R81" s="34"/>
      <c r="S81" s="34"/>
      <c r="T81" s="36"/>
      <c r="U81" s="36"/>
      <c r="V81" s="36"/>
      <c r="W81" s="36"/>
      <c r="X81" s="37"/>
      <c r="Y81" s="34"/>
      <c r="Z81" s="34">
        <v>20</v>
      </c>
      <c r="AA81" s="34"/>
      <c r="AB81" s="34"/>
      <c r="AC81" s="34">
        <v>212.8</v>
      </c>
      <c r="AD81" s="38"/>
      <c r="AE81" s="38">
        <v>200</v>
      </c>
      <c r="AF81" s="34">
        <v>1623.53</v>
      </c>
      <c r="AG81" s="33">
        <f>(AF81*0.8)*0.85</f>
        <v>1104.0004000000001</v>
      </c>
      <c r="AH81" s="33">
        <f>(AF81*0.8)*0.15</f>
        <v>194.8236</v>
      </c>
      <c r="AI81" s="33">
        <f>AF81*0.2</f>
        <v>324.70600000000002</v>
      </c>
      <c r="AJ81" s="34"/>
      <c r="AK81" s="33">
        <f t="shared" ref="AK81:AK82" si="96">(C81-AF81-AJ81)/1.12</f>
        <v>19589.571428571428</v>
      </c>
      <c r="AL81" s="33">
        <f t="shared" ref="AL81:AL82" si="97">AK81-SUM(Y81:AC81)</f>
        <v>19356.771428571428</v>
      </c>
      <c r="AM81" s="33">
        <f t="shared" ref="AM81:AM82" si="98">+AL81*0.12</f>
        <v>2322.8125714285711</v>
      </c>
      <c r="AN81" s="33">
        <f t="shared" ref="AN81:AN82" si="99">+AM81+AL81+AJ81</f>
        <v>21679.583999999999</v>
      </c>
      <c r="AO81" s="39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33">
        <f>SUM(AO81:AY81)</f>
        <v>0</v>
      </c>
      <c r="BA81" s="38"/>
      <c r="BB81" s="38"/>
      <c r="BC81" s="33">
        <f>SUM(BE81:BL81)*0.1+(BM81*0.5)</f>
        <v>0</v>
      </c>
      <c r="BD81" s="33">
        <f>SUM(BE81:BL81)+(BM81*0.5)</f>
        <v>0</v>
      </c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41">
        <f>AZ81+BA81+BB81+BD81-BC81</f>
        <v>0</v>
      </c>
      <c r="BS81" s="145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</row>
    <row r="82" spans="1:96" ht="15.75" thickBot="1" x14ac:dyDescent="0.3">
      <c r="A82" s="188"/>
      <c r="B82" s="16" t="s">
        <v>44</v>
      </c>
      <c r="C82" s="33">
        <v>11266.56</v>
      </c>
      <c r="D82" s="34">
        <v>6471.42</v>
      </c>
      <c r="E82" s="34">
        <v>6742</v>
      </c>
      <c r="F82" s="35">
        <v>43672</v>
      </c>
      <c r="G82" s="33">
        <f>IF(E82-D82&lt;0,E82-D82,0)*-1</f>
        <v>0</v>
      </c>
      <c r="H82" s="33">
        <f>IF(E82-D82&gt;0,E82-D82,0)</f>
        <v>270.57999999999993</v>
      </c>
      <c r="I82" s="34"/>
      <c r="J82" s="34"/>
      <c r="K82" s="34">
        <v>2304.2800000000002</v>
      </c>
      <c r="L82" s="34"/>
      <c r="M82" s="36">
        <f>(+K82)*M$5</f>
        <v>49.542020000000001</v>
      </c>
      <c r="N82" s="36">
        <f>(+K82)*N$5</f>
        <v>11.521400000000002</v>
      </c>
      <c r="O82" s="36">
        <f>+K82-M82-N82+P82</f>
        <v>2243.2165800000002</v>
      </c>
      <c r="P82" s="36">
        <f>L82-(L82*(M$5+N$5))</f>
        <v>0</v>
      </c>
      <c r="Q82" s="37"/>
      <c r="R82" s="34"/>
      <c r="S82" s="34"/>
      <c r="T82" s="36"/>
      <c r="U82" s="36"/>
      <c r="V82" s="36"/>
      <c r="W82" s="36"/>
      <c r="X82" s="37"/>
      <c r="Y82" s="34"/>
      <c r="Z82" s="34">
        <v>155.5</v>
      </c>
      <c r="AA82" s="34"/>
      <c r="AB82" s="34"/>
      <c r="AC82" s="34">
        <v>130.36000000000001</v>
      </c>
      <c r="AD82" s="38"/>
      <c r="AE82" s="38">
        <v>1935</v>
      </c>
      <c r="AF82" s="34">
        <v>694.77</v>
      </c>
      <c r="AG82" s="33">
        <f>(AF82*0.8)*0.85</f>
        <v>472.4436</v>
      </c>
      <c r="AH82" s="33">
        <f>(AF82*0.8)*0.15</f>
        <v>83.372399999999999</v>
      </c>
      <c r="AI82" s="33">
        <f>AF82*0.2</f>
        <v>138.95400000000001</v>
      </c>
      <c r="AJ82" s="34"/>
      <c r="AK82" s="33">
        <f t="shared" si="96"/>
        <v>9439.0982142857119</v>
      </c>
      <c r="AL82" s="33">
        <f t="shared" si="97"/>
        <v>9153.2382142857114</v>
      </c>
      <c r="AM82" s="33">
        <f t="shared" si="98"/>
        <v>1098.3885857142852</v>
      </c>
      <c r="AN82" s="33">
        <f t="shared" si="99"/>
        <v>10251.626799999996</v>
      </c>
      <c r="AO82" s="39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33">
        <f>SUM(AO82:AY82)</f>
        <v>0</v>
      </c>
      <c r="BA82" s="38"/>
      <c r="BB82" s="38"/>
      <c r="BC82" s="33">
        <v>0</v>
      </c>
      <c r="BD82" s="33">
        <v>0</v>
      </c>
      <c r="BE82" s="39"/>
      <c r="BF82" s="39">
        <v>230</v>
      </c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41">
        <f>AZ82+BA82+BB82+BD82-BC82</f>
        <v>0</v>
      </c>
      <c r="BS82" s="145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</row>
    <row r="83" spans="1:96" ht="15.75" thickBot="1" x14ac:dyDescent="0.3">
      <c r="A83" s="42"/>
      <c r="B83" s="43"/>
      <c r="C83" s="44">
        <f>SUBTOTAL(9,C81:C82)</f>
        <v>34830.409999999996</v>
      </c>
      <c r="D83" s="45">
        <f>SUBTOTAL(9,D81:D82)</f>
        <v>24201.800000000003</v>
      </c>
      <c r="E83" s="45">
        <f>SUBTOTAL(9,E81:E82)</f>
        <v>24473</v>
      </c>
      <c r="F83" s="47"/>
      <c r="G83" s="45">
        <f>SUBTOTAL(9,G81:G82)</f>
        <v>0</v>
      </c>
      <c r="H83" s="45">
        <f>SUBTOTAL(9,H81:H82)</f>
        <v>271.19999999999891</v>
      </c>
      <c r="I83" s="45">
        <f>SUBTOTAL(9,I81:I82)</f>
        <v>0</v>
      </c>
      <c r="J83" s="45">
        <f>SUBTOTAL(9,J81:J82)</f>
        <v>0</v>
      </c>
      <c r="K83" s="158">
        <f>SUBTOTAL(9,K81:K82)</f>
        <v>7704.9500000000007</v>
      </c>
      <c r="L83" s="45">
        <f>SUBTOTAL(9,L81:L82)</f>
        <v>0</v>
      </c>
      <c r="M83" s="46">
        <f>SUBTOTAL(9,M81:M82)</f>
        <v>165.65642499999998</v>
      </c>
      <c r="N83" s="46">
        <f>SUBTOTAL(9,N81:N82)</f>
        <v>38.524750000000004</v>
      </c>
      <c r="O83" s="46">
        <f>SUBTOTAL(9,O81:O82)</f>
        <v>7500.7688250000001</v>
      </c>
      <c r="P83" s="46">
        <f>SUBTOTAL(9,P81:P82)</f>
        <v>0</v>
      </c>
      <c r="Q83" s="47">
        <f>SUBTOTAL(9,Q81:Q82)</f>
        <v>0</v>
      </c>
      <c r="R83" s="45">
        <f>SUBTOTAL(9,R81:R82)</f>
        <v>0</v>
      </c>
      <c r="S83" s="45">
        <f>SUBTOTAL(9,S81:S82)</f>
        <v>0</v>
      </c>
      <c r="T83" s="46">
        <f>SUBTOTAL(9,T81:T82)</f>
        <v>0</v>
      </c>
      <c r="U83" s="46">
        <f>SUBTOTAL(9,U81:U82)</f>
        <v>0</v>
      </c>
      <c r="V83" s="46">
        <f>SUBTOTAL(9,V81:V82)</f>
        <v>0</v>
      </c>
      <c r="W83" s="46">
        <f>SUBTOTAL(9,W81:W82)</f>
        <v>0</v>
      </c>
      <c r="X83" s="47">
        <f>SUBTOTAL(9,X81:X82)</f>
        <v>0</v>
      </c>
      <c r="Y83" s="45">
        <f>SUBTOTAL(9,Y81:Y82)</f>
        <v>0</v>
      </c>
      <c r="Z83" s="45">
        <f>SUBTOTAL(9,Z81:Z82)</f>
        <v>175.5</v>
      </c>
      <c r="AA83" s="45">
        <f>SUBTOTAL(9,AA81:AA82)</f>
        <v>0</v>
      </c>
      <c r="AB83" s="45">
        <f>SUBTOTAL(9,AB81:AB82)</f>
        <v>0</v>
      </c>
      <c r="AC83" s="45">
        <f>SUBTOTAL(9,AC81:AC82)</f>
        <v>343.16</v>
      </c>
      <c r="AD83" s="48">
        <f>SUBTOTAL(9,AD81:AD82)</f>
        <v>0</v>
      </c>
      <c r="AE83" s="48">
        <f>SUBTOTAL(9,AE81:AE82)</f>
        <v>2135</v>
      </c>
      <c r="AF83" s="45"/>
      <c r="AG83" s="44">
        <f>SUBTOTAL(9,AG81:AG82)</f>
        <v>1576.4440000000002</v>
      </c>
      <c r="AH83" s="44">
        <f>SUBTOTAL(9,AH81:AH82)</f>
        <v>278.19600000000003</v>
      </c>
      <c r="AI83" s="44">
        <f>SUBTOTAL(9,AI81:AI82)</f>
        <v>463.66</v>
      </c>
      <c r="AJ83" s="45" t="e">
        <f>SUBTOTAL(9,#REF!)</f>
        <v>#REF!</v>
      </c>
      <c r="AK83" s="44">
        <f>SUBTOTAL(9,AK81:AK82)</f>
        <v>29028.669642857138</v>
      </c>
      <c r="AL83" s="44">
        <f>SUBTOTAL(9,AL81:AL82)</f>
        <v>28510.009642857141</v>
      </c>
      <c r="AM83" s="44">
        <f>SUBTOTAL(9,AM81:AM82)</f>
        <v>3421.2011571428566</v>
      </c>
      <c r="AN83" s="44">
        <f>SUBTOTAL(9,AN81:AN82)</f>
        <v>31931.210799999993</v>
      </c>
      <c r="AO83" s="49">
        <f t="shared" ref="R83:BP83" si="100">SUBTOTAL(9,AO81:AO82)</f>
        <v>0</v>
      </c>
      <c r="AP83" s="49">
        <f t="shared" si="100"/>
        <v>0</v>
      </c>
      <c r="AQ83" s="49">
        <f t="shared" si="100"/>
        <v>0</v>
      </c>
      <c r="AR83" s="49">
        <f t="shared" si="100"/>
        <v>0</v>
      </c>
      <c r="AS83" s="49">
        <f t="shared" si="100"/>
        <v>0</v>
      </c>
      <c r="AT83" s="49">
        <f t="shared" si="100"/>
        <v>0</v>
      </c>
      <c r="AU83" s="49">
        <f>SUBTOTAL(9,AU81:AU82)</f>
        <v>0</v>
      </c>
      <c r="AV83" s="49">
        <f t="shared" si="100"/>
        <v>0</v>
      </c>
      <c r="AW83" s="49">
        <f t="shared" si="100"/>
        <v>0</v>
      </c>
      <c r="AX83" s="49">
        <f t="shared" si="100"/>
        <v>0</v>
      </c>
      <c r="AY83" s="49">
        <f t="shared" si="100"/>
        <v>0</v>
      </c>
      <c r="AZ83" s="44">
        <f t="shared" si="100"/>
        <v>0</v>
      </c>
      <c r="BA83" s="48" t="s">
        <v>1</v>
      </c>
      <c r="BB83" s="48">
        <f t="shared" si="100"/>
        <v>0</v>
      </c>
      <c r="BC83" s="44">
        <f t="shared" si="100"/>
        <v>0</v>
      </c>
      <c r="BD83" s="44">
        <f t="shared" si="100"/>
        <v>0</v>
      </c>
      <c r="BE83" s="49">
        <f>SUBTOTAL(9,BE81:BE82)</f>
        <v>0</v>
      </c>
      <c r="BF83" s="49"/>
      <c r="BG83" s="49">
        <f t="shared" si="100"/>
        <v>0</v>
      </c>
      <c r="BH83" s="49">
        <f t="shared" si="100"/>
        <v>0</v>
      </c>
      <c r="BI83" s="49">
        <f t="shared" si="100"/>
        <v>0</v>
      </c>
      <c r="BJ83" s="49">
        <f t="shared" si="100"/>
        <v>0</v>
      </c>
      <c r="BK83" s="49">
        <f t="shared" si="100"/>
        <v>0</v>
      </c>
      <c r="BL83" s="49">
        <f t="shared" si="100"/>
        <v>0</v>
      </c>
      <c r="BM83" s="49">
        <f t="shared" si="100"/>
        <v>0</v>
      </c>
      <c r="BN83" s="49">
        <f t="shared" si="100"/>
        <v>0</v>
      </c>
      <c r="BO83" s="49">
        <f t="shared" si="100"/>
        <v>0</v>
      </c>
      <c r="BP83" s="49">
        <f t="shared" si="100"/>
        <v>0</v>
      </c>
      <c r="BQ83" s="44">
        <f>SUBTOTAL(9,BQ81:BQ82)</f>
        <v>0</v>
      </c>
    </row>
    <row r="84" spans="1:96" x14ac:dyDescent="0.25">
      <c r="A84" s="187">
        <f>+A81+1</f>
        <v>43672</v>
      </c>
      <c r="B84" s="32" t="s">
        <v>43</v>
      </c>
      <c r="C84" s="33">
        <v>34546.11</v>
      </c>
      <c r="D84" s="34">
        <v>23152.63</v>
      </c>
      <c r="E84" s="34">
        <v>23155</v>
      </c>
      <c r="F84" s="35">
        <v>43675</v>
      </c>
      <c r="G84" s="33">
        <f>IF(E84-D84&lt;0,E84-D84,0)*-1</f>
        <v>0</v>
      </c>
      <c r="H84" s="33">
        <f>IF(E84-D84&gt;0,E84-D84,0)</f>
        <v>2.3699999999989814</v>
      </c>
      <c r="I84" s="34"/>
      <c r="J84" s="34"/>
      <c r="K84" s="34">
        <v>10395.56</v>
      </c>
      <c r="L84" s="34"/>
      <c r="M84" s="36">
        <f>(+K84)*M$5</f>
        <v>223.50453999999996</v>
      </c>
      <c r="N84" s="36">
        <f>(+K84)*N$5</f>
        <v>51.977800000000002</v>
      </c>
      <c r="O84" s="36">
        <f>+K84-M84-N84+P84</f>
        <v>10120.077659999999</v>
      </c>
      <c r="P84" s="36"/>
      <c r="Q84" s="37"/>
      <c r="R84" s="34"/>
      <c r="S84" s="34"/>
      <c r="T84" s="36"/>
      <c r="U84" s="36"/>
      <c r="V84" s="36"/>
      <c r="W84" s="36"/>
      <c r="X84" s="37"/>
      <c r="Y84" s="34"/>
      <c r="Z84" s="34"/>
      <c r="AA84" s="34"/>
      <c r="AB84" s="34"/>
      <c r="AC84" s="34">
        <v>522.91999999999996</v>
      </c>
      <c r="AD84" s="38"/>
      <c r="AE84" s="38">
        <v>475</v>
      </c>
      <c r="AF84" s="34">
        <v>2695.86</v>
      </c>
      <c r="AG84" s="33">
        <f>(AF84*0.8)*0.85</f>
        <v>1833.1848</v>
      </c>
      <c r="AH84" s="33">
        <f>(AF84*0.8)*0.15</f>
        <v>323.50319999999999</v>
      </c>
      <c r="AI84" s="33">
        <f>AF84*0.2</f>
        <v>539.17200000000003</v>
      </c>
      <c r="AJ84" s="34"/>
      <c r="AK84" s="33">
        <f t="shared" ref="AK84:AK85" si="101">(C84-AF84-AJ84)/1.12</f>
        <v>28437.72321428571</v>
      </c>
      <c r="AL84" s="33">
        <f t="shared" ref="AL84:AL85" si="102">AK84-SUM(Y84:AC84)</f>
        <v>27914.803214285712</v>
      </c>
      <c r="AM84" s="33">
        <f t="shared" ref="AM84:AM85" si="103">+AL84*0.12</f>
        <v>3349.7763857142854</v>
      </c>
      <c r="AN84" s="33">
        <f t="shared" si="94"/>
        <v>31264.579599999997</v>
      </c>
      <c r="AO84" s="39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33">
        <f>SUM(AO84:AY84)</f>
        <v>0</v>
      </c>
      <c r="BA84" s="38"/>
      <c r="BB84" s="38"/>
      <c r="BC84" s="33">
        <f>SUM(BE84:BL84)*0.1+(BM84*0.5)</f>
        <v>0</v>
      </c>
      <c r="BD84" s="33">
        <f>SUM(BE84:BL84)+(BM84*0.5)</f>
        <v>0</v>
      </c>
      <c r="BE84" s="39">
        <v>0</v>
      </c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41">
        <f>AZ84+BA84+BB84+BD84-BC84</f>
        <v>0</v>
      </c>
      <c r="BS84" s="145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</row>
    <row r="85" spans="1:96" ht="15.75" thickBot="1" x14ac:dyDescent="0.3">
      <c r="A85" s="188"/>
      <c r="B85" s="15" t="s">
        <v>44</v>
      </c>
      <c r="C85" s="33">
        <v>20801.91</v>
      </c>
      <c r="D85" s="34">
        <v>10896.59</v>
      </c>
      <c r="E85" s="34">
        <v>10905</v>
      </c>
      <c r="F85" s="35">
        <v>43675</v>
      </c>
      <c r="G85" s="33">
        <f>IF(E85-D85&lt;0,E85-D85,0)*-1</f>
        <v>0</v>
      </c>
      <c r="H85" s="33">
        <f>IF(E85-D85&gt;0,E85-D85,0)</f>
        <v>8.4099999999998545</v>
      </c>
      <c r="I85" s="34"/>
      <c r="J85" s="34"/>
      <c r="K85" s="34">
        <v>7506.82</v>
      </c>
      <c r="L85" s="34"/>
      <c r="M85" s="36">
        <f>(+K85)*M$5</f>
        <v>161.39662999999999</v>
      </c>
      <c r="N85" s="36">
        <f>(+K85)*N$5</f>
        <v>37.534100000000002</v>
      </c>
      <c r="O85" s="36">
        <f>+K85-M85-N85+P85</f>
        <v>7307.8892699999997</v>
      </c>
      <c r="P85" s="36"/>
      <c r="Q85" s="37"/>
      <c r="R85" s="34"/>
      <c r="S85" s="34"/>
      <c r="T85" s="36"/>
      <c r="U85" s="36"/>
      <c r="V85" s="36"/>
      <c r="W85" s="36"/>
      <c r="X85" s="37"/>
      <c r="Y85" s="34"/>
      <c r="Z85" s="34">
        <v>83.5</v>
      </c>
      <c r="AA85" s="34"/>
      <c r="AB85" s="34"/>
      <c r="AC85" s="34"/>
      <c r="AD85" s="38"/>
      <c r="AE85" s="38">
        <v>2315</v>
      </c>
      <c r="AF85" s="34">
        <v>1458.91</v>
      </c>
      <c r="AG85" s="33">
        <f>(AF85*0.8)*0.85</f>
        <v>992.05880000000013</v>
      </c>
      <c r="AH85" s="33">
        <f>(AF85*0.8)*0.15</f>
        <v>175.06920000000002</v>
      </c>
      <c r="AI85" s="33">
        <f>AF85*0.2</f>
        <v>291.78200000000004</v>
      </c>
      <c r="AJ85" s="34"/>
      <c r="AK85" s="33">
        <f t="shared" si="101"/>
        <v>17270.535714285714</v>
      </c>
      <c r="AL85" s="33">
        <f t="shared" si="102"/>
        <v>17187.035714285714</v>
      </c>
      <c r="AM85" s="33">
        <f t="shared" si="103"/>
        <v>2062.4442857142858</v>
      </c>
      <c r="AN85" s="33">
        <f t="shared" si="94"/>
        <v>19249.48</v>
      </c>
      <c r="AO85" s="39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33">
        <f>SUM(AO85:AY85)</f>
        <v>0</v>
      </c>
      <c r="BA85" s="38">
        <v>70</v>
      </c>
      <c r="BB85" s="38"/>
      <c r="BC85" s="33"/>
      <c r="BD85" s="33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41">
        <f>AZ85+BA85+BB85+BD85-BC85</f>
        <v>70</v>
      </c>
      <c r="BS85" s="145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</row>
    <row r="86" spans="1:96" ht="15.75" thickBot="1" x14ac:dyDescent="0.3">
      <c r="A86" s="42"/>
      <c r="B86" s="43"/>
      <c r="C86" s="44">
        <f>SUBTOTAL(9,C84:C85)</f>
        <v>55348.020000000004</v>
      </c>
      <c r="D86" s="45">
        <f>SUBTOTAL(9,D84:D85)</f>
        <v>34049.22</v>
      </c>
      <c r="E86" s="45">
        <f>SUBTOTAL(9,E84:E85)</f>
        <v>34060</v>
      </c>
      <c r="F86" s="47"/>
      <c r="G86" s="45">
        <f>SUBTOTAL(9,G84:G85)</f>
        <v>0</v>
      </c>
      <c r="H86" s="45">
        <f>SUBTOTAL(9,H84:H85)</f>
        <v>10.779999999998836</v>
      </c>
      <c r="I86" s="45">
        <f>SUBTOTAL(9,I84:I85)</f>
        <v>0</v>
      </c>
      <c r="J86" s="45">
        <f>SUBTOTAL(9,J84:J85)</f>
        <v>0</v>
      </c>
      <c r="K86" s="158">
        <f>SUBTOTAL(9,K84:K85)</f>
        <v>17902.379999999997</v>
      </c>
      <c r="L86" s="45">
        <f>SUBTOTAL(9,L84:L85)</f>
        <v>0</v>
      </c>
      <c r="M86" s="46">
        <f>SUBTOTAL(9,M84:M85)</f>
        <v>384.90116999999998</v>
      </c>
      <c r="N86" s="46">
        <f>SUBTOTAL(9,N84:N85)</f>
        <v>89.511899999999997</v>
      </c>
      <c r="O86" s="46">
        <f>SUBTOTAL(9,O84:O85)</f>
        <v>17427.966929999999</v>
      </c>
      <c r="P86" s="46">
        <f>SUBTOTAL(9,P84:P85)</f>
        <v>0</v>
      </c>
      <c r="Q86" s="47">
        <f>SUBTOTAL(9,Q84:Q85)</f>
        <v>0</v>
      </c>
      <c r="R86" s="45">
        <f>SUBTOTAL(9,R84:R85)</f>
        <v>0</v>
      </c>
      <c r="S86" s="45">
        <f>SUBTOTAL(9,S84:S85)</f>
        <v>0</v>
      </c>
      <c r="T86" s="46">
        <f>SUBTOTAL(9,T84:T85)</f>
        <v>0</v>
      </c>
      <c r="U86" s="46">
        <f>SUBTOTAL(9,U84:U85)</f>
        <v>0</v>
      </c>
      <c r="V86" s="46">
        <f>SUBTOTAL(9,V84:V85)</f>
        <v>0</v>
      </c>
      <c r="W86" s="46">
        <f>SUBTOTAL(9,W84:W85)</f>
        <v>0</v>
      </c>
      <c r="X86" s="47">
        <f>SUBTOTAL(9,X84:X85)</f>
        <v>0</v>
      </c>
      <c r="Y86" s="45">
        <f>SUBTOTAL(9,Y84:Y85)</f>
        <v>0</v>
      </c>
      <c r="Z86" s="45">
        <f>SUBTOTAL(9,Z84:Z85)</f>
        <v>83.5</v>
      </c>
      <c r="AA86" s="45">
        <f>SUBTOTAL(9,AA84:AA85)</f>
        <v>0</v>
      </c>
      <c r="AB86" s="45">
        <f>SUBTOTAL(9,AB84:AB85)</f>
        <v>0</v>
      </c>
      <c r="AC86" s="45">
        <f>SUBTOTAL(9,AC84:AC85)</f>
        <v>522.91999999999996</v>
      </c>
      <c r="AD86" s="48">
        <f>SUBTOTAL(9,AD84:AD85)</f>
        <v>0</v>
      </c>
      <c r="AE86" s="48">
        <f>SUBTOTAL(9,AE84:AE85)</f>
        <v>2790</v>
      </c>
      <c r="AF86" s="45"/>
      <c r="AG86" s="44">
        <f>SUBTOTAL(9,AG84:AG85)</f>
        <v>2825.2436000000002</v>
      </c>
      <c r="AH86" s="44">
        <f>SUBTOTAL(9,AH84:AH85)</f>
        <v>498.57240000000002</v>
      </c>
      <c r="AI86" s="44">
        <f>SUBTOTAL(9,AI84:AI85)</f>
        <v>830.95400000000006</v>
      </c>
      <c r="AJ86" s="45" t="e">
        <f>SUBTOTAL(9,#REF!)</f>
        <v>#REF!</v>
      </c>
      <c r="AK86" s="44">
        <f>SUBTOTAL(9,AK84:AK85)</f>
        <v>45708.25892857142</v>
      </c>
      <c r="AL86" s="44">
        <f>SUBTOTAL(9,AL84:AL85)</f>
        <v>45101.838928571422</v>
      </c>
      <c r="AM86" s="44">
        <f>SUBTOTAL(9,AM84:AM85)</f>
        <v>5412.2206714285712</v>
      </c>
      <c r="AN86" s="44">
        <f>SUBTOTAL(9,AN84:AN85)</f>
        <v>50514.059599999993</v>
      </c>
      <c r="AO86" s="49">
        <f t="shared" ref="R86:BP86" si="104">SUBTOTAL(9,AO84:AO85)</f>
        <v>0</v>
      </c>
      <c r="AP86" s="49">
        <f t="shared" si="104"/>
        <v>0</v>
      </c>
      <c r="AQ86" s="49">
        <f t="shared" si="104"/>
        <v>0</v>
      </c>
      <c r="AR86" s="49">
        <f t="shared" si="104"/>
        <v>0</v>
      </c>
      <c r="AS86" s="49">
        <f t="shared" si="104"/>
        <v>0</v>
      </c>
      <c r="AT86" s="49">
        <f t="shared" si="104"/>
        <v>0</v>
      </c>
      <c r="AU86" s="49">
        <f>SUBTOTAL(9,AU84:AU85)</f>
        <v>0</v>
      </c>
      <c r="AV86" s="49">
        <f t="shared" si="104"/>
        <v>0</v>
      </c>
      <c r="AW86" s="49">
        <f t="shared" si="104"/>
        <v>0</v>
      </c>
      <c r="AX86" s="49">
        <f t="shared" si="104"/>
        <v>0</v>
      </c>
      <c r="AY86" s="49">
        <f t="shared" si="104"/>
        <v>0</v>
      </c>
      <c r="AZ86" s="44">
        <f t="shared" si="104"/>
        <v>0</v>
      </c>
      <c r="BA86" s="48">
        <f t="shared" si="104"/>
        <v>70</v>
      </c>
      <c r="BB86" s="48">
        <f t="shared" si="104"/>
        <v>0</v>
      </c>
      <c r="BC86" s="44">
        <f t="shared" si="104"/>
        <v>0</v>
      </c>
      <c r="BD86" s="44">
        <f t="shared" si="104"/>
        <v>0</v>
      </c>
      <c r="BE86" s="49">
        <f>SUBTOTAL(9,BE84:BE85)</f>
        <v>0</v>
      </c>
      <c r="BF86" s="49">
        <f t="shared" si="104"/>
        <v>0</v>
      </c>
      <c r="BG86" s="49">
        <f t="shared" si="104"/>
        <v>0</v>
      </c>
      <c r="BH86" s="49">
        <f t="shared" si="104"/>
        <v>0</v>
      </c>
      <c r="BI86" s="49">
        <f t="shared" si="104"/>
        <v>0</v>
      </c>
      <c r="BJ86" s="49">
        <f t="shared" si="104"/>
        <v>0</v>
      </c>
      <c r="BK86" s="49">
        <f t="shared" si="104"/>
        <v>0</v>
      </c>
      <c r="BL86" s="49">
        <f t="shared" si="104"/>
        <v>0</v>
      </c>
      <c r="BM86" s="49">
        <f t="shared" si="104"/>
        <v>0</v>
      </c>
      <c r="BN86" s="49">
        <f t="shared" si="104"/>
        <v>0</v>
      </c>
      <c r="BO86" s="49">
        <f t="shared" si="104"/>
        <v>0</v>
      </c>
      <c r="BP86" s="49">
        <f t="shared" si="104"/>
        <v>0</v>
      </c>
      <c r="BQ86" s="44">
        <f>SUBTOTAL(9,BQ84:BQ85)</f>
        <v>70</v>
      </c>
    </row>
    <row r="87" spans="1:96" x14ac:dyDescent="0.25">
      <c r="A87" s="187">
        <f>+A84+1</f>
        <v>43673</v>
      </c>
      <c r="B87" s="15" t="s">
        <v>43</v>
      </c>
      <c r="C87" s="33" t="s">
        <v>134</v>
      </c>
      <c r="D87" s="34"/>
      <c r="E87" s="34"/>
      <c r="F87" s="35"/>
      <c r="G87" s="33">
        <f>IF(E87-D87&lt;0,E87-D87,0)*-1</f>
        <v>0</v>
      </c>
      <c r="H87" s="33">
        <f>IF(E87-D87&gt;0,E87-D87,0)</f>
        <v>0</v>
      </c>
      <c r="I87" s="34"/>
      <c r="J87" s="34"/>
      <c r="K87" s="34"/>
      <c r="L87" s="34"/>
      <c r="M87" s="36">
        <f>(+K87)*M$5</f>
        <v>0</v>
      </c>
      <c r="N87" s="36">
        <f>(+K87)*N$5</f>
        <v>0</v>
      </c>
      <c r="O87" s="36">
        <f>+K87-M87-N87+P87</f>
        <v>0</v>
      </c>
      <c r="P87" s="36"/>
      <c r="Q87" s="37"/>
      <c r="R87" s="34"/>
      <c r="S87" s="34"/>
      <c r="T87" s="36"/>
      <c r="U87" s="36"/>
      <c r="V87" s="36"/>
      <c r="W87" s="36"/>
      <c r="X87" s="37"/>
      <c r="Y87" s="34"/>
      <c r="Z87" s="34"/>
      <c r="AA87" s="34"/>
      <c r="AB87" s="34"/>
      <c r="AC87" s="34"/>
      <c r="AD87" s="38"/>
      <c r="AE87" s="38"/>
      <c r="AF87" s="34"/>
      <c r="AG87" s="33">
        <f>(AF87*0.8)*0.85</f>
        <v>0</v>
      </c>
      <c r="AH87" s="33">
        <f>(AF87*0.8)*0.15</f>
        <v>0</v>
      </c>
      <c r="AI87" s="33">
        <f>AF87*0.2</f>
        <v>0</v>
      </c>
      <c r="AJ87" s="34"/>
      <c r="AK87" s="33">
        <v>0</v>
      </c>
      <c r="AL87" s="33">
        <f t="shared" ref="AL87:AL88" si="105">AK87-SUM(Y87:AC87)</f>
        <v>0</v>
      </c>
      <c r="AM87" s="33">
        <f t="shared" ref="AM87:AM88" si="106">+AL87*0.12</f>
        <v>0</v>
      </c>
      <c r="AN87" s="33">
        <f t="shared" ref="AN87:AN88" si="107">+AM87+AL87+AJ87</f>
        <v>0</v>
      </c>
      <c r="AO87" s="39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33">
        <f>SUM(AO87:AY87)</f>
        <v>0</v>
      </c>
      <c r="BA87" s="38"/>
      <c r="BB87" s="38"/>
      <c r="BC87" s="33">
        <f>SUM(BE87:BL87)*0.1+(BM87*0.5)</f>
        <v>0</v>
      </c>
      <c r="BD87" s="33">
        <f>SUM(BE87:BL87)+(BM87*0.5)</f>
        <v>0</v>
      </c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41">
        <f>AZ87+BA87+BB87+BD87-BC87</f>
        <v>0</v>
      </c>
      <c r="BS87" s="145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</row>
    <row r="88" spans="1:96" ht="15.75" thickBot="1" x14ac:dyDescent="0.3">
      <c r="A88" s="188"/>
      <c r="B88" s="15" t="s">
        <v>44</v>
      </c>
      <c r="C88" s="33">
        <v>7712.06</v>
      </c>
      <c r="D88" s="34">
        <v>5650.45</v>
      </c>
      <c r="E88" s="34">
        <v>5652</v>
      </c>
      <c r="F88" s="35">
        <v>43675</v>
      </c>
      <c r="G88" s="33">
        <f>IF(E88-D88&lt;0,E88-D88,0)*-1</f>
        <v>0</v>
      </c>
      <c r="H88" s="33">
        <f>IF(E88-D88&gt;0,E88-D88,0)</f>
        <v>1.5500000000001819</v>
      </c>
      <c r="I88" s="34"/>
      <c r="J88" s="34"/>
      <c r="K88" s="34">
        <v>1056.6099999999999</v>
      </c>
      <c r="L88" s="34"/>
      <c r="M88" s="36">
        <f>(+K88)*M$5</f>
        <v>22.717114999999996</v>
      </c>
      <c r="N88" s="36">
        <f>(+K88)*N$5</f>
        <v>5.2830499999999994</v>
      </c>
      <c r="O88" s="36">
        <f>+K88-M88-N88+P88</f>
        <v>1028.609835</v>
      </c>
      <c r="P88" s="36"/>
      <c r="Q88" s="37"/>
      <c r="R88" s="34"/>
      <c r="S88" s="34"/>
      <c r="T88" s="36"/>
      <c r="U88" s="36"/>
      <c r="V88" s="36"/>
      <c r="W88" s="36"/>
      <c r="X88" s="37"/>
      <c r="Y88" s="34"/>
      <c r="Z88" s="34"/>
      <c r="AA88" s="34"/>
      <c r="AB88" s="34"/>
      <c r="AC88" s="34"/>
      <c r="AD88" s="38"/>
      <c r="AE88" s="38">
        <v>1005</v>
      </c>
      <c r="AF88" s="34">
        <v>537.05999999999995</v>
      </c>
      <c r="AG88" s="33">
        <f>(AF88*0.8)*0.85</f>
        <v>365.20079999999996</v>
      </c>
      <c r="AH88" s="33">
        <f>(AF88*0.8)*0.15</f>
        <v>64.447199999999995</v>
      </c>
      <c r="AI88" s="33">
        <f>AF88*0.2</f>
        <v>107.41199999999999</v>
      </c>
      <c r="AJ88" s="34"/>
      <c r="AK88" s="33">
        <f t="shared" ref="AK88" si="108">(C88-AF88-AJ88)/1.12</f>
        <v>6406.2499999999991</v>
      </c>
      <c r="AL88" s="33">
        <f t="shared" si="105"/>
        <v>6406.2499999999991</v>
      </c>
      <c r="AM88" s="33">
        <f t="shared" si="106"/>
        <v>768.74999999999989</v>
      </c>
      <c r="AN88" s="33">
        <f t="shared" si="107"/>
        <v>7174.9999999999991</v>
      </c>
      <c r="AO88" s="39"/>
      <c r="AP88" s="40"/>
      <c r="AQ88" s="40">
        <v>185</v>
      </c>
      <c r="AR88" s="40"/>
      <c r="AS88" s="40"/>
      <c r="AT88" s="40"/>
      <c r="AU88" s="40"/>
      <c r="AV88" s="40"/>
      <c r="AW88" s="40"/>
      <c r="AX88" s="40"/>
      <c r="AY88" s="40"/>
      <c r="AZ88" s="33">
        <f>SUM(AO88:AY88)</f>
        <v>185</v>
      </c>
      <c r="BA88" s="38"/>
      <c r="BB88" s="38"/>
      <c r="BC88" s="33"/>
      <c r="BD88" s="33"/>
      <c r="BE88" s="39"/>
      <c r="BF88" s="39"/>
      <c r="BG88" s="39"/>
      <c r="BH88" s="39">
        <v>0</v>
      </c>
      <c r="BI88" s="39"/>
      <c r="BJ88" s="39"/>
      <c r="BK88" s="39"/>
      <c r="BL88" s="39"/>
      <c r="BM88" s="39"/>
      <c r="BN88" s="39"/>
      <c r="BO88" s="39"/>
      <c r="BP88" s="39"/>
      <c r="BQ88" s="41">
        <f>AZ88+BA88+BB88+BD88-BC88</f>
        <v>185</v>
      </c>
      <c r="BS88" s="145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</row>
    <row r="89" spans="1:96" ht="15.75" thickBot="1" x14ac:dyDescent="0.3">
      <c r="A89" s="42"/>
      <c r="B89" s="43"/>
      <c r="C89" s="44">
        <f>SUBTOTAL(9,C87:C88)</f>
        <v>7712.06</v>
      </c>
      <c r="D89" s="45">
        <f>SUBTOTAL(9,D87:D88)</f>
        <v>5650.45</v>
      </c>
      <c r="E89" s="45">
        <f>SUBTOTAL(9,E87:E88)</f>
        <v>5652</v>
      </c>
      <c r="F89" s="47"/>
      <c r="G89" s="45">
        <f>SUBTOTAL(9,G87:G88)</f>
        <v>0</v>
      </c>
      <c r="H89" s="45">
        <f>SUBTOTAL(9,H87:H88)</f>
        <v>1.5500000000001819</v>
      </c>
      <c r="I89" s="45">
        <f>SUBTOTAL(9,I87:I88)</f>
        <v>0</v>
      </c>
      <c r="J89" s="45">
        <f>SUBTOTAL(9,J87:J88)</f>
        <v>0</v>
      </c>
      <c r="K89" s="158">
        <f>SUBTOTAL(9,K87:K88)</f>
        <v>1056.6099999999999</v>
      </c>
      <c r="L89" s="45">
        <f>SUBTOTAL(9,L87:L88)</f>
        <v>0</v>
      </c>
      <c r="M89" s="46">
        <f>SUBTOTAL(9,M87:M88)</f>
        <v>22.717114999999996</v>
      </c>
      <c r="N89" s="46">
        <f>SUBTOTAL(9,N87:N88)</f>
        <v>5.2830499999999994</v>
      </c>
      <c r="O89" s="46">
        <f>SUBTOTAL(9,O87:O88)</f>
        <v>1028.609835</v>
      </c>
      <c r="P89" s="46">
        <f>SUBTOTAL(9,P87:P88)</f>
        <v>0</v>
      </c>
      <c r="Q89" s="47">
        <f>SUBTOTAL(9,Q87:Q88)</f>
        <v>0</v>
      </c>
      <c r="R89" s="45">
        <f>SUBTOTAL(9,R87:R88)</f>
        <v>0</v>
      </c>
      <c r="S89" s="45">
        <f>SUBTOTAL(9,S87:S88)</f>
        <v>0</v>
      </c>
      <c r="T89" s="46">
        <f>SUBTOTAL(9,T87:T88)</f>
        <v>0</v>
      </c>
      <c r="U89" s="46">
        <f>SUBTOTAL(9,U87:U88)</f>
        <v>0</v>
      </c>
      <c r="V89" s="46">
        <f>SUBTOTAL(9,V87:V88)</f>
        <v>0</v>
      </c>
      <c r="W89" s="46">
        <f>SUBTOTAL(9,W87:W88)</f>
        <v>0</v>
      </c>
      <c r="X89" s="47">
        <f>SUBTOTAL(9,X87:X88)</f>
        <v>0</v>
      </c>
      <c r="Y89" s="45">
        <f>SUBTOTAL(9,Y87:Y88)</f>
        <v>0</v>
      </c>
      <c r="Z89" s="45">
        <f>SUBTOTAL(9,Z87:Z88)</f>
        <v>0</v>
      </c>
      <c r="AA89" s="45">
        <f>SUBTOTAL(9,AA87:AA88)</f>
        <v>0</v>
      </c>
      <c r="AB89" s="45">
        <f>SUBTOTAL(9,AB87:AB88)</f>
        <v>0</v>
      </c>
      <c r="AC89" s="45">
        <f>SUBTOTAL(9,AC87:AC88)</f>
        <v>0</v>
      </c>
      <c r="AD89" s="48">
        <f>SUBTOTAL(9,AD87:AD88)</f>
        <v>0</v>
      </c>
      <c r="AE89" s="48">
        <f>SUBTOTAL(9,AE87:AE88)</f>
        <v>1005</v>
      </c>
      <c r="AF89" s="45"/>
      <c r="AG89" s="44">
        <f>SUBTOTAL(9,AG87:AG88)</f>
        <v>365.20079999999996</v>
      </c>
      <c r="AH89" s="44">
        <f>SUBTOTAL(9,AH87:AH88)</f>
        <v>64.447199999999995</v>
      </c>
      <c r="AI89" s="44">
        <f>SUBTOTAL(9,AI87:AI88)</f>
        <v>107.41199999999999</v>
      </c>
      <c r="AJ89" s="45" t="e">
        <f>SUBTOTAL(9,#REF!)</f>
        <v>#REF!</v>
      </c>
      <c r="AK89" s="44">
        <f>SUBTOTAL(9,AK87:AK88)</f>
        <v>6406.2499999999991</v>
      </c>
      <c r="AL89" s="44">
        <f>SUBTOTAL(9,AL87:AL88)</f>
        <v>6406.2499999999991</v>
      </c>
      <c r="AM89" s="44">
        <f>SUBTOTAL(9,AM87:AM88)</f>
        <v>768.74999999999989</v>
      </c>
      <c r="AN89" s="44">
        <f>SUBTOTAL(9,AN87:AN88)</f>
        <v>7174.9999999999991</v>
      </c>
      <c r="AO89" s="49">
        <f t="shared" ref="R89:BP89" si="109">SUBTOTAL(9,AO87:AO88)</f>
        <v>0</v>
      </c>
      <c r="AP89" s="49">
        <f t="shared" si="109"/>
        <v>0</v>
      </c>
      <c r="AQ89" s="49">
        <f t="shared" si="109"/>
        <v>185</v>
      </c>
      <c r="AR89" s="49">
        <f t="shared" si="109"/>
        <v>0</v>
      </c>
      <c r="AS89" s="49">
        <f t="shared" si="109"/>
        <v>0</v>
      </c>
      <c r="AT89" s="49">
        <f t="shared" si="109"/>
        <v>0</v>
      </c>
      <c r="AU89" s="49">
        <f>SUBTOTAL(9,AU87:AU88)</f>
        <v>0</v>
      </c>
      <c r="AV89" s="49">
        <f t="shared" si="109"/>
        <v>0</v>
      </c>
      <c r="AW89" s="49">
        <f t="shared" si="109"/>
        <v>0</v>
      </c>
      <c r="AX89" s="49">
        <f t="shared" si="109"/>
        <v>0</v>
      </c>
      <c r="AY89" s="49">
        <f t="shared" si="109"/>
        <v>0</v>
      </c>
      <c r="AZ89" s="44">
        <f t="shared" si="109"/>
        <v>185</v>
      </c>
      <c r="BA89" s="48">
        <f t="shared" si="109"/>
        <v>0</v>
      </c>
      <c r="BB89" s="48">
        <f t="shared" si="109"/>
        <v>0</v>
      </c>
      <c r="BC89" s="44">
        <f t="shared" si="109"/>
        <v>0</v>
      </c>
      <c r="BD89" s="44">
        <f t="shared" si="109"/>
        <v>0</v>
      </c>
      <c r="BE89" s="49">
        <f>SUBTOTAL(9,BE87:BE88)</f>
        <v>0</v>
      </c>
      <c r="BF89" s="49">
        <f t="shared" si="109"/>
        <v>0</v>
      </c>
      <c r="BG89" s="49">
        <f t="shared" si="109"/>
        <v>0</v>
      </c>
      <c r="BH89" s="49">
        <f t="shared" si="109"/>
        <v>0</v>
      </c>
      <c r="BI89" s="49">
        <f t="shared" si="109"/>
        <v>0</v>
      </c>
      <c r="BJ89" s="49">
        <f t="shared" si="109"/>
        <v>0</v>
      </c>
      <c r="BK89" s="49">
        <f t="shared" si="109"/>
        <v>0</v>
      </c>
      <c r="BL89" s="49">
        <f t="shared" si="109"/>
        <v>0</v>
      </c>
      <c r="BM89" s="49">
        <f t="shared" si="109"/>
        <v>0</v>
      </c>
      <c r="BN89" s="49">
        <f t="shared" si="109"/>
        <v>0</v>
      </c>
      <c r="BO89" s="49">
        <f t="shared" si="109"/>
        <v>0</v>
      </c>
      <c r="BP89" s="49">
        <f t="shared" si="109"/>
        <v>0</v>
      </c>
      <c r="BQ89" s="44">
        <f>SUBTOTAL(9,BQ87:BQ88)</f>
        <v>185</v>
      </c>
    </row>
    <row r="90" spans="1:96" x14ac:dyDescent="0.25">
      <c r="A90" s="187">
        <f>+A87+1</f>
        <v>43674</v>
      </c>
      <c r="B90" s="16" t="s">
        <v>43</v>
      </c>
      <c r="C90" s="33" t="s">
        <v>135</v>
      </c>
      <c r="D90" s="34"/>
      <c r="E90" s="34"/>
      <c r="F90" s="35"/>
      <c r="G90" s="33">
        <f>IF(E90-D90&lt;0,E90-D90,0)*-1</f>
        <v>0</v>
      </c>
      <c r="H90" s="33">
        <f>IF(E90-D90&gt;0,E90-D90,0)</f>
        <v>0</v>
      </c>
      <c r="I90" s="34"/>
      <c r="J90" s="34"/>
      <c r="K90" s="34"/>
      <c r="L90" s="34"/>
      <c r="M90" s="36">
        <f>(+K90)*M$5</f>
        <v>0</v>
      </c>
      <c r="N90" s="36">
        <f>(+K90)*N$5</f>
        <v>0</v>
      </c>
      <c r="O90" s="36">
        <f>+K90-M90-N90+P90</f>
        <v>0</v>
      </c>
      <c r="P90" s="36"/>
      <c r="Q90" s="37"/>
      <c r="R90" s="34"/>
      <c r="S90" s="34"/>
      <c r="T90" s="36"/>
      <c r="U90" s="36"/>
      <c r="V90" s="36"/>
      <c r="W90" s="36"/>
      <c r="X90" s="37"/>
      <c r="Y90" s="34"/>
      <c r="Z90" s="34"/>
      <c r="AA90" s="34"/>
      <c r="AB90" s="34"/>
      <c r="AC90" s="34"/>
      <c r="AD90" s="38"/>
      <c r="AE90" s="38"/>
      <c r="AF90" s="34"/>
      <c r="AG90" s="33">
        <f>(AF90*0.8)*0.85</f>
        <v>0</v>
      </c>
      <c r="AH90" s="33">
        <f>(AF90*0.8)*0.15</f>
        <v>0</v>
      </c>
      <c r="AI90" s="33">
        <f>AF90*0.2</f>
        <v>0</v>
      </c>
      <c r="AJ90" s="34"/>
      <c r="AK90" s="33">
        <v>0</v>
      </c>
      <c r="AL90" s="33">
        <f>AK90-SUM(Y90:AC90)</f>
        <v>0</v>
      </c>
      <c r="AM90" s="33">
        <f>+AL90*0.12</f>
        <v>0</v>
      </c>
      <c r="AN90" s="33">
        <f t="shared" si="94"/>
        <v>0</v>
      </c>
      <c r="AO90" s="39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33">
        <f>SUM(AO90:AY90)</f>
        <v>0</v>
      </c>
      <c r="BA90" s="38"/>
      <c r="BB90" s="38"/>
      <c r="BC90" s="33">
        <f>SUM(BE90:BL90)*0.1+(BM90*0.5)</f>
        <v>0</v>
      </c>
      <c r="BD90" s="33">
        <f>SUM(BE90:BL90)+(BM90*0.5)</f>
        <v>0</v>
      </c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41">
        <f>AZ90+BA90+BB90+BD90-BC90</f>
        <v>0</v>
      </c>
      <c r="BS90" s="145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</row>
    <row r="91" spans="1:96" ht="15.75" thickBot="1" x14ac:dyDescent="0.3">
      <c r="A91" s="188"/>
      <c r="B91" s="16" t="s">
        <v>44</v>
      </c>
      <c r="C91" s="33"/>
      <c r="D91" s="34"/>
      <c r="E91" s="34"/>
      <c r="F91" s="35"/>
      <c r="G91" s="33">
        <f>IF(E91-D91&lt;0,E91-D91,0)*-1</f>
        <v>0</v>
      </c>
      <c r="H91" s="33">
        <f>IF(E91-D91&gt;0,E91-D91,0)</f>
        <v>0</v>
      </c>
      <c r="I91" s="34"/>
      <c r="J91" s="34"/>
      <c r="K91" s="34"/>
      <c r="L91" s="34"/>
      <c r="M91" s="36">
        <f>(+K91)*M$5</f>
        <v>0</v>
      </c>
      <c r="N91" s="36">
        <f>(+K91)*N$5</f>
        <v>0</v>
      </c>
      <c r="O91" s="36">
        <f>+K91-M91-N91+P91</f>
        <v>0</v>
      </c>
      <c r="P91" s="36"/>
      <c r="Q91" s="37"/>
      <c r="R91" s="34"/>
      <c r="S91" s="34"/>
      <c r="T91" s="36"/>
      <c r="U91" s="36"/>
      <c r="V91" s="36"/>
      <c r="W91" s="36"/>
      <c r="X91" s="37"/>
      <c r="Y91" s="34"/>
      <c r="Z91" s="34"/>
      <c r="AA91" s="34"/>
      <c r="AB91" s="34"/>
      <c r="AC91" s="34"/>
      <c r="AD91" s="38"/>
      <c r="AE91" s="38"/>
      <c r="AF91" s="34"/>
      <c r="AG91" s="33">
        <f>(AF91*0.8)*0.85</f>
        <v>0</v>
      </c>
      <c r="AH91" s="33">
        <f>(AF91*0.8)*0.15</f>
        <v>0</v>
      </c>
      <c r="AI91" s="33">
        <f>AF91*0.2</f>
        <v>0</v>
      </c>
      <c r="AJ91" s="34"/>
      <c r="AK91" s="33">
        <f t="shared" ref="AK91" si="110">(C91-AF91-AJ91)/1.12</f>
        <v>0</v>
      </c>
      <c r="AL91" s="33">
        <f t="shared" ref="AL91" si="111">AK91-SUM(Y91:AC91)</f>
        <v>0</v>
      </c>
      <c r="AM91" s="33">
        <f t="shared" ref="AM91" si="112">+AL91*0.12</f>
        <v>0</v>
      </c>
      <c r="AN91" s="33">
        <f t="shared" si="94"/>
        <v>0</v>
      </c>
      <c r="AO91" s="39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33">
        <f>SUM(AO91:AY91)</f>
        <v>0</v>
      </c>
      <c r="BA91" s="38"/>
      <c r="BB91" s="38"/>
      <c r="BC91" s="33">
        <v>0</v>
      </c>
      <c r="BD91" s="33">
        <v>0</v>
      </c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41">
        <f>AZ91+BA91+BB91+BD91-BC91</f>
        <v>0</v>
      </c>
      <c r="BS91" s="145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</row>
    <row r="92" spans="1:96" ht="15.75" thickBot="1" x14ac:dyDescent="0.3">
      <c r="A92" s="42"/>
      <c r="B92" s="43"/>
      <c r="C92" s="44">
        <f>SUBTOTAL(9,C90:C91)</f>
        <v>0</v>
      </c>
      <c r="D92" s="45">
        <f>SUBTOTAL(9,D90:D91)</f>
        <v>0</v>
      </c>
      <c r="E92" s="45">
        <f>SUBTOTAL(9,E90:E91)</f>
        <v>0</v>
      </c>
      <c r="F92" s="47"/>
      <c r="G92" s="45">
        <f>SUBTOTAL(9,G90:G91)</f>
        <v>0</v>
      </c>
      <c r="H92" s="45">
        <f>SUBTOTAL(9,H90:H91)</f>
        <v>0</v>
      </c>
      <c r="I92" s="45">
        <f>SUBTOTAL(9,I90:I91)</f>
        <v>0</v>
      </c>
      <c r="J92" s="45">
        <f>SUBTOTAL(9,J90:J91)</f>
        <v>0</v>
      </c>
      <c r="K92" s="158">
        <f>SUBTOTAL(9,K90:K91)</f>
        <v>0</v>
      </c>
      <c r="L92" s="45">
        <f>SUBTOTAL(9,L90:L91)</f>
        <v>0</v>
      </c>
      <c r="M92" s="46">
        <f>SUBTOTAL(9,M90:M91)</f>
        <v>0</v>
      </c>
      <c r="N92" s="46">
        <f>SUBTOTAL(9,N90:N91)</f>
        <v>0</v>
      </c>
      <c r="O92" s="46">
        <f>SUBTOTAL(9,O90:O91)</f>
        <v>0</v>
      </c>
      <c r="P92" s="46">
        <f>SUBTOTAL(9,P90:P91)</f>
        <v>0</v>
      </c>
      <c r="Q92" s="47">
        <f>SUBTOTAL(9,Q90:Q91)</f>
        <v>0</v>
      </c>
      <c r="R92" s="45">
        <f>SUBTOTAL(9,R90:R91)</f>
        <v>0</v>
      </c>
      <c r="S92" s="45">
        <f>SUBTOTAL(9,S90:S91)</f>
        <v>0</v>
      </c>
      <c r="T92" s="46">
        <f>SUBTOTAL(9,T90:T91)</f>
        <v>0</v>
      </c>
      <c r="U92" s="46">
        <f>SUBTOTAL(9,U90:U91)</f>
        <v>0</v>
      </c>
      <c r="V92" s="46">
        <f>SUBTOTAL(9,V90:V91)</f>
        <v>0</v>
      </c>
      <c r="W92" s="46">
        <f>SUBTOTAL(9,W90:W91)</f>
        <v>0</v>
      </c>
      <c r="X92" s="47">
        <f>SUBTOTAL(9,X90:X91)</f>
        <v>0</v>
      </c>
      <c r="Y92" s="45">
        <f>SUBTOTAL(9,Y90:Y91)</f>
        <v>0</v>
      </c>
      <c r="Z92" s="45">
        <f>SUBTOTAL(9,Z90:Z91)</f>
        <v>0</v>
      </c>
      <c r="AA92" s="45">
        <f>SUBTOTAL(9,AA90:AA91)</f>
        <v>0</v>
      </c>
      <c r="AB92" s="45">
        <f>SUBTOTAL(9,AB90:AB91)</f>
        <v>0</v>
      </c>
      <c r="AC92" s="45">
        <f>SUBTOTAL(9,AC90:AC91)</f>
        <v>0</v>
      </c>
      <c r="AD92" s="48">
        <f>SUBTOTAL(9,AD90:AD91)</f>
        <v>0</v>
      </c>
      <c r="AE92" s="48">
        <f>SUBTOTAL(9,AE90:AE91)</f>
        <v>0</v>
      </c>
      <c r="AF92" s="45"/>
      <c r="AG92" s="44">
        <f>SUBTOTAL(9,AG90:AG91)</f>
        <v>0</v>
      </c>
      <c r="AH92" s="44">
        <f>SUBTOTAL(9,AH90:AH91)</f>
        <v>0</v>
      </c>
      <c r="AI92" s="44">
        <f>SUBTOTAL(9,AI90:AI91)</f>
        <v>0</v>
      </c>
      <c r="AJ92" s="45" t="e">
        <f>SUBTOTAL(9,#REF!)</f>
        <v>#REF!</v>
      </c>
      <c r="AK92" s="44">
        <f>SUBTOTAL(9,AK90:AK91)</f>
        <v>0</v>
      </c>
      <c r="AL92" s="44">
        <f>SUBTOTAL(9,AL90:AL91)</f>
        <v>0</v>
      </c>
      <c r="AM92" s="44">
        <f>SUBTOTAL(9,AM90:AM91)</f>
        <v>0</v>
      </c>
      <c r="AN92" s="44">
        <f>SUBTOTAL(9,AN90:AN91)</f>
        <v>0</v>
      </c>
      <c r="AO92" s="49">
        <f t="shared" ref="R92:BP92" si="113">SUBTOTAL(9,AO90:AO91)</f>
        <v>0</v>
      </c>
      <c r="AP92" s="49">
        <f t="shared" si="113"/>
        <v>0</v>
      </c>
      <c r="AQ92" s="49">
        <f t="shared" si="113"/>
        <v>0</v>
      </c>
      <c r="AR92" s="49">
        <f t="shared" si="113"/>
        <v>0</v>
      </c>
      <c r="AS92" s="49">
        <f t="shared" si="113"/>
        <v>0</v>
      </c>
      <c r="AT92" s="49">
        <f t="shared" si="113"/>
        <v>0</v>
      </c>
      <c r="AU92" s="49">
        <f>SUBTOTAL(9,AU90:AU91)</f>
        <v>0</v>
      </c>
      <c r="AV92" s="49">
        <f t="shared" si="113"/>
        <v>0</v>
      </c>
      <c r="AW92" s="49">
        <f t="shared" si="113"/>
        <v>0</v>
      </c>
      <c r="AX92" s="49">
        <f t="shared" si="113"/>
        <v>0</v>
      </c>
      <c r="AY92" s="49">
        <f t="shared" si="113"/>
        <v>0</v>
      </c>
      <c r="AZ92" s="44">
        <f t="shared" si="113"/>
        <v>0</v>
      </c>
      <c r="BA92" s="48">
        <f t="shared" si="113"/>
        <v>0</v>
      </c>
      <c r="BB92" s="48">
        <f t="shared" si="113"/>
        <v>0</v>
      </c>
      <c r="BC92" s="44">
        <f t="shared" si="113"/>
        <v>0</v>
      </c>
      <c r="BD92" s="44">
        <f t="shared" si="113"/>
        <v>0</v>
      </c>
      <c r="BE92" s="49">
        <f>SUBTOTAL(9,BE90:BE91)</f>
        <v>0</v>
      </c>
      <c r="BF92" s="49">
        <f t="shared" si="113"/>
        <v>0</v>
      </c>
      <c r="BG92" s="49">
        <f t="shared" si="113"/>
        <v>0</v>
      </c>
      <c r="BH92" s="49">
        <f t="shared" si="113"/>
        <v>0</v>
      </c>
      <c r="BI92" s="49">
        <f t="shared" si="113"/>
        <v>0</v>
      </c>
      <c r="BJ92" s="49">
        <f t="shared" si="113"/>
        <v>0</v>
      </c>
      <c r="BK92" s="49">
        <f t="shared" si="113"/>
        <v>0</v>
      </c>
      <c r="BL92" s="49">
        <f t="shared" si="113"/>
        <v>0</v>
      </c>
      <c r="BM92" s="49">
        <f t="shared" si="113"/>
        <v>0</v>
      </c>
      <c r="BN92" s="49">
        <f t="shared" si="113"/>
        <v>0</v>
      </c>
      <c r="BO92" s="49">
        <f t="shared" si="113"/>
        <v>0</v>
      </c>
      <c r="BP92" s="49">
        <f t="shared" si="113"/>
        <v>0</v>
      </c>
      <c r="BQ92" s="44">
        <f>SUBTOTAL(9,BQ90:BQ91)</f>
        <v>0</v>
      </c>
    </row>
    <row r="93" spans="1:96" x14ac:dyDescent="0.25">
      <c r="A93" s="187">
        <f>+A90+1</f>
        <v>43675</v>
      </c>
      <c r="B93" s="16" t="s">
        <v>43</v>
      </c>
      <c r="C93" s="33">
        <v>17314.05</v>
      </c>
      <c r="D93" s="34">
        <v>7853.75</v>
      </c>
      <c r="E93" s="34">
        <v>7854</v>
      </c>
      <c r="F93" s="35">
        <v>43675</v>
      </c>
      <c r="G93" s="33">
        <f>IF(E93-D93&lt;0,E93-D93,0)*-1</f>
        <v>0</v>
      </c>
      <c r="H93" s="33">
        <f>IF(E93-D93&gt;0,E93-D93,0)</f>
        <v>0.25</v>
      </c>
      <c r="I93" s="34"/>
      <c r="J93" s="34"/>
      <c r="K93" s="34">
        <v>9043.16</v>
      </c>
      <c r="L93" s="34"/>
      <c r="M93" s="36">
        <f>(+K93)*M$5</f>
        <v>194.42793999999998</v>
      </c>
      <c r="N93" s="36">
        <f>(+K93)*N$5</f>
        <v>45.215800000000002</v>
      </c>
      <c r="O93" s="36">
        <f>+K93-M93-N93+P93</f>
        <v>8803.5162600000003</v>
      </c>
      <c r="P93" s="36"/>
      <c r="Q93" s="37"/>
      <c r="R93" s="34"/>
      <c r="S93" s="34"/>
      <c r="T93" s="36"/>
      <c r="U93" s="36"/>
      <c r="V93" s="36"/>
      <c r="W93" s="36"/>
      <c r="X93" s="37"/>
      <c r="Y93" s="34"/>
      <c r="Z93" s="34"/>
      <c r="AA93" s="34"/>
      <c r="AB93" s="34"/>
      <c r="AC93" s="34">
        <v>97.14</v>
      </c>
      <c r="AD93" s="38"/>
      <c r="AE93" s="38">
        <v>320</v>
      </c>
      <c r="AF93" s="34">
        <v>1327.34</v>
      </c>
      <c r="AG93" s="33">
        <f>(AF93*0.8)*0.85</f>
        <v>902.59120000000007</v>
      </c>
      <c r="AH93" s="33">
        <f>(AF93*0.8)*0.15</f>
        <v>159.2808</v>
      </c>
      <c r="AI93" s="33">
        <f>AF93*0.2</f>
        <v>265.46800000000002</v>
      </c>
      <c r="AJ93" s="34"/>
      <c r="AK93" s="33">
        <f t="shared" ref="AK93" si="114">(C93-AF93-AJ93)/1.12</f>
        <v>14273.848214285712</v>
      </c>
      <c r="AL93" s="33">
        <f t="shared" ref="AL93:AL94" si="115">AK93-SUM(Y93:AC93)</f>
        <v>14176.708214285713</v>
      </c>
      <c r="AM93" s="33">
        <f t="shared" ref="AM93:AM94" si="116">+AL93*0.12</f>
        <v>1701.2049857142854</v>
      </c>
      <c r="AN93" s="33">
        <f t="shared" si="94"/>
        <v>15877.913199999997</v>
      </c>
      <c r="AO93" s="39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33">
        <f>SUM(AO93:AY93)</f>
        <v>0</v>
      </c>
      <c r="BA93" s="38"/>
      <c r="BB93" s="38"/>
      <c r="BC93" s="33">
        <f>SUM(BE93:BL93)*0.1+(BM93*0.5)</f>
        <v>0</v>
      </c>
      <c r="BD93" s="33">
        <f>SUM(BE93:BL93)+(BM93*0.5)</f>
        <v>0</v>
      </c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41">
        <f>AZ93+BA93+BB93+BD93-BC93</f>
        <v>0</v>
      </c>
      <c r="BS93" s="145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</row>
    <row r="94" spans="1:96" ht="15.75" thickBot="1" x14ac:dyDescent="0.3">
      <c r="A94" s="188"/>
      <c r="B94" s="16" t="s">
        <v>44</v>
      </c>
      <c r="C94" s="33">
        <v>9032.08</v>
      </c>
      <c r="D94" s="34">
        <v>7802.97</v>
      </c>
      <c r="E94" s="34">
        <v>7807</v>
      </c>
      <c r="F94" s="35">
        <v>43676</v>
      </c>
      <c r="G94" s="33">
        <f>IF(E94-D94&lt;0,E94-D94,0)*-1</f>
        <v>0</v>
      </c>
      <c r="H94" s="33">
        <f>IF(E94-D94&gt;0,E94-D94,0)</f>
        <v>4.0299999999997453</v>
      </c>
      <c r="I94" s="34"/>
      <c r="J94" s="34"/>
      <c r="K94" s="34">
        <v>1044.1099999999999</v>
      </c>
      <c r="L94" s="34"/>
      <c r="M94" s="36">
        <f>(+K94)*M$5</f>
        <v>22.448364999999995</v>
      </c>
      <c r="N94" s="36">
        <f>(+K94)*N$5</f>
        <v>5.2205499999999994</v>
      </c>
      <c r="O94" s="36">
        <f>+K94-M94-N94+P94</f>
        <v>1016.4410849999999</v>
      </c>
      <c r="P94" s="36"/>
      <c r="Q94" s="37"/>
      <c r="R94" s="34"/>
      <c r="S94" s="34"/>
      <c r="T94" s="36"/>
      <c r="U94" s="36"/>
      <c r="V94" s="36"/>
      <c r="W94" s="36"/>
      <c r="X94" s="37"/>
      <c r="Y94" s="34"/>
      <c r="Z94" s="34"/>
      <c r="AA94" s="34"/>
      <c r="AB94" s="34"/>
      <c r="AC94" s="34"/>
      <c r="AD94" s="38"/>
      <c r="AE94" s="38">
        <v>185</v>
      </c>
      <c r="AF94" s="34">
        <v>646.08000000000004</v>
      </c>
      <c r="AG94" s="33">
        <f>(AF94*0.8)*0.85</f>
        <v>439.33440000000002</v>
      </c>
      <c r="AH94" s="33">
        <f>(AF94*0.8)*0.15</f>
        <v>77.529600000000002</v>
      </c>
      <c r="AI94" s="33">
        <f>AF94*0.2</f>
        <v>129.21600000000001</v>
      </c>
      <c r="AJ94" s="34"/>
      <c r="AK94" s="33">
        <f t="shared" ref="AK94" si="117">(C94-AF94-AJ94)/1.12</f>
        <v>7487.4999999999991</v>
      </c>
      <c r="AL94" s="33">
        <f t="shared" si="115"/>
        <v>7487.4999999999991</v>
      </c>
      <c r="AM94" s="33">
        <f t="shared" si="116"/>
        <v>898.49999999999989</v>
      </c>
      <c r="AN94" s="33">
        <f t="shared" si="94"/>
        <v>8385.9999999999982</v>
      </c>
      <c r="AO94" s="39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33">
        <f>SUM(AO94:AY94)</f>
        <v>0</v>
      </c>
      <c r="BA94" s="163"/>
      <c r="BB94" s="38"/>
      <c r="BC94" s="33"/>
      <c r="BD94" s="33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41">
        <f>AZ94+BA94+BB94+BD94-BC94</f>
        <v>0</v>
      </c>
      <c r="BS94" s="145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</row>
    <row r="95" spans="1:96" ht="15.75" thickBot="1" x14ac:dyDescent="0.3">
      <c r="A95" s="42"/>
      <c r="B95" s="43"/>
      <c r="C95" s="44">
        <f>SUBTOTAL(9,C93:C94)</f>
        <v>26346.129999999997</v>
      </c>
      <c r="D95" s="158">
        <f>SUBTOTAL(9,D93:D94)</f>
        <v>15656.720000000001</v>
      </c>
      <c r="E95" s="45">
        <f>SUBTOTAL(9,E93:E94)</f>
        <v>15661</v>
      </c>
      <c r="F95" s="47"/>
      <c r="G95" s="45">
        <f>SUBTOTAL(9,G93:G94)</f>
        <v>0</v>
      </c>
      <c r="H95" s="45">
        <f>SUBTOTAL(9,H93:H94)</f>
        <v>4.2799999999997453</v>
      </c>
      <c r="I95" s="45">
        <f>SUBTOTAL(9,I93:I94)</f>
        <v>0</v>
      </c>
      <c r="J95" s="45">
        <f>SUBTOTAL(9,J93:J94)</f>
        <v>0</v>
      </c>
      <c r="K95" s="158">
        <f>SUBTOTAL(9,K93:K94)</f>
        <v>10087.27</v>
      </c>
      <c r="L95" s="45">
        <f>SUBTOTAL(9,L93:L94)</f>
        <v>0</v>
      </c>
      <c r="M95" s="46">
        <f>SUBTOTAL(9,M93:M94)</f>
        <v>216.87630499999997</v>
      </c>
      <c r="N95" s="46">
        <f>SUBTOTAL(9,N93:N94)</f>
        <v>50.436350000000004</v>
      </c>
      <c r="O95" s="46">
        <f>SUBTOTAL(9,O93:O94)</f>
        <v>9819.9573450000007</v>
      </c>
      <c r="P95" s="46">
        <f>SUBTOTAL(9,P93:P94)</f>
        <v>0</v>
      </c>
      <c r="Q95" s="47">
        <f>SUBTOTAL(9,Q93:Q94)</f>
        <v>0</v>
      </c>
      <c r="R95" s="45">
        <f>SUBTOTAL(9,R93:R94)</f>
        <v>0</v>
      </c>
      <c r="S95" s="45">
        <f>SUBTOTAL(9,S93:S94)</f>
        <v>0</v>
      </c>
      <c r="T95" s="46">
        <f>SUBTOTAL(9,T93:T94)</f>
        <v>0</v>
      </c>
      <c r="U95" s="46">
        <f>SUBTOTAL(9,U93:U94)</f>
        <v>0</v>
      </c>
      <c r="V95" s="46">
        <f>SUBTOTAL(9,V93:V94)</f>
        <v>0</v>
      </c>
      <c r="W95" s="46">
        <f>SUBTOTAL(9,W93:W94)</f>
        <v>0</v>
      </c>
      <c r="X95" s="47">
        <f>SUBTOTAL(9,X93:X94)</f>
        <v>0</v>
      </c>
      <c r="Y95" s="45">
        <f>SUBTOTAL(9,Y93:Y94)</f>
        <v>0</v>
      </c>
      <c r="Z95" s="45">
        <f>SUBTOTAL(9,Z93:Z94)</f>
        <v>0</v>
      </c>
      <c r="AA95" s="45">
        <f>SUBTOTAL(9,AA93:AA94)</f>
        <v>0</v>
      </c>
      <c r="AB95" s="45">
        <f>SUBTOTAL(9,AB93:AB94)</f>
        <v>0</v>
      </c>
      <c r="AC95" s="45">
        <f>SUBTOTAL(9,AC93:AC94)</f>
        <v>97.14</v>
      </c>
      <c r="AD95" s="48">
        <f>SUBTOTAL(9,AD93:AD94)</f>
        <v>0</v>
      </c>
      <c r="AE95" s="48">
        <f>SUBTOTAL(9,AE93:AE94)</f>
        <v>505</v>
      </c>
      <c r="AF95" s="45"/>
      <c r="AG95" s="44">
        <f>SUBTOTAL(9,AG93:AG94)</f>
        <v>1341.9256</v>
      </c>
      <c r="AH95" s="44">
        <f>SUBTOTAL(9,AH93:AH94)</f>
        <v>236.81040000000002</v>
      </c>
      <c r="AI95" s="44">
        <f>SUBTOTAL(9,AI93:AI94)</f>
        <v>394.68400000000003</v>
      </c>
      <c r="AJ95" s="45" t="e">
        <f>SUBTOTAL(9,#REF!)</f>
        <v>#REF!</v>
      </c>
      <c r="AK95" s="44">
        <f>SUBTOTAL(9,AK93:AK94)</f>
        <v>21761.34821428571</v>
      </c>
      <c r="AL95" s="44">
        <f>SUBTOTAL(9,AL93:AL94)</f>
        <v>21664.208214285711</v>
      </c>
      <c r="AM95" s="44">
        <f>SUBTOTAL(9,AM93:AM94)</f>
        <v>2599.7049857142852</v>
      </c>
      <c r="AN95" s="44">
        <f>SUBTOTAL(9,AN93:AN94)</f>
        <v>24263.913199999995</v>
      </c>
      <c r="AO95" s="49">
        <f t="shared" ref="R95:BP95" si="118">SUBTOTAL(9,AO93:AO94)</f>
        <v>0</v>
      </c>
      <c r="AP95" s="49">
        <f t="shared" si="118"/>
        <v>0</v>
      </c>
      <c r="AQ95" s="49">
        <f t="shared" si="118"/>
        <v>0</v>
      </c>
      <c r="AR95" s="49">
        <f t="shared" si="118"/>
        <v>0</v>
      </c>
      <c r="AS95" s="49">
        <f t="shared" si="118"/>
        <v>0</v>
      </c>
      <c r="AT95" s="49">
        <f t="shared" si="118"/>
        <v>0</v>
      </c>
      <c r="AU95" s="49">
        <f>SUBTOTAL(9,AU93:AU94)</f>
        <v>0</v>
      </c>
      <c r="AV95" s="49">
        <f t="shared" si="118"/>
        <v>0</v>
      </c>
      <c r="AW95" s="49">
        <f t="shared" si="118"/>
        <v>0</v>
      </c>
      <c r="AX95" s="49">
        <f t="shared" si="118"/>
        <v>0</v>
      </c>
      <c r="AY95" s="49">
        <f t="shared" si="118"/>
        <v>0</v>
      </c>
      <c r="AZ95" s="44">
        <f t="shared" si="118"/>
        <v>0</v>
      </c>
      <c r="BA95" s="48">
        <f t="shared" si="118"/>
        <v>0</v>
      </c>
      <c r="BB95" s="48">
        <f t="shared" si="118"/>
        <v>0</v>
      </c>
      <c r="BC95" s="44">
        <f t="shared" si="118"/>
        <v>0</v>
      </c>
      <c r="BD95" s="44">
        <f t="shared" si="118"/>
        <v>0</v>
      </c>
      <c r="BE95" s="49">
        <f>SUBTOTAL(9,BE93:BE94)</f>
        <v>0</v>
      </c>
      <c r="BF95" s="49">
        <f t="shared" si="118"/>
        <v>0</v>
      </c>
      <c r="BG95" s="49">
        <f t="shared" si="118"/>
        <v>0</v>
      </c>
      <c r="BH95" s="49">
        <f t="shared" si="118"/>
        <v>0</v>
      </c>
      <c r="BI95" s="49">
        <f t="shared" si="118"/>
        <v>0</v>
      </c>
      <c r="BJ95" s="49">
        <f t="shared" si="118"/>
        <v>0</v>
      </c>
      <c r="BK95" s="49">
        <f t="shared" si="118"/>
        <v>0</v>
      </c>
      <c r="BL95" s="49">
        <f t="shared" si="118"/>
        <v>0</v>
      </c>
      <c r="BM95" s="49">
        <f t="shared" si="118"/>
        <v>0</v>
      </c>
      <c r="BN95" s="49">
        <f t="shared" si="118"/>
        <v>0</v>
      </c>
      <c r="BO95" s="49">
        <f t="shared" si="118"/>
        <v>0</v>
      </c>
      <c r="BP95" s="49">
        <f t="shared" si="118"/>
        <v>0</v>
      </c>
      <c r="BQ95" s="44">
        <f>SUBTOTAL(9,BQ93:BQ94)</f>
        <v>0</v>
      </c>
    </row>
    <row r="96" spans="1:96" x14ac:dyDescent="0.25">
      <c r="A96" s="190">
        <f>+A93+1</f>
        <v>43676</v>
      </c>
      <c r="B96" s="16" t="s">
        <v>43</v>
      </c>
      <c r="C96" s="33">
        <v>28438.15</v>
      </c>
      <c r="D96" s="34">
        <v>20596.14</v>
      </c>
      <c r="E96" s="34">
        <v>20597</v>
      </c>
      <c r="F96" s="35">
        <v>43676</v>
      </c>
      <c r="G96" s="33">
        <f>IF(E96-D96&lt;0,E96-D96,0)*-1</f>
        <v>0</v>
      </c>
      <c r="H96" s="33">
        <f>IF(E96-D96&gt;0,E96-D96,0)</f>
        <v>0.86000000000058208</v>
      </c>
      <c r="I96" s="34"/>
      <c r="J96" s="34"/>
      <c r="K96" s="34">
        <v>5152.32</v>
      </c>
      <c r="L96" s="34"/>
      <c r="M96" s="36">
        <f>(+K96)*M$5</f>
        <v>110.77487999999998</v>
      </c>
      <c r="N96" s="36">
        <f>(+K96)*N$5</f>
        <v>25.761599999999998</v>
      </c>
      <c r="O96" s="36">
        <f>+K96-M96-N96+P96</f>
        <v>5015.78352</v>
      </c>
      <c r="P96" s="36"/>
      <c r="Q96" s="37"/>
      <c r="R96" s="34"/>
      <c r="S96" s="34"/>
      <c r="T96" s="36"/>
      <c r="U96" s="36"/>
      <c r="V96" s="36"/>
      <c r="W96" s="36"/>
      <c r="X96" s="37"/>
      <c r="Y96" s="34"/>
      <c r="Z96" s="34"/>
      <c r="AA96" s="34"/>
      <c r="AB96" s="34"/>
      <c r="AC96" s="34">
        <v>54.69</v>
      </c>
      <c r="AD96" s="38"/>
      <c r="AE96" s="38">
        <v>2635</v>
      </c>
      <c r="AF96" s="34">
        <v>1840.96</v>
      </c>
      <c r="AG96" s="33">
        <f>(AF96*0.8)*0.85</f>
        <v>1251.8527999999999</v>
      </c>
      <c r="AH96" s="33">
        <f>(AF96*0.8)*0.15</f>
        <v>220.9152</v>
      </c>
      <c r="AI96" s="33">
        <f>AF96*0.2</f>
        <v>368.19200000000001</v>
      </c>
      <c r="AJ96" s="34"/>
      <c r="AK96" s="33">
        <f t="shared" ref="AK96:AK97" si="119">(C96-AF96-AJ96)/1.12</f>
        <v>23747.491071428572</v>
      </c>
      <c r="AL96" s="33">
        <f t="shared" ref="AL96:AL97" si="120">AK96-SUM(Y96:AC96)</f>
        <v>23692.801071428574</v>
      </c>
      <c r="AM96" s="33">
        <f t="shared" ref="AM96:AM97" si="121">+AL96*0.12</f>
        <v>2843.1361285714288</v>
      </c>
      <c r="AN96" s="33">
        <f t="shared" ref="AN96:AN97" si="122">+AM96+AL96+AJ96</f>
        <v>26535.937200000004</v>
      </c>
      <c r="AO96" s="39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33">
        <f>SUM(AO96:AY96)</f>
        <v>0</v>
      </c>
      <c r="BA96" s="38"/>
      <c r="BB96" s="38"/>
      <c r="BC96" s="33">
        <f>SUM(BE96:BL96)*0.1+(BM96*0.5)</f>
        <v>0</v>
      </c>
      <c r="BD96" s="33">
        <f>SUM(BE96:BL96)+(BM96*0.5)</f>
        <v>0</v>
      </c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41">
        <f>AZ96+BA96+BB96+BD96-BC96</f>
        <v>0</v>
      </c>
      <c r="BS96" s="145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</row>
    <row r="97" spans="1:96" ht="15.75" thickBot="1" x14ac:dyDescent="0.3">
      <c r="A97" s="187"/>
      <c r="B97" s="16" t="s">
        <v>44</v>
      </c>
      <c r="C97" s="33">
        <v>15394.89</v>
      </c>
      <c r="D97" s="34">
        <v>8105.23</v>
      </c>
      <c r="E97" s="34">
        <v>8107</v>
      </c>
      <c r="F97" s="35">
        <v>43677</v>
      </c>
      <c r="G97" s="33">
        <f>IF(E97-D97&lt;0,E97-D97,0)*-1</f>
        <v>0</v>
      </c>
      <c r="H97" s="33">
        <f>IF(E97-D97&gt;0,E97-D97,0)</f>
        <v>1.7700000000004366</v>
      </c>
      <c r="I97" s="34"/>
      <c r="J97" s="34"/>
      <c r="K97" s="34">
        <v>6959.57</v>
      </c>
      <c r="L97" s="34"/>
      <c r="M97" s="36">
        <f>(+K97)*M$5</f>
        <v>149.63075499999999</v>
      </c>
      <c r="N97" s="36">
        <f>(+K97)*N$5</f>
        <v>34.797849999999997</v>
      </c>
      <c r="O97" s="36">
        <f>+K97-M97-N97+P97</f>
        <v>6775.1413949999996</v>
      </c>
      <c r="P97" s="36"/>
      <c r="Q97" s="37"/>
      <c r="R97" s="34"/>
      <c r="S97" s="34"/>
      <c r="T97" s="36"/>
      <c r="U97" s="36"/>
      <c r="V97" s="36"/>
      <c r="W97" s="36"/>
      <c r="X97" s="37"/>
      <c r="Y97" s="34"/>
      <c r="Z97" s="34"/>
      <c r="AA97" s="34"/>
      <c r="AB97" s="34"/>
      <c r="AC97" s="34">
        <v>70.09</v>
      </c>
      <c r="AD97" s="38"/>
      <c r="AE97" s="163">
        <v>260</v>
      </c>
      <c r="AF97" s="34">
        <v>1121.94</v>
      </c>
      <c r="AG97" s="33">
        <f>(AF97*0.8)*0.85</f>
        <v>762.91920000000005</v>
      </c>
      <c r="AH97" s="33">
        <f>(AF97*0.8)*0.15</f>
        <v>134.6328</v>
      </c>
      <c r="AI97" s="33">
        <f>AF97*0.2</f>
        <v>224.38800000000003</v>
      </c>
      <c r="AJ97" s="34"/>
      <c r="AK97" s="33">
        <f t="shared" si="119"/>
        <v>12743.705357142855</v>
      </c>
      <c r="AL97" s="33">
        <f t="shared" si="120"/>
        <v>12673.615357142855</v>
      </c>
      <c r="AM97" s="33">
        <f t="shared" si="121"/>
        <v>1520.8338428571426</v>
      </c>
      <c r="AN97" s="33">
        <f t="shared" si="122"/>
        <v>14194.449199999997</v>
      </c>
      <c r="AO97" s="39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33">
        <f>SUM(AO97:AY97)</f>
        <v>0</v>
      </c>
      <c r="BA97" s="38"/>
      <c r="BB97" s="38"/>
      <c r="BC97" s="33"/>
      <c r="BD97" s="33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41">
        <f>AZ97+BA97+BB97+BD97-BC97</f>
        <v>0</v>
      </c>
      <c r="BS97" s="145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</row>
    <row r="98" spans="1:96" ht="15.75" thickBot="1" x14ac:dyDescent="0.3">
      <c r="A98" s="156"/>
      <c r="B98" s="43"/>
      <c r="C98" s="44">
        <f>SUBTOTAL(9,C96:C97)</f>
        <v>43833.04</v>
      </c>
      <c r="D98" s="45">
        <f>SUBTOTAL(9,D96:D97)</f>
        <v>28701.37</v>
      </c>
      <c r="E98" s="45">
        <f>SUBTOTAL(9,E96:E97)</f>
        <v>28704</v>
      </c>
      <c r="F98" s="47"/>
      <c r="G98" s="45">
        <f>SUBTOTAL(9,G96:G97)</f>
        <v>0</v>
      </c>
      <c r="H98" s="45">
        <f>SUBTOTAL(9,H96:H97)</f>
        <v>2.6300000000010186</v>
      </c>
      <c r="I98" s="45">
        <f>SUBTOTAL(9,I96:I97)</f>
        <v>0</v>
      </c>
      <c r="J98" s="45">
        <f>SUBTOTAL(9,J96:J97)</f>
        <v>0</v>
      </c>
      <c r="K98" s="158">
        <f>SUBTOTAL(9,K96:K97)</f>
        <v>12111.89</v>
      </c>
      <c r="L98" s="45">
        <f>SUBTOTAL(9,L96:L97)</f>
        <v>0</v>
      </c>
      <c r="M98" s="46">
        <f>SUBTOTAL(9,M96:M97)</f>
        <v>260.40563499999996</v>
      </c>
      <c r="N98" s="46">
        <f>SUBTOTAL(9,N96:N97)</f>
        <v>60.559449999999998</v>
      </c>
      <c r="O98" s="46">
        <f>SUBTOTAL(9,O96:O97)</f>
        <v>11790.924915</v>
      </c>
      <c r="P98" s="46">
        <f>SUBTOTAL(9,P96:P97)</f>
        <v>0</v>
      </c>
      <c r="Q98" s="47">
        <f>SUBTOTAL(9,Q96:Q97)</f>
        <v>0</v>
      </c>
      <c r="R98" s="45">
        <f>SUBTOTAL(9,R96:R97)</f>
        <v>0</v>
      </c>
      <c r="S98" s="45">
        <f>SUBTOTAL(9,S96:S97)</f>
        <v>0</v>
      </c>
      <c r="T98" s="46">
        <f>SUBTOTAL(9,T96:T97)</f>
        <v>0</v>
      </c>
      <c r="U98" s="46">
        <f>SUBTOTAL(9,U96:U97)</f>
        <v>0</v>
      </c>
      <c r="V98" s="46">
        <f>SUBTOTAL(9,V96:V97)</f>
        <v>0</v>
      </c>
      <c r="W98" s="46">
        <f>SUBTOTAL(9,W96:W97)</f>
        <v>0</v>
      </c>
      <c r="X98" s="47">
        <f>SUBTOTAL(9,X96:X97)</f>
        <v>0</v>
      </c>
      <c r="Y98" s="45">
        <f>SUBTOTAL(9,Y96:Y97)</f>
        <v>0</v>
      </c>
      <c r="Z98" s="45">
        <f>SUBTOTAL(9,Z96:Z97)</f>
        <v>0</v>
      </c>
      <c r="AA98" s="45">
        <f>SUBTOTAL(9,AA96:AA97)</f>
        <v>0</v>
      </c>
      <c r="AB98" s="45">
        <f>SUBTOTAL(9,AB96:AB97)</f>
        <v>0</v>
      </c>
      <c r="AC98" s="45">
        <f>SUBTOTAL(9,AC96:AC97)</f>
        <v>124.78</v>
      </c>
      <c r="AD98" s="48">
        <f>SUBTOTAL(9,AD96:AD97)</f>
        <v>0</v>
      </c>
      <c r="AE98" s="48">
        <f>SUBTOTAL(9,AE96:AE97)</f>
        <v>2895</v>
      </c>
      <c r="AF98" s="45"/>
      <c r="AG98" s="44">
        <f>SUBTOTAL(9,AG96:AG97)</f>
        <v>2014.7719999999999</v>
      </c>
      <c r="AH98" s="44">
        <f>SUBTOTAL(9,AH96:AH97)</f>
        <v>355.548</v>
      </c>
      <c r="AI98" s="44">
        <f>SUBTOTAL(9,AI96:AI97)</f>
        <v>592.58000000000004</v>
      </c>
      <c r="AJ98" s="45" t="e">
        <f>SUBTOTAL(9,#REF!)</f>
        <v>#REF!</v>
      </c>
      <c r="AK98" s="44">
        <f>SUBTOTAL(9,AK96:AK97)</f>
        <v>36491.196428571428</v>
      </c>
      <c r="AL98" s="44">
        <f>SUBTOTAL(9,AL96:AL97)</f>
        <v>36366.416428571429</v>
      </c>
      <c r="AM98" s="44">
        <f>SUBTOTAL(9,AM96:AM97)</f>
        <v>4363.9699714285716</v>
      </c>
      <c r="AN98" s="44">
        <f>SUBTOTAL(9,AN96:AN97)</f>
        <v>40730.386400000003</v>
      </c>
      <c r="AO98" s="49">
        <f t="shared" ref="R98:BP98" si="123">SUBTOTAL(9,AO96:AO97)</f>
        <v>0</v>
      </c>
      <c r="AP98" s="49">
        <f t="shared" si="123"/>
        <v>0</v>
      </c>
      <c r="AQ98" s="49">
        <f t="shared" si="123"/>
        <v>0</v>
      </c>
      <c r="AR98" s="49">
        <f t="shared" si="123"/>
        <v>0</v>
      </c>
      <c r="AS98" s="49">
        <f t="shared" si="123"/>
        <v>0</v>
      </c>
      <c r="AT98" s="49">
        <f t="shared" si="123"/>
        <v>0</v>
      </c>
      <c r="AU98" s="49">
        <f>SUBTOTAL(9,AU96:AU97)</f>
        <v>0</v>
      </c>
      <c r="AV98" s="49">
        <f t="shared" si="123"/>
        <v>0</v>
      </c>
      <c r="AW98" s="49">
        <f t="shared" si="123"/>
        <v>0</v>
      </c>
      <c r="AX98" s="49">
        <f t="shared" si="123"/>
        <v>0</v>
      </c>
      <c r="AY98" s="49">
        <f t="shared" si="123"/>
        <v>0</v>
      </c>
      <c r="AZ98" s="44">
        <f t="shared" si="123"/>
        <v>0</v>
      </c>
      <c r="BA98" s="48">
        <f t="shared" si="123"/>
        <v>0</v>
      </c>
      <c r="BB98" s="48">
        <f t="shared" si="123"/>
        <v>0</v>
      </c>
      <c r="BC98" s="44">
        <f t="shared" si="123"/>
        <v>0</v>
      </c>
      <c r="BD98" s="44">
        <f t="shared" si="123"/>
        <v>0</v>
      </c>
      <c r="BE98" s="49">
        <f>SUBTOTAL(9,BE96:BE97)</f>
        <v>0</v>
      </c>
      <c r="BF98" s="49">
        <f t="shared" si="123"/>
        <v>0</v>
      </c>
      <c r="BG98" s="49">
        <f t="shared" si="123"/>
        <v>0</v>
      </c>
      <c r="BH98" s="49">
        <f t="shared" si="123"/>
        <v>0</v>
      </c>
      <c r="BI98" s="49">
        <f t="shared" si="123"/>
        <v>0</v>
      </c>
      <c r="BJ98" s="49">
        <f t="shared" si="123"/>
        <v>0</v>
      </c>
      <c r="BK98" s="49">
        <f t="shared" si="123"/>
        <v>0</v>
      </c>
      <c r="BL98" s="49">
        <f t="shared" si="123"/>
        <v>0</v>
      </c>
      <c r="BM98" s="49">
        <f t="shared" si="123"/>
        <v>0</v>
      </c>
      <c r="BN98" s="49">
        <f t="shared" si="123"/>
        <v>0</v>
      </c>
      <c r="BO98" s="49">
        <f t="shared" si="123"/>
        <v>0</v>
      </c>
      <c r="BP98" s="49">
        <f t="shared" si="123"/>
        <v>0</v>
      </c>
      <c r="BQ98" s="157">
        <f>SUBTOTAL(9,BQ96:BQ97)</f>
        <v>0</v>
      </c>
    </row>
    <row r="99" spans="1:96" x14ac:dyDescent="0.25">
      <c r="A99" s="191">
        <f>+A96+1</f>
        <v>43677</v>
      </c>
      <c r="B99" s="166" t="s">
        <v>43</v>
      </c>
      <c r="C99" s="167">
        <v>30589.37</v>
      </c>
      <c r="D99" s="168">
        <v>21878.82</v>
      </c>
      <c r="E99" s="168">
        <v>21880</v>
      </c>
      <c r="F99" s="169">
        <v>43677</v>
      </c>
      <c r="G99" s="167">
        <f>IF(E99-D99&lt;0,E99-D99,0)*-1</f>
        <v>0</v>
      </c>
      <c r="H99" s="167">
        <f>IF(E99-D99&gt;0,E99-D99,0)</f>
        <v>1.180000000000291</v>
      </c>
      <c r="I99" s="168"/>
      <c r="J99" s="168"/>
      <c r="K99" s="168">
        <v>4911.4799999999996</v>
      </c>
      <c r="L99" s="168"/>
      <c r="M99" s="170">
        <f>(+K99)*M$5</f>
        <v>105.59681999999998</v>
      </c>
      <c r="N99" s="170">
        <f>(+K99)*N$5</f>
        <v>24.557399999999998</v>
      </c>
      <c r="O99" s="170">
        <f>+K99-M99-N99+P99</f>
        <v>4781.3257800000001</v>
      </c>
      <c r="P99" s="170"/>
      <c r="Q99" s="171"/>
      <c r="R99" s="168"/>
      <c r="S99" s="168"/>
      <c r="T99" s="170"/>
      <c r="U99" s="170"/>
      <c r="V99" s="170"/>
      <c r="W99" s="170"/>
      <c r="X99" s="171"/>
      <c r="Y99" s="168"/>
      <c r="Z99" s="168">
        <v>19</v>
      </c>
      <c r="AA99" s="168"/>
      <c r="AB99" s="168"/>
      <c r="AC99" s="168">
        <v>780.07</v>
      </c>
      <c r="AD99" s="172"/>
      <c r="AE99" s="172">
        <v>0</v>
      </c>
      <c r="AF99" s="168">
        <v>2284.4</v>
      </c>
      <c r="AG99" s="167">
        <f>(AF99*0.8)*0.85</f>
        <v>1553.3920000000001</v>
      </c>
      <c r="AH99" s="167">
        <f>(AF99*0.8)*0.15</f>
        <v>274.12800000000004</v>
      </c>
      <c r="AI99" s="167">
        <f>AF99*0.2</f>
        <v>456.88000000000005</v>
      </c>
      <c r="AJ99" s="168"/>
      <c r="AK99" s="167">
        <f t="shared" ref="AK99:AK100" si="124">(C99-AF99-AJ99)/1.12</f>
        <v>25272.294642857138</v>
      </c>
      <c r="AL99" s="167">
        <f t="shared" ref="AL99:AL100" si="125">AK99-SUM(Y99:AC99)</f>
        <v>24473.224642857138</v>
      </c>
      <c r="AM99" s="167">
        <f t="shared" ref="AM99:AM100" si="126">+AL99*0.12</f>
        <v>2936.7869571428564</v>
      </c>
      <c r="AN99" s="167">
        <f t="shared" si="94"/>
        <v>27410.011599999994</v>
      </c>
      <c r="AO99" s="173"/>
      <c r="AP99" s="174"/>
      <c r="AQ99" s="174"/>
      <c r="AR99" s="174"/>
      <c r="AS99" s="174"/>
      <c r="AT99" s="174"/>
      <c r="AU99" s="174"/>
      <c r="AV99" s="174"/>
      <c r="AW99" s="174"/>
      <c r="AX99" s="174"/>
      <c r="AY99" s="174"/>
      <c r="AZ99" s="167">
        <f>SUM(AO99:AY99)</f>
        <v>0</v>
      </c>
      <c r="BA99" s="172"/>
      <c r="BB99" s="172"/>
      <c r="BC99" s="167">
        <f>SUM(BE99:BL99)*0.1+(BM99*0.5)</f>
        <v>0</v>
      </c>
      <c r="BD99" s="167">
        <f>SUM(BE99:BL99)+(BM99*0.5)</f>
        <v>0</v>
      </c>
      <c r="BE99" s="173"/>
      <c r="BF99" s="173"/>
      <c r="BG99" s="173"/>
      <c r="BH99" s="173"/>
      <c r="BI99" s="173"/>
      <c r="BJ99" s="173"/>
      <c r="BK99" s="173"/>
      <c r="BL99" s="173"/>
      <c r="BM99" s="173"/>
      <c r="BN99" s="173"/>
      <c r="BO99" s="173"/>
      <c r="BP99" s="173"/>
      <c r="BQ99" s="175">
        <f>AZ99+BA99+BB99+BD99-BC99</f>
        <v>0</v>
      </c>
      <c r="BS99" s="145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</row>
    <row r="100" spans="1:96" ht="15.75" thickBot="1" x14ac:dyDescent="0.3">
      <c r="A100" s="192"/>
      <c r="B100" s="176" t="s">
        <v>44</v>
      </c>
      <c r="C100" s="162">
        <v>9794.5400000000009</v>
      </c>
      <c r="D100" s="177">
        <v>9292.17</v>
      </c>
      <c r="E100" s="177">
        <v>9293</v>
      </c>
      <c r="F100" s="178">
        <v>43678</v>
      </c>
      <c r="G100" s="162">
        <f>IF(E100-D100&lt;0,E100-D100,0)*-1</f>
        <v>0</v>
      </c>
      <c r="H100" s="162">
        <f>IF(E100-D100&gt;0,E100-D100,0)</f>
        <v>0.82999999999992724</v>
      </c>
      <c r="I100" s="177">
        <v>200</v>
      </c>
      <c r="J100" s="177"/>
      <c r="K100" s="177">
        <v>0</v>
      </c>
      <c r="L100" s="177"/>
      <c r="M100" s="179">
        <f>(+K100)*M$5</f>
        <v>0</v>
      </c>
      <c r="N100" s="179">
        <f>(+K100)*N$5</f>
        <v>0</v>
      </c>
      <c r="O100" s="179">
        <f>+K100-M100-N100+P100</f>
        <v>0</v>
      </c>
      <c r="P100" s="179"/>
      <c r="Q100" s="180"/>
      <c r="R100" s="177"/>
      <c r="S100" s="177"/>
      <c r="T100" s="179"/>
      <c r="U100" s="179"/>
      <c r="V100" s="179"/>
      <c r="W100" s="179"/>
      <c r="X100" s="180"/>
      <c r="Y100" s="177"/>
      <c r="Z100" s="177">
        <v>43</v>
      </c>
      <c r="AA100" s="177"/>
      <c r="AB100" s="177"/>
      <c r="AC100" s="177">
        <v>259.37</v>
      </c>
      <c r="AD100" s="181"/>
      <c r="AE100" s="182">
        <v>0</v>
      </c>
      <c r="AF100" s="177">
        <v>709.16</v>
      </c>
      <c r="AG100" s="162">
        <f>(AF100*0.8)*0.85</f>
        <v>482.22879999999998</v>
      </c>
      <c r="AH100" s="162">
        <f>(AF100*0.8)*0.15</f>
        <v>85.099199999999996</v>
      </c>
      <c r="AI100" s="162">
        <f>AF100*0.2</f>
        <v>141.83199999999999</v>
      </c>
      <c r="AJ100" s="177"/>
      <c r="AK100" s="162">
        <f t="shared" si="124"/>
        <v>8111.9464285714284</v>
      </c>
      <c r="AL100" s="162">
        <f t="shared" si="125"/>
        <v>7809.5764285714286</v>
      </c>
      <c r="AM100" s="162">
        <f t="shared" si="126"/>
        <v>937.14917142857144</v>
      </c>
      <c r="AN100" s="162">
        <f t="shared" si="94"/>
        <v>8746.7255999999998</v>
      </c>
      <c r="AO100" s="183"/>
      <c r="AP100" s="184"/>
      <c r="AQ100" s="184">
        <v>135</v>
      </c>
      <c r="AR100" s="184"/>
      <c r="AS100" s="184"/>
      <c r="AT100" s="184"/>
      <c r="AU100" s="184"/>
      <c r="AV100" s="184"/>
      <c r="AW100" s="184"/>
      <c r="AX100" s="184"/>
      <c r="AY100" s="184"/>
      <c r="AZ100" s="162">
        <f>SUM(AO100:AY100)</f>
        <v>135</v>
      </c>
      <c r="BA100" s="181"/>
      <c r="BB100" s="181"/>
      <c r="BC100" s="162"/>
      <c r="BD100" s="162"/>
      <c r="BE100" s="183"/>
      <c r="BF100" s="183"/>
      <c r="BG100" s="183"/>
      <c r="BH100" s="183"/>
      <c r="BI100" s="183"/>
      <c r="BJ100" s="183"/>
      <c r="BK100" s="183"/>
      <c r="BL100" s="183"/>
      <c r="BM100" s="183"/>
      <c r="BN100" s="183"/>
      <c r="BO100" s="183"/>
      <c r="BP100" s="183"/>
      <c r="BQ100" s="185">
        <f>AZ100+BA100+BB100+BD100-BC100</f>
        <v>135</v>
      </c>
      <c r="BS100" s="145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</row>
    <row r="101" spans="1:96" ht="15.75" thickBot="1" x14ac:dyDescent="0.3">
      <c r="A101" s="42"/>
      <c r="B101" s="43"/>
      <c r="C101" s="44">
        <f>SUBTOTAL(9,C99:C100)</f>
        <v>40383.910000000003</v>
      </c>
      <c r="D101" s="45" t="e">
        <f>SUBTOTAL(9,#REF!)</f>
        <v>#REF!</v>
      </c>
      <c r="E101" s="45">
        <f>SUBTOTAL(9,E99:E100)</f>
        <v>31173</v>
      </c>
      <c r="F101" s="47"/>
      <c r="G101" s="45">
        <f>SUBTOTAL(9,G99:G100)</f>
        <v>0</v>
      </c>
      <c r="H101" s="45">
        <f>SUBTOTAL(9,H99:H100)</f>
        <v>2.0100000000002183</v>
      </c>
      <c r="I101" s="45">
        <f>SUBTOTAL(9,I99:I100)</f>
        <v>200</v>
      </c>
      <c r="J101" s="45">
        <f>SUBTOTAL(9,J99:J100)</f>
        <v>0</v>
      </c>
      <c r="K101" s="158">
        <f>SUBTOTAL(9,K99:K100)</f>
        <v>4911.4799999999996</v>
      </c>
      <c r="L101" s="45">
        <f>SUBTOTAL(9,L99:L100)</f>
        <v>0</v>
      </c>
      <c r="M101" s="46">
        <f>SUBTOTAL(9,M99:M100)</f>
        <v>105.59681999999998</v>
      </c>
      <c r="N101" s="46">
        <f>SUBTOTAL(9,N99:N100)</f>
        <v>24.557399999999998</v>
      </c>
      <c r="O101" s="46">
        <f>SUBTOTAL(9,O99:O100)</f>
        <v>4781.3257800000001</v>
      </c>
      <c r="P101" s="46">
        <f>SUBTOTAL(9,P99:P100)</f>
        <v>0</v>
      </c>
      <c r="Q101" s="47">
        <f>SUBTOTAL(9,Q99:Q100)</f>
        <v>0</v>
      </c>
      <c r="R101" s="45">
        <f>SUBTOTAL(9,R99:R100)</f>
        <v>0</v>
      </c>
      <c r="S101" s="45">
        <f>SUBTOTAL(9,S99:S100)</f>
        <v>0</v>
      </c>
      <c r="T101" s="46">
        <f>SUBTOTAL(9,T99:T100)</f>
        <v>0</v>
      </c>
      <c r="U101" s="46">
        <f>SUBTOTAL(9,U99:U100)</f>
        <v>0</v>
      </c>
      <c r="V101" s="46">
        <f>SUBTOTAL(9,V99:V100)</f>
        <v>0</v>
      </c>
      <c r="W101" s="46">
        <f>SUBTOTAL(9,W99:W100)</f>
        <v>0</v>
      </c>
      <c r="X101" s="47">
        <f>SUBTOTAL(9,X99:X100)</f>
        <v>0</v>
      </c>
      <c r="Y101" s="45">
        <f>SUBTOTAL(9,Y99:Y100)</f>
        <v>0</v>
      </c>
      <c r="Z101" s="45">
        <f>SUBTOTAL(9,Z99:Z100)</f>
        <v>62</v>
      </c>
      <c r="AA101" s="45">
        <f>SUBTOTAL(9,AA99:AA100)</f>
        <v>0</v>
      </c>
      <c r="AB101" s="45">
        <f>SUBTOTAL(9,AB99:AB100)</f>
        <v>0</v>
      </c>
      <c r="AC101" s="45">
        <f>SUBTOTAL(9,AC99:AC100)</f>
        <v>1039.44</v>
      </c>
      <c r="AD101" s="48">
        <f>SUBTOTAL(9,AD99:AD100)</f>
        <v>0</v>
      </c>
      <c r="AE101" s="48">
        <f>SUBTOTAL(9,AE99:AE100)</f>
        <v>0</v>
      </c>
      <c r="AF101" s="45"/>
      <c r="AG101" s="44">
        <f>SUBTOTAL(9,AG99:AG100)</f>
        <v>2035.6208000000001</v>
      </c>
      <c r="AH101" s="44">
        <f>SUBTOTAL(9,AH99:AH100)</f>
        <v>359.22720000000004</v>
      </c>
      <c r="AI101" s="44">
        <f>SUBTOTAL(9,AI99:AI100)</f>
        <v>598.71199999999999</v>
      </c>
      <c r="AJ101" s="45" t="e">
        <f>SUBTOTAL(9,#REF!)</f>
        <v>#REF!</v>
      </c>
      <c r="AK101" s="44">
        <f>SUBTOTAL(9,AK99:AK100)</f>
        <v>33384.241071428565</v>
      </c>
      <c r="AL101" s="44">
        <f>SUBTOTAL(9,AL99:AL100)</f>
        <v>32282.801071428567</v>
      </c>
      <c r="AM101" s="44">
        <f>SUBTOTAL(9,AM99:AM100)</f>
        <v>3873.9361285714276</v>
      </c>
      <c r="AN101" s="44">
        <f>SUBTOTAL(9,AN99:AN100)</f>
        <v>36156.737199999996</v>
      </c>
      <c r="AO101" s="49" t="e">
        <f>SUBTOTAL(9,#REF!)</f>
        <v>#REF!</v>
      </c>
      <c r="AP101" s="49" t="e">
        <f>SUBTOTAL(9,#REF!)</f>
        <v>#REF!</v>
      </c>
      <c r="AQ101" s="49" t="e">
        <f>SUBTOTAL(9,#REF!)</f>
        <v>#REF!</v>
      </c>
      <c r="AR101" s="49" t="e">
        <f>SUBTOTAL(9,#REF!)</f>
        <v>#REF!</v>
      </c>
      <c r="AS101" s="49" t="e">
        <f>SUBTOTAL(9,#REF!)</f>
        <v>#REF!</v>
      </c>
      <c r="AT101" s="49" t="e">
        <f>SUBTOTAL(9,#REF!)</f>
        <v>#REF!</v>
      </c>
      <c r="AU101" s="49" t="e">
        <f>SUBTOTAL(9,#REF!)</f>
        <v>#REF!</v>
      </c>
      <c r="AV101" s="49" t="e">
        <f>SUBTOTAL(9,#REF!)</f>
        <v>#REF!</v>
      </c>
      <c r="AW101" s="49" t="e">
        <f>SUBTOTAL(9,#REF!)</f>
        <v>#REF!</v>
      </c>
      <c r="AX101" s="49" t="e">
        <f>SUBTOTAL(9,#REF!)</f>
        <v>#REF!</v>
      </c>
      <c r="AY101" s="49" t="e">
        <f>SUBTOTAL(9,#REF!)</f>
        <v>#REF!</v>
      </c>
      <c r="AZ101" s="44" t="e">
        <f>SUBTOTAL(9,#REF!)</f>
        <v>#REF!</v>
      </c>
      <c r="BA101" s="48"/>
      <c r="BB101" s="48" t="e">
        <f>SUBTOTAL(9,#REF!)</f>
        <v>#REF!</v>
      </c>
      <c r="BC101" s="44" t="e">
        <f>SUBTOTAL(9,#REF!)</f>
        <v>#REF!</v>
      </c>
      <c r="BD101" s="44" t="e">
        <f>SUBTOTAL(9,#REF!)</f>
        <v>#REF!</v>
      </c>
      <c r="BE101" s="49" t="e">
        <f>SUBTOTAL(9,#REF!)</f>
        <v>#REF!</v>
      </c>
      <c r="BF101" s="49" t="e">
        <f>SUBTOTAL(9,#REF!)</f>
        <v>#REF!</v>
      </c>
      <c r="BG101" s="49" t="e">
        <f>SUBTOTAL(9,#REF!)</f>
        <v>#REF!</v>
      </c>
      <c r="BH101" s="49" t="e">
        <f>SUBTOTAL(9,#REF!)</f>
        <v>#REF!</v>
      </c>
      <c r="BI101" s="49" t="e">
        <f>SUBTOTAL(9,#REF!)</f>
        <v>#REF!</v>
      </c>
      <c r="BJ101" s="49" t="e">
        <f>SUBTOTAL(9,#REF!)</f>
        <v>#REF!</v>
      </c>
      <c r="BK101" s="49" t="e">
        <f>SUBTOTAL(9,#REF!)</f>
        <v>#REF!</v>
      </c>
      <c r="BL101" s="49" t="e">
        <f>SUBTOTAL(9,#REF!)</f>
        <v>#REF!</v>
      </c>
      <c r="BM101" s="49" t="e">
        <f>SUBTOTAL(9,#REF!)</f>
        <v>#REF!</v>
      </c>
      <c r="BN101" s="49" t="e">
        <f>SUBTOTAL(9,#REF!)</f>
        <v>#REF!</v>
      </c>
      <c r="BO101" s="49" t="e">
        <f>SUBTOTAL(9,#REF!)</f>
        <v>#REF!</v>
      </c>
      <c r="BP101" s="49" t="e">
        <f>SUBTOTAL(9,#REF!)</f>
        <v>#REF!</v>
      </c>
      <c r="BQ101" s="44" t="e">
        <f>SUBTOTAL(9,#REF!)</f>
        <v>#REF!</v>
      </c>
    </row>
    <row r="102" spans="1:96" ht="15.75" thickBot="1" x14ac:dyDescent="0.3">
      <c r="A102" s="154"/>
      <c r="B102" s="4"/>
      <c r="C102" s="50"/>
      <c r="D102" s="51"/>
      <c r="E102" s="51"/>
      <c r="F102" s="52"/>
      <c r="G102" s="50"/>
      <c r="H102" s="50"/>
      <c r="I102" s="51"/>
      <c r="J102" s="51"/>
      <c r="K102" s="51"/>
      <c r="L102" s="51"/>
      <c r="M102" s="53"/>
      <c r="N102" s="53"/>
      <c r="O102" s="53"/>
      <c r="P102" s="53"/>
      <c r="Q102" s="52"/>
      <c r="R102" s="51"/>
      <c r="S102" s="51"/>
      <c r="T102" s="53"/>
      <c r="U102" s="53"/>
      <c r="V102" s="53"/>
      <c r="W102" s="53"/>
      <c r="X102" s="52"/>
      <c r="Y102" s="51"/>
      <c r="Z102" s="51"/>
      <c r="AA102" s="51"/>
      <c r="AB102" s="51"/>
      <c r="AC102" s="51"/>
      <c r="AD102" s="54"/>
      <c r="AE102" s="54"/>
      <c r="AF102" s="51"/>
      <c r="AG102" s="50"/>
      <c r="AH102" s="50"/>
      <c r="AI102" s="50"/>
      <c r="AJ102" s="51"/>
      <c r="AK102" s="50"/>
      <c r="AL102" s="50"/>
      <c r="AM102" s="50"/>
      <c r="AN102" s="50"/>
      <c r="AO102" s="1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0"/>
      <c r="BA102" s="54"/>
      <c r="BB102" s="54"/>
      <c r="BC102" s="50"/>
      <c r="BD102" s="50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0"/>
    </row>
    <row r="103" spans="1:96" ht="16.5" thickTop="1" thickBot="1" x14ac:dyDescent="0.3">
      <c r="A103" s="56" t="s">
        <v>45</v>
      </c>
      <c r="B103" s="56"/>
      <c r="C103" s="57">
        <f>SUBTOTAL(9,C8:C102)</f>
        <v>895781.05000000028</v>
      </c>
      <c r="D103" s="57">
        <f>SUBTOTAL(9,D8:D102)</f>
        <v>534001.21</v>
      </c>
      <c r="E103" s="57">
        <f>SUBTOTAL(9,E8:E102)</f>
        <v>533970.91999999993</v>
      </c>
      <c r="F103" s="57"/>
      <c r="G103" s="57">
        <f>SUBTOTAL(9,G8:G102)</f>
        <v>379.03999999999905</v>
      </c>
      <c r="H103" s="57">
        <f>SUBTOTAL(9,H8:H102)</f>
        <v>348.74999999999773</v>
      </c>
      <c r="I103" s="57">
        <f>SUBTOTAL(9,I8:I102)</f>
        <v>1400</v>
      </c>
      <c r="J103" s="57">
        <f>SUBTOTAL(9,J8:J102)</f>
        <v>0</v>
      </c>
      <c r="K103" s="57">
        <f>SUBTOTAL(9,K8:K102)</f>
        <v>296414.7099999999</v>
      </c>
      <c r="L103" s="57">
        <f>SUBTOTAL(9,L8:L102)</f>
        <v>0</v>
      </c>
      <c r="M103" s="57">
        <f>SUBTOTAL(9,M8:M102)</f>
        <v>6372.9162649999989</v>
      </c>
      <c r="N103" s="57">
        <f>SUBTOTAL(9,N8:N102)</f>
        <v>1482.0735500000003</v>
      </c>
      <c r="O103" s="57">
        <f>SUBTOTAL(9,O8:O102)</f>
        <v>288559.72018499998</v>
      </c>
      <c r="P103" s="57">
        <f t="shared" ref="P103:Q103" si="127">SUBTOTAL(9,P8:P102)</f>
        <v>0</v>
      </c>
      <c r="Q103" s="57">
        <f t="shared" si="127"/>
        <v>0</v>
      </c>
      <c r="R103" s="57">
        <f>SUBTOTAL(9,R8:R102)</f>
        <v>0</v>
      </c>
      <c r="S103" s="57">
        <f>SUBTOTAL(9,S8:S102)</f>
        <v>0</v>
      </c>
      <c r="T103" s="57">
        <f>SUBTOTAL(9,T8:T102)</f>
        <v>0</v>
      </c>
      <c r="U103" s="57">
        <f>SUBTOTAL(9,U8:U102)</f>
        <v>0</v>
      </c>
      <c r="V103" s="57">
        <f>SUBTOTAL(9,V8:V102)</f>
        <v>0</v>
      </c>
      <c r="W103" s="57">
        <f>SUBTOTAL(9,W8:W102)</f>
        <v>0</v>
      </c>
      <c r="X103" s="57"/>
      <c r="Y103" s="57">
        <f>SUBTOTAL(9,Y8:Y102)</f>
        <v>0</v>
      </c>
      <c r="Z103" s="57">
        <f>SUBTOTAL(9,Z8:Z102)</f>
        <v>3245</v>
      </c>
      <c r="AA103" s="57">
        <f>SUBTOTAL(9,AA8:AA102)</f>
        <v>104</v>
      </c>
      <c r="AB103" s="57">
        <f>SUBTOTAL(9,AB8:AB102)</f>
        <v>98</v>
      </c>
      <c r="AC103" s="57">
        <f>SUBTOTAL(9,AC8:AC102)</f>
        <v>7963.5299999999988</v>
      </c>
      <c r="AD103" s="57"/>
      <c r="AE103" s="57">
        <f>SUBTOTAL(9,AE8:AE102)</f>
        <v>49213</v>
      </c>
      <c r="AF103" s="57">
        <f>SUBTOTAL(9,AF8:AF102)</f>
        <v>70973.56</v>
      </c>
      <c r="AG103" s="57">
        <f>SUBTOTAL(9,AG8:AG102)</f>
        <v>48262.020800000006</v>
      </c>
      <c r="AH103" s="57">
        <f>SUBTOTAL(9,AH8:AH102)</f>
        <v>8516.8271999999997</v>
      </c>
      <c r="AI103" s="57">
        <f>SUBTOTAL(9,AI8:AI102)</f>
        <v>14194.712000000001</v>
      </c>
      <c r="AJ103" s="57">
        <f>SUBTOTAL(9,AJ8:AJ102)</f>
        <v>0</v>
      </c>
      <c r="AK103" s="57">
        <f>SUBTOTAL(9,AK8:AK102)</f>
        <v>736435.25892857136</v>
      </c>
      <c r="AL103" s="57">
        <f>SUBTOTAL(9,AL8:AL102)</f>
        <v>725024.72892857133</v>
      </c>
      <c r="AM103" s="57">
        <f>SUBTOTAL(9,AM8:AM102)</f>
        <v>87002.96747142855</v>
      </c>
      <c r="AN103" s="57">
        <f>SUBTOTAL(9,AN8:AN102)</f>
        <v>812027.6963999999</v>
      </c>
      <c r="AO103" s="119">
        <f>SUBTOTAL(9,AO8:AO102)</f>
        <v>3778</v>
      </c>
      <c r="AP103" s="119">
        <f>SUBTOTAL(9,AP8:AP102)</f>
        <v>2395</v>
      </c>
      <c r="AQ103" s="119">
        <f>SUBTOTAL(9,AQ8:AQ102)</f>
        <v>2265</v>
      </c>
      <c r="AR103" s="119">
        <f>SUBTOTAL(9,AR8:AR102)</f>
        <v>2225</v>
      </c>
      <c r="AS103" s="119">
        <f>SUBTOTAL(9,AS8:AS102)</f>
        <v>0</v>
      </c>
      <c r="AT103" s="119">
        <f>SUBTOTAL(9,AT8:AT102)</f>
        <v>0</v>
      </c>
      <c r="AU103" s="134">
        <f>SUBTOTAL(9,AU8:AU102)</f>
        <v>0</v>
      </c>
      <c r="AV103" s="134">
        <f>SUBTOTAL(9,AV8:AV102)</f>
        <v>0</v>
      </c>
      <c r="AW103" s="134">
        <f>SUBTOTAL(9,AW8:AW102)</f>
        <v>0</v>
      </c>
      <c r="AX103" s="134">
        <f>SUBTOTAL(9,AX8:AX102)</f>
        <v>0</v>
      </c>
      <c r="AY103" s="57">
        <f>SUBTOTAL(9,AY8:AY102)</f>
        <v>0</v>
      </c>
      <c r="AZ103" s="57">
        <f>SUBTOTAL(9,AZ8:AZ102)</f>
        <v>9633</v>
      </c>
      <c r="BA103" s="134">
        <f>SUBTOTAL(9,BA8:BA102)</f>
        <v>1440</v>
      </c>
      <c r="BB103" s="57">
        <f>SUBTOTAL(9,BB8:BB102)</f>
        <v>0</v>
      </c>
      <c r="BC103" s="57">
        <f>SUBTOTAL(9,BC8:BC102)</f>
        <v>0</v>
      </c>
      <c r="BD103" s="57">
        <f>SUBTOTAL(9,BD8:BD102)</f>
        <v>0</v>
      </c>
      <c r="BE103" s="133">
        <f>SUBTOTAL(9,BE8:BE102)</f>
        <v>0</v>
      </c>
      <c r="BF103" s="57">
        <f>SUBTOTAL(9,BF8:BF102)</f>
        <v>230</v>
      </c>
      <c r="BG103" s="57">
        <f>SUBTOTAL(9,BG8:BG102)</f>
        <v>0</v>
      </c>
      <c r="BH103" s="57">
        <f>SUBTOTAL(9,BH8:BH102)</f>
        <v>0</v>
      </c>
      <c r="BI103" s="57">
        <f>SUBTOTAL(9,BI8:BI102)</f>
        <v>0</v>
      </c>
      <c r="BJ103" s="57">
        <f>SUBTOTAL(9,BJ8:BJ102)</f>
        <v>0</v>
      </c>
      <c r="BK103" s="57">
        <f>SUBTOTAL(9,BK8:BK102)</f>
        <v>0</v>
      </c>
      <c r="BL103" s="57">
        <f>SUBTOTAL(9,BL8:BL102)</f>
        <v>170</v>
      </c>
      <c r="BM103" s="57">
        <f>SUBTOTAL(9,BM8:BM102)</f>
        <v>0</v>
      </c>
      <c r="BN103" s="57">
        <f>SUBTOTAL(9,BN8:BN102)</f>
        <v>0</v>
      </c>
      <c r="BO103" s="57">
        <f>SUBTOTAL(9,BO8:BO102)</f>
        <v>0</v>
      </c>
      <c r="BP103" s="57">
        <f>SUBTOTAL(9,BP8:BP102)</f>
        <v>0</v>
      </c>
      <c r="BQ103" s="57">
        <f>SUBTOTAL(9,BQ8:BQ102)</f>
        <v>11073</v>
      </c>
    </row>
    <row r="104" spans="1:96" ht="15.75" thickTop="1" x14ac:dyDescent="0.25">
      <c r="A104" s="5"/>
      <c r="B104" s="5"/>
      <c r="C104" s="230"/>
      <c r="D104" s="230"/>
      <c r="E104" s="230">
        <f>SUM(E9:E103)/3</f>
        <v>533970.91999999993</v>
      </c>
      <c r="F104" s="230"/>
      <c r="G104" s="230">
        <f>SUM(G9:G103)/3</f>
        <v>379.03999999999905</v>
      </c>
      <c r="H104" s="230">
        <f>SUM(H9:H103)/3</f>
        <v>348.74999999999773</v>
      </c>
      <c r="I104" s="230">
        <f>SUM(I9:I103)/3</f>
        <v>1400</v>
      </c>
      <c r="J104" s="230">
        <f>SUM(J9:J103)/3</f>
        <v>0</v>
      </c>
      <c r="K104" s="230">
        <f>SUM(K9:K103)/3</f>
        <v>296414.70999999996</v>
      </c>
      <c r="L104" s="230">
        <f>SUM(L9:L103)/3</f>
        <v>0</v>
      </c>
      <c r="M104" s="230">
        <f>SUM(M9:M103)/3</f>
        <v>6372.9162649999998</v>
      </c>
      <c r="N104" s="230">
        <f>SUM(N9:N103)/3</f>
        <v>1482.0735499999998</v>
      </c>
      <c r="O104" s="230">
        <f>SUM(O9:O103)/3</f>
        <v>288559.72018499993</v>
      </c>
      <c r="P104" s="230"/>
      <c r="Q104" s="230"/>
      <c r="R104" s="230"/>
      <c r="S104" s="230"/>
      <c r="T104" s="230"/>
      <c r="U104" s="230"/>
      <c r="V104" s="230"/>
      <c r="W104" s="230"/>
      <c r="X104" s="230"/>
      <c r="Y104" s="230"/>
      <c r="Z104" s="230">
        <f>SUM(Z9:Z103)/3</f>
        <v>3245</v>
      </c>
      <c r="AA104" s="230">
        <f>SUM(AA9:AA103)/3</f>
        <v>104</v>
      </c>
      <c r="AB104" s="230">
        <f>SUM(AB9:AB103)/3</f>
        <v>98</v>
      </c>
      <c r="AC104" s="230">
        <f>SUM(AC9:AC103)/3</f>
        <v>7963.5299999999988</v>
      </c>
      <c r="AD104" s="230"/>
      <c r="AE104" s="230">
        <f>SUM(AE9:AE103)/3</f>
        <v>49213</v>
      </c>
      <c r="AF104" s="230">
        <f>SUM(AF9:AF103)/3</f>
        <v>47315.706666666665</v>
      </c>
      <c r="AG104" s="230">
        <f>SUM(AG9:AG103)/3</f>
        <v>48262.02080000002</v>
      </c>
      <c r="AH104" s="230">
        <f>SUM(AH9:AH103)/3</f>
        <v>8516.8272000000015</v>
      </c>
      <c r="AI104" s="230">
        <f>SUM(AI9:AI103)/3</f>
        <v>14194.712</v>
      </c>
      <c r="AJ104" s="230"/>
      <c r="AK104" s="230">
        <f>SUM(AK9:AK103)/3</f>
        <v>736435.25892857125</v>
      </c>
      <c r="AL104" s="230">
        <f>SUM(AL9:AL103)/3</f>
        <v>725024.72892857122</v>
      </c>
      <c r="AM104" s="230">
        <f>SUM(AM9:AM103)/3</f>
        <v>87002.967471428565</v>
      </c>
      <c r="AN104" s="230"/>
      <c r="AO104" s="231"/>
      <c r="AP104" s="231"/>
      <c r="AQ104" s="231"/>
      <c r="AR104" s="231"/>
      <c r="AS104" s="231"/>
      <c r="AT104" s="231"/>
      <c r="AU104" s="232"/>
      <c r="AV104" s="232"/>
      <c r="AW104" s="232"/>
      <c r="AX104" s="232"/>
      <c r="AY104" s="230"/>
      <c r="AZ104" s="230"/>
      <c r="BA104" s="232"/>
      <c r="BB104" s="230"/>
      <c r="BC104" s="230"/>
      <c r="BD104" s="230"/>
      <c r="BE104" s="233"/>
      <c r="BF104" s="230"/>
      <c r="BG104" s="230"/>
      <c r="BH104" s="230"/>
      <c r="BI104" s="230"/>
      <c r="BJ104" s="230"/>
      <c r="BK104" s="230"/>
      <c r="BL104" s="230"/>
      <c r="BM104" s="230"/>
      <c r="BN104" s="230"/>
      <c r="BO104" s="230"/>
      <c r="BP104" s="230"/>
      <c r="BQ104" s="230"/>
    </row>
    <row r="105" spans="1:96" x14ac:dyDescent="0.25">
      <c r="A105" s="4" t="s">
        <v>100</v>
      </c>
      <c r="B105" s="4"/>
      <c r="C105" s="13">
        <f>+AZ103</f>
        <v>9633</v>
      </c>
      <c r="D105" s="146"/>
      <c r="G105" s="146"/>
      <c r="AK105" s="153" t="s">
        <v>120</v>
      </c>
      <c r="AL105" s="153"/>
      <c r="AM105" s="147"/>
      <c r="AN105" s="148"/>
      <c r="AO105" s="149">
        <v>3800</v>
      </c>
      <c r="AP105" s="149">
        <v>2100</v>
      </c>
      <c r="AQ105" s="149">
        <v>2100</v>
      </c>
      <c r="AR105" s="149">
        <v>2100</v>
      </c>
      <c r="AS105" s="149">
        <v>1000</v>
      </c>
      <c r="AT105" s="149">
        <v>1500</v>
      </c>
      <c r="AW105" s="149">
        <v>1500</v>
      </c>
      <c r="AX105" s="149">
        <v>1500</v>
      </c>
      <c r="BD105" s="136" t="s">
        <v>68</v>
      </c>
      <c r="BE105" s="150">
        <f>+BE11+BE14+BE17+BE20+BE23+BE26+BE29+BE32+BE35+BE38+BE41+BE44+BE47+BE50+BE53</f>
        <v>0</v>
      </c>
      <c r="BF105" s="150">
        <f>+BF11+BF14+BF17+BF20+BF23+BF26+BF29+BF32+BF35+BF38+BF41+BF44+BF47+BF50+BF53</f>
        <v>0</v>
      </c>
      <c r="BG105" s="150">
        <f>+BG11+BG14+BG17+BG20+BG23+BG26+BG29+BG32+BG35+BG38+BG41+BG44+BG47+BG50+BG53</f>
        <v>0</v>
      </c>
      <c r="BH105" s="150">
        <f>+BH11+BH14+BH17+BH20+BH23+BH26+BH29+BH32+BH35+BH38+BH41+BH44+BH47+BH50+BH53</f>
        <v>0</v>
      </c>
      <c r="BI105" s="150">
        <f>+BI11+BI14+BI17+BI20+BI23+BI26+BI29+BI32+BI35+BI38+BI41+BI44+BI47+BI50+BI53</f>
        <v>0</v>
      </c>
      <c r="BJ105" s="150">
        <f>+BJ11+BJ14+BJ17+BJ20+BJ23+BJ26+BJ29+BJ32+BJ35+BJ38+BJ41+BJ44+BJ47+BJ50+BJ53</f>
        <v>0</v>
      </c>
      <c r="BK105" s="137"/>
      <c r="BL105" s="137"/>
      <c r="BM105" s="137"/>
      <c r="BN105" s="137"/>
      <c r="BO105" s="137"/>
      <c r="BP105" s="137"/>
      <c r="BQ105" s="146">
        <f>SUM(BE105:BP105)</f>
        <v>0</v>
      </c>
    </row>
    <row r="106" spans="1:96" x14ac:dyDescent="0.25">
      <c r="A106" s="4" t="s">
        <v>101</v>
      </c>
      <c r="B106" s="4"/>
      <c r="C106" s="13">
        <f>+BD103</f>
        <v>0</v>
      </c>
      <c r="D106" s="146"/>
      <c r="E106" s="146"/>
      <c r="AK106" s="153" t="s">
        <v>121</v>
      </c>
      <c r="AL106" s="153">
        <f>+AL103</f>
        <v>725024.72892857133</v>
      </c>
      <c r="AM106" s="146"/>
      <c r="AN106" s="148"/>
      <c r="AO106" s="149">
        <f t="shared" ref="AO106:AX106" si="128">+AO105-AO103</f>
        <v>22</v>
      </c>
      <c r="AP106" s="149">
        <f t="shared" si="128"/>
        <v>-295</v>
      </c>
      <c r="AQ106" s="149">
        <f t="shared" si="128"/>
        <v>-165</v>
      </c>
      <c r="AR106" s="149">
        <f t="shared" si="128"/>
        <v>-125</v>
      </c>
      <c r="AS106" s="149">
        <f t="shared" si="128"/>
        <v>1000</v>
      </c>
      <c r="AT106" s="149">
        <f t="shared" si="128"/>
        <v>1500</v>
      </c>
      <c r="AU106" s="149">
        <f>+AU105-AU103</f>
        <v>0</v>
      </c>
      <c r="AV106" s="149">
        <f t="shared" si="128"/>
        <v>0</v>
      </c>
      <c r="AW106" s="149">
        <f t="shared" si="128"/>
        <v>1500</v>
      </c>
      <c r="AX106" s="149">
        <f t="shared" si="128"/>
        <v>1500</v>
      </c>
      <c r="BD106" s="137" t="s">
        <v>104</v>
      </c>
      <c r="BE106" s="150">
        <f>BE105*0.9</f>
        <v>0</v>
      </c>
      <c r="BF106" s="150">
        <f>BF105*0.9</f>
        <v>0</v>
      </c>
      <c r="BG106" s="150">
        <f t="shared" ref="BG106:BP106" si="129">BG105*0.9</f>
        <v>0</v>
      </c>
      <c r="BH106" s="150">
        <f t="shared" si="129"/>
        <v>0</v>
      </c>
      <c r="BI106" s="150">
        <f t="shared" si="129"/>
        <v>0</v>
      </c>
      <c r="BJ106" s="150">
        <f t="shared" si="129"/>
        <v>0</v>
      </c>
      <c r="BK106" s="150">
        <f t="shared" si="129"/>
        <v>0</v>
      </c>
      <c r="BL106" s="150">
        <f t="shared" si="129"/>
        <v>0</v>
      </c>
      <c r="BM106" s="150">
        <f t="shared" si="129"/>
        <v>0</v>
      </c>
      <c r="BN106" s="150">
        <f t="shared" si="129"/>
        <v>0</v>
      </c>
      <c r="BO106" s="150">
        <f t="shared" si="129"/>
        <v>0</v>
      </c>
      <c r="BP106" s="150">
        <f t="shared" si="129"/>
        <v>0</v>
      </c>
      <c r="BQ106" s="146">
        <f>SUM(BE106:BP106)</f>
        <v>0</v>
      </c>
    </row>
    <row r="107" spans="1:96" x14ac:dyDescent="0.25">
      <c r="A107" s="4" t="s">
        <v>102</v>
      </c>
      <c r="B107" s="4"/>
      <c r="C107" s="13">
        <f>+BC103</f>
        <v>0</v>
      </c>
      <c r="D107" s="146"/>
      <c r="AK107" s="153" t="s">
        <v>122</v>
      </c>
      <c r="AL107" s="153">
        <f>+AJ103</f>
        <v>0</v>
      </c>
      <c r="AM107" s="147"/>
      <c r="AN107" s="148"/>
      <c r="AO107" s="149">
        <f t="shared" ref="AO107:AX107" si="130">+AO106*0.9</f>
        <v>19.8</v>
      </c>
      <c r="AP107" s="149">
        <f t="shared" si="130"/>
        <v>-265.5</v>
      </c>
      <c r="AQ107" s="149">
        <f t="shared" si="130"/>
        <v>-148.5</v>
      </c>
      <c r="AR107" s="149">
        <f t="shared" si="130"/>
        <v>-112.5</v>
      </c>
      <c r="AS107" s="149">
        <f t="shared" si="130"/>
        <v>900</v>
      </c>
      <c r="AT107" s="149">
        <f t="shared" si="130"/>
        <v>1350</v>
      </c>
      <c r="AU107" s="149">
        <f>+AU106*0.9</f>
        <v>0</v>
      </c>
      <c r="AV107" s="149">
        <f t="shared" si="130"/>
        <v>0</v>
      </c>
      <c r="AW107" s="149">
        <f t="shared" si="130"/>
        <v>1350</v>
      </c>
      <c r="AX107" s="149">
        <f t="shared" si="130"/>
        <v>1350</v>
      </c>
      <c r="BD107" s="138"/>
      <c r="BE107" s="13"/>
      <c r="BF107" s="13"/>
      <c r="BG107" s="13"/>
      <c r="BH107" s="13"/>
      <c r="BI107" s="13"/>
      <c r="BJ107" s="4"/>
      <c r="BK107" s="4"/>
      <c r="BL107" s="4"/>
      <c r="BM107" s="4"/>
      <c r="BN107" s="4"/>
      <c r="BO107" s="4"/>
      <c r="BP107" s="4"/>
    </row>
    <row r="108" spans="1:96" ht="15.75" thickBot="1" x14ac:dyDescent="0.3">
      <c r="A108" s="4" t="s">
        <v>34</v>
      </c>
      <c r="B108" s="4"/>
      <c r="C108" s="151">
        <f>+BA103</f>
        <v>1440</v>
      </c>
      <c r="D108" s="146"/>
      <c r="E108" s="146"/>
      <c r="AK108" s="153" t="s">
        <v>123</v>
      </c>
      <c r="AL108" s="153">
        <f>+AL106+AL107</f>
        <v>725024.72892857133</v>
      </c>
      <c r="AM108" s="147"/>
      <c r="AN108" s="148"/>
      <c r="BD108" s="139" t="s">
        <v>69</v>
      </c>
      <c r="BE108" s="152" t="e">
        <f>BE56+BE59+BE62+BE65+BE68+BE71+BE74+BE77+BE80+BE83+BE86+BE89+BE92+BE95+BE98+#REF!</f>
        <v>#REF!</v>
      </c>
      <c r="BF108" s="152" t="e">
        <f>BF56+BF59+BF62+BF65+BF68+BF71+BF74+BF77+BF80+BF83+BF86+BF89+BF92+BF95+BF98+#REF!</f>
        <v>#REF!</v>
      </c>
      <c r="BG108" s="152" t="e">
        <f>BG56+BG59+BG62+BG65+BG68+BG71+BG74+BG77+BG80+BG83+BG86+BG89+BG92+BG95+BG98+#REF!</f>
        <v>#VALUE!</v>
      </c>
      <c r="BH108" s="152" t="e">
        <f>BH56+BH59+BH62+BH65+BH68+BH71+BH74+BH77+BH80+BH83+BH86+BH89+BH92+BH95+BH98+#REF!</f>
        <v>#REF!</v>
      </c>
      <c r="BI108" s="152" t="e">
        <f>BI56+BI59+BI62+BI65+BI68+BI71+BI74+BI77+BI80+BI83+BI86+BI89+BI92+BI95+BI98+#REF!</f>
        <v>#REF!</v>
      </c>
      <c r="BJ108" s="152" t="e">
        <f>BJ56+BJ59+BJ62+BJ65+BJ68+BJ71+BJ74+BJ77+BJ80+BJ83+BJ86+BJ89+BJ92+BJ95+BJ98+#REF!</f>
        <v>#REF!</v>
      </c>
      <c r="BK108" s="152" t="e">
        <f>BK56+BK59+BK62+BK65+BK68+BK71+BK74+BK77+BK80+BK83+BK86+BK89+BK92+BK95+BK98+#REF!</f>
        <v>#REF!</v>
      </c>
      <c r="BL108" s="152" t="e">
        <f>BL56+BL59+BL62+BL65+BL68+BL71+BL74+BL77+BL80+BL83+BL86+BL89+BL92+BL95+BL98+#REF!</f>
        <v>#REF!</v>
      </c>
      <c r="BM108" s="152" t="e">
        <f>BM56+BM59+BM62+BM65+BM68+BM71+BM74+BM77+BM80+BM83+BM86+BM89+BM92+BM95+BM98+#REF!</f>
        <v>#REF!</v>
      </c>
      <c r="BN108" s="152" t="e">
        <f>BN56+BN59+BN62+BN65+BN68+BN71+BN74+BN77+BN80+BN83+BN86+BN89+BN92+BN95+BN98+#REF!</f>
        <v>#REF!</v>
      </c>
      <c r="BO108" s="152" t="e">
        <f>BO56+BO59+BO62+BO65+BO68+BO71+BO74+BO77+BO80+BO83+BO86+BO89+BO92+BO95+BO98+#REF!</f>
        <v>#REF!</v>
      </c>
      <c r="BP108" s="152" t="e">
        <f>BP56+BP59+BP62+BP65+BP68+BP71+BP74+BP77+BP80+BP83+BP86+BP89+BP92+BP95+BP98+#REF!</f>
        <v>#REF!</v>
      </c>
      <c r="BQ108" s="146" t="e">
        <f>SUM(BE108:BP108)</f>
        <v>#REF!</v>
      </c>
    </row>
    <row r="109" spans="1:96" ht="15.75" thickTop="1" x14ac:dyDescent="0.25">
      <c r="C109" s="3">
        <f>+C108+C107+C106+C105+C103</f>
        <v>906854.05000000028</v>
      </c>
      <c r="D109" s="146"/>
      <c r="AM109" s="147"/>
      <c r="AN109" s="148"/>
      <c r="BD109" s="140" t="s">
        <v>104</v>
      </c>
      <c r="BE109" s="152" t="e">
        <f>+BE108*0.9</f>
        <v>#REF!</v>
      </c>
      <c r="BF109" s="152" t="e">
        <f t="shared" ref="BF109:BP109" si="131">+BF108*0.9</f>
        <v>#REF!</v>
      </c>
      <c r="BG109" s="152" t="e">
        <f t="shared" si="131"/>
        <v>#VALUE!</v>
      </c>
      <c r="BH109" s="152" t="e">
        <f t="shared" si="131"/>
        <v>#REF!</v>
      </c>
      <c r="BI109" s="152" t="e">
        <f t="shared" si="131"/>
        <v>#REF!</v>
      </c>
      <c r="BJ109" s="152" t="e">
        <f t="shared" si="131"/>
        <v>#REF!</v>
      </c>
      <c r="BK109" s="152" t="e">
        <f t="shared" si="131"/>
        <v>#REF!</v>
      </c>
      <c r="BL109" s="152" t="e">
        <f t="shared" si="131"/>
        <v>#REF!</v>
      </c>
      <c r="BM109" s="152" t="e">
        <f t="shared" si="131"/>
        <v>#REF!</v>
      </c>
      <c r="BN109" s="152" t="e">
        <f t="shared" si="131"/>
        <v>#REF!</v>
      </c>
      <c r="BO109" s="152" t="e">
        <f t="shared" si="131"/>
        <v>#REF!</v>
      </c>
      <c r="BP109" s="152" t="e">
        <f t="shared" si="131"/>
        <v>#REF!</v>
      </c>
      <c r="BQ109" s="146" t="e">
        <f>SUM(BE109:BP109)</f>
        <v>#REF!</v>
      </c>
    </row>
    <row r="110" spans="1:96" x14ac:dyDescent="0.25">
      <c r="D110" s="146"/>
      <c r="AL110" s="186">
        <f>SUM(AL9:AL101)/2</f>
        <v>725024.7289285711</v>
      </c>
      <c r="AM110" s="186">
        <f>SUM(AM9:AM101)/2</f>
        <v>87002.967471428579</v>
      </c>
      <c r="AN110" s="148">
        <f>+AM110/AL110</f>
        <v>0.12000000000000006</v>
      </c>
      <c r="AR110" s="135" t="s">
        <v>133</v>
      </c>
      <c r="BD110" s="141"/>
      <c r="BE110" s="146"/>
      <c r="BF110" s="146"/>
      <c r="BG110" s="146"/>
      <c r="BH110" s="146"/>
      <c r="BI110" s="146"/>
    </row>
    <row r="111" spans="1:96" x14ac:dyDescent="0.25">
      <c r="A111" s="1" t="s">
        <v>117</v>
      </c>
      <c r="C111" s="146"/>
      <c r="D111" s="146"/>
      <c r="AL111" s="186">
        <f>+AL103-AL110</f>
        <v>0</v>
      </c>
      <c r="AM111" s="186">
        <f>+AM103-AM110</f>
        <v>0</v>
      </c>
      <c r="AN111" s="148"/>
      <c r="BD111" s="141"/>
      <c r="BE111" s="146"/>
      <c r="BF111" s="146"/>
      <c r="BG111" s="146"/>
      <c r="BH111" s="146"/>
      <c r="BI111" s="146"/>
    </row>
    <row r="112" spans="1:96" x14ac:dyDescent="0.25">
      <c r="D112" s="189" t="s">
        <v>108</v>
      </c>
      <c r="E112" s="189"/>
      <c r="F112" s="189"/>
      <c r="K112" s="4"/>
      <c r="X112" s="4"/>
      <c r="Y112" s="4"/>
      <c r="Z112" s="4"/>
      <c r="AA112" s="4"/>
      <c r="AB112" s="4"/>
      <c r="AC112" s="4"/>
      <c r="AD112" s="4"/>
      <c r="AE112" s="4"/>
      <c r="AF112" s="4"/>
      <c r="AJ112" s="4"/>
      <c r="AM112" s="146"/>
      <c r="AN112" s="146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138"/>
      <c r="BE112" s="53"/>
      <c r="BF112" s="53"/>
      <c r="BG112" s="53"/>
      <c r="BH112" s="53"/>
      <c r="BI112" s="53"/>
      <c r="BJ112" s="4"/>
      <c r="BK112" s="4"/>
      <c r="BL112" s="4"/>
      <c r="BM112" s="4"/>
      <c r="BN112" s="4"/>
      <c r="BO112" s="4"/>
      <c r="BP112" s="4"/>
    </row>
    <row r="113" spans="1:59" x14ac:dyDescent="0.25">
      <c r="A113" s="135" t="s">
        <v>96</v>
      </c>
      <c r="C113" s="149"/>
      <c r="D113" s="146" t="s">
        <v>109</v>
      </c>
      <c r="E113" s="135" t="s">
        <v>110</v>
      </c>
      <c r="F113" s="135" t="s">
        <v>2</v>
      </c>
      <c r="AI113" s="146"/>
      <c r="BD113" s="141" t="s">
        <v>99</v>
      </c>
      <c r="BE113" s="149"/>
      <c r="BF113" s="149"/>
      <c r="BG113" s="149"/>
    </row>
    <row r="114" spans="1:59" x14ac:dyDescent="0.25">
      <c r="A114" s="135" t="s">
        <v>126</v>
      </c>
      <c r="C114" s="149"/>
      <c r="D114" s="146"/>
      <c r="E114" s="146"/>
      <c r="AM114" s="146"/>
      <c r="AN114" s="146"/>
      <c r="BE114" s="149"/>
      <c r="BF114" s="149"/>
      <c r="BG114" s="149"/>
    </row>
    <row r="115" spans="1:59" x14ac:dyDescent="0.25">
      <c r="D115" s="146"/>
      <c r="E115" s="146"/>
      <c r="AM115" s="146"/>
      <c r="AN115" s="146"/>
      <c r="BE115" s="149"/>
      <c r="BF115" s="149"/>
      <c r="BG115" s="149"/>
    </row>
    <row r="116" spans="1:59" x14ac:dyDescent="0.25">
      <c r="D116" s="146"/>
      <c r="E116" s="146"/>
      <c r="BD116" s="141"/>
      <c r="BE116" s="149"/>
      <c r="BF116" s="149"/>
      <c r="BG116" s="149"/>
    </row>
    <row r="117" spans="1:59" x14ac:dyDescent="0.25">
      <c r="D117" s="146"/>
      <c r="E117" s="146"/>
      <c r="BE117" s="149"/>
      <c r="BF117" s="149"/>
      <c r="BG117" s="149"/>
    </row>
    <row r="118" spans="1:59" x14ac:dyDescent="0.25">
      <c r="D118" s="146"/>
      <c r="E118" s="146"/>
      <c r="BE118" s="149"/>
      <c r="BF118" s="149"/>
      <c r="BG118" s="149"/>
    </row>
    <row r="119" spans="1:59" x14ac:dyDescent="0.25">
      <c r="D119" s="146"/>
      <c r="E119" s="146"/>
      <c r="BE119" s="149"/>
      <c r="BF119" s="149"/>
      <c r="BG119" s="149"/>
    </row>
    <row r="120" spans="1:59" x14ac:dyDescent="0.25">
      <c r="C120" s="146"/>
      <c r="D120" s="146"/>
      <c r="E120" s="146"/>
      <c r="F120" s="146"/>
      <c r="G120" s="146"/>
    </row>
    <row r="121" spans="1:59" x14ac:dyDescent="0.25">
      <c r="C121" s="146"/>
      <c r="D121" s="146"/>
      <c r="E121" s="146"/>
      <c r="F121" s="146"/>
      <c r="G121" s="146"/>
    </row>
    <row r="122" spans="1:59" x14ac:dyDescent="0.25">
      <c r="C122" s="146"/>
      <c r="D122" s="146"/>
      <c r="E122" s="146"/>
      <c r="F122" s="146"/>
      <c r="G122" s="146"/>
    </row>
    <row r="123" spans="1:59" x14ac:dyDescent="0.25">
      <c r="C123" s="146"/>
      <c r="D123" s="146"/>
      <c r="E123" s="146"/>
      <c r="F123" s="146"/>
      <c r="G123" s="146"/>
    </row>
    <row r="124" spans="1:59" x14ac:dyDescent="0.25">
      <c r="C124" s="146"/>
      <c r="D124" s="146"/>
      <c r="E124" s="146"/>
      <c r="F124" s="146"/>
      <c r="G124" s="146"/>
    </row>
    <row r="125" spans="1:59" x14ac:dyDescent="0.25">
      <c r="C125" s="146"/>
      <c r="D125" s="146"/>
      <c r="E125" s="146"/>
      <c r="F125" s="146"/>
      <c r="G125" s="146"/>
    </row>
    <row r="126" spans="1:59" x14ac:dyDescent="0.25">
      <c r="C126" s="146"/>
      <c r="D126" s="146"/>
      <c r="E126" s="146"/>
      <c r="F126" s="146"/>
      <c r="G126" s="146"/>
    </row>
    <row r="127" spans="1:59" x14ac:dyDescent="0.25">
      <c r="C127" s="146"/>
      <c r="D127" s="146"/>
      <c r="E127" s="146"/>
      <c r="F127" s="146"/>
      <c r="G127" s="146"/>
    </row>
    <row r="128" spans="1:59" x14ac:dyDescent="0.25">
      <c r="C128" s="146"/>
      <c r="D128" s="146"/>
      <c r="E128" s="146"/>
      <c r="F128" s="146"/>
      <c r="G128" s="146"/>
    </row>
    <row r="129" spans="3:7" x14ac:dyDescent="0.25">
      <c r="C129" s="146"/>
      <c r="D129" s="146"/>
      <c r="E129" s="146"/>
      <c r="F129" s="146"/>
      <c r="G129" s="146"/>
    </row>
    <row r="130" spans="3:7" x14ac:dyDescent="0.25">
      <c r="C130" s="146"/>
      <c r="D130" s="146"/>
      <c r="E130" s="146"/>
      <c r="F130" s="146"/>
      <c r="G130" s="146"/>
    </row>
    <row r="131" spans="3:7" x14ac:dyDescent="0.25">
      <c r="C131" s="146"/>
      <c r="D131" s="146"/>
      <c r="E131" s="146"/>
      <c r="F131" s="146"/>
      <c r="G131" s="146"/>
    </row>
    <row r="132" spans="3:7" x14ac:dyDescent="0.25">
      <c r="C132" s="146"/>
      <c r="D132" s="146"/>
      <c r="E132" s="146"/>
      <c r="F132" s="146"/>
      <c r="G132" s="146"/>
    </row>
    <row r="133" spans="3:7" x14ac:dyDescent="0.25">
      <c r="C133" s="146"/>
      <c r="D133" s="146"/>
      <c r="E133" s="146"/>
      <c r="F133" s="146"/>
      <c r="G133" s="146"/>
    </row>
    <row r="134" spans="3:7" x14ac:dyDescent="0.25">
      <c r="C134" s="146"/>
      <c r="D134" s="146"/>
      <c r="E134" s="146"/>
      <c r="F134" s="146"/>
      <c r="G134" s="146"/>
    </row>
    <row r="135" spans="3:7" x14ac:dyDescent="0.25">
      <c r="C135" s="146"/>
      <c r="D135" s="146"/>
      <c r="E135" s="146"/>
      <c r="F135" s="146"/>
      <c r="G135" s="146"/>
    </row>
    <row r="136" spans="3:7" x14ac:dyDescent="0.25">
      <c r="C136" s="146"/>
      <c r="D136" s="146"/>
      <c r="E136" s="146"/>
      <c r="F136" s="146"/>
      <c r="G136" s="146"/>
    </row>
    <row r="137" spans="3:7" x14ac:dyDescent="0.25">
      <c r="C137" s="146"/>
      <c r="D137" s="146"/>
      <c r="E137" s="146"/>
      <c r="F137" s="146"/>
      <c r="G137" s="146"/>
    </row>
    <row r="138" spans="3:7" x14ac:dyDescent="0.25">
      <c r="C138" s="146"/>
      <c r="D138" s="146"/>
      <c r="E138" s="146"/>
      <c r="F138" s="146"/>
      <c r="G138" s="146"/>
    </row>
    <row r="139" spans="3:7" x14ac:dyDescent="0.25">
      <c r="C139" s="146"/>
      <c r="D139" s="146"/>
      <c r="E139" s="146"/>
      <c r="F139" s="146"/>
      <c r="G139" s="146"/>
    </row>
    <row r="140" spans="3:7" x14ac:dyDescent="0.25">
      <c r="C140" s="146"/>
      <c r="D140" s="146"/>
      <c r="E140" s="146"/>
      <c r="F140" s="146"/>
      <c r="G140" s="146"/>
    </row>
    <row r="141" spans="3:7" x14ac:dyDescent="0.25">
      <c r="C141" s="146"/>
      <c r="D141" s="146"/>
      <c r="E141" s="146"/>
      <c r="F141" s="146"/>
      <c r="G141" s="146"/>
    </row>
    <row r="142" spans="3:7" x14ac:dyDescent="0.25">
      <c r="C142" s="146"/>
      <c r="D142" s="146"/>
      <c r="E142" s="146"/>
      <c r="F142" s="146"/>
      <c r="G142" s="146"/>
    </row>
    <row r="143" spans="3:7" x14ac:dyDescent="0.25">
      <c r="C143" s="146"/>
      <c r="D143" s="146"/>
      <c r="E143" s="146"/>
      <c r="F143" s="146"/>
      <c r="G143" s="146"/>
    </row>
    <row r="144" spans="3:7" x14ac:dyDescent="0.25">
      <c r="C144" s="146"/>
      <c r="D144" s="146"/>
      <c r="E144" s="146"/>
      <c r="F144" s="146"/>
      <c r="G144" s="146"/>
    </row>
    <row r="145" spans="3:7" x14ac:dyDescent="0.25">
      <c r="C145" s="146"/>
      <c r="D145" s="146"/>
      <c r="E145" s="146"/>
      <c r="F145" s="146"/>
      <c r="G145" s="146"/>
    </row>
    <row r="146" spans="3:7" x14ac:dyDescent="0.25">
      <c r="C146" s="146"/>
      <c r="D146" s="146"/>
      <c r="E146" s="146"/>
      <c r="F146" s="146"/>
      <c r="G146" s="146"/>
    </row>
    <row r="147" spans="3:7" x14ac:dyDescent="0.25">
      <c r="C147" s="146"/>
      <c r="D147" s="146"/>
      <c r="E147" s="146"/>
      <c r="F147" s="146"/>
      <c r="G147" s="146"/>
    </row>
    <row r="148" spans="3:7" x14ac:dyDescent="0.25">
      <c r="C148" s="146"/>
      <c r="D148" s="146"/>
      <c r="E148" s="146"/>
      <c r="F148" s="146"/>
      <c r="G148" s="146"/>
    </row>
    <row r="149" spans="3:7" x14ac:dyDescent="0.25">
      <c r="C149" s="146"/>
      <c r="D149" s="146"/>
      <c r="E149" s="146"/>
      <c r="F149" s="146"/>
      <c r="G149" s="146"/>
    </row>
    <row r="150" spans="3:7" x14ac:dyDescent="0.25">
      <c r="C150" s="146"/>
      <c r="D150" s="146"/>
      <c r="E150" s="146"/>
      <c r="F150" s="146"/>
      <c r="G150" s="146"/>
    </row>
    <row r="151" spans="3:7" x14ac:dyDescent="0.25">
      <c r="C151" s="146"/>
      <c r="D151" s="146"/>
      <c r="E151" s="146"/>
      <c r="F151" s="146"/>
      <c r="G151" s="146"/>
    </row>
    <row r="152" spans="3:7" x14ac:dyDescent="0.25">
      <c r="C152" s="146"/>
      <c r="D152" s="146"/>
      <c r="E152" s="146"/>
      <c r="F152" s="146"/>
      <c r="G152" s="146"/>
    </row>
    <row r="153" spans="3:7" x14ac:dyDescent="0.25">
      <c r="C153" s="146"/>
      <c r="D153" s="146"/>
      <c r="E153" s="146"/>
      <c r="F153" s="146"/>
      <c r="G153" s="146"/>
    </row>
    <row r="154" spans="3:7" x14ac:dyDescent="0.25">
      <c r="C154" s="146"/>
      <c r="D154" s="146"/>
      <c r="E154" s="146"/>
      <c r="F154" s="146"/>
      <c r="G154" s="146"/>
    </row>
    <row r="155" spans="3:7" x14ac:dyDescent="0.25">
      <c r="C155" s="146"/>
      <c r="D155" s="146"/>
      <c r="E155" s="146"/>
      <c r="F155" s="146"/>
      <c r="G155" s="146"/>
    </row>
    <row r="156" spans="3:7" x14ac:dyDescent="0.25">
      <c r="C156" s="146"/>
      <c r="D156" s="146"/>
      <c r="E156" s="146"/>
      <c r="F156" s="146"/>
      <c r="G156" s="146"/>
    </row>
    <row r="157" spans="3:7" x14ac:dyDescent="0.25">
      <c r="C157" s="146"/>
      <c r="D157" s="146"/>
      <c r="E157" s="146"/>
      <c r="F157" s="146"/>
      <c r="G157" s="146"/>
    </row>
    <row r="158" spans="3:7" x14ac:dyDescent="0.25">
      <c r="C158" s="146"/>
      <c r="D158" s="146"/>
      <c r="E158" s="146"/>
      <c r="F158" s="146"/>
      <c r="G158" s="146"/>
    </row>
    <row r="159" spans="3:7" x14ac:dyDescent="0.25">
      <c r="C159" s="146"/>
      <c r="D159" s="146"/>
      <c r="E159" s="146"/>
      <c r="F159" s="146"/>
      <c r="G159" s="146"/>
    </row>
    <row r="160" spans="3:7" x14ac:dyDescent="0.25">
      <c r="C160" s="146"/>
      <c r="D160" s="146"/>
      <c r="E160" s="146"/>
      <c r="F160" s="146"/>
      <c r="G160" s="146"/>
    </row>
    <row r="161" spans="3:7" x14ac:dyDescent="0.25">
      <c r="C161" s="146"/>
      <c r="D161" s="146"/>
      <c r="E161" s="146"/>
      <c r="F161" s="146"/>
      <c r="G161" s="146"/>
    </row>
    <row r="162" spans="3:7" x14ac:dyDescent="0.25">
      <c r="C162" s="146"/>
      <c r="D162" s="146"/>
      <c r="E162" s="146"/>
      <c r="F162" s="146"/>
      <c r="G162" s="146"/>
    </row>
    <row r="163" spans="3:7" x14ac:dyDescent="0.25">
      <c r="C163" s="146"/>
      <c r="D163" s="146"/>
      <c r="E163" s="146"/>
      <c r="F163" s="146"/>
      <c r="G163" s="146"/>
    </row>
    <row r="164" spans="3:7" x14ac:dyDescent="0.25">
      <c r="C164" s="146"/>
      <c r="D164" s="146"/>
      <c r="E164" s="146"/>
      <c r="F164" s="146"/>
      <c r="G164" s="146"/>
    </row>
    <row r="165" spans="3:7" x14ac:dyDescent="0.25">
      <c r="C165" s="146"/>
      <c r="D165" s="146"/>
      <c r="E165" s="146"/>
      <c r="F165" s="146"/>
      <c r="G165" s="146"/>
    </row>
    <row r="166" spans="3:7" x14ac:dyDescent="0.25">
      <c r="C166" s="146"/>
      <c r="D166" s="146"/>
      <c r="E166" s="146"/>
      <c r="F166" s="146"/>
      <c r="G166" s="146"/>
    </row>
    <row r="167" spans="3:7" x14ac:dyDescent="0.25">
      <c r="C167" s="146"/>
      <c r="D167" s="146"/>
      <c r="E167" s="146"/>
      <c r="F167" s="146"/>
      <c r="G167" s="146"/>
    </row>
    <row r="168" spans="3:7" x14ac:dyDescent="0.25">
      <c r="C168" s="146"/>
      <c r="D168" s="146"/>
      <c r="E168" s="146"/>
      <c r="F168" s="146"/>
      <c r="G168" s="146"/>
    </row>
    <row r="169" spans="3:7" x14ac:dyDescent="0.25">
      <c r="C169" s="146"/>
      <c r="D169" s="146"/>
      <c r="E169" s="146"/>
      <c r="F169" s="146"/>
      <c r="G169" s="146"/>
    </row>
    <row r="170" spans="3:7" x14ac:dyDescent="0.25">
      <c r="C170" s="146"/>
      <c r="D170" s="146"/>
      <c r="E170" s="146"/>
      <c r="F170" s="146"/>
      <c r="G170" s="146"/>
    </row>
    <row r="171" spans="3:7" x14ac:dyDescent="0.25">
      <c r="C171" s="146"/>
      <c r="D171" s="146"/>
      <c r="E171" s="146"/>
      <c r="F171" s="146"/>
      <c r="G171" s="146"/>
    </row>
    <row r="172" spans="3:7" x14ac:dyDescent="0.25">
      <c r="C172" s="146"/>
      <c r="D172" s="146"/>
      <c r="E172" s="146"/>
      <c r="F172" s="146"/>
      <c r="G172" s="146"/>
    </row>
    <row r="173" spans="3:7" x14ac:dyDescent="0.25">
      <c r="C173" s="146"/>
      <c r="D173" s="146"/>
      <c r="E173" s="146"/>
      <c r="F173" s="146"/>
      <c r="G173" s="146"/>
    </row>
    <row r="174" spans="3:7" x14ac:dyDescent="0.25">
      <c r="C174" s="146"/>
      <c r="D174" s="146"/>
      <c r="E174" s="146"/>
      <c r="F174" s="146"/>
      <c r="G174" s="146"/>
    </row>
    <row r="175" spans="3:7" x14ac:dyDescent="0.25">
      <c r="C175" s="146"/>
      <c r="D175" s="146"/>
      <c r="E175" s="146"/>
      <c r="F175" s="146"/>
      <c r="G175" s="146"/>
    </row>
    <row r="176" spans="3:7" x14ac:dyDescent="0.25">
      <c r="C176" s="146"/>
      <c r="D176" s="146"/>
      <c r="E176" s="146"/>
      <c r="F176" s="146"/>
      <c r="G176" s="146"/>
    </row>
    <row r="177" spans="3:7" x14ac:dyDescent="0.25">
      <c r="C177" s="146"/>
      <c r="D177" s="146"/>
      <c r="E177" s="146"/>
      <c r="F177" s="146"/>
      <c r="G177" s="146"/>
    </row>
    <row r="178" spans="3:7" x14ac:dyDescent="0.25">
      <c r="C178" s="146"/>
      <c r="D178" s="146"/>
      <c r="E178" s="146"/>
      <c r="F178" s="146"/>
      <c r="G178" s="146"/>
    </row>
    <row r="179" spans="3:7" x14ac:dyDescent="0.25">
      <c r="C179" s="146"/>
      <c r="D179" s="146"/>
      <c r="E179" s="146"/>
      <c r="F179" s="146"/>
      <c r="G179" s="146"/>
    </row>
    <row r="180" spans="3:7" x14ac:dyDescent="0.25">
      <c r="C180" s="146"/>
      <c r="D180" s="146"/>
      <c r="E180" s="146"/>
      <c r="F180" s="146"/>
      <c r="G180" s="146"/>
    </row>
    <row r="181" spans="3:7" x14ac:dyDescent="0.25">
      <c r="C181" s="146"/>
      <c r="D181" s="146"/>
      <c r="E181" s="146"/>
      <c r="F181" s="146"/>
      <c r="G181" s="146"/>
    </row>
    <row r="182" spans="3:7" x14ac:dyDescent="0.25">
      <c r="C182" s="146"/>
      <c r="D182" s="146"/>
      <c r="E182" s="146"/>
      <c r="F182" s="146"/>
      <c r="G182" s="146"/>
    </row>
    <row r="183" spans="3:7" x14ac:dyDescent="0.25">
      <c r="C183" s="146"/>
      <c r="D183" s="146"/>
      <c r="E183" s="146"/>
      <c r="F183" s="146"/>
      <c r="G183" s="146"/>
    </row>
    <row r="184" spans="3:7" x14ac:dyDescent="0.25">
      <c r="C184" s="146"/>
      <c r="D184" s="146"/>
      <c r="E184" s="146"/>
      <c r="F184" s="146"/>
      <c r="G184" s="146"/>
    </row>
    <row r="185" spans="3:7" x14ac:dyDescent="0.25">
      <c r="C185" s="146"/>
      <c r="D185" s="146"/>
      <c r="E185" s="146"/>
      <c r="F185" s="146"/>
      <c r="G185" s="146"/>
    </row>
    <row r="186" spans="3:7" x14ac:dyDescent="0.25">
      <c r="C186" s="146"/>
      <c r="D186" s="146"/>
      <c r="E186" s="146"/>
      <c r="F186" s="146"/>
      <c r="G186" s="146"/>
    </row>
    <row r="187" spans="3:7" x14ac:dyDescent="0.25">
      <c r="C187" s="146"/>
      <c r="D187" s="146"/>
      <c r="E187" s="146"/>
      <c r="F187" s="146"/>
      <c r="G187" s="146"/>
    </row>
    <row r="188" spans="3:7" x14ac:dyDescent="0.25">
      <c r="C188" s="146"/>
      <c r="D188" s="146"/>
      <c r="E188" s="146"/>
      <c r="F188" s="146"/>
      <c r="G188" s="146"/>
    </row>
    <row r="189" spans="3:7" x14ac:dyDescent="0.25">
      <c r="C189" s="146"/>
      <c r="D189" s="146"/>
      <c r="E189" s="146"/>
      <c r="F189" s="146"/>
      <c r="G189" s="146"/>
    </row>
  </sheetData>
  <mergeCells count="90">
    <mergeCell ref="O6:O7"/>
    <mergeCell ref="AX6:AX7"/>
    <mergeCell ref="BI6:BI7"/>
    <mergeCell ref="P6:P7"/>
    <mergeCell ref="Q6:Q7"/>
    <mergeCell ref="AS6:AS7"/>
    <mergeCell ref="R6:R7"/>
    <mergeCell ref="AC6:AC7"/>
    <mergeCell ref="AF6:AF7"/>
    <mergeCell ref="AP6:AP7"/>
    <mergeCell ref="AI6:AI7"/>
    <mergeCell ref="Z6:Z7"/>
    <mergeCell ref="AB6:AB7"/>
    <mergeCell ref="X6:X7"/>
    <mergeCell ref="AL6:AL7"/>
    <mergeCell ref="AM6:AM7"/>
    <mergeCell ref="K6:K7"/>
    <mergeCell ref="L6:L7"/>
    <mergeCell ref="F6:F7"/>
    <mergeCell ref="M6:M7"/>
    <mergeCell ref="I6:I7"/>
    <mergeCell ref="G6:G7"/>
    <mergeCell ref="S6:S7"/>
    <mergeCell ref="BC6:BC7"/>
    <mergeCell ref="AA6:AA7"/>
    <mergeCell ref="AT6:AT7"/>
    <mergeCell ref="AG6:AH6"/>
    <mergeCell ref="AN6:AN7"/>
    <mergeCell ref="AQ6:AQ7"/>
    <mergeCell ref="AD6:AE6"/>
    <mergeCell ref="U6:U7"/>
    <mergeCell ref="V6:V7"/>
    <mergeCell ref="W6:W7"/>
    <mergeCell ref="AV6:AV7"/>
    <mergeCell ref="AW6:AW7"/>
    <mergeCell ref="BQ6:BQ7"/>
    <mergeCell ref="BF6:BF7"/>
    <mergeCell ref="BG6:BG7"/>
    <mergeCell ref="BH6:BH7"/>
    <mergeCell ref="AK6:AK7"/>
    <mergeCell ref="BM6:BM7"/>
    <mergeCell ref="AR6:AR7"/>
    <mergeCell ref="BL6:BL7"/>
    <mergeCell ref="BE6:BE7"/>
    <mergeCell ref="BK6:BK7"/>
    <mergeCell ref="BJ6:BJ7"/>
    <mergeCell ref="BA6:BA7"/>
    <mergeCell ref="BD6:BD7"/>
    <mergeCell ref="AU6:AU7"/>
    <mergeCell ref="A39:A40"/>
    <mergeCell ref="A30:A31"/>
    <mergeCell ref="A33:A34"/>
    <mergeCell ref="A42:A43"/>
    <mergeCell ref="A45:A46"/>
    <mergeCell ref="A36:A37"/>
    <mergeCell ref="A24:A25"/>
    <mergeCell ref="A27:A28"/>
    <mergeCell ref="A15:A16"/>
    <mergeCell ref="T6:T7"/>
    <mergeCell ref="A9:A10"/>
    <mergeCell ref="A12:A13"/>
    <mergeCell ref="B6:B7"/>
    <mergeCell ref="C6:C7"/>
    <mergeCell ref="N6:N7"/>
    <mergeCell ref="J6:J7"/>
    <mergeCell ref="A18:A19"/>
    <mergeCell ref="A21:A22"/>
    <mergeCell ref="A6:A7"/>
    <mergeCell ref="H6:H7"/>
    <mergeCell ref="D6:D7"/>
    <mergeCell ref="E6:E7"/>
    <mergeCell ref="D112:F112"/>
    <mergeCell ref="A96:A97"/>
    <mergeCell ref="A99:A100"/>
    <mergeCell ref="A87:A88"/>
    <mergeCell ref="A93:A94"/>
    <mergeCell ref="A69:A70"/>
    <mergeCell ref="A72:A73"/>
    <mergeCell ref="A48:A49"/>
    <mergeCell ref="A51:A52"/>
    <mergeCell ref="A90:A91"/>
    <mergeCell ref="A54:A55"/>
    <mergeCell ref="A57:A58"/>
    <mergeCell ref="A60:A61"/>
    <mergeCell ref="A75:A76"/>
    <mergeCell ref="A78:A79"/>
    <mergeCell ref="A81:A82"/>
    <mergeCell ref="A84:A85"/>
    <mergeCell ref="A63:A64"/>
    <mergeCell ref="A66:A67"/>
  </mergeCells>
  <phoneticPr fontId="0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F36"/>
  <sheetViews>
    <sheetView workbookViewId="0">
      <pane xSplit="1" ySplit="2" topLeftCell="P21" activePane="bottomRight" state="frozen"/>
      <selection pane="topRight" activeCell="B1" sqref="B1"/>
      <selection pane="bottomLeft" activeCell="A3" sqref="A3"/>
      <selection pane="bottomRight" activeCell="AA38" sqref="AA38"/>
    </sheetView>
  </sheetViews>
  <sheetFormatPr defaultRowHeight="15" x14ac:dyDescent="0.25"/>
  <cols>
    <col min="1" max="1" width="22.5703125" bestFit="1" customWidth="1"/>
    <col min="11" max="11" width="10" customWidth="1"/>
    <col min="12" max="12" width="10.140625" customWidth="1"/>
    <col min="13" max="13" width="9.5703125" customWidth="1"/>
    <col min="14" max="14" width="11.28515625" customWidth="1"/>
    <col min="15" max="15" width="11.42578125" customWidth="1"/>
  </cols>
  <sheetData>
    <row r="2" spans="1:32" x14ac:dyDescent="0.25">
      <c r="B2" s="60">
        <f>'SALES SUMMARY'!A9</f>
        <v>43647</v>
      </c>
      <c r="C2" s="60">
        <f>'SALES SUMMARY'!A12</f>
        <v>43648</v>
      </c>
      <c r="D2" s="60">
        <f>'SALES SUMMARY'!A15</f>
        <v>43649</v>
      </c>
      <c r="E2" s="60">
        <f>'SALES SUMMARY'!A18</f>
        <v>43650</v>
      </c>
      <c r="F2" s="60">
        <f>'SALES SUMMARY'!A21</f>
        <v>43651</v>
      </c>
      <c r="G2" s="60">
        <f>'SALES SUMMARY'!A24</f>
        <v>43652</v>
      </c>
      <c r="H2" s="60">
        <f>'SALES SUMMARY'!A27</f>
        <v>43653</v>
      </c>
      <c r="I2" s="60">
        <f>'SALES SUMMARY'!A30</f>
        <v>43654</v>
      </c>
      <c r="J2" s="60">
        <f>'SALES SUMMARY'!A33</f>
        <v>43655</v>
      </c>
      <c r="K2" s="60">
        <f>'SALES SUMMARY'!A36</f>
        <v>43656</v>
      </c>
      <c r="L2" s="60">
        <f>'SALES SUMMARY'!A39</f>
        <v>43657</v>
      </c>
      <c r="M2" s="60">
        <f>'SALES SUMMARY'!A42</f>
        <v>43658</v>
      </c>
      <c r="N2" s="60">
        <f>'SALES SUMMARY'!A45</f>
        <v>43659</v>
      </c>
      <c r="O2" s="60">
        <f>'SALES SUMMARY'!A48</f>
        <v>43660</v>
      </c>
      <c r="P2" s="60">
        <f>'SALES SUMMARY'!A51</f>
        <v>43661</v>
      </c>
      <c r="Q2" s="60">
        <f>'SALES SUMMARY'!A54</f>
        <v>43662</v>
      </c>
      <c r="R2" s="60">
        <f>'SALES SUMMARY'!A57</f>
        <v>43663</v>
      </c>
      <c r="S2" s="60">
        <f>'SALES SUMMARY'!A60</f>
        <v>43664</v>
      </c>
      <c r="T2" s="60">
        <f>'SALES SUMMARY'!A63</f>
        <v>43665</v>
      </c>
      <c r="U2" s="60">
        <f>'SALES SUMMARY'!A66</f>
        <v>43666</v>
      </c>
      <c r="V2" s="60">
        <f>'SALES SUMMARY'!A69</f>
        <v>43667</v>
      </c>
      <c r="W2" s="60">
        <f>'SALES SUMMARY'!A72</f>
        <v>43668</v>
      </c>
      <c r="X2" s="60">
        <f>'SALES SUMMARY'!A75</f>
        <v>43669</v>
      </c>
      <c r="Y2" s="60">
        <f>'SALES SUMMARY'!A78</f>
        <v>43670</v>
      </c>
      <c r="Z2" s="60">
        <f>'SALES SUMMARY'!A81</f>
        <v>43671</v>
      </c>
      <c r="AA2" s="60">
        <f>'SALES SUMMARY'!A84</f>
        <v>43672</v>
      </c>
      <c r="AB2" s="60">
        <f>'SALES SUMMARY'!A87</f>
        <v>43673</v>
      </c>
      <c r="AC2" s="60">
        <f>'SALES SUMMARY'!A90</f>
        <v>43674</v>
      </c>
      <c r="AD2" s="60">
        <f>'SALES SUMMARY'!A93</f>
        <v>43675</v>
      </c>
      <c r="AE2" s="60">
        <f>'SALES SUMMARY'!A96</f>
        <v>43676</v>
      </c>
      <c r="AF2" s="60">
        <f>'SALES SUMMARY'!A99</f>
        <v>43677</v>
      </c>
    </row>
    <row r="3" spans="1:32" x14ac:dyDescent="0.25">
      <c r="A3" s="59" t="s">
        <v>6</v>
      </c>
      <c r="B3" s="61">
        <f>'SALES SUMMARY'!E11</f>
        <v>22962.92</v>
      </c>
      <c r="C3" s="61">
        <f>'SALES SUMMARY'!E14</f>
        <v>17077</v>
      </c>
      <c r="D3" s="61">
        <f>'SALES SUMMARY'!E17</f>
        <v>23627</v>
      </c>
      <c r="E3" s="61">
        <f>'SALES SUMMARY'!E20</f>
        <v>20805</v>
      </c>
      <c r="F3" s="61">
        <f>'SALES SUMMARY'!E23</f>
        <v>38022</v>
      </c>
      <c r="G3" s="61">
        <f>'SALES SUMMARY'!E26</f>
        <v>2121</v>
      </c>
      <c r="H3" s="61">
        <f>'SALES SUMMARY'!E29</f>
        <v>0</v>
      </c>
      <c r="I3" s="61">
        <f>'SALES SUMMARY'!E32</f>
        <v>15445</v>
      </c>
      <c r="J3" s="61">
        <f>'SALES SUMMARY'!E35</f>
        <v>17610</v>
      </c>
      <c r="K3" s="61">
        <f>'SALES SUMMARY'!E38</f>
        <v>23733</v>
      </c>
      <c r="L3" s="61">
        <f>'SALES SUMMARY'!E41</f>
        <v>24724</v>
      </c>
      <c r="M3" s="61">
        <f>'SALES SUMMARY'!E44</f>
        <v>32086</v>
      </c>
      <c r="N3" s="61">
        <f>'SALES SUMMARY'!E47</f>
        <v>5805</v>
      </c>
      <c r="O3" s="61">
        <f>'SALES SUMMARY'!E50</f>
        <v>0</v>
      </c>
      <c r="P3" s="61">
        <f>'SALES SUMMARY'!E53</f>
        <v>22778</v>
      </c>
      <c r="Q3" s="61">
        <f>'SALES SUMMARY'!E56</f>
        <v>15555</v>
      </c>
      <c r="R3" s="61">
        <f>'SALES SUMMARY'!E59</f>
        <v>13470</v>
      </c>
      <c r="S3" s="61">
        <f>'SALES SUMMARY'!E62</f>
        <v>17884</v>
      </c>
      <c r="T3" s="61">
        <f>'SALES SUMMARY'!E65</f>
        <v>30064</v>
      </c>
      <c r="U3" s="61">
        <f>'SALES SUMMARY'!E68</f>
        <v>1083</v>
      </c>
      <c r="V3" s="61">
        <f>'SALES SUMMARY'!E71</f>
        <v>0</v>
      </c>
      <c r="W3" s="61">
        <f>'SALES SUMMARY'!E74</f>
        <v>15038</v>
      </c>
      <c r="X3" s="61">
        <f>'SALES SUMMARY'!E77</f>
        <v>18432</v>
      </c>
      <c r="Y3" s="61">
        <f>'SALES SUMMARY'!E80</f>
        <v>15926</v>
      </c>
      <c r="Z3" s="61">
        <f>'SALES SUMMARY'!E83</f>
        <v>24473</v>
      </c>
      <c r="AA3" s="61">
        <f>'SALES SUMMARY'!E86</f>
        <v>34060</v>
      </c>
      <c r="AB3" s="61">
        <f>'SALES SUMMARY'!E89</f>
        <v>5652</v>
      </c>
      <c r="AC3" s="61">
        <f>'SALES SUMMARY'!E92</f>
        <v>0</v>
      </c>
      <c r="AD3" s="61">
        <f>'SALES SUMMARY'!E95</f>
        <v>15661</v>
      </c>
      <c r="AE3" s="61">
        <f>'SALES SUMMARY'!E98</f>
        <v>28704</v>
      </c>
      <c r="AF3" s="61" t="e">
        <f>'SALES SUMMARY'!#REF!</f>
        <v>#REF!</v>
      </c>
    </row>
    <row r="4" spans="1:32" x14ac:dyDescent="0.25">
      <c r="A4" s="59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</row>
    <row r="5" spans="1:32" x14ac:dyDescent="0.25">
      <c r="A5" s="59" t="s">
        <v>8</v>
      </c>
      <c r="B5" s="61">
        <f>-'SALES SUMMARY'!G11</f>
        <v>-375.26000000000022</v>
      </c>
      <c r="C5" s="61">
        <f>-'SALES SUMMARY'!G14</f>
        <v>0</v>
      </c>
      <c r="D5" s="61">
        <f>-'SALES SUMMARY'!G17</f>
        <v>0</v>
      </c>
      <c r="E5" s="61">
        <f>-'SALES SUMMARY'!G20</f>
        <v>0</v>
      </c>
      <c r="F5" s="61">
        <f>-'SALES SUMMARY'!G23</f>
        <v>0</v>
      </c>
      <c r="G5" s="61">
        <f>-'SALES SUMMARY'!G26</f>
        <v>0</v>
      </c>
      <c r="H5" s="61">
        <f>-'SALES SUMMARY'!G29</f>
        <v>0</v>
      </c>
      <c r="I5" s="61">
        <f>-'SALES SUMMARY'!G32</f>
        <v>0</v>
      </c>
      <c r="J5" s="61">
        <f>-'SALES SUMMARY'!G35</f>
        <v>0</v>
      </c>
      <c r="K5" s="61">
        <f>-'SALES SUMMARY'!G38</f>
        <v>0</v>
      </c>
      <c r="L5" s="61">
        <f>-'SALES SUMMARY'!G41</f>
        <v>0</v>
      </c>
      <c r="M5" s="61">
        <f>-'SALES SUMMARY'!G44</f>
        <v>-1.2999999999992724</v>
      </c>
      <c r="N5" s="61">
        <f>-'SALES SUMMARY'!G47</f>
        <v>-0.81999999999970896</v>
      </c>
      <c r="O5" s="61">
        <f>-'SALES SUMMARY'!G50</f>
        <v>0</v>
      </c>
      <c r="P5" s="61">
        <f>-'SALES SUMMARY'!G53</f>
        <v>-1.6599999999998545</v>
      </c>
      <c r="Q5" s="61">
        <f>-'SALES SUMMARY'!G56</f>
        <v>0</v>
      </c>
      <c r="R5" s="61">
        <f>-'SALES SUMMARY'!G59</f>
        <v>0</v>
      </c>
      <c r="S5" s="61">
        <f>-'SALES SUMMARY'!G62</f>
        <v>0</v>
      </c>
      <c r="T5" s="61">
        <f>-'SALES SUMMARY'!G65</f>
        <v>0</v>
      </c>
      <c r="U5" s="61">
        <f>-'SALES SUMMARY'!G68</f>
        <v>0</v>
      </c>
      <c r="V5" s="61">
        <f>-'SALES SUMMARY'!G71</f>
        <v>0</v>
      </c>
      <c r="W5" s="61">
        <f>-'SALES SUMMARY'!G74</f>
        <v>0</v>
      </c>
      <c r="X5" s="61">
        <f>-'SALES SUMMARY'!G77</f>
        <v>0</v>
      </c>
      <c r="Y5" s="61">
        <f>-'SALES SUMMARY'!G80</f>
        <v>0</v>
      </c>
      <c r="Z5" s="61">
        <f>-'SALES SUMMARY'!G83</f>
        <v>0</v>
      </c>
      <c r="AA5" s="61">
        <f>-'SALES SUMMARY'!G86</f>
        <v>0</v>
      </c>
      <c r="AB5" s="61">
        <f>-'SALES SUMMARY'!G89</f>
        <v>0</v>
      </c>
      <c r="AC5" s="61">
        <f>-'SALES SUMMARY'!G92</f>
        <v>0</v>
      </c>
      <c r="AD5" s="61">
        <f>-'SALES SUMMARY'!G95</f>
        <v>0</v>
      </c>
      <c r="AE5" s="61">
        <f>-'SALES SUMMARY'!G98</f>
        <v>0</v>
      </c>
      <c r="AF5" s="61" t="e">
        <f>-'SALES SUMMARY'!#REF!</f>
        <v>#REF!</v>
      </c>
    </row>
    <row r="6" spans="1:32" x14ac:dyDescent="0.25">
      <c r="A6" s="59" t="s">
        <v>9</v>
      </c>
      <c r="B6" s="61">
        <f>'SALES SUMMARY'!H11</f>
        <v>0.75</v>
      </c>
      <c r="C6" s="61">
        <f>'SALES SUMMARY'!H14</f>
        <v>4.2200000000002547</v>
      </c>
      <c r="D6" s="61">
        <f>'SALES SUMMARY'!H17</f>
        <v>6.3600000000005821</v>
      </c>
      <c r="E6" s="61">
        <f>'SALES SUMMARY'!H20</f>
        <v>4.6900000000005093</v>
      </c>
      <c r="F6" s="61">
        <f>'SALES SUMMARY'!H23</f>
        <v>0.77999999999883585</v>
      </c>
      <c r="G6" s="61">
        <f>'SALES SUMMARY'!H26</f>
        <v>2.5</v>
      </c>
      <c r="H6" s="61">
        <f>'SALES SUMMARY'!H29</f>
        <v>0</v>
      </c>
      <c r="I6" s="61">
        <f>'SALES SUMMARY'!H32</f>
        <v>5.430000000000291</v>
      </c>
      <c r="J6" s="61">
        <f>'SALES SUMMARY'!H35</f>
        <v>1.3800000000001091</v>
      </c>
      <c r="K6" s="61">
        <f>'SALES SUMMARY'!H38</f>
        <v>1</v>
      </c>
      <c r="L6" s="61">
        <f>'SALES SUMMARY'!H41</f>
        <v>9.7200000000002547</v>
      </c>
      <c r="M6" s="61">
        <f>'SALES SUMMARY'!H44</f>
        <v>3.1399999999994179</v>
      </c>
      <c r="N6" s="61">
        <f>'SALES SUMMARY'!H47</f>
        <v>0</v>
      </c>
      <c r="O6" s="61">
        <f>'SALES SUMMARY'!H50</f>
        <v>0</v>
      </c>
      <c r="P6" s="61">
        <f>'SALES SUMMARY'!H53</f>
        <v>0</v>
      </c>
      <c r="Q6" s="61">
        <f>'SALES SUMMARY'!H56</f>
        <v>3.2399999999997817</v>
      </c>
      <c r="R6" s="61">
        <f>'SALES SUMMARY'!H59</f>
        <v>1.8899999999989632</v>
      </c>
      <c r="S6" s="61">
        <f>'SALES SUMMARY'!H62</f>
        <v>2.4400000000005093</v>
      </c>
      <c r="T6" s="61">
        <f>'SALES SUMMARY'!H65</f>
        <v>1.2799999999988358</v>
      </c>
      <c r="U6" s="61">
        <f>'SALES SUMMARY'!H68</f>
        <v>4.8699999999998909</v>
      </c>
      <c r="V6" s="61">
        <f>'SALES SUMMARY'!H71</f>
        <v>0</v>
      </c>
      <c r="W6" s="61">
        <f>'SALES SUMMARY'!H74</f>
        <v>0.94999999999890861</v>
      </c>
      <c r="X6" s="61">
        <f>'SALES SUMMARY'!H77</f>
        <v>1.1100000000005821</v>
      </c>
      <c r="Y6" s="61">
        <f>'SALES SUMMARY'!H80</f>
        <v>0.55000000000109139</v>
      </c>
      <c r="Z6" s="61">
        <f>'SALES SUMMARY'!H83</f>
        <v>271.19999999999891</v>
      </c>
      <c r="AA6" s="61">
        <f>'SALES SUMMARY'!H86</f>
        <v>10.779999999998836</v>
      </c>
      <c r="AB6" s="61">
        <f>'SALES SUMMARY'!H89</f>
        <v>1.5500000000001819</v>
      </c>
      <c r="AC6" s="61">
        <f>'SALES SUMMARY'!H92</f>
        <v>0</v>
      </c>
      <c r="AD6" s="61">
        <f>'SALES SUMMARY'!H95</f>
        <v>4.2799999999997453</v>
      </c>
      <c r="AE6" s="61">
        <f>'SALES SUMMARY'!H98</f>
        <v>2.6300000000010186</v>
      </c>
      <c r="AF6" s="61" t="e">
        <f>'SALES SUMMARY'!#REF!</f>
        <v>#REF!</v>
      </c>
    </row>
    <row r="7" spans="1:32" x14ac:dyDescent="0.25">
      <c r="A7" s="59" t="s">
        <v>10</v>
      </c>
      <c r="B7" s="61">
        <f>-'SALES SUMMARY'!I11</f>
        <v>0</v>
      </c>
      <c r="C7" s="61">
        <f>-'SALES SUMMARY'!I14</f>
        <v>0</v>
      </c>
      <c r="D7" s="61">
        <f>-'SALES SUMMARY'!I17</f>
        <v>0</v>
      </c>
      <c r="E7" s="61">
        <f>-'SALES SUMMARY'!I20</f>
        <v>0</v>
      </c>
      <c r="F7" s="61">
        <f>-'SALES SUMMARY'!I23</f>
        <v>0</v>
      </c>
      <c r="G7" s="61">
        <f>-'SALES SUMMARY'!I26</f>
        <v>0</v>
      </c>
      <c r="H7" s="61">
        <f>-'SALES SUMMARY'!I29</f>
        <v>0</v>
      </c>
      <c r="I7" s="61">
        <f>-'SALES SUMMARY'!I32</f>
        <v>0</v>
      </c>
      <c r="J7" s="61">
        <f>-'SALES SUMMARY'!I35</f>
        <v>0</v>
      </c>
      <c r="K7" s="61">
        <f>-'SALES SUMMARY'!I38</f>
        <v>0</v>
      </c>
      <c r="L7" s="61">
        <f>-'SALES SUMMARY'!I41</f>
        <v>0</v>
      </c>
      <c r="M7" s="61">
        <f>-'SALES SUMMARY'!I44</f>
        <v>0</v>
      </c>
      <c r="N7" s="61">
        <f>-'SALES SUMMARY'!I47</f>
        <v>0</v>
      </c>
      <c r="O7" s="61">
        <f>-'SALES SUMMARY'!I50</f>
        <v>0</v>
      </c>
      <c r="P7" s="61">
        <f>-'SALES SUMMARY'!I53</f>
        <v>0</v>
      </c>
      <c r="Q7" s="61">
        <f>-'SALES SUMMARY'!I56</f>
        <v>0</v>
      </c>
      <c r="R7" s="61">
        <f>-'SALES SUMMARY'!I59</f>
        <v>0</v>
      </c>
      <c r="S7" s="61">
        <f>-'SALES SUMMARY'!I62</f>
        <v>-600</v>
      </c>
      <c r="T7" s="61">
        <f>-'SALES SUMMARY'!I65</f>
        <v>-600</v>
      </c>
      <c r="U7" s="61">
        <f>-'SALES SUMMARY'!I68</f>
        <v>0</v>
      </c>
      <c r="V7" s="61">
        <f>-'SALES SUMMARY'!I71</f>
        <v>0</v>
      </c>
      <c r="W7" s="61">
        <f>-'SALES SUMMARY'!I74</f>
        <v>0</v>
      </c>
      <c r="X7" s="61">
        <f>-'SALES SUMMARY'!I77</f>
        <v>0</v>
      </c>
      <c r="Y7" s="61">
        <f>-'SALES SUMMARY'!I80</f>
        <v>0</v>
      </c>
      <c r="Z7" s="61">
        <f>-'SALES SUMMARY'!I83</f>
        <v>0</v>
      </c>
      <c r="AA7" s="61">
        <f>-'SALES SUMMARY'!I86</f>
        <v>0</v>
      </c>
      <c r="AB7" s="61">
        <f>-'SALES SUMMARY'!I89</f>
        <v>0</v>
      </c>
      <c r="AC7" s="61">
        <f>-'SALES SUMMARY'!I92</f>
        <v>0</v>
      </c>
      <c r="AD7" s="61">
        <f>-'SALES SUMMARY'!I95</f>
        <v>0</v>
      </c>
      <c r="AE7" s="61">
        <f>-'SALES SUMMARY'!I98</f>
        <v>0</v>
      </c>
      <c r="AF7" s="61" t="e">
        <f>-'SALES SUMMARY'!#REF!</f>
        <v>#REF!</v>
      </c>
    </row>
    <row r="8" spans="1:32" x14ac:dyDescent="0.25">
      <c r="A8" s="59" t="s">
        <v>11</v>
      </c>
      <c r="B8" s="61">
        <f>-'SALES SUMMARY'!J11</f>
        <v>0</v>
      </c>
      <c r="C8" s="61">
        <f>-'SALES SUMMARY'!J14</f>
        <v>0</v>
      </c>
      <c r="D8" s="61">
        <f>-'SALES SUMMARY'!J17</f>
        <v>0</v>
      </c>
      <c r="E8" s="61">
        <f>-'SALES SUMMARY'!J20</f>
        <v>0</v>
      </c>
      <c r="F8" s="61">
        <f>-'SALES SUMMARY'!J23</f>
        <v>0</v>
      </c>
      <c r="G8" s="61">
        <f>-'SALES SUMMARY'!J26</f>
        <v>0</v>
      </c>
      <c r="H8" s="61">
        <f>-'SALES SUMMARY'!J29</f>
        <v>0</v>
      </c>
      <c r="I8" s="61">
        <f>-'SALES SUMMARY'!J32</f>
        <v>0</v>
      </c>
      <c r="J8" s="61">
        <f>-'SALES SUMMARY'!J35</f>
        <v>0</v>
      </c>
      <c r="K8" s="61">
        <f>-'SALES SUMMARY'!J38</f>
        <v>0</v>
      </c>
      <c r="L8" s="61">
        <f>-'SALES SUMMARY'!J41</f>
        <v>0</v>
      </c>
      <c r="M8" s="61">
        <f>-'SALES SUMMARY'!J44</f>
        <v>0</v>
      </c>
      <c r="N8" s="61">
        <f>-'SALES SUMMARY'!J47</f>
        <v>0</v>
      </c>
      <c r="O8" s="61">
        <f>-'SALES SUMMARY'!J50</f>
        <v>0</v>
      </c>
      <c r="P8" s="61">
        <f>-'SALES SUMMARY'!J53</f>
        <v>0</v>
      </c>
      <c r="Q8" s="61">
        <f>-'SALES SUMMARY'!J56</f>
        <v>0</v>
      </c>
      <c r="R8" s="61">
        <f>-'SALES SUMMARY'!J59</f>
        <v>0</v>
      </c>
      <c r="S8" s="61">
        <f>-'SALES SUMMARY'!J62</f>
        <v>0</v>
      </c>
      <c r="T8" s="61">
        <f>-'SALES SUMMARY'!J65</f>
        <v>0</v>
      </c>
      <c r="U8" s="61">
        <f>-'SALES SUMMARY'!J68</f>
        <v>0</v>
      </c>
      <c r="V8" s="61">
        <f>-'SALES SUMMARY'!J71</f>
        <v>0</v>
      </c>
      <c r="W8" s="61">
        <f>-'SALES SUMMARY'!J74</f>
        <v>0</v>
      </c>
      <c r="X8" s="61">
        <f>-'SALES SUMMARY'!J77</f>
        <v>0</v>
      </c>
      <c r="Y8" s="61">
        <f>-'SALES SUMMARY'!J80</f>
        <v>0</v>
      </c>
      <c r="Z8" s="61">
        <f>-'SALES SUMMARY'!J83</f>
        <v>0</v>
      </c>
      <c r="AA8" s="61">
        <f>-'SALES SUMMARY'!J86</f>
        <v>0</v>
      </c>
      <c r="AB8" s="61">
        <f>-'SALES SUMMARY'!J89</f>
        <v>0</v>
      </c>
      <c r="AC8" s="61">
        <f>-'SALES SUMMARY'!J92</f>
        <v>0</v>
      </c>
      <c r="AD8" s="61">
        <f>-'SALES SUMMARY'!J95</f>
        <v>0</v>
      </c>
      <c r="AE8" s="61">
        <f>-'SALES SUMMARY'!J98</f>
        <v>0</v>
      </c>
      <c r="AF8" s="61" t="e">
        <f>-'SALES SUMMARY'!#REF!</f>
        <v>#REF!</v>
      </c>
    </row>
    <row r="9" spans="1:32" x14ac:dyDescent="0.25">
      <c r="A9" s="59" t="s">
        <v>14</v>
      </c>
      <c r="B9" s="61">
        <f>-'SALES SUMMARY'!M11</f>
        <v>-71.787209999999988</v>
      </c>
      <c r="C9" s="61">
        <f>-'SALES SUMMARY'!M14</f>
        <v>-184.78088999999997</v>
      </c>
      <c r="D9" s="61">
        <f>-'SALES SUMMARY'!M17</f>
        <v>-249.51911000000001</v>
      </c>
      <c r="E9" s="61">
        <f>-'SALES SUMMARY'!M20</f>
        <v>-200.00977</v>
      </c>
      <c r="F9" s="61">
        <f>-'SALES SUMMARY'!M23</f>
        <v>-399.04666499999996</v>
      </c>
      <c r="G9" s="61">
        <f>-'SALES SUMMARY'!M26</f>
        <v>-154.21820999999997</v>
      </c>
      <c r="H9" s="61">
        <f>-'SALES SUMMARY'!M29</f>
        <v>0</v>
      </c>
      <c r="I9" s="61">
        <f>-'SALES SUMMARY'!M32</f>
        <v>-384.37678499999993</v>
      </c>
      <c r="J9" s="61">
        <f>-'SALES SUMMARY'!M35</f>
        <v>-187.03731500000001</v>
      </c>
      <c r="K9" s="61">
        <f>-'SALES SUMMARY'!M38</f>
        <v>-223.234285</v>
      </c>
      <c r="L9" s="61">
        <f>-'SALES SUMMARY'!M41</f>
        <v>-388.03286000000003</v>
      </c>
      <c r="M9" s="61">
        <f>-'SALES SUMMARY'!M44</f>
        <v>-298.91299499999997</v>
      </c>
      <c r="N9" s="61">
        <f>-'SALES SUMMARY'!M47</f>
        <v>-48.127319999999997</v>
      </c>
      <c r="O9" s="61">
        <f>-'SALES SUMMARY'!M50</f>
        <v>0</v>
      </c>
      <c r="P9" s="61">
        <f>-'SALES SUMMARY'!M53</f>
        <v>-262.45952999999997</v>
      </c>
      <c r="Q9" s="61">
        <f>-'SALES SUMMARY'!M56</f>
        <v>-307.05654999999996</v>
      </c>
      <c r="R9" s="61">
        <f>-'SALES SUMMARY'!M59</f>
        <v>-380.86347000000001</v>
      </c>
      <c r="S9" s="61">
        <f>-'SALES SUMMARY'!M62</f>
        <v>-305.15401499999996</v>
      </c>
      <c r="T9" s="61">
        <f>-'SALES SUMMARY'!M65</f>
        <v>-478.52033999999992</v>
      </c>
      <c r="U9" s="61">
        <f>-'SALES SUMMARY'!M68</f>
        <v>-51.991515</v>
      </c>
      <c r="V9" s="61">
        <f>-'SALES SUMMARY'!M71</f>
        <v>0</v>
      </c>
      <c r="W9" s="61">
        <f>-'SALES SUMMARY'!M74</f>
        <v>-121.600775</v>
      </c>
      <c r="X9" s="61">
        <f>-'SALES SUMMARY'!M77</f>
        <v>-214.05550499999998</v>
      </c>
      <c r="Y9" s="61">
        <f>-'SALES SUMMARY'!M80</f>
        <v>-305.97767999999996</v>
      </c>
      <c r="Z9" s="61">
        <f>-'SALES SUMMARY'!M83</f>
        <v>-165.65642499999998</v>
      </c>
      <c r="AA9" s="61">
        <f>-'SALES SUMMARY'!M86</f>
        <v>-384.90116999999998</v>
      </c>
      <c r="AB9" s="61">
        <f>-'SALES SUMMARY'!M89</f>
        <v>-22.717114999999996</v>
      </c>
      <c r="AC9" s="61">
        <f>-'SALES SUMMARY'!M92</f>
        <v>0</v>
      </c>
      <c r="AD9" s="61">
        <f>-'SALES SUMMARY'!M95</f>
        <v>-216.87630499999997</v>
      </c>
      <c r="AE9" s="61">
        <f>-'SALES SUMMARY'!M98</f>
        <v>-260.40563499999996</v>
      </c>
      <c r="AF9" s="61" t="e">
        <f>-'SALES SUMMARY'!#REF!</f>
        <v>#REF!</v>
      </c>
    </row>
    <row r="10" spans="1:32" x14ac:dyDescent="0.25">
      <c r="A10" s="59" t="s">
        <v>15</v>
      </c>
      <c r="B10" s="61">
        <f>-'SALES SUMMARY'!N11</f>
        <v>-16.694700000000001</v>
      </c>
      <c r="C10" s="61">
        <f>-'SALES SUMMARY'!N14</f>
        <v>-42.972300000000004</v>
      </c>
      <c r="D10" s="61">
        <f>-'SALES SUMMARY'!N17</f>
        <v>-58.027700000000003</v>
      </c>
      <c r="E10" s="61">
        <f>-'SALES SUMMARY'!N20</f>
        <v>-46.5139</v>
      </c>
      <c r="F10" s="61">
        <f>-'SALES SUMMARY'!N23</f>
        <v>-92.801549999999992</v>
      </c>
      <c r="G10" s="61">
        <f>-'SALES SUMMARY'!N26</f>
        <v>-35.864699999999999</v>
      </c>
      <c r="H10" s="61">
        <f>-'SALES SUMMARY'!N29</f>
        <v>0</v>
      </c>
      <c r="I10" s="61">
        <f>-'SALES SUMMARY'!N32</f>
        <v>-89.389949999999999</v>
      </c>
      <c r="J10" s="61">
        <f>-'SALES SUMMARY'!N35</f>
        <v>-43.497050000000002</v>
      </c>
      <c r="K10" s="61">
        <f>-'SALES SUMMARY'!N38</f>
        <v>-51.914950000000005</v>
      </c>
      <c r="L10" s="61">
        <f>-'SALES SUMMARY'!N41</f>
        <v>-90.240200000000002</v>
      </c>
      <c r="M10" s="61">
        <f>-'SALES SUMMARY'!N44</f>
        <v>-69.514650000000003</v>
      </c>
      <c r="N10" s="61">
        <f>-'SALES SUMMARY'!N47</f>
        <v>-11.192400000000001</v>
      </c>
      <c r="O10" s="61">
        <f>-'SALES SUMMARY'!N50</f>
        <v>0</v>
      </c>
      <c r="P10" s="61">
        <f>-'SALES SUMMARY'!N53</f>
        <v>-61.037099999999995</v>
      </c>
      <c r="Q10" s="61">
        <f>-'SALES SUMMARY'!N56</f>
        <v>-71.408500000000004</v>
      </c>
      <c r="R10" s="61">
        <f>-'SALES SUMMARY'!N59</f>
        <v>-88.572900000000004</v>
      </c>
      <c r="S10" s="61">
        <f>-'SALES SUMMARY'!N62</f>
        <v>-70.966049999999996</v>
      </c>
      <c r="T10" s="61">
        <f>-'SALES SUMMARY'!N65</f>
        <v>-111.28379999999999</v>
      </c>
      <c r="U10" s="61">
        <f>-'SALES SUMMARY'!N68</f>
        <v>-12.091050000000001</v>
      </c>
      <c r="V10" s="61">
        <f>-'SALES SUMMARY'!N71</f>
        <v>0</v>
      </c>
      <c r="W10" s="61">
        <f>-'SALES SUMMARY'!N74</f>
        <v>-28.279250000000001</v>
      </c>
      <c r="X10" s="61">
        <f>-'SALES SUMMARY'!N77</f>
        <v>-49.780350000000006</v>
      </c>
      <c r="Y10" s="61">
        <f>-'SALES SUMMARY'!N80</f>
        <v>-71.157600000000002</v>
      </c>
      <c r="Z10" s="61">
        <f>-'SALES SUMMARY'!N83</f>
        <v>-38.524750000000004</v>
      </c>
      <c r="AA10" s="61">
        <f>-'SALES SUMMARY'!N86</f>
        <v>-89.511899999999997</v>
      </c>
      <c r="AB10" s="61">
        <f>-'SALES SUMMARY'!N89</f>
        <v>-5.2830499999999994</v>
      </c>
      <c r="AC10" s="61">
        <f>-'SALES SUMMARY'!N92</f>
        <v>0</v>
      </c>
      <c r="AD10" s="61">
        <f>-'SALES SUMMARY'!N95</f>
        <v>-50.436350000000004</v>
      </c>
      <c r="AE10" s="61">
        <f>-'SALES SUMMARY'!N98</f>
        <v>-60.559449999999998</v>
      </c>
      <c r="AF10" s="61" t="e">
        <f>-'SALES SUMMARY'!#REF!</f>
        <v>#REF!</v>
      </c>
    </row>
    <row r="11" spans="1:32" x14ac:dyDescent="0.25">
      <c r="A11" s="59" t="s">
        <v>16</v>
      </c>
      <c r="B11" s="61">
        <f>-'SALES SUMMARY'!O11</f>
        <v>-3250.4580900000001</v>
      </c>
      <c r="C11" s="61">
        <f>-'SALES SUMMARY'!O14</f>
        <v>-8366.7068099999997</v>
      </c>
      <c r="D11" s="61">
        <f>-'SALES SUMMARY'!O17</f>
        <v>-11297.993190000001</v>
      </c>
      <c r="E11" s="61">
        <f>-'SALES SUMMARY'!O20</f>
        <v>-9056.2563300000002</v>
      </c>
      <c r="F11" s="61">
        <f>-'SALES SUMMARY'!O23</f>
        <v>-18068.461785</v>
      </c>
      <c r="G11" s="61">
        <f>-'SALES SUMMARY'!O26</f>
        <v>-6982.8570899999995</v>
      </c>
      <c r="H11" s="61">
        <f>-'SALES SUMMARY'!O29</f>
        <v>0</v>
      </c>
      <c r="I11" s="61">
        <f>-'SALES SUMMARY'!O32</f>
        <v>-17404.223265000001</v>
      </c>
      <c r="J11" s="61">
        <f>-'SALES SUMMARY'!O35</f>
        <v>-8468.8756350000003</v>
      </c>
      <c r="K11" s="61">
        <f>-'SALES SUMMARY'!O38</f>
        <v>-10107.840765000001</v>
      </c>
      <c r="L11" s="61">
        <f>-'SALES SUMMARY'!O41</f>
        <v>-17569.766940000001</v>
      </c>
      <c r="M11" s="61">
        <f>-'SALES SUMMARY'!O44</f>
        <v>-13534.502355000001</v>
      </c>
      <c r="N11" s="61">
        <f>-'SALES SUMMARY'!O47</f>
        <v>-2179.1602800000001</v>
      </c>
      <c r="O11" s="61">
        <f>-'SALES SUMMARY'!O50</f>
        <v>0</v>
      </c>
      <c r="P11" s="61">
        <f>-'SALES SUMMARY'!O53</f>
        <v>-11883.923369999999</v>
      </c>
      <c r="Q11" s="61">
        <f>-'SALES SUMMARY'!O56</f>
        <v>-13903.23495</v>
      </c>
      <c r="R11" s="61">
        <f>-'SALES SUMMARY'!O59</f>
        <v>-17245.143630000002</v>
      </c>
      <c r="S11" s="61">
        <f>-'SALES SUMMARY'!O62</f>
        <v>-13817.089935</v>
      </c>
      <c r="T11" s="61">
        <f>-'SALES SUMMARY'!O65</f>
        <v>-21666.955859999995</v>
      </c>
      <c r="U11" s="61">
        <f>-'SALES SUMMARY'!O68</f>
        <v>-2354.1274349999999</v>
      </c>
      <c r="V11" s="61">
        <f>-'SALES SUMMARY'!O71</f>
        <v>0</v>
      </c>
      <c r="W11" s="61">
        <f>-'SALES SUMMARY'!O74</f>
        <v>-5505.969975</v>
      </c>
      <c r="X11" s="61">
        <f>-'SALES SUMMARY'!O77</f>
        <v>-9692.2341450000004</v>
      </c>
      <c r="Y11" s="61">
        <f>-'SALES SUMMARY'!O80</f>
        <v>-13854.38472</v>
      </c>
      <c r="Z11" s="61">
        <f>-'SALES SUMMARY'!O83</f>
        <v>-7500.7688250000001</v>
      </c>
      <c r="AA11" s="61">
        <f>-'SALES SUMMARY'!O86</f>
        <v>-17427.966929999999</v>
      </c>
      <c r="AB11" s="61">
        <f>-'SALES SUMMARY'!O89</f>
        <v>-1028.609835</v>
      </c>
      <c r="AC11" s="61">
        <f>-'SALES SUMMARY'!O92</f>
        <v>0</v>
      </c>
      <c r="AD11" s="61">
        <f>-'SALES SUMMARY'!O95</f>
        <v>-9819.9573450000007</v>
      </c>
      <c r="AE11" s="61">
        <f>-'SALES SUMMARY'!O98</f>
        <v>-11790.924915</v>
      </c>
      <c r="AF11" s="61" t="e">
        <f>-'SALES SUMMARY'!#REF!</f>
        <v>#REF!</v>
      </c>
    </row>
    <row r="12" spans="1:32" x14ac:dyDescent="0.25">
      <c r="A12" s="59" t="s">
        <v>17</v>
      </c>
      <c r="B12" s="61">
        <f>'SALES SUMMARY'!P11</f>
        <v>0</v>
      </c>
      <c r="C12" s="61">
        <f>'SALES SUMMARY'!P14</f>
        <v>0</v>
      </c>
      <c r="D12" s="61">
        <f>'SALES SUMMARY'!P17</f>
        <v>0</v>
      </c>
      <c r="E12" s="61">
        <f>'SALES SUMMARY'!P20</f>
        <v>0</v>
      </c>
      <c r="F12" s="61">
        <f>'SALES SUMMARY'!P23</f>
        <v>0</v>
      </c>
      <c r="G12" s="61">
        <f>'SALES SUMMARY'!P26</f>
        <v>0</v>
      </c>
      <c r="H12" s="61">
        <f>'SALES SUMMARY'!P29</f>
        <v>0</v>
      </c>
      <c r="I12" s="61">
        <f>'SALES SUMMARY'!P32</f>
        <v>0</v>
      </c>
      <c r="J12" s="61">
        <f>'SALES SUMMARY'!P35</f>
        <v>0</v>
      </c>
      <c r="K12" s="61">
        <f>'SALES SUMMARY'!P38</f>
        <v>0</v>
      </c>
      <c r="L12" s="61">
        <f>'SALES SUMMARY'!P41</f>
        <v>0</v>
      </c>
      <c r="M12" s="61">
        <f>'SALES SUMMARY'!P44</f>
        <v>0</v>
      </c>
      <c r="N12" s="61">
        <f>'SALES SUMMARY'!P47</f>
        <v>0</v>
      </c>
      <c r="O12" s="61">
        <f>'SALES SUMMARY'!P50</f>
        <v>0</v>
      </c>
      <c r="P12" s="61">
        <f>'SALES SUMMARY'!P53</f>
        <v>0</v>
      </c>
      <c r="Q12" s="61">
        <f>'SALES SUMMARY'!P56</f>
        <v>0</v>
      </c>
      <c r="R12" s="61">
        <f>'SALES SUMMARY'!P59</f>
        <v>0</v>
      </c>
      <c r="S12" s="61">
        <f>'SALES SUMMARY'!P62</f>
        <v>0</v>
      </c>
      <c r="T12" s="61">
        <f>'SALES SUMMARY'!P65</f>
        <v>0</v>
      </c>
      <c r="U12" s="61">
        <f>'SALES SUMMARY'!P68</f>
        <v>0</v>
      </c>
      <c r="V12" s="61">
        <f>'SALES SUMMARY'!P71</f>
        <v>0</v>
      </c>
      <c r="W12" s="61">
        <f>'SALES SUMMARY'!P74</f>
        <v>0</v>
      </c>
      <c r="X12" s="61">
        <f>'SALES SUMMARY'!P77</f>
        <v>0</v>
      </c>
      <c r="Y12" s="61">
        <f>'SALES SUMMARY'!P80</f>
        <v>0</v>
      </c>
      <c r="Z12" s="61">
        <f>'SALES SUMMARY'!P83</f>
        <v>0</v>
      </c>
      <c r="AA12" s="61">
        <f>'SALES SUMMARY'!P86</f>
        <v>0</v>
      </c>
      <c r="AB12" s="61">
        <f>'SALES SUMMARY'!P89</f>
        <v>0</v>
      </c>
      <c r="AC12" s="61">
        <f>'SALES SUMMARY'!P92</f>
        <v>0</v>
      </c>
      <c r="AD12" s="61">
        <f>'SALES SUMMARY'!P95</f>
        <v>0</v>
      </c>
      <c r="AE12" s="61">
        <f>'SALES SUMMARY'!P98</f>
        <v>0</v>
      </c>
      <c r="AF12" s="61" t="e">
        <f>'SALES SUMMARY'!#REF!</f>
        <v>#REF!</v>
      </c>
    </row>
    <row r="13" spans="1:32" x14ac:dyDescent="0.25">
      <c r="A13" s="59" t="s">
        <v>20</v>
      </c>
      <c r="B13" s="61">
        <f>-'SALES SUMMARY'!T11</f>
        <v>0</v>
      </c>
      <c r="C13" s="61">
        <f>-'SALES SUMMARY'!T14</f>
        <v>0</v>
      </c>
      <c r="D13" s="61">
        <f>-'SALES SUMMARY'!T17</f>
        <v>0</v>
      </c>
      <c r="E13" s="61">
        <f>-'SALES SUMMARY'!T20</f>
        <v>0</v>
      </c>
      <c r="F13" s="61">
        <f>-'SALES SUMMARY'!T23</f>
        <v>0</v>
      </c>
      <c r="G13" s="61">
        <f>-'SALES SUMMARY'!T26</f>
        <v>0</v>
      </c>
      <c r="H13" s="61">
        <f>-'SALES SUMMARY'!T29</f>
        <v>0</v>
      </c>
      <c r="I13" s="61">
        <f>-'SALES SUMMARY'!T32</f>
        <v>0</v>
      </c>
      <c r="J13" s="61">
        <f>-'SALES SUMMARY'!T35</f>
        <v>0</v>
      </c>
      <c r="K13" s="61">
        <f>-'SALES SUMMARY'!T38</f>
        <v>0</v>
      </c>
      <c r="L13" s="61">
        <f>-'SALES SUMMARY'!T41</f>
        <v>0</v>
      </c>
      <c r="M13" s="61">
        <f>-'SALES SUMMARY'!T44</f>
        <v>0</v>
      </c>
      <c r="N13" s="61">
        <f>-'SALES SUMMARY'!T47</f>
        <v>0</v>
      </c>
      <c r="O13" s="61">
        <f>-'SALES SUMMARY'!T50</f>
        <v>0</v>
      </c>
      <c r="P13" s="61">
        <f>-'SALES SUMMARY'!T53</f>
        <v>0</v>
      </c>
      <c r="Q13" s="61">
        <f>-'SALES SUMMARY'!T56</f>
        <v>0</v>
      </c>
      <c r="R13" s="61">
        <f>-'SALES SUMMARY'!T59</f>
        <v>0</v>
      </c>
      <c r="S13" s="61">
        <f>-'SALES SUMMARY'!T62</f>
        <v>0</v>
      </c>
      <c r="T13" s="61">
        <f>-'SALES SUMMARY'!T65</f>
        <v>0</v>
      </c>
      <c r="U13" s="61">
        <f>-'SALES SUMMARY'!T68</f>
        <v>0</v>
      </c>
      <c r="V13" s="61">
        <f>-'SALES SUMMARY'!T71</f>
        <v>0</v>
      </c>
      <c r="W13" s="61">
        <f>-'SALES SUMMARY'!T74</f>
        <v>0</v>
      </c>
      <c r="X13" s="61">
        <f>-'SALES SUMMARY'!T77</f>
        <v>0</v>
      </c>
      <c r="Y13" s="61">
        <f>-'SALES SUMMARY'!T80</f>
        <v>0</v>
      </c>
      <c r="Z13" s="61">
        <f>-'SALES SUMMARY'!T83</f>
        <v>0</v>
      </c>
      <c r="AA13" s="61">
        <f>-'SALES SUMMARY'!T86</f>
        <v>0</v>
      </c>
      <c r="AB13" s="61">
        <f>-'SALES SUMMARY'!T89</f>
        <v>0</v>
      </c>
      <c r="AC13" s="61">
        <f>-'SALES SUMMARY'!T92</f>
        <v>0</v>
      </c>
      <c r="AD13" s="61">
        <f>-'SALES SUMMARY'!T95</f>
        <v>0</v>
      </c>
      <c r="AE13" s="61">
        <f>-'SALES SUMMARY'!T98</f>
        <v>0</v>
      </c>
      <c r="AF13" s="61" t="e">
        <f>-'SALES SUMMARY'!#REF!</f>
        <v>#REF!</v>
      </c>
    </row>
    <row r="14" spans="1:32" x14ac:dyDescent="0.25">
      <c r="A14" s="59" t="s">
        <v>21</v>
      </c>
      <c r="B14" s="61">
        <f>-'SALES SUMMARY'!U11</f>
        <v>0</v>
      </c>
      <c r="C14" s="61">
        <f>-'SALES SUMMARY'!U14</f>
        <v>0</v>
      </c>
      <c r="D14" s="61">
        <f>-'SALES SUMMARY'!U17</f>
        <v>0</v>
      </c>
      <c r="E14" s="61">
        <f>-'SALES SUMMARY'!U20</f>
        <v>0</v>
      </c>
      <c r="F14" s="61">
        <f>-'SALES SUMMARY'!U23</f>
        <v>0</v>
      </c>
      <c r="G14" s="61">
        <f>-'SALES SUMMARY'!U26</f>
        <v>0</v>
      </c>
      <c r="H14" s="61">
        <f>-'SALES SUMMARY'!U29</f>
        <v>0</v>
      </c>
      <c r="I14" s="61">
        <f>-'SALES SUMMARY'!U32</f>
        <v>0</v>
      </c>
      <c r="J14" s="61">
        <f>-'SALES SUMMARY'!U35</f>
        <v>0</v>
      </c>
      <c r="K14" s="61">
        <f>-'SALES SUMMARY'!U38</f>
        <v>0</v>
      </c>
      <c r="L14" s="61">
        <f>-'SALES SUMMARY'!U41</f>
        <v>0</v>
      </c>
      <c r="M14" s="61">
        <f>-'SALES SUMMARY'!U44</f>
        <v>0</v>
      </c>
      <c r="N14" s="61">
        <f>-'SALES SUMMARY'!U47</f>
        <v>0</v>
      </c>
      <c r="O14" s="61">
        <f>-'SALES SUMMARY'!U50</f>
        <v>0</v>
      </c>
      <c r="P14" s="61">
        <f>-'SALES SUMMARY'!U53</f>
        <v>0</v>
      </c>
      <c r="Q14" s="61">
        <f>-'SALES SUMMARY'!U56</f>
        <v>0</v>
      </c>
      <c r="R14" s="61">
        <f>-'SALES SUMMARY'!U59</f>
        <v>0</v>
      </c>
      <c r="S14" s="61">
        <f>-'SALES SUMMARY'!U62</f>
        <v>0</v>
      </c>
      <c r="T14" s="61">
        <f>-'SALES SUMMARY'!U65</f>
        <v>0</v>
      </c>
      <c r="U14" s="61">
        <f>-'SALES SUMMARY'!U68</f>
        <v>0</v>
      </c>
      <c r="V14" s="61">
        <f>-'SALES SUMMARY'!U71</f>
        <v>0</v>
      </c>
      <c r="W14" s="61">
        <f>-'SALES SUMMARY'!U74</f>
        <v>0</v>
      </c>
      <c r="X14" s="61">
        <f>-'SALES SUMMARY'!U77</f>
        <v>0</v>
      </c>
      <c r="Y14" s="61">
        <f>-'SALES SUMMARY'!U80</f>
        <v>0</v>
      </c>
      <c r="Z14" s="61">
        <f>-'SALES SUMMARY'!U83</f>
        <v>0</v>
      </c>
      <c r="AA14" s="61">
        <f>-'SALES SUMMARY'!U86</f>
        <v>0</v>
      </c>
      <c r="AB14" s="61">
        <f>-'SALES SUMMARY'!U89</f>
        <v>0</v>
      </c>
      <c r="AC14" s="61">
        <f>-'SALES SUMMARY'!U92</f>
        <v>0</v>
      </c>
      <c r="AD14" s="61">
        <f>-'SALES SUMMARY'!U95</f>
        <v>0</v>
      </c>
      <c r="AE14" s="61">
        <f>-'SALES SUMMARY'!U98</f>
        <v>0</v>
      </c>
      <c r="AF14" s="61" t="e">
        <f>-'SALES SUMMARY'!#REF!</f>
        <v>#REF!</v>
      </c>
    </row>
    <row r="15" spans="1:32" x14ac:dyDescent="0.25">
      <c r="A15" s="59" t="s">
        <v>22</v>
      </c>
      <c r="B15" s="61">
        <f>-'SALES SUMMARY'!V11</f>
        <v>0</v>
      </c>
      <c r="C15" s="61">
        <f>-'SALES SUMMARY'!V14</f>
        <v>0</v>
      </c>
      <c r="D15" s="61">
        <f>-'SALES SUMMARY'!V17</f>
        <v>0</v>
      </c>
      <c r="E15" s="61">
        <f>-'SALES SUMMARY'!V20</f>
        <v>0</v>
      </c>
      <c r="F15" s="61">
        <f>-'SALES SUMMARY'!V23</f>
        <v>0</v>
      </c>
      <c r="G15" s="61">
        <f>-'SALES SUMMARY'!V26</f>
        <v>0</v>
      </c>
      <c r="H15" s="61">
        <f>-'SALES SUMMARY'!V29</f>
        <v>0</v>
      </c>
      <c r="I15" s="61">
        <f>-'SALES SUMMARY'!V32</f>
        <v>0</v>
      </c>
      <c r="J15" s="61">
        <f>-'SALES SUMMARY'!V35</f>
        <v>0</v>
      </c>
      <c r="K15" s="61">
        <f>-'SALES SUMMARY'!V38</f>
        <v>0</v>
      </c>
      <c r="L15" s="61">
        <f>-'SALES SUMMARY'!V41</f>
        <v>0</v>
      </c>
      <c r="M15" s="61">
        <f>-'SALES SUMMARY'!V44</f>
        <v>0</v>
      </c>
      <c r="N15" s="61">
        <f>-'SALES SUMMARY'!V47</f>
        <v>0</v>
      </c>
      <c r="O15" s="61">
        <f>-'SALES SUMMARY'!V50</f>
        <v>0</v>
      </c>
      <c r="P15" s="61">
        <f>-'SALES SUMMARY'!V53</f>
        <v>0</v>
      </c>
      <c r="Q15" s="61">
        <f>-'SALES SUMMARY'!V56</f>
        <v>0</v>
      </c>
      <c r="R15" s="61">
        <f>-'SALES SUMMARY'!V59</f>
        <v>0</v>
      </c>
      <c r="S15" s="61">
        <f>-'SALES SUMMARY'!V62</f>
        <v>0</v>
      </c>
      <c r="T15" s="61">
        <f>-'SALES SUMMARY'!V65</f>
        <v>0</v>
      </c>
      <c r="U15" s="61">
        <f>-'SALES SUMMARY'!V68</f>
        <v>0</v>
      </c>
      <c r="V15" s="61">
        <f>-'SALES SUMMARY'!V71</f>
        <v>0</v>
      </c>
      <c r="W15" s="61">
        <f>-'SALES SUMMARY'!V74</f>
        <v>0</v>
      </c>
      <c r="X15" s="61">
        <f>-'SALES SUMMARY'!V77</f>
        <v>0</v>
      </c>
      <c r="Y15" s="61">
        <f>-'SALES SUMMARY'!V80</f>
        <v>0</v>
      </c>
      <c r="Z15" s="61">
        <f>-'SALES SUMMARY'!V83</f>
        <v>0</v>
      </c>
      <c r="AA15" s="61">
        <f>-'SALES SUMMARY'!V86</f>
        <v>0</v>
      </c>
      <c r="AB15" s="61">
        <f>-'SALES SUMMARY'!V89</f>
        <v>0</v>
      </c>
      <c r="AC15" s="61">
        <f>-'SALES SUMMARY'!V92</f>
        <v>0</v>
      </c>
      <c r="AD15" s="61">
        <f>-'SALES SUMMARY'!V95</f>
        <v>0</v>
      </c>
      <c r="AE15" s="61">
        <f>-'SALES SUMMARY'!V98</f>
        <v>0</v>
      </c>
      <c r="AF15" s="61" t="e">
        <f>-'SALES SUMMARY'!#REF!</f>
        <v>#REF!</v>
      </c>
    </row>
    <row r="16" spans="1:32" x14ac:dyDescent="0.25">
      <c r="A16" s="59" t="s">
        <v>47</v>
      </c>
      <c r="B16" s="61">
        <f>'SALES SUMMARY'!W11</f>
        <v>0</v>
      </c>
      <c r="C16" s="61">
        <f>'SALES SUMMARY'!W14</f>
        <v>0</v>
      </c>
      <c r="D16" s="61">
        <f>'SALES SUMMARY'!W17</f>
        <v>0</v>
      </c>
      <c r="E16" s="61">
        <f>'SALES SUMMARY'!W20</f>
        <v>0</v>
      </c>
      <c r="F16" s="61">
        <f>'SALES SUMMARY'!W23</f>
        <v>0</v>
      </c>
      <c r="G16" s="61">
        <f>'SALES SUMMARY'!W26</f>
        <v>0</v>
      </c>
      <c r="H16" s="61">
        <f>'SALES SUMMARY'!W29</f>
        <v>0</v>
      </c>
      <c r="I16" s="61">
        <f>'SALES SUMMARY'!W32</f>
        <v>0</v>
      </c>
      <c r="J16" s="61">
        <f>'SALES SUMMARY'!W35</f>
        <v>0</v>
      </c>
      <c r="K16" s="61">
        <f>'SALES SUMMARY'!W38</f>
        <v>0</v>
      </c>
      <c r="L16" s="61">
        <f>'SALES SUMMARY'!W41</f>
        <v>0</v>
      </c>
      <c r="M16" s="61">
        <f>'SALES SUMMARY'!W44</f>
        <v>0</v>
      </c>
      <c r="N16" s="61">
        <f>'SALES SUMMARY'!W47</f>
        <v>0</v>
      </c>
      <c r="O16" s="61">
        <f>'SALES SUMMARY'!W50</f>
        <v>0</v>
      </c>
      <c r="P16" s="61">
        <f>'SALES SUMMARY'!W53</f>
        <v>0</v>
      </c>
      <c r="Q16" s="61">
        <f>'SALES SUMMARY'!W56</f>
        <v>0</v>
      </c>
      <c r="R16" s="61">
        <f>'SALES SUMMARY'!W59</f>
        <v>0</v>
      </c>
      <c r="S16" s="61">
        <f>'SALES SUMMARY'!W62</f>
        <v>0</v>
      </c>
      <c r="T16" s="61">
        <f>'SALES SUMMARY'!W65</f>
        <v>0</v>
      </c>
      <c r="U16" s="61">
        <f>'SALES SUMMARY'!W68</f>
        <v>0</v>
      </c>
      <c r="V16" s="61">
        <f>'SALES SUMMARY'!W71</f>
        <v>0</v>
      </c>
      <c r="W16" s="61">
        <f>'SALES SUMMARY'!W74</f>
        <v>0</v>
      </c>
      <c r="X16" s="61">
        <f>'SALES SUMMARY'!W77</f>
        <v>0</v>
      </c>
      <c r="Y16" s="61">
        <f>'SALES SUMMARY'!W80</f>
        <v>0</v>
      </c>
      <c r="Z16" s="61">
        <f>'SALES SUMMARY'!W83</f>
        <v>0</v>
      </c>
      <c r="AA16" s="61">
        <f>'SALES SUMMARY'!W86</f>
        <v>0</v>
      </c>
      <c r="AB16" s="61">
        <f>'SALES SUMMARY'!W89</f>
        <v>0</v>
      </c>
      <c r="AC16" s="61">
        <f>'SALES SUMMARY'!W92</f>
        <v>0</v>
      </c>
      <c r="AD16" s="61">
        <f>'SALES SUMMARY'!W95</f>
        <v>0</v>
      </c>
      <c r="AE16" s="61">
        <f>'SALES SUMMARY'!W98</f>
        <v>0</v>
      </c>
      <c r="AF16" s="61" t="e">
        <f>'SALES SUMMARY'!#REF!</f>
        <v>#REF!</v>
      </c>
    </row>
    <row r="17" spans="1:32" x14ac:dyDescent="0.25">
      <c r="A17" s="59" t="s">
        <v>37</v>
      </c>
      <c r="B17" s="61">
        <f>-'SALES SUMMARY'!Y11</f>
        <v>0</v>
      </c>
      <c r="C17" s="61">
        <f>-'SALES SUMMARY'!Y14</f>
        <v>0</v>
      </c>
      <c r="D17" s="61">
        <f>-'SALES SUMMARY'!Y17</f>
        <v>0</v>
      </c>
      <c r="E17" s="61">
        <f>-'SALES SUMMARY'!Y20</f>
        <v>0</v>
      </c>
      <c r="F17" s="61">
        <f>-'SALES SUMMARY'!Y23</f>
        <v>0</v>
      </c>
      <c r="G17" s="61">
        <f>-'SALES SUMMARY'!Y26</f>
        <v>0</v>
      </c>
      <c r="H17" s="61">
        <f>-'SALES SUMMARY'!Y29</f>
        <v>0</v>
      </c>
      <c r="I17" s="61">
        <f>-'SALES SUMMARY'!Y32</f>
        <v>0</v>
      </c>
      <c r="J17" s="61">
        <f>-'SALES SUMMARY'!Y35</f>
        <v>0</v>
      </c>
      <c r="K17" s="61">
        <f>-'SALES SUMMARY'!Y38</f>
        <v>0</v>
      </c>
      <c r="L17" s="61">
        <f>-'SALES SUMMARY'!Y41</f>
        <v>0</v>
      </c>
      <c r="M17" s="61">
        <f>-'SALES SUMMARY'!Y44</f>
        <v>0</v>
      </c>
      <c r="N17" s="61">
        <f>-'SALES SUMMARY'!Y47</f>
        <v>0</v>
      </c>
      <c r="O17" s="61">
        <f>-'SALES SUMMARY'!Y50</f>
        <v>0</v>
      </c>
      <c r="P17" s="61">
        <f>-'SALES SUMMARY'!Y53</f>
        <v>0</v>
      </c>
      <c r="Q17" s="61">
        <f>-'SALES SUMMARY'!Y56</f>
        <v>0</v>
      </c>
      <c r="R17" s="61">
        <f>-'SALES SUMMARY'!Y59</f>
        <v>0</v>
      </c>
      <c r="S17" s="61">
        <f>-'SALES SUMMARY'!Y62</f>
        <v>0</v>
      </c>
      <c r="T17" s="61">
        <f>-'SALES SUMMARY'!Y65</f>
        <v>0</v>
      </c>
      <c r="U17" s="61">
        <f>-'SALES SUMMARY'!Y68</f>
        <v>0</v>
      </c>
      <c r="V17" s="61">
        <f>-'SALES SUMMARY'!Y71</f>
        <v>0</v>
      </c>
      <c r="W17" s="61">
        <f>-'SALES SUMMARY'!Y74</f>
        <v>0</v>
      </c>
      <c r="X17" s="61">
        <f>-'SALES SUMMARY'!Y77</f>
        <v>0</v>
      </c>
      <c r="Y17" s="61">
        <f>-'SALES SUMMARY'!Y80</f>
        <v>0</v>
      </c>
      <c r="Z17" s="61">
        <f>-'SALES SUMMARY'!Y83</f>
        <v>0</v>
      </c>
      <c r="AA17" s="61">
        <f>-'SALES SUMMARY'!Y86</f>
        <v>0</v>
      </c>
      <c r="AB17" s="61">
        <f>-'SALES SUMMARY'!Y89</f>
        <v>0</v>
      </c>
      <c r="AC17" s="61">
        <f>-'SALES SUMMARY'!Y92</f>
        <v>0</v>
      </c>
      <c r="AD17" s="61">
        <f>-'SALES SUMMARY'!Y95</f>
        <v>0</v>
      </c>
      <c r="AE17" s="61">
        <f>-'SALES SUMMARY'!Y98</f>
        <v>0</v>
      </c>
      <c r="AF17" s="61" t="e">
        <f>-'SALES SUMMARY'!#REF!</f>
        <v>#REF!</v>
      </c>
    </row>
    <row r="18" spans="1:32" x14ac:dyDescent="0.25">
      <c r="A18" s="59" t="s">
        <v>48</v>
      </c>
      <c r="B18" s="61">
        <f>-'SALES SUMMARY'!Z11</f>
        <v>-49.75</v>
      </c>
      <c r="C18" s="61">
        <f>-'SALES SUMMARY'!Z14</f>
        <v>-101.5</v>
      </c>
      <c r="D18" s="61">
        <f>-'SALES SUMMARY'!Z17</f>
        <v>-10.5</v>
      </c>
      <c r="E18" s="61">
        <f>-'SALES SUMMARY'!Z20</f>
        <v>-69.5</v>
      </c>
      <c r="F18" s="61">
        <f>-'SALES SUMMARY'!Z23</f>
        <v>-1674.5</v>
      </c>
      <c r="G18" s="61">
        <f>-'SALES SUMMARY'!Z26</f>
        <v>0</v>
      </c>
      <c r="H18" s="61">
        <f>-'SALES SUMMARY'!Z29</f>
        <v>0</v>
      </c>
      <c r="I18" s="61">
        <f>-'SALES SUMMARY'!Z32</f>
        <v>-220.5</v>
      </c>
      <c r="J18" s="61">
        <f>-'SALES SUMMARY'!Z35</f>
        <v>-60.5</v>
      </c>
      <c r="K18" s="61">
        <f>-'SALES SUMMARY'!Z38</f>
        <v>0</v>
      </c>
      <c r="L18" s="61">
        <f>-'SALES SUMMARY'!Z41</f>
        <v>-193</v>
      </c>
      <c r="M18" s="61">
        <f>-'SALES SUMMARY'!Z44</f>
        <v>-121</v>
      </c>
      <c r="N18" s="61">
        <f>-'SALES SUMMARY'!Z47</f>
        <v>0</v>
      </c>
      <c r="O18" s="61">
        <f>-'SALES SUMMARY'!Z50</f>
        <v>0</v>
      </c>
      <c r="P18" s="61">
        <f>-'SALES SUMMARY'!Z53</f>
        <v>-18.25</v>
      </c>
      <c r="Q18" s="61">
        <f>-'SALES SUMMARY'!Z56</f>
        <v>-55.75</v>
      </c>
      <c r="R18" s="61">
        <f>-'SALES SUMMARY'!Z59</f>
        <v>-102.25</v>
      </c>
      <c r="S18" s="61">
        <f>-'SALES SUMMARY'!Z62</f>
        <v>-26.5</v>
      </c>
      <c r="T18" s="61">
        <f>-'SALES SUMMARY'!Z65</f>
        <v>-92</v>
      </c>
      <c r="U18" s="61">
        <f>-'SALES SUMMARY'!Z68</f>
        <v>0</v>
      </c>
      <c r="V18" s="61">
        <f>-'SALES SUMMARY'!Z71</f>
        <v>0</v>
      </c>
      <c r="W18" s="61">
        <f>-'SALES SUMMARY'!Z74</f>
        <v>-61</v>
      </c>
      <c r="X18" s="61">
        <f>-'SALES SUMMARY'!Z77</f>
        <v>-67.5</v>
      </c>
      <c r="Y18" s="61">
        <f>-'SALES SUMMARY'!Z80</f>
        <v>0</v>
      </c>
      <c r="Z18" s="61">
        <f>-'SALES SUMMARY'!Z83</f>
        <v>-175.5</v>
      </c>
      <c r="AA18" s="61">
        <f>-'SALES SUMMARY'!Z86</f>
        <v>-83.5</v>
      </c>
      <c r="AB18" s="61">
        <f>-'SALES SUMMARY'!Z89</f>
        <v>0</v>
      </c>
      <c r="AC18" s="61">
        <f>-'SALES SUMMARY'!Z92</f>
        <v>0</v>
      </c>
      <c r="AD18" s="61">
        <f>-'SALES SUMMARY'!Z95</f>
        <v>0</v>
      </c>
      <c r="AE18" s="61">
        <f>-'SALES SUMMARY'!Z98</f>
        <v>0</v>
      </c>
      <c r="AF18" s="61" t="e">
        <f>-'SALES SUMMARY'!#REF!</f>
        <v>#REF!</v>
      </c>
    </row>
    <row r="19" spans="1:32" x14ac:dyDescent="0.25">
      <c r="A19" s="59" t="s">
        <v>49</v>
      </c>
      <c r="B19" s="61">
        <f>-'SALES SUMMARY'!AA11</f>
        <v>-14.5</v>
      </c>
      <c r="C19" s="61">
        <f>-'SALES SUMMARY'!AA14</f>
        <v>0</v>
      </c>
      <c r="D19" s="61">
        <f>-'SALES SUMMARY'!AA17</f>
        <v>0</v>
      </c>
      <c r="E19" s="61">
        <f>-'SALES SUMMARY'!AA20</f>
        <v>0</v>
      </c>
      <c r="F19" s="61">
        <f>-'SALES SUMMARY'!AA23</f>
        <v>0</v>
      </c>
      <c r="G19" s="61">
        <f>-'SALES SUMMARY'!AA26</f>
        <v>0</v>
      </c>
      <c r="H19" s="61">
        <f>-'SALES SUMMARY'!AA29</f>
        <v>0</v>
      </c>
      <c r="I19" s="61">
        <f>-'SALES SUMMARY'!AA32</f>
        <v>0</v>
      </c>
      <c r="J19" s="61">
        <f>-'SALES SUMMARY'!AA35</f>
        <v>0</v>
      </c>
      <c r="K19" s="61">
        <f>-'SALES SUMMARY'!AA38</f>
        <v>0</v>
      </c>
      <c r="L19" s="61">
        <f>-'SALES SUMMARY'!AA41</f>
        <v>0</v>
      </c>
      <c r="M19" s="61">
        <f>-'SALES SUMMARY'!AA44</f>
        <v>0</v>
      </c>
      <c r="N19" s="61">
        <f>-'SALES SUMMARY'!AA47</f>
        <v>0</v>
      </c>
      <c r="O19" s="61">
        <f>-'SALES SUMMARY'!AA50</f>
        <v>0</v>
      </c>
      <c r="P19" s="61">
        <f>-'SALES SUMMARY'!AA53</f>
        <v>0</v>
      </c>
      <c r="Q19" s="61">
        <f>-'SALES SUMMARY'!AA56</f>
        <v>-50.5</v>
      </c>
      <c r="R19" s="61">
        <f>-'SALES SUMMARY'!AA59</f>
        <v>0</v>
      </c>
      <c r="S19" s="61">
        <f>-'SALES SUMMARY'!AA62</f>
        <v>0</v>
      </c>
      <c r="T19" s="61">
        <f>-'SALES SUMMARY'!AA65</f>
        <v>-39</v>
      </c>
      <c r="U19" s="61">
        <f>-'SALES SUMMARY'!AA68</f>
        <v>0</v>
      </c>
      <c r="V19" s="61">
        <f>-'SALES SUMMARY'!AA71</f>
        <v>0</v>
      </c>
      <c r="W19" s="61">
        <f>-'SALES SUMMARY'!AA74</f>
        <v>0</v>
      </c>
      <c r="X19" s="61">
        <f>-'SALES SUMMARY'!AA77</f>
        <v>0</v>
      </c>
      <c r="Y19" s="61">
        <f>-'SALES SUMMARY'!AA80</f>
        <v>0</v>
      </c>
      <c r="Z19" s="61">
        <f>-'SALES SUMMARY'!AA83</f>
        <v>0</v>
      </c>
      <c r="AA19" s="61">
        <f>-'SALES SUMMARY'!AA86</f>
        <v>0</v>
      </c>
      <c r="AB19" s="61">
        <f>-'SALES SUMMARY'!AA89</f>
        <v>0</v>
      </c>
      <c r="AC19" s="61">
        <f>-'SALES SUMMARY'!AA92</f>
        <v>0</v>
      </c>
      <c r="AD19" s="61">
        <f>-'SALES SUMMARY'!AA95</f>
        <v>0</v>
      </c>
      <c r="AE19" s="61">
        <f>-'SALES SUMMARY'!AA98</f>
        <v>0</v>
      </c>
      <c r="AF19" s="61" t="e">
        <f>-'SALES SUMMARY'!#REF!</f>
        <v>#REF!</v>
      </c>
    </row>
    <row r="20" spans="1:32" x14ac:dyDescent="0.25">
      <c r="A20" s="59" t="s">
        <v>50</v>
      </c>
      <c r="B20" s="61">
        <f>-'SALES SUMMARY'!AB11</f>
        <v>0</v>
      </c>
      <c r="C20" s="61">
        <f>-'SALES SUMMARY'!AB14</f>
        <v>0</v>
      </c>
      <c r="D20" s="61">
        <f>-'SALES SUMMARY'!AB17</f>
        <v>0</v>
      </c>
      <c r="E20" s="61">
        <f>-'SALES SUMMARY'!AB20</f>
        <v>0</v>
      </c>
      <c r="F20" s="61">
        <f>-'SALES SUMMARY'!AB23</f>
        <v>0</v>
      </c>
      <c r="G20" s="61">
        <f>-'SALES SUMMARY'!AB26</f>
        <v>-21.5</v>
      </c>
      <c r="H20" s="61">
        <f>-'SALES SUMMARY'!AB29</f>
        <v>0</v>
      </c>
      <c r="I20" s="61">
        <f>-'SALES SUMMARY'!AB32</f>
        <v>-76.5</v>
      </c>
      <c r="J20" s="61">
        <f>-'SALES SUMMARY'!AB35</f>
        <v>0</v>
      </c>
      <c r="K20" s="61">
        <f>-'SALES SUMMARY'!AB38</f>
        <v>0</v>
      </c>
      <c r="L20" s="61">
        <f>-'SALES SUMMARY'!AB41</f>
        <v>0</v>
      </c>
      <c r="M20" s="61">
        <f>-'SALES SUMMARY'!AB44</f>
        <v>0</v>
      </c>
      <c r="N20" s="61">
        <f>-'SALES SUMMARY'!AB47</f>
        <v>0</v>
      </c>
      <c r="O20" s="61">
        <f>-'SALES SUMMARY'!AB50</f>
        <v>0</v>
      </c>
      <c r="P20" s="61">
        <f>-'SALES SUMMARY'!AB53</f>
        <v>0</v>
      </c>
      <c r="Q20" s="61">
        <f>-'SALES SUMMARY'!AB56</f>
        <v>0</v>
      </c>
      <c r="R20" s="61">
        <f>-'SALES SUMMARY'!AB59</f>
        <v>0</v>
      </c>
      <c r="S20" s="61">
        <f>-'SALES SUMMARY'!AB62</f>
        <v>0</v>
      </c>
      <c r="T20" s="61">
        <f>-'SALES SUMMARY'!AB65</f>
        <v>0</v>
      </c>
      <c r="U20" s="61">
        <f>-'SALES SUMMARY'!AB68</f>
        <v>0</v>
      </c>
      <c r="V20" s="61">
        <f>-'SALES SUMMARY'!AB71</f>
        <v>0</v>
      </c>
      <c r="W20" s="61">
        <f>-'SALES SUMMARY'!AB74</f>
        <v>0</v>
      </c>
      <c r="X20" s="61">
        <f>-'SALES SUMMARY'!AB77</f>
        <v>0</v>
      </c>
      <c r="Y20" s="61">
        <f>-'SALES SUMMARY'!AB80</f>
        <v>0</v>
      </c>
      <c r="Z20" s="61">
        <f>-'SALES SUMMARY'!AB83</f>
        <v>0</v>
      </c>
      <c r="AA20" s="61">
        <f>-'SALES SUMMARY'!AB86</f>
        <v>0</v>
      </c>
      <c r="AB20" s="61">
        <f>-'SALES SUMMARY'!AB89</f>
        <v>0</v>
      </c>
      <c r="AC20" s="61">
        <f>-'SALES SUMMARY'!AB92</f>
        <v>0</v>
      </c>
      <c r="AD20" s="61">
        <f>-'SALES SUMMARY'!AB95</f>
        <v>0</v>
      </c>
      <c r="AE20" s="61">
        <f>-'SALES SUMMARY'!AB98</f>
        <v>0</v>
      </c>
      <c r="AF20" s="61" t="e">
        <f>-'SALES SUMMARY'!#REF!</f>
        <v>#REF!</v>
      </c>
    </row>
    <row r="21" spans="1:32" x14ac:dyDescent="0.25">
      <c r="A21" s="59" t="s">
        <v>51</v>
      </c>
      <c r="B21" s="61">
        <f>-'SALES SUMMARY'!AC11</f>
        <v>-91.07</v>
      </c>
      <c r="C21" s="61">
        <f>-'SALES SUMMARY'!AC14</f>
        <v>-212.5</v>
      </c>
      <c r="D21" s="61">
        <f>-'SALES SUMMARY'!AC17</f>
        <v>-274.09999999999997</v>
      </c>
      <c r="E21" s="61">
        <f>-'SALES SUMMARY'!AC20</f>
        <v>-60.71</v>
      </c>
      <c r="F21" s="61">
        <f>-'SALES SUMMARY'!AC23</f>
        <v>-143.16</v>
      </c>
      <c r="G21" s="61">
        <f>-'SALES SUMMARY'!AC26</f>
        <v>0</v>
      </c>
      <c r="H21" s="61">
        <f>-'SALES SUMMARY'!AC29</f>
        <v>0</v>
      </c>
      <c r="I21" s="61">
        <f>-'SALES SUMMARY'!AC32</f>
        <v>-547.31999999999994</v>
      </c>
      <c r="J21" s="61">
        <f>-'SALES SUMMARY'!AC35</f>
        <v>-328.41999999999996</v>
      </c>
      <c r="K21" s="61">
        <f>-'SALES SUMMARY'!AC38</f>
        <v>-217.42</v>
      </c>
      <c r="L21" s="61">
        <f>-'SALES SUMMARY'!AC41</f>
        <v>-166.07</v>
      </c>
      <c r="M21" s="61">
        <f>-'SALES SUMMARY'!AC44</f>
        <v>-384.82000000000005</v>
      </c>
      <c r="N21" s="61">
        <f>-'SALES SUMMARY'!AC47</f>
        <v>-19.2</v>
      </c>
      <c r="O21" s="61">
        <f>-'SALES SUMMARY'!AC50</f>
        <v>0</v>
      </c>
      <c r="P21" s="61">
        <f>-'SALES SUMMARY'!AC53</f>
        <v>-731.57</v>
      </c>
      <c r="Q21" s="61">
        <f>-'SALES SUMMARY'!AC56</f>
        <v>-353.51</v>
      </c>
      <c r="R21" s="61">
        <f>-'SALES SUMMARY'!AC59</f>
        <v>-495.62</v>
      </c>
      <c r="S21" s="61">
        <f>-'SALES SUMMARY'!AC62</f>
        <v>-427.23</v>
      </c>
      <c r="T21" s="61">
        <f>-'SALES SUMMARY'!AC65</f>
        <v>-584.29</v>
      </c>
      <c r="U21" s="61">
        <f>-'SALES SUMMARY'!AC68</f>
        <v>0</v>
      </c>
      <c r="V21" s="61">
        <f>-'SALES SUMMARY'!AC71</f>
        <v>0</v>
      </c>
      <c r="W21" s="61">
        <f>-'SALES SUMMARY'!AC74</f>
        <v>-386.14</v>
      </c>
      <c r="X21" s="61">
        <f>-'SALES SUMMARY'!AC77</f>
        <v>-205.8</v>
      </c>
      <c r="Y21" s="61">
        <f>-'SALES SUMMARY'!AC80</f>
        <v>-207.14</v>
      </c>
      <c r="Z21" s="61">
        <f>-'SALES SUMMARY'!AC83</f>
        <v>-343.16</v>
      </c>
      <c r="AA21" s="61">
        <f>-'SALES SUMMARY'!AC86</f>
        <v>-522.91999999999996</v>
      </c>
      <c r="AB21" s="61">
        <f>-'SALES SUMMARY'!AC89</f>
        <v>0</v>
      </c>
      <c r="AC21" s="61">
        <f>-'SALES SUMMARY'!AC92</f>
        <v>0</v>
      </c>
      <c r="AD21" s="61">
        <f>-'SALES SUMMARY'!AC95</f>
        <v>-97.14</v>
      </c>
      <c r="AE21" s="61">
        <f>-'SALES SUMMARY'!AC98</f>
        <v>-124.78</v>
      </c>
      <c r="AF21" s="61" t="e">
        <f>-'SALES SUMMARY'!#REF!</f>
        <v>#REF!</v>
      </c>
    </row>
    <row r="22" spans="1:32" x14ac:dyDescent="0.25">
      <c r="A22" s="59" t="s">
        <v>27</v>
      </c>
      <c r="B22" s="61">
        <f>-'SALES SUMMARY'!AE11</f>
        <v>-345</v>
      </c>
      <c r="C22" s="61">
        <f>-'SALES SUMMARY'!AE14</f>
        <v>-1355</v>
      </c>
      <c r="D22" s="61">
        <f>-'SALES SUMMARY'!AE17</f>
        <v>-1330</v>
      </c>
      <c r="E22" s="61">
        <f>-'SALES SUMMARY'!AE20</f>
        <v>-4045</v>
      </c>
      <c r="F22" s="61">
        <f>-'SALES SUMMARY'!AE23</f>
        <v>-3080</v>
      </c>
      <c r="G22" s="61">
        <f>-'SALES SUMMARY'!AE26</f>
        <v>-2405</v>
      </c>
      <c r="H22" s="61">
        <f>-'SALES SUMMARY'!AE29</f>
        <v>0</v>
      </c>
      <c r="I22" s="61">
        <f>-'SALES SUMMARY'!AE32</f>
        <v>-3230</v>
      </c>
      <c r="J22" s="61">
        <f>-'SALES SUMMARY'!AE35</f>
        <v>-2393</v>
      </c>
      <c r="K22" s="61">
        <f>-'SALES SUMMARY'!AE38</f>
        <v>-2080</v>
      </c>
      <c r="L22" s="61">
        <f>-'SALES SUMMARY'!AE41</f>
        <v>-480</v>
      </c>
      <c r="M22" s="61">
        <f>-'SALES SUMMARY'!AE44</f>
        <v>-410</v>
      </c>
      <c r="N22" s="61">
        <f>-'SALES SUMMARY'!AE47</f>
        <v>-720</v>
      </c>
      <c r="O22" s="61">
        <f>-'SALES SUMMARY'!AE50</f>
        <v>0</v>
      </c>
      <c r="P22" s="61">
        <f>-'SALES SUMMARY'!AE53</f>
        <v>-3785</v>
      </c>
      <c r="Q22" s="61">
        <f>-'SALES SUMMARY'!AE56</f>
        <v>-1360</v>
      </c>
      <c r="R22" s="61">
        <f>-'SALES SUMMARY'!AE59</f>
        <v>-1360</v>
      </c>
      <c r="S22" s="61">
        <f>-'SALES SUMMARY'!AE62</f>
        <v>-1465</v>
      </c>
      <c r="T22" s="61">
        <f>-'SALES SUMMARY'!AE65</f>
        <v>-3860</v>
      </c>
      <c r="U22" s="61">
        <f>-'SALES SUMMARY'!AE68</f>
        <v>-1335</v>
      </c>
      <c r="V22" s="61">
        <f>-'SALES SUMMARY'!AE71</f>
        <v>0</v>
      </c>
      <c r="W22" s="61">
        <f>-'SALES SUMMARY'!AE74</f>
        <v>-2395</v>
      </c>
      <c r="X22" s="61">
        <f>-'SALES SUMMARY'!AE77</f>
        <v>-720</v>
      </c>
      <c r="Y22" s="61">
        <f>-'SALES SUMMARY'!AE80</f>
        <v>-1730</v>
      </c>
      <c r="Z22" s="61">
        <f>-'SALES SUMMARY'!AE83</f>
        <v>-2135</v>
      </c>
      <c r="AA22" s="61">
        <f>-'SALES SUMMARY'!AE86</f>
        <v>-2790</v>
      </c>
      <c r="AB22" s="61">
        <f>-'SALES SUMMARY'!AE89</f>
        <v>-1005</v>
      </c>
      <c r="AC22" s="61">
        <f>-'SALES SUMMARY'!AE92</f>
        <v>0</v>
      </c>
      <c r="AD22" s="61">
        <f>-'SALES SUMMARY'!AE95</f>
        <v>-505</v>
      </c>
      <c r="AE22" s="61">
        <f>-'SALES SUMMARY'!AE98</f>
        <v>-2895</v>
      </c>
      <c r="AF22" s="61" t="e">
        <f>-'SALES SUMMARY'!#REF!</f>
        <v>#REF!</v>
      </c>
    </row>
    <row r="23" spans="1:32" x14ac:dyDescent="0.25">
      <c r="A23" s="59" t="s">
        <v>52</v>
      </c>
      <c r="B23" s="61">
        <f>'SALES SUMMARY'!AG11</f>
        <v>1446.1152</v>
      </c>
      <c r="C23" s="61">
        <f>'SALES SUMMARY'!AG14</f>
        <v>1411.5032000000001</v>
      </c>
      <c r="D23" s="61">
        <f>'SALES SUMMARY'!AG17</f>
        <v>1876.29</v>
      </c>
      <c r="E23" s="61">
        <f>'SALES SUMMARY'!AG20</f>
        <v>1619.5763999999999</v>
      </c>
      <c r="F23" s="61">
        <f>'SALES SUMMARY'!AG23</f>
        <v>3127.5783999999999</v>
      </c>
      <c r="G23" s="61">
        <f>'SALES SUMMARY'!AG26</f>
        <v>484.79920000000004</v>
      </c>
      <c r="H23" s="61">
        <f>'SALES SUMMARY'!AG29</f>
        <v>0</v>
      </c>
      <c r="I23" s="61">
        <f>'SALES SUMMARY'!AG32</f>
        <v>1774.9904000000001</v>
      </c>
      <c r="J23" s="61">
        <f>'SALES SUMMARY'!AG35</f>
        <v>1311.72</v>
      </c>
      <c r="K23" s="61">
        <f>'SALES SUMMARY'!AG38</f>
        <v>1777.4315999999999</v>
      </c>
      <c r="L23" s="61">
        <f>'SALES SUMMARY'!AG41</f>
        <v>2093.0604000000003</v>
      </c>
      <c r="M23" s="61">
        <f>'SALES SUMMARY'!AG44</f>
        <v>7126.4543999999996</v>
      </c>
      <c r="N23" s="61">
        <f>'SALES SUMMARY'!AG47</f>
        <v>405.97359999999998</v>
      </c>
      <c r="O23" s="61">
        <f>'SALES SUMMARY'!AG50</f>
        <v>0</v>
      </c>
      <c r="P23" s="61">
        <f>'SALES SUMMARY'!AG53</f>
        <v>1751.5848000000001</v>
      </c>
      <c r="Q23" s="61">
        <f>'SALES SUMMARY'!AG56</f>
        <v>1479.2856000000002</v>
      </c>
      <c r="R23" s="61">
        <f>'SALES SUMMARY'!AG59</f>
        <v>1643.5192000000002</v>
      </c>
      <c r="S23" s="61">
        <f>'SALES SUMMARY'!AG62</f>
        <v>1712.8112000000001</v>
      </c>
      <c r="T23" s="61">
        <f>'SALES SUMMARY'!AG65</f>
        <v>2570.6312000000003</v>
      </c>
      <c r="U23" s="61">
        <f>'SALES SUMMARY'!AG68</f>
        <v>170.91120000000001</v>
      </c>
      <c r="V23" s="61">
        <f>'SALES SUMMARY'!AG71</f>
        <v>0</v>
      </c>
      <c r="W23" s="61">
        <f>'SALES SUMMARY'!AG74</f>
        <v>1151.7228</v>
      </c>
      <c r="X23" s="61">
        <f>'SALES SUMMARY'!AG77</f>
        <v>1498.5432000000001</v>
      </c>
      <c r="Y23" s="61">
        <f>'SALES SUMMARY'!AG80</f>
        <v>1668.3119999999999</v>
      </c>
      <c r="Z23" s="61">
        <f>'SALES SUMMARY'!AG83</f>
        <v>1576.4440000000002</v>
      </c>
      <c r="AA23" s="61">
        <f>'SALES SUMMARY'!AG86</f>
        <v>2825.2436000000002</v>
      </c>
      <c r="AB23" s="61">
        <f>'SALES SUMMARY'!AG89</f>
        <v>365.20079999999996</v>
      </c>
      <c r="AC23" s="61">
        <f>'SALES SUMMARY'!AG92</f>
        <v>0</v>
      </c>
      <c r="AD23" s="61">
        <f>'SALES SUMMARY'!AG95</f>
        <v>1341.9256</v>
      </c>
      <c r="AE23" s="61">
        <f>'SALES SUMMARY'!AG98</f>
        <v>2014.7719999999999</v>
      </c>
      <c r="AF23" s="61" t="e">
        <f>'SALES SUMMARY'!#REF!</f>
        <v>#REF!</v>
      </c>
    </row>
    <row r="24" spans="1:32" x14ac:dyDescent="0.25">
      <c r="A24" s="59" t="s">
        <v>53</v>
      </c>
      <c r="B24" s="61">
        <f>'SALES SUMMARY'!AH11</f>
        <v>255.1968</v>
      </c>
      <c r="C24" s="61">
        <f>'SALES SUMMARY'!AH14</f>
        <v>249.08879999999999</v>
      </c>
      <c r="D24" s="61">
        <f>'SALES SUMMARY'!AH17</f>
        <v>331.11</v>
      </c>
      <c r="E24" s="61">
        <f>'SALES SUMMARY'!AH20</f>
        <v>285.80759999999998</v>
      </c>
      <c r="F24" s="61">
        <f>'SALES SUMMARY'!AH23</f>
        <v>551.92560000000003</v>
      </c>
      <c r="G24" s="61">
        <f>'SALES SUMMARY'!AH26</f>
        <v>85.552800000000005</v>
      </c>
      <c r="H24" s="61">
        <f>'SALES SUMMARY'!AH29</f>
        <v>0</v>
      </c>
      <c r="I24" s="61">
        <f>'SALES SUMMARY'!AH32</f>
        <v>313.23360000000002</v>
      </c>
      <c r="J24" s="61">
        <f>'SALES SUMMARY'!AH35</f>
        <v>231.48000000000002</v>
      </c>
      <c r="K24" s="61">
        <f>'SALES SUMMARY'!AH38</f>
        <v>313.6644</v>
      </c>
      <c r="L24" s="61">
        <f>'SALES SUMMARY'!AH41</f>
        <v>369.36360000000002</v>
      </c>
      <c r="M24" s="61">
        <f>'SALES SUMMARY'!AH44</f>
        <v>1257.6096</v>
      </c>
      <c r="N24" s="61">
        <f>'SALES SUMMARY'!AH47</f>
        <v>71.642399999999995</v>
      </c>
      <c r="O24" s="61">
        <f>'SALES SUMMARY'!AH50</f>
        <v>0</v>
      </c>
      <c r="P24" s="61">
        <f>'SALES SUMMARY'!AH53</f>
        <v>309.10320000000002</v>
      </c>
      <c r="Q24" s="61">
        <f>'SALES SUMMARY'!AH56</f>
        <v>261.05040000000002</v>
      </c>
      <c r="R24" s="61">
        <f>'SALES SUMMARY'!AH59</f>
        <v>290.03280000000007</v>
      </c>
      <c r="S24" s="61">
        <f>'SALES SUMMARY'!AH62</f>
        <v>302.26080000000002</v>
      </c>
      <c r="T24" s="61">
        <f>'SALES SUMMARY'!AH65</f>
        <v>453.64080000000001</v>
      </c>
      <c r="U24" s="61">
        <f>'SALES SUMMARY'!AH68</f>
        <v>30.160799999999998</v>
      </c>
      <c r="V24" s="61">
        <f>'SALES SUMMARY'!AH71</f>
        <v>0</v>
      </c>
      <c r="W24" s="61">
        <f>'SALES SUMMARY'!AH74</f>
        <v>203.24520000000001</v>
      </c>
      <c r="X24" s="61">
        <f>'SALES SUMMARY'!AH77</f>
        <v>264.44880000000001</v>
      </c>
      <c r="Y24" s="61">
        <f>'SALES SUMMARY'!AH80</f>
        <v>294.40799999999996</v>
      </c>
      <c r="Z24" s="61">
        <f>'SALES SUMMARY'!AH83</f>
        <v>278.19600000000003</v>
      </c>
      <c r="AA24" s="61">
        <f>'SALES SUMMARY'!AH86</f>
        <v>498.57240000000002</v>
      </c>
      <c r="AB24" s="61">
        <f>'SALES SUMMARY'!AH89</f>
        <v>64.447199999999995</v>
      </c>
      <c r="AC24" s="61">
        <f>'SALES SUMMARY'!AH92</f>
        <v>0</v>
      </c>
      <c r="AD24" s="61">
        <f>'SALES SUMMARY'!AH95</f>
        <v>236.81040000000002</v>
      </c>
      <c r="AE24" s="61">
        <f>'SALES SUMMARY'!AH98</f>
        <v>355.548</v>
      </c>
      <c r="AF24" s="61" t="e">
        <f>'SALES SUMMARY'!#REF!</f>
        <v>#REF!</v>
      </c>
    </row>
    <row r="25" spans="1:32" x14ac:dyDescent="0.25">
      <c r="A25" s="59" t="s">
        <v>54</v>
      </c>
      <c r="B25" s="61">
        <f>'SALES SUMMARY'!AI11</f>
        <v>425.32799999999997</v>
      </c>
      <c r="C25" s="61">
        <f>'SALES SUMMARY'!AI14</f>
        <v>415.14800000000002</v>
      </c>
      <c r="D25" s="61">
        <f>'SALES SUMMARY'!AI17</f>
        <v>551.85</v>
      </c>
      <c r="E25" s="61">
        <f>'SALES SUMMARY'!AI20</f>
        <v>476.346</v>
      </c>
      <c r="F25" s="61">
        <f>'SALES SUMMARY'!AI23</f>
        <v>919.87599999999998</v>
      </c>
      <c r="G25" s="61">
        <f>'SALES SUMMARY'!AI26</f>
        <v>142.58800000000002</v>
      </c>
      <c r="H25" s="61">
        <f>'SALES SUMMARY'!AI29</f>
        <v>0</v>
      </c>
      <c r="I25" s="61">
        <f>'SALES SUMMARY'!AI32</f>
        <v>522.05600000000004</v>
      </c>
      <c r="J25" s="61">
        <f>'SALES SUMMARY'!AI35</f>
        <v>385.8</v>
      </c>
      <c r="K25" s="61">
        <f>'SALES SUMMARY'!AI38</f>
        <v>522.774</v>
      </c>
      <c r="L25" s="61">
        <f>'SALES SUMMARY'!AI41</f>
        <v>615.60599999999999</v>
      </c>
      <c r="M25" s="61">
        <f>'SALES SUMMARY'!AI44</f>
        <v>2096.0160000000001</v>
      </c>
      <c r="N25" s="61">
        <f>'SALES SUMMARY'!AI47</f>
        <v>119.404</v>
      </c>
      <c r="O25" s="61">
        <f>'SALES SUMMARY'!AI50</f>
        <v>0</v>
      </c>
      <c r="P25" s="61">
        <f>'SALES SUMMARY'!AI53</f>
        <v>515.17200000000003</v>
      </c>
      <c r="Q25" s="61">
        <f>'SALES SUMMARY'!AI56</f>
        <v>435.08400000000006</v>
      </c>
      <c r="R25" s="61">
        <f>'SALES SUMMARY'!AI59</f>
        <v>483.38800000000003</v>
      </c>
      <c r="S25" s="61">
        <f>'SALES SUMMARY'!AI62</f>
        <v>503.76800000000003</v>
      </c>
      <c r="T25" s="61">
        <f>'SALES SUMMARY'!AI65</f>
        <v>756.0680000000001</v>
      </c>
      <c r="U25" s="61">
        <f>'SALES SUMMARY'!AI68</f>
        <v>50.268000000000001</v>
      </c>
      <c r="V25" s="61">
        <f>'SALES SUMMARY'!AI71</f>
        <v>0</v>
      </c>
      <c r="W25" s="61">
        <f>'SALES SUMMARY'!AI74</f>
        <v>338.74200000000002</v>
      </c>
      <c r="X25" s="61">
        <f>'SALES SUMMARY'!AI77</f>
        <v>440.74800000000005</v>
      </c>
      <c r="Y25" s="61">
        <f>'SALES SUMMARY'!AI80</f>
        <v>490.67999999999995</v>
      </c>
      <c r="Z25" s="61">
        <f>'SALES SUMMARY'!AI83</f>
        <v>463.66</v>
      </c>
      <c r="AA25" s="61">
        <f>'SALES SUMMARY'!AI86</f>
        <v>830.95400000000006</v>
      </c>
      <c r="AB25" s="61">
        <f>'SALES SUMMARY'!AI89</f>
        <v>107.41199999999999</v>
      </c>
      <c r="AC25" s="61">
        <f>'SALES SUMMARY'!AI92</f>
        <v>0</v>
      </c>
      <c r="AD25" s="61">
        <f>'SALES SUMMARY'!AI95</f>
        <v>394.68400000000003</v>
      </c>
      <c r="AE25" s="61">
        <f>'SALES SUMMARY'!AI98</f>
        <v>592.58000000000004</v>
      </c>
      <c r="AF25" s="61" t="e">
        <f>'SALES SUMMARY'!#REF!</f>
        <v>#REF!</v>
      </c>
    </row>
    <row r="26" spans="1:32" x14ac:dyDescent="0.25">
      <c r="A26" s="59" t="s">
        <v>55</v>
      </c>
      <c r="B26" s="61" t="e">
        <f>'SALES SUMMARY'!AJ11</f>
        <v>#REF!</v>
      </c>
      <c r="C26" s="61" t="e">
        <f>'SALES SUMMARY'!AJ14</f>
        <v>#REF!</v>
      </c>
      <c r="D26" s="61" t="e">
        <f>'SALES SUMMARY'!AJ17</f>
        <v>#REF!</v>
      </c>
      <c r="E26" s="61" t="e">
        <f>'SALES SUMMARY'!AJ20</f>
        <v>#REF!</v>
      </c>
      <c r="F26" s="61" t="e">
        <f>'SALES SUMMARY'!AJ23</f>
        <v>#REF!</v>
      </c>
      <c r="G26" s="61" t="e">
        <f>'SALES SUMMARY'!AJ26</f>
        <v>#REF!</v>
      </c>
      <c r="H26" s="61" t="e">
        <f>'SALES SUMMARY'!AJ29</f>
        <v>#REF!</v>
      </c>
      <c r="I26" s="61" t="e">
        <f>'SALES SUMMARY'!AJ32</f>
        <v>#REF!</v>
      </c>
      <c r="J26" s="61" t="e">
        <f>'SALES SUMMARY'!AJ35</f>
        <v>#REF!</v>
      </c>
      <c r="K26" s="61" t="e">
        <f>'SALES SUMMARY'!AJ38</f>
        <v>#REF!</v>
      </c>
      <c r="L26" s="61" t="e">
        <f>'SALES SUMMARY'!AJ41</f>
        <v>#REF!</v>
      </c>
      <c r="M26" s="61" t="e">
        <f>'SALES SUMMARY'!AJ44</f>
        <v>#REF!</v>
      </c>
      <c r="N26" s="61" t="e">
        <f>'SALES SUMMARY'!AJ47</f>
        <v>#REF!</v>
      </c>
      <c r="O26" s="61" t="e">
        <f>'SALES SUMMARY'!AJ50</f>
        <v>#REF!</v>
      </c>
      <c r="P26" s="61" t="e">
        <f>'SALES SUMMARY'!AJ53</f>
        <v>#REF!</v>
      </c>
      <c r="Q26" s="61" t="e">
        <f>'SALES SUMMARY'!AJ56</f>
        <v>#REF!</v>
      </c>
      <c r="R26" s="61" t="e">
        <f>'SALES SUMMARY'!AJ59</f>
        <v>#REF!</v>
      </c>
      <c r="S26" s="61" t="e">
        <f>'SALES SUMMARY'!AJ62</f>
        <v>#REF!</v>
      </c>
      <c r="T26" s="61" t="e">
        <f>'SALES SUMMARY'!AJ65</f>
        <v>#REF!</v>
      </c>
      <c r="U26" s="61" t="e">
        <f>'SALES SUMMARY'!AJ68</f>
        <v>#REF!</v>
      </c>
      <c r="V26" s="61" t="e">
        <f>'SALES SUMMARY'!AJ71</f>
        <v>#REF!</v>
      </c>
      <c r="W26" s="61" t="e">
        <f>'SALES SUMMARY'!AJ74</f>
        <v>#REF!</v>
      </c>
      <c r="X26" s="61" t="e">
        <f>'SALES SUMMARY'!AJ77</f>
        <v>#REF!</v>
      </c>
      <c r="Y26" s="61" t="e">
        <f>'SALES SUMMARY'!AJ80</f>
        <v>#REF!</v>
      </c>
      <c r="Z26" s="61" t="e">
        <f>'SALES SUMMARY'!AJ83</f>
        <v>#REF!</v>
      </c>
      <c r="AA26" s="61" t="e">
        <f>'SALES SUMMARY'!AJ86</f>
        <v>#REF!</v>
      </c>
      <c r="AB26" s="61" t="e">
        <f>'SALES SUMMARY'!AJ89</f>
        <v>#REF!</v>
      </c>
      <c r="AC26" s="61" t="e">
        <f>'SALES SUMMARY'!AJ92</f>
        <v>#REF!</v>
      </c>
      <c r="AD26" s="61" t="e">
        <f>'SALES SUMMARY'!AJ95</f>
        <v>#REF!</v>
      </c>
      <c r="AE26" s="61" t="e">
        <f>'SALES SUMMARY'!AJ98</f>
        <v>#REF!</v>
      </c>
      <c r="AF26" s="61" t="e">
        <f>'SALES SUMMARY'!#REF!</f>
        <v>#REF!</v>
      </c>
    </row>
    <row r="27" spans="1:32" x14ac:dyDescent="0.25">
      <c r="A27" s="59" t="s">
        <v>56</v>
      </c>
      <c r="B27" s="61">
        <f>'SALES SUMMARY'!AK11</f>
        <v>22274.678571428565</v>
      </c>
      <c r="C27" s="61">
        <f>'SALES SUMMARY'!AK14</f>
        <v>22554.017857142855</v>
      </c>
      <c r="D27" s="61">
        <f>'SALES SUMMARY'!AK17</f>
        <v>30429.937499999996</v>
      </c>
      <c r="E27" s="61">
        <f>'SALES SUMMARY'!AK20</f>
        <v>28479.080357142855</v>
      </c>
      <c r="F27" s="61">
        <f>'SALES SUMMARY'!AK23</f>
        <v>50949.767857142855</v>
      </c>
      <c r="G27" s="61">
        <f>'SALES SUMMARY'!AK26</f>
        <v>9825.8928571428569</v>
      </c>
      <c r="H27" s="61">
        <f>'SALES SUMMARY'!AK29</f>
        <v>0</v>
      </c>
      <c r="I27" s="61">
        <f>'SALES SUMMARY'!AK32</f>
        <v>31054.999999999996</v>
      </c>
      <c r="J27" s="61">
        <f>'SALES SUMMARY'!AK35</f>
        <v>24250.848214285714</v>
      </c>
      <c r="K27" s="61">
        <f>'SALES SUMMARY'!AK38</f>
        <v>30177.267857142855</v>
      </c>
      <c r="L27" s="61">
        <f>'SALES SUMMARY'!AK41</f>
        <v>36181.571428571428</v>
      </c>
      <c r="M27" s="61">
        <f>'SALES SUMMARY'!AK44</f>
        <v>32520.383928571428</v>
      </c>
      <c r="N27" s="61">
        <f>'SALES SUMMARY'!AK47</f>
        <v>7309.3571428571422</v>
      </c>
      <c r="O27" s="61">
        <f>'SALES SUMMARY'!AK50</f>
        <v>0</v>
      </c>
      <c r="P27" s="61">
        <f>'SALES SUMMARY'!AK53</f>
        <v>32987.53571428571</v>
      </c>
      <c r="Q27" s="61">
        <f>'SALES SUMMARY'!AK56</f>
        <v>26319.517857142855</v>
      </c>
      <c r="R27" s="61">
        <f>'SALES SUMMARY'!AK59</f>
        <v>27431.803571428569</v>
      </c>
      <c r="S27" s="61">
        <f>'SALES SUMMARY'!AK62</f>
        <v>28629.16071428571</v>
      </c>
      <c r="T27" s="61">
        <f>'SALES SUMMARY'!AK65</f>
        <v>47959.330357142855</v>
      </c>
      <c r="U27" s="61">
        <f>'SALES SUMMARY'!AK68</f>
        <v>4089.2857142857138</v>
      </c>
      <c r="V27" s="61">
        <f>'SALES SUMMARY'!AK71</f>
        <v>0</v>
      </c>
      <c r="W27" s="61">
        <f>'SALES SUMMARY'!AK74</f>
        <v>19501.1875</v>
      </c>
      <c r="X27" s="61">
        <f>'SALES SUMMARY'!AK77</f>
        <v>24264.75</v>
      </c>
      <c r="Y27" s="61">
        <f>'SALES SUMMARY'!AK80</f>
        <v>26464.919642857141</v>
      </c>
      <c r="Z27" s="61">
        <f>'SALES SUMMARY'!AK83</f>
        <v>29028.669642857138</v>
      </c>
      <c r="AA27" s="61">
        <f>'SALES SUMMARY'!AK86</f>
        <v>45708.25892857142</v>
      </c>
      <c r="AB27" s="61">
        <f>'SALES SUMMARY'!AK89</f>
        <v>6406.2499999999991</v>
      </c>
      <c r="AC27" s="61">
        <f>'SALES SUMMARY'!AK92</f>
        <v>0</v>
      </c>
      <c r="AD27" s="61">
        <f>'SALES SUMMARY'!AK95</f>
        <v>21761.34821428571</v>
      </c>
      <c r="AE27" s="61">
        <f>'SALES SUMMARY'!AK98</f>
        <v>36491.196428571428</v>
      </c>
      <c r="AF27" s="61" t="e">
        <f>'SALES SUMMARY'!#REF!</f>
        <v>#REF!</v>
      </c>
    </row>
    <row r="28" spans="1:32" x14ac:dyDescent="0.25">
      <c r="A28" s="59" t="s">
        <v>57</v>
      </c>
      <c r="B28" s="61">
        <f>'SALES SUMMARY'!AM11</f>
        <v>2654.323028571428</v>
      </c>
      <c r="C28" s="61">
        <f>'SALES SUMMARY'!AM14</f>
        <v>2668.8021428571428</v>
      </c>
      <c r="D28" s="61">
        <f>'SALES SUMMARY'!AM17</f>
        <v>3617.4404999999997</v>
      </c>
      <c r="E28" s="61">
        <f>'SALES SUMMARY'!AM20</f>
        <v>3401.8644428571424</v>
      </c>
      <c r="F28" s="61">
        <f>'SALES SUMMARY'!AM23</f>
        <v>5895.8529428571428</v>
      </c>
      <c r="G28" s="61">
        <f>'SALES SUMMARY'!AM26</f>
        <v>1176.5271428571427</v>
      </c>
      <c r="H28" s="61">
        <f>'SALES SUMMARY'!AM29</f>
        <v>0</v>
      </c>
      <c r="I28" s="61">
        <f>'SALES SUMMARY'!AM32</f>
        <v>3625.2815999999993</v>
      </c>
      <c r="J28" s="61">
        <f>'SALES SUMMARY'!AM35</f>
        <v>2863.4313857142856</v>
      </c>
      <c r="K28" s="61">
        <f>'SALES SUMMARY'!AM38</f>
        <v>3595.181742857143</v>
      </c>
      <c r="L28" s="61">
        <f>'SALES SUMMARY'!AM41</f>
        <v>4298.7001714285707</v>
      </c>
      <c r="M28" s="61">
        <f>'SALES SUMMARY'!AM44</f>
        <v>3841.7476714285708</v>
      </c>
      <c r="N28" s="61">
        <f>'SALES SUMMARY'!AM47</f>
        <v>874.81885714285704</v>
      </c>
      <c r="O28" s="61">
        <f>'SALES SUMMARY'!AM50</f>
        <v>0</v>
      </c>
      <c r="P28" s="61">
        <f>'SALES SUMMARY'!AM53</f>
        <v>3868.5258857142853</v>
      </c>
      <c r="Q28" s="61">
        <f>'SALES SUMMARY'!AM56</f>
        <v>3103.1709428571421</v>
      </c>
      <c r="R28" s="61">
        <f>'SALES SUMMARY'!AM59</f>
        <v>3220.0720285714278</v>
      </c>
      <c r="S28" s="61">
        <f>'SALES SUMMARY'!AM62</f>
        <v>3381.0516857142852</v>
      </c>
      <c r="T28" s="61">
        <f>'SALES SUMMARY'!AM65</f>
        <v>5669.2848428571415</v>
      </c>
      <c r="U28" s="61">
        <f>'SALES SUMMARY'!AM68</f>
        <v>490.71428571428561</v>
      </c>
      <c r="V28" s="61">
        <f>'SALES SUMMARY'!AM71</f>
        <v>0</v>
      </c>
      <c r="W28" s="61">
        <f>'SALES SUMMARY'!AM74</f>
        <v>2286.4856999999997</v>
      </c>
      <c r="X28" s="61">
        <f>'SALES SUMMARY'!AM77</f>
        <v>2878.9739999999997</v>
      </c>
      <c r="Y28" s="61">
        <f>'SALES SUMMARY'!AM80</f>
        <v>3150.9335571428569</v>
      </c>
      <c r="Z28" s="61">
        <f>'SALES SUMMARY'!AM83</f>
        <v>3421.2011571428566</v>
      </c>
      <c r="AA28" s="61">
        <f>'SALES SUMMARY'!AM86</f>
        <v>5412.2206714285712</v>
      </c>
      <c r="AB28" s="61">
        <f>'SALES SUMMARY'!AM89</f>
        <v>768.74999999999989</v>
      </c>
      <c r="AC28" s="61">
        <f>'SALES SUMMARY'!AM92</f>
        <v>0</v>
      </c>
      <c r="AD28" s="61">
        <f>'SALES SUMMARY'!AM95</f>
        <v>2599.7049857142852</v>
      </c>
      <c r="AE28" s="61">
        <f>'SALES SUMMARY'!AM98</f>
        <v>4363.9699714285716</v>
      </c>
      <c r="AF28" s="61" t="e">
        <f>'SALES SUMMARY'!#REF!</f>
        <v>#REF!</v>
      </c>
    </row>
    <row r="30" spans="1:32" x14ac:dyDescent="0.25">
      <c r="A30" s="58" t="s">
        <v>58</v>
      </c>
      <c r="B30" s="63">
        <f>-'SALES SUMMARY'!AZ11</f>
        <v>0</v>
      </c>
      <c r="C30" s="63">
        <f>-'SALES SUMMARY'!AZ14</f>
        <v>-350</v>
      </c>
      <c r="D30" s="63">
        <f>-'SALES SUMMARY'!AZ17</f>
        <v>-690</v>
      </c>
      <c r="E30" s="63">
        <f>-'SALES SUMMARY'!AZ20</f>
        <v>-463</v>
      </c>
      <c r="F30" s="63">
        <f>-'SALES SUMMARY'!AZ23</f>
        <v>-2850</v>
      </c>
      <c r="G30" s="63">
        <f>-'SALES SUMMARY'!AZ26</f>
        <v>0</v>
      </c>
      <c r="H30" s="63">
        <f>-'SALES SUMMARY'!AZ29</f>
        <v>0</v>
      </c>
      <c r="I30" s="63">
        <f>-'SALES SUMMARY'!AZ32</f>
        <v>-2330</v>
      </c>
      <c r="J30" s="63">
        <f>-'SALES SUMMARY'!AZ35</f>
        <v>-1580</v>
      </c>
      <c r="K30" s="63">
        <f>-'SALES SUMMARY'!AZ38</f>
        <v>-265</v>
      </c>
      <c r="L30" s="63">
        <f>-'SALES SUMMARY'!AZ41</f>
        <v>0</v>
      </c>
      <c r="M30" s="63">
        <f>-'SALES SUMMARY'!AZ44</f>
        <v>-245</v>
      </c>
      <c r="N30" s="63">
        <f>-'SALES SUMMARY'!AZ47</f>
        <v>0</v>
      </c>
      <c r="O30" s="63">
        <f>-'SALES SUMMARY'!AZ50</f>
        <v>0</v>
      </c>
      <c r="P30" s="63">
        <f>-'SALES SUMMARY'!AZ53</f>
        <v>0</v>
      </c>
      <c r="Q30" s="63">
        <f>-'SALES SUMMARY'!AZ56</f>
        <v>-160</v>
      </c>
      <c r="R30" s="63">
        <f>-'SALES SUMMARY'!AZ59</f>
        <v>0</v>
      </c>
      <c r="S30" s="63">
        <f>-'SALES SUMMARY'!AZ62</f>
        <v>-155</v>
      </c>
      <c r="T30" s="63">
        <f>-'SALES SUMMARY'!AZ65</f>
        <v>0</v>
      </c>
      <c r="U30" s="63">
        <f>-'SALES SUMMARY'!AZ68</f>
        <v>0</v>
      </c>
      <c r="V30" s="63">
        <f>-'SALES SUMMARY'!AZ71</f>
        <v>0</v>
      </c>
      <c r="W30" s="63">
        <f>-'SALES SUMMARY'!AZ74</f>
        <v>0</v>
      </c>
      <c r="X30" s="63">
        <f>-'SALES SUMMARY'!AZ77</f>
        <v>0</v>
      </c>
      <c r="Y30" s="63">
        <f>-'SALES SUMMARY'!AZ80</f>
        <v>-225</v>
      </c>
      <c r="Z30" s="63">
        <f>-'SALES SUMMARY'!AZ83</f>
        <v>0</v>
      </c>
      <c r="AA30" s="63">
        <f>-'SALES SUMMARY'!AZ86</f>
        <v>0</v>
      </c>
      <c r="AB30" s="63">
        <f>-'SALES SUMMARY'!AZ89</f>
        <v>-185</v>
      </c>
      <c r="AC30" s="63">
        <f>-'SALES SUMMARY'!AZ92</f>
        <v>0</v>
      </c>
      <c r="AD30" s="63">
        <f>-'SALES SUMMARY'!AZ95</f>
        <v>0</v>
      </c>
      <c r="AE30" s="63">
        <f>-'SALES SUMMARY'!AZ98</f>
        <v>0</v>
      </c>
      <c r="AF30" s="63" t="e">
        <f>-'SALES SUMMARY'!#REF!</f>
        <v>#REF!</v>
      </c>
    </row>
    <row r="31" spans="1:32" x14ac:dyDescent="0.25">
      <c r="A31" s="58" t="s">
        <v>59</v>
      </c>
      <c r="B31" s="63">
        <f>-'SALES SUMMARY'!BA11</f>
        <v>0</v>
      </c>
      <c r="C31" s="63">
        <f>-'SALES SUMMARY'!BA14</f>
        <v>0</v>
      </c>
      <c r="D31" s="63">
        <f>-'SALES SUMMARY'!BA17</f>
        <v>0</v>
      </c>
      <c r="E31" s="63">
        <f>-'SALES SUMMARY'!BA20</f>
        <v>0</v>
      </c>
      <c r="F31" s="63">
        <f>-'SALES SUMMARY'!BA23</f>
        <v>0</v>
      </c>
      <c r="G31" s="63">
        <f>-'SALES SUMMARY'!BA26</f>
        <v>0</v>
      </c>
      <c r="H31" s="63">
        <f>-'SALES SUMMARY'!BA29</f>
        <v>0</v>
      </c>
      <c r="I31" s="63">
        <f>-'SALES SUMMARY'!BA32</f>
        <v>0</v>
      </c>
      <c r="J31" s="63">
        <f>-'SALES SUMMARY'!BA35</f>
        <v>0</v>
      </c>
      <c r="K31" s="63">
        <f>-'SALES SUMMARY'!BA38</f>
        <v>0</v>
      </c>
      <c r="L31" s="63">
        <f>-'SALES SUMMARY'!BA41</f>
        <v>-625</v>
      </c>
      <c r="M31" s="63">
        <f>-'SALES SUMMARY'!BA44</f>
        <v>0</v>
      </c>
      <c r="N31" s="63">
        <f>-'SALES SUMMARY'!BA47</f>
        <v>0</v>
      </c>
      <c r="O31" s="63">
        <f>-'SALES SUMMARY'!BA50</f>
        <v>0</v>
      </c>
      <c r="P31" s="63">
        <f>-'SALES SUMMARY'!BA53</f>
        <v>-430</v>
      </c>
      <c r="Q31" s="63">
        <f>-'SALES SUMMARY'!BA56</f>
        <v>-315</v>
      </c>
      <c r="R31" s="63">
        <f>-'SALES SUMMARY'!BA59</f>
        <v>0</v>
      </c>
      <c r="S31" s="63">
        <f>-'SALES SUMMARY'!BA62</f>
        <v>0</v>
      </c>
      <c r="T31" s="63">
        <f>-'SALES SUMMARY'!BA65</f>
        <v>0</v>
      </c>
      <c r="U31" s="63">
        <f>-'SALES SUMMARY'!BA68</f>
        <v>0</v>
      </c>
      <c r="V31" s="63">
        <f>-'SALES SUMMARY'!BA71</f>
        <v>0</v>
      </c>
      <c r="W31" s="63">
        <f>-'SALES SUMMARY'!BA74</f>
        <v>0</v>
      </c>
      <c r="X31" s="63">
        <f>-'SALES SUMMARY'!BA77</f>
        <v>0</v>
      </c>
      <c r="Y31" s="63">
        <f>-'SALES SUMMARY'!BA80</f>
        <v>0</v>
      </c>
      <c r="Z31" s="63" t="e">
        <f>-'SALES SUMMARY'!BA83</f>
        <v>#VALUE!</v>
      </c>
      <c r="AA31" s="63">
        <f>-'SALES SUMMARY'!BA86</f>
        <v>-70</v>
      </c>
      <c r="AB31" s="63">
        <f>-'SALES SUMMARY'!BA89</f>
        <v>0</v>
      </c>
      <c r="AC31" s="63">
        <f>-'SALES SUMMARY'!BA92</f>
        <v>0</v>
      </c>
      <c r="AD31" s="63">
        <f>-'SALES SUMMARY'!BA95</f>
        <v>0</v>
      </c>
      <c r="AE31" s="63">
        <f>-'SALES SUMMARY'!BA98</f>
        <v>0</v>
      </c>
      <c r="AF31" s="63" t="e">
        <f>-'SALES SUMMARY'!#REF!</f>
        <v>#REF!</v>
      </c>
    </row>
    <row r="32" spans="1:32" x14ac:dyDescent="0.25">
      <c r="A32" s="58" t="s">
        <v>60</v>
      </c>
      <c r="B32" s="63">
        <f>-'SALES SUMMARY'!BB11</f>
        <v>0</v>
      </c>
      <c r="C32" s="63">
        <f>-'SALES SUMMARY'!BB14</f>
        <v>0</v>
      </c>
      <c r="D32" s="63">
        <f>-'SALES SUMMARY'!BB17</f>
        <v>0</v>
      </c>
      <c r="E32" s="63">
        <f>-'SALES SUMMARY'!BB20</f>
        <v>0</v>
      </c>
      <c r="F32" s="63">
        <f>-'SALES SUMMARY'!BB23</f>
        <v>0</v>
      </c>
      <c r="G32" s="63">
        <f>-'SALES SUMMARY'!BB26</f>
        <v>0</v>
      </c>
      <c r="H32" s="63">
        <f>-'SALES SUMMARY'!BB29</f>
        <v>0</v>
      </c>
      <c r="I32" s="63">
        <f>-'SALES SUMMARY'!BB32</f>
        <v>0</v>
      </c>
      <c r="J32" s="63">
        <f>-'SALES SUMMARY'!BB35</f>
        <v>0</v>
      </c>
      <c r="K32" s="63">
        <f>-'SALES SUMMARY'!BB38</f>
        <v>0</v>
      </c>
      <c r="L32" s="63">
        <f>-'SALES SUMMARY'!BB41</f>
        <v>0</v>
      </c>
      <c r="M32" s="63">
        <f>-'SALES SUMMARY'!BB44</f>
        <v>0</v>
      </c>
      <c r="N32" s="63">
        <f>-'SALES SUMMARY'!BB47</f>
        <v>0</v>
      </c>
      <c r="O32" s="63">
        <f>-'SALES SUMMARY'!BB50</f>
        <v>0</v>
      </c>
      <c r="P32" s="63">
        <f>-'SALES SUMMARY'!BB53</f>
        <v>0</v>
      </c>
      <c r="Q32" s="63">
        <f>-'SALES SUMMARY'!BB56</f>
        <v>0</v>
      </c>
      <c r="R32" s="63">
        <f>-'SALES SUMMARY'!BB59</f>
        <v>0</v>
      </c>
      <c r="S32" s="63">
        <f>-'SALES SUMMARY'!BB62</f>
        <v>0</v>
      </c>
      <c r="T32" s="63">
        <f>-'SALES SUMMARY'!BB65</f>
        <v>0</v>
      </c>
      <c r="U32" s="63">
        <f>-'SALES SUMMARY'!BB68</f>
        <v>0</v>
      </c>
      <c r="V32" s="63">
        <f>-'SALES SUMMARY'!BB71</f>
        <v>0</v>
      </c>
      <c r="W32" s="63">
        <f>-'SALES SUMMARY'!BB74</f>
        <v>0</v>
      </c>
      <c r="X32" s="63">
        <f>-'SALES SUMMARY'!BB77</f>
        <v>0</v>
      </c>
      <c r="Y32" s="63">
        <f>-'SALES SUMMARY'!BB80</f>
        <v>0</v>
      </c>
      <c r="Z32" s="63">
        <f>-'SALES SUMMARY'!BB83</f>
        <v>0</v>
      </c>
      <c r="AA32" s="63">
        <f>-'SALES SUMMARY'!BB86</f>
        <v>0</v>
      </c>
      <c r="AB32" s="63">
        <f>-'SALES SUMMARY'!BB89</f>
        <v>0</v>
      </c>
      <c r="AC32" s="63">
        <f>-'SALES SUMMARY'!BB92</f>
        <v>0</v>
      </c>
      <c r="AD32" s="63">
        <f>-'SALES SUMMARY'!BB95</f>
        <v>0</v>
      </c>
      <c r="AE32" s="63">
        <f>-'SALES SUMMARY'!BB98</f>
        <v>0</v>
      </c>
      <c r="AF32" s="63" t="e">
        <f>-'SALES SUMMARY'!#REF!</f>
        <v>#REF!</v>
      </c>
    </row>
    <row r="33" spans="1:32" x14ac:dyDescent="0.25">
      <c r="A33" s="58" t="s">
        <v>61</v>
      </c>
      <c r="B33" s="63">
        <f>-('SALES SUMMARY'!BD11-'SALES SUMMARY'!BC11)</f>
        <v>0</v>
      </c>
      <c r="C33" s="63">
        <f>-('SALES SUMMARY'!BD14-'SALES SUMMARY'!BC14)</f>
        <v>0</v>
      </c>
      <c r="D33" s="63">
        <f>-('SALES SUMMARY'!BD17-'SALES SUMMARY'!BC17)</f>
        <v>0</v>
      </c>
      <c r="E33" s="63">
        <f>-('SALES SUMMARY'!BD20-'SALES SUMMARY'!BC20)</f>
        <v>0</v>
      </c>
      <c r="F33" s="63">
        <f>-('SALES SUMMARY'!BD23-'SALES SUMMARY'!BC23)</f>
        <v>0</v>
      </c>
      <c r="G33" s="63">
        <f>-('SALES SUMMARY'!BD26-'SALES SUMMARY'!BC26)</f>
        <v>0</v>
      </c>
      <c r="H33" s="63">
        <f>-('SALES SUMMARY'!BD29-'SALES SUMMARY'!BC29)</f>
        <v>0</v>
      </c>
      <c r="I33" s="63">
        <f>-('SALES SUMMARY'!BD32-'SALES SUMMARY'!BC32)</f>
        <v>0</v>
      </c>
      <c r="J33" s="63">
        <f>-('SALES SUMMARY'!BD35-'SALES SUMMARY'!BC35)</f>
        <v>0</v>
      </c>
      <c r="K33" s="63">
        <f>-('SALES SUMMARY'!BD38-'SALES SUMMARY'!BC38)</f>
        <v>0</v>
      </c>
      <c r="L33" s="63">
        <f>-('SALES SUMMARY'!BD41-'SALES SUMMARY'!BC41)</f>
        <v>0</v>
      </c>
      <c r="M33" s="63">
        <f>-('SALES SUMMARY'!BD44-'SALES SUMMARY'!BC44)</f>
        <v>0</v>
      </c>
      <c r="N33" s="63">
        <f>-('SALES SUMMARY'!BD47-'SALES SUMMARY'!BC47)</f>
        <v>0</v>
      </c>
      <c r="O33" s="63">
        <f>-('SALES SUMMARY'!BD50-'SALES SUMMARY'!BC50)</f>
        <v>0</v>
      </c>
      <c r="P33" s="63">
        <f>-('SALES SUMMARY'!BD53-'SALES SUMMARY'!BC53)</f>
        <v>0</v>
      </c>
      <c r="Q33" s="63">
        <f>-('SALES SUMMARY'!BD56-'SALES SUMMARY'!BC56)</f>
        <v>0</v>
      </c>
      <c r="R33" s="63">
        <f>-('SALES SUMMARY'!BD59-'SALES SUMMARY'!BC59)</f>
        <v>0</v>
      </c>
      <c r="S33" s="63">
        <f>-('SALES SUMMARY'!BD62-'SALES SUMMARY'!BC62)</f>
        <v>0</v>
      </c>
      <c r="T33" s="63">
        <f>-('SALES SUMMARY'!BD65-'SALES SUMMARY'!BC65)</f>
        <v>0</v>
      </c>
      <c r="U33" s="63">
        <f>-('SALES SUMMARY'!BD68-'SALES SUMMARY'!BC68)</f>
        <v>0</v>
      </c>
      <c r="V33" s="63">
        <f>-('SALES SUMMARY'!BD71-'SALES SUMMARY'!BC71)</f>
        <v>0</v>
      </c>
      <c r="W33" s="63">
        <f>-('SALES SUMMARY'!BD74-'SALES SUMMARY'!BC74)</f>
        <v>0</v>
      </c>
      <c r="X33" s="63">
        <f>-('SALES SUMMARY'!BD77-'SALES SUMMARY'!BC77)</f>
        <v>0</v>
      </c>
      <c r="Y33" s="63">
        <f>-('SALES SUMMARY'!BD80-'SALES SUMMARY'!BC80)</f>
        <v>0</v>
      </c>
      <c r="Z33" s="63">
        <f>-('SALES SUMMARY'!BD83-'SALES SUMMARY'!BC83)</f>
        <v>0</v>
      </c>
      <c r="AA33" s="63">
        <f>-('SALES SUMMARY'!BD86-'SALES SUMMARY'!BC86)</f>
        <v>0</v>
      </c>
      <c r="AB33" s="63">
        <f>-('SALES SUMMARY'!BD89-'SALES SUMMARY'!BC89)</f>
        <v>0</v>
      </c>
      <c r="AC33" s="63">
        <f>-('SALES SUMMARY'!BD92-'SALES SUMMARY'!BC92)</f>
        <v>0</v>
      </c>
      <c r="AD33" s="63">
        <f>-('SALES SUMMARY'!BD95-'SALES SUMMARY'!BC95)</f>
        <v>0</v>
      </c>
      <c r="AE33" s="63">
        <f>-('SALES SUMMARY'!BD98-'SALES SUMMARY'!BC98)</f>
        <v>0</v>
      </c>
      <c r="AF33" s="63" t="e">
        <f>-('SALES SUMMARY'!#REF!-'SALES SUMMARY'!#REF!)</f>
        <v>#REF!</v>
      </c>
    </row>
    <row r="34" spans="1:32" x14ac:dyDescent="0.25">
      <c r="A34" s="58" t="s">
        <v>36</v>
      </c>
      <c r="B34" s="63">
        <f>'SALES SUMMARY'!BQ11</f>
        <v>0</v>
      </c>
      <c r="C34" s="63">
        <f>'SALES SUMMARY'!BQ14</f>
        <v>350</v>
      </c>
      <c r="D34" s="63">
        <f>'SALES SUMMARY'!BQ17</f>
        <v>690</v>
      </c>
      <c r="E34" s="63">
        <f>'SALES SUMMARY'!BQ20</f>
        <v>463</v>
      </c>
      <c r="F34" s="63">
        <f>'SALES SUMMARY'!BQ23</f>
        <v>2850</v>
      </c>
      <c r="G34" s="63">
        <f>'SALES SUMMARY'!BQ26</f>
        <v>0</v>
      </c>
      <c r="H34" s="63">
        <f>'SALES SUMMARY'!BQ29</f>
        <v>0</v>
      </c>
      <c r="I34" s="63">
        <f>'SALES SUMMARY'!BQ32</f>
        <v>2330</v>
      </c>
      <c r="J34" s="63">
        <f>'SALES SUMMARY'!BQ35</f>
        <v>1580</v>
      </c>
      <c r="K34" s="63">
        <f>'SALES SUMMARY'!BQ38</f>
        <v>265</v>
      </c>
      <c r="L34" s="63">
        <f>'SALES SUMMARY'!BQ41</f>
        <v>625</v>
      </c>
      <c r="M34" s="63">
        <f>'SALES SUMMARY'!BQ44</f>
        <v>245</v>
      </c>
      <c r="N34" s="63">
        <f>'SALES SUMMARY'!BQ47</f>
        <v>0</v>
      </c>
      <c r="O34" s="63">
        <f>'SALES SUMMARY'!BQ50</f>
        <v>0</v>
      </c>
      <c r="P34" s="63">
        <f>'SALES SUMMARY'!BQ53</f>
        <v>430</v>
      </c>
      <c r="Q34" s="63">
        <f>'SALES SUMMARY'!BQ56</f>
        <v>475</v>
      </c>
      <c r="R34" s="63">
        <f>'SALES SUMMARY'!BQ59</f>
        <v>0</v>
      </c>
      <c r="S34" s="63">
        <f>'SALES SUMMARY'!BQ62</f>
        <v>155</v>
      </c>
      <c r="T34" s="63">
        <f>'SALES SUMMARY'!BQ65</f>
        <v>0</v>
      </c>
      <c r="U34" s="63">
        <f>'SALES SUMMARY'!BQ68</f>
        <v>0</v>
      </c>
      <c r="V34" s="63">
        <f>'SALES SUMMARY'!BQ71</f>
        <v>0</v>
      </c>
      <c r="W34" s="63">
        <f>'SALES SUMMARY'!BQ74</f>
        <v>0</v>
      </c>
      <c r="X34" s="63">
        <f>'SALES SUMMARY'!BQ77</f>
        <v>0</v>
      </c>
      <c r="Y34" s="63">
        <f>'SALES SUMMARY'!BQ80</f>
        <v>225</v>
      </c>
      <c r="Z34" s="63">
        <f>'SALES SUMMARY'!BQ83</f>
        <v>0</v>
      </c>
      <c r="AA34" s="63">
        <f>'SALES SUMMARY'!BQ86</f>
        <v>70</v>
      </c>
      <c r="AB34" s="63">
        <f>'SALES SUMMARY'!BQ89</f>
        <v>185</v>
      </c>
      <c r="AC34" s="63">
        <f>'SALES SUMMARY'!BQ92</f>
        <v>0</v>
      </c>
      <c r="AD34" s="63">
        <f>'SALES SUMMARY'!BQ95</f>
        <v>0</v>
      </c>
      <c r="AE34" s="63">
        <f>'SALES SUMMARY'!BQ98</f>
        <v>0</v>
      </c>
      <c r="AF34" s="63" t="e">
        <f>'SALES SUMMARY'!#REF!</f>
        <v>#REF!</v>
      </c>
    </row>
    <row r="36" spans="1:32" x14ac:dyDescent="0.25">
      <c r="A36" s="58" t="s">
        <v>62</v>
      </c>
      <c r="B36" s="62" t="e">
        <f>SUM(B5:B35)-B3</f>
        <v>#REF!</v>
      </c>
      <c r="C36" s="62" t="e">
        <f t="shared" ref="C36:AF36" si="0">SUM(C5:C35)-C3</f>
        <v>#REF!</v>
      </c>
      <c r="D36" s="62" t="e">
        <f t="shared" si="0"/>
        <v>#REF!</v>
      </c>
      <c r="E36" s="62" t="e">
        <f t="shared" si="0"/>
        <v>#REF!</v>
      </c>
      <c r="F36" s="62" t="e">
        <f t="shared" si="0"/>
        <v>#REF!</v>
      </c>
      <c r="G36" s="62" t="e">
        <f t="shared" si="0"/>
        <v>#REF!</v>
      </c>
      <c r="H36" s="62" t="e">
        <f t="shared" si="0"/>
        <v>#REF!</v>
      </c>
      <c r="I36" s="62" t="e">
        <f t="shared" si="0"/>
        <v>#REF!</v>
      </c>
      <c r="J36" s="62" t="e">
        <f t="shared" si="0"/>
        <v>#REF!</v>
      </c>
      <c r="K36" s="62" t="e">
        <f t="shared" si="0"/>
        <v>#REF!</v>
      </c>
      <c r="L36" s="62" t="e">
        <f t="shared" si="0"/>
        <v>#REF!</v>
      </c>
      <c r="M36" s="62" t="e">
        <f t="shared" si="0"/>
        <v>#REF!</v>
      </c>
      <c r="N36" s="62" t="e">
        <f t="shared" si="0"/>
        <v>#REF!</v>
      </c>
      <c r="O36" s="62" t="e">
        <f t="shared" si="0"/>
        <v>#REF!</v>
      </c>
      <c r="P36" s="62" t="e">
        <f t="shared" si="0"/>
        <v>#REF!</v>
      </c>
      <c r="Q36" s="62" t="e">
        <f t="shared" si="0"/>
        <v>#REF!</v>
      </c>
      <c r="R36" s="62" t="e">
        <f t="shared" si="0"/>
        <v>#REF!</v>
      </c>
      <c r="S36" s="62" t="e">
        <f t="shared" si="0"/>
        <v>#REF!</v>
      </c>
      <c r="T36" s="62" t="e">
        <f t="shared" si="0"/>
        <v>#REF!</v>
      </c>
      <c r="U36" s="62" t="e">
        <f t="shared" si="0"/>
        <v>#REF!</v>
      </c>
      <c r="V36" s="62" t="e">
        <f t="shared" si="0"/>
        <v>#REF!</v>
      </c>
      <c r="W36" s="62" t="e">
        <f t="shared" si="0"/>
        <v>#REF!</v>
      </c>
      <c r="X36" s="62" t="e">
        <f t="shared" si="0"/>
        <v>#REF!</v>
      </c>
      <c r="Y36" s="62" t="e">
        <f t="shared" si="0"/>
        <v>#REF!</v>
      </c>
      <c r="Z36" s="62" t="e">
        <f t="shared" si="0"/>
        <v>#REF!</v>
      </c>
      <c r="AA36" s="62" t="e">
        <f t="shared" si="0"/>
        <v>#REF!</v>
      </c>
      <c r="AB36" s="62" t="e">
        <f t="shared" si="0"/>
        <v>#REF!</v>
      </c>
      <c r="AC36" s="62" t="e">
        <f t="shared" si="0"/>
        <v>#REF!</v>
      </c>
      <c r="AD36" s="62" t="e">
        <f t="shared" si="0"/>
        <v>#REF!</v>
      </c>
      <c r="AE36" s="62" t="e">
        <f t="shared" si="0"/>
        <v>#REF!</v>
      </c>
      <c r="AF36" s="62" t="e">
        <f t="shared" si="0"/>
        <v>#REF!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4"/>
  <sheetViews>
    <sheetView topLeftCell="A43" zoomScaleSheetLayoutView="85" workbookViewId="0">
      <selection activeCell="I10" sqref="I10"/>
    </sheetView>
  </sheetViews>
  <sheetFormatPr defaultRowHeight="12.75" x14ac:dyDescent="0.2"/>
  <cols>
    <col min="1" max="1" width="12.85546875" style="75" customWidth="1"/>
    <col min="2" max="2" width="6.28515625" style="75" customWidth="1"/>
    <col min="3" max="4" width="13.140625" style="75" customWidth="1"/>
    <col min="5" max="5" width="13.5703125" style="75" customWidth="1"/>
    <col min="6" max="6" width="13.28515625" style="75" customWidth="1"/>
    <col min="7" max="7" width="10.28515625" style="75" bestFit="1" customWidth="1"/>
    <col min="8" max="8" width="9.28515625" style="75" bestFit="1" customWidth="1"/>
    <col min="9" max="9" width="12.85546875" style="75" customWidth="1"/>
    <col min="10" max="10" width="7.28515625" style="75" customWidth="1"/>
    <col min="11" max="11" width="15.140625" style="75" customWidth="1"/>
    <col min="12" max="12" width="16.85546875" style="75" customWidth="1"/>
    <col min="13" max="13" width="13.5703125" style="75" customWidth="1"/>
    <col min="14" max="14" width="13.28515625" style="75" customWidth="1"/>
    <col min="15" max="16384" width="9.140625" style="75"/>
  </cols>
  <sheetData>
    <row r="1" spans="1:15" ht="15.75" x14ac:dyDescent="0.25">
      <c r="A1" s="72" t="str">
        <f>'SALES SUMMARY'!A1</f>
        <v>THE OLD SPAGHETTI HOUSE-VALERO</v>
      </c>
      <c r="B1" s="72"/>
      <c r="C1" s="72"/>
      <c r="D1" s="72"/>
      <c r="E1" s="72"/>
      <c r="F1" s="72"/>
      <c r="I1" s="72" t="str">
        <f>+'SALES SUMMARY'!A1</f>
        <v>THE OLD SPAGHETTI HOUSE-VALERO</v>
      </c>
      <c r="J1" s="72"/>
      <c r="K1" s="72"/>
      <c r="L1" s="72"/>
      <c r="M1" s="72"/>
      <c r="N1" s="72"/>
    </row>
    <row r="2" spans="1:15" ht="15.75" x14ac:dyDescent="0.25">
      <c r="A2" s="72" t="s">
        <v>70</v>
      </c>
      <c r="B2" s="72"/>
      <c r="C2" s="72"/>
      <c r="D2" s="72"/>
      <c r="E2" s="72"/>
      <c r="F2" s="72"/>
      <c r="I2" s="72" t="s">
        <v>70</v>
      </c>
      <c r="J2" s="72"/>
      <c r="K2" s="72"/>
      <c r="L2" s="72"/>
      <c r="M2" s="72"/>
      <c r="N2" s="72"/>
    </row>
    <row r="3" spans="1:15" ht="15.75" x14ac:dyDescent="0.25">
      <c r="A3" s="74" t="s">
        <v>136</v>
      </c>
      <c r="B3" s="72"/>
      <c r="C3" s="72"/>
      <c r="D3" s="72"/>
      <c r="E3" s="72"/>
      <c r="F3" s="72"/>
      <c r="I3" s="74" t="s">
        <v>137</v>
      </c>
      <c r="J3" s="72"/>
      <c r="K3" s="72"/>
      <c r="L3" s="72"/>
      <c r="M3" s="72"/>
      <c r="N3" s="72"/>
    </row>
    <row r="4" spans="1:15" ht="13.5" thickBot="1" x14ac:dyDescent="0.25"/>
    <row r="5" spans="1:15" ht="13.5" customHeight="1" thickTop="1" x14ac:dyDescent="0.2">
      <c r="A5" s="228" t="s">
        <v>2</v>
      </c>
      <c r="B5" s="222" t="s">
        <v>3</v>
      </c>
      <c r="C5" s="222" t="s">
        <v>71</v>
      </c>
      <c r="D5" s="224" t="s">
        <v>29</v>
      </c>
      <c r="E5" s="225"/>
      <c r="F5" s="226" t="s">
        <v>72</v>
      </c>
      <c r="I5" s="228" t="s">
        <v>2</v>
      </c>
      <c r="J5" s="222" t="s">
        <v>3</v>
      </c>
      <c r="K5" s="222" t="s">
        <v>71</v>
      </c>
      <c r="L5" s="224" t="s">
        <v>29</v>
      </c>
      <c r="M5" s="225"/>
      <c r="N5" s="226" t="s">
        <v>73</v>
      </c>
    </row>
    <row r="6" spans="1:15" ht="26.25" thickBot="1" x14ac:dyDescent="0.25">
      <c r="A6" s="229"/>
      <c r="B6" s="223"/>
      <c r="C6" s="223"/>
      <c r="D6" s="76" t="s">
        <v>74</v>
      </c>
      <c r="E6" s="76" t="s">
        <v>75</v>
      </c>
      <c r="F6" s="227"/>
      <c r="I6" s="229"/>
      <c r="J6" s="223"/>
      <c r="K6" s="223"/>
      <c r="L6" s="76" t="s">
        <v>74</v>
      </c>
      <c r="M6" s="76" t="s">
        <v>75</v>
      </c>
      <c r="N6" s="227"/>
    </row>
    <row r="7" spans="1:15" ht="13.5" thickTop="1" x14ac:dyDescent="0.2">
      <c r="A7" s="124"/>
      <c r="B7" s="77"/>
      <c r="C7" s="77"/>
      <c r="D7" s="77"/>
      <c r="E7" s="77"/>
      <c r="F7" s="78"/>
      <c r="I7" s="124"/>
      <c r="J7" s="77"/>
      <c r="K7" s="77"/>
      <c r="L7" s="77"/>
      <c r="M7" s="77"/>
      <c r="N7" s="78"/>
    </row>
    <row r="8" spans="1:15" x14ac:dyDescent="0.2">
      <c r="A8" s="220">
        <v>43647</v>
      </c>
      <c r="B8" s="79" t="s">
        <v>43</v>
      </c>
      <c r="C8" s="80">
        <f>+'SALES SUMMARY'!AF9</f>
        <v>903.77</v>
      </c>
      <c r="D8" s="81">
        <f>(C8*0.8)*0.85</f>
        <v>614.56360000000006</v>
      </c>
      <c r="E8" s="81">
        <f>(C8*0.8)*0.15</f>
        <v>108.45240000000001</v>
      </c>
      <c r="F8" s="82">
        <f>C8*0.2</f>
        <v>180.75400000000002</v>
      </c>
      <c r="I8" s="220">
        <v>43662</v>
      </c>
      <c r="J8" s="79" t="s">
        <v>43</v>
      </c>
      <c r="K8" s="80">
        <f>+'SALES SUMMARY'!AF54</f>
        <v>1144.78</v>
      </c>
      <c r="L8" s="81">
        <f>(K8*0.8)*0.85</f>
        <v>778.45040000000006</v>
      </c>
      <c r="M8" s="81">
        <f>(K8*0.8)*0.15</f>
        <v>137.37360000000001</v>
      </c>
      <c r="N8" s="82">
        <f>K8*0.2</f>
        <v>228.95600000000002</v>
      </c>
      <c r="O8" s="81"/>
    </row>
    <row r="9" spans="1:15" ht="13.5" thickBot="1" x14ac:dyDescent="0.25">
      <c r="A9" s="221"/>
      <c r="B9" s="83" t="s">
        <v>44</v>
      </c>
      <c r="C9" s="80">
        <f>+'SALES SUMMARY'!AF10</f>
        <v>1222.8699999999999</v>
      </c>
      <c r="D9" s="81">
        <f>(C9*0.8)*0.85</f>
        <v>831.55159999999989</v>
      </c>
      <c r="E9" s="81">
        <f>(C9*0.8)*0.15</f>
        <v>146.74439999999998</v>
      </c>
      <c r="F9" s="82">
        <f>C9*0.2</f>
        <v>244.57399999999998</v>
      </c>
      <c r="I9" s="221"/>
      <c r="J9" s="83" t="s">
        <v>44</v>
      </c>
      <c r="K9" s="80">
        <f>+'SALES SUMMARY'!AF55</f>
        <v>1030.6400000000001</v>
      </c>
      <c r="L9" s="81">
        <f>(K9*0.8)*0.85</f>
        <v>700.8352000000001</v>
      </c>
      <c r="M9" s="81">
        <f>(K9*0.8)*0.15</f>
        <v>123.67680000000001</v>
      </c>
      <c r="N9" s="82">
        <f>K9*0.2</f>
        <v>206.12800000000004</v>
      </c>
    </row>
    <row r="10" spans="1:15" ht="13.5" thickBot="1" x14ac:dyDescent="0.25">
      <c r="A10" s="125"/>
      <c r="B10" s="84"/>
      <c r="C10" s="85">
        <f>+C9+C8</f>
        <v>2126.64</v>
      </c>
      <c r="D10" s="86">
        <f>+D9+D8</f>
        <v>1446.1152</v>
      </c>
      <c r="E10" s="86">
        <f>+E9+E8</f>
        <v>255.1968</v>
      </c>
      <c r="F10" s="87">
        <f>+F9+F8</f>
        <v>425.32799999999997</v>
      </c>
      <c r="I10" s="125"/>
      <c r="J10" s="84"/>
      <c r="K10" s="85">
        <f>+K9+K8</f>
        <v>2175.42</v>
      </c>
      <c r="L10" s="86">
        <f>+L9+L8</f>
        <v>1479.2856000000002</v>
      </c>
      <c r="M10" s="86">
        <f>+M9+M8</f>
        <v>261.05040000000002</v>
      </c>
      <c r="N10" s="87">
        <f>+N9+N8</f>
        <v>435.08400000000006</v>
      </c>
    </row>
    <row r="11" spans="1:15" x14ac:dyDescent="0.2">
      <c r="A11" s="220">
        <f>+A8+1</f>
        <v>43648</v>
      </c>
      <c r="B11" s="83"/>
      <c r="C11" s="80">
        <f>+'SALES SUMMARY'!AF12</f>
        <v>1078.7</v>
      </c>
      <c r="D11" s="81">
        <f>(C11*0.8)*0.85</f>
        <v>733.51599999999996</v>
      </c>
      <c r="E11" s="81">
        <f>(C11*0.8)*0.15</f>
        <v>129.44399999999999</v>
      </c>
      <c r="F11" s="82">
        <f>C11*0.2</f>
        <v>215.74</v>
      </c>
      <c r="I11" s="122">
        <f>+I8+1</f>
        <v>43663</v>
      </c>
      <c r="J11" s="83"/>
      <c r="K11" s="80">
        <f>+'SALES SUMMARY'!AF57</f>
        <v>1687.68</v>
      </c>
      <c r="L11" s="81">
        <f>(K11*0.8)*0.85</f>
        <v>1147.6224000000002</v>
      </c>
      <c r="M11" s="81">
        <f>(K11*0.8)*0.15</f>
        <v>202.52160000000003</v>
      </c>
      <c r="N11" s="82">
        <f>K11*0.2</f>
        <v>337.53600000000006</v>
      </c>
    </row>
    <row r="12" spans="1:15" ht="13.5" thickBot="1" x14ac:dyDescent="0.25">
      <c r="A12" s="221"/>
      <c r="B12" s="83"/>
      <c r="C12" s="80">
        <f>+'SALES SUMMARY'!AF13</f>
        <v>997.04</v>
      </c>
      <c r="D12" s="81">
        <f>(C12*0.8)*0.85</f>
        <v>677.98720000000003</v>
      </c>
      <c r="E12" s="81">
        <f>(C12*0.8)*0.15</f>
        <v>119.6448</v>
      </c>
      <c r="F12" s="82">
        <f>C12*0.2</f>
        <v>199.40800000000002</v>
      </c>
      <c r="I12" s="123"/>
      <c r="J12" s="83"/>
      <c r="K12" s="80">
        <f>+'SALES SUMMARY'!AF58</f>
        <v>729.26</v>
      </c>
      <c r="L12" s="81">
        <f>(K12*0.8)*0.85</f>
        <v>495.89679999999998</v>
      </c>
      <c r="M12" s="81">
        <f>(K12*0.8)*0.15</f>
        <v>87.511200000000002</v>
      </c>
      <c r="N12" s="82">
        <f>K12*0.2</f>
        <v>145.852</v>
      </c>
    </row>
    <row r="13" spans="1:15" ht="13.5" thickBot="1" x14ac:dyDescent="0.25">
      <c r="A13" s="125"/>
      <c r="B13" s="84"/>
      <c r="C13" s="85">
        <f>+C12+C11</f>
        <v>2075.7399999999998</v>
      </c>
      <c r="D13" s="86">
        <f>+D12+D11</f>
        <v>1411.5032000000001</v>
      </c>
      <c r="E13" s="86">
        <f>+E12+E11</f>
        <v>249.08879999999999</v>
      </c>
      <c r="F13" s="87">
        <f>+F12+F11</f>
        <v>415.14800000000002</v>
      </c>
      <c r="I13" s="125"/>
      <c r="J13" s="84"/>
      <c r="K13" s="85">
        <f>+K12+K11</f>
        <v>2416.94</v>
      </c>
      <c r="L13" s="86">
        <f>+L12+L11</f>
        <v>1643.5192000000002</v>
      </c>
      <c r="M13" s="86">
        <f>+M12+M11</f>
        <v>290.03280000000007</v>
      </c>
      <c r="N13" s="87">
        <f>+N12+N11</f>
        <v>483.38800000000003</v>
      </c>
    </row>
    <row r="14" spans="1:15" x14ac:dyDescent="0.2">
      <c r="A14" s="220">
        <f>+A11+1</f>
        <v>43649</v>
      </c>
      <c r="B14" s="83"/>
      <c r="C14" s="80">
        <f>+'SALES SUMMARY'!AF15</f>
        <v>1459.41</v>
      </c>
      <c r="D14" s="81">
        <f>(C14*0.8)*0.85</f>
        <v>992.39879999999994</v>
      </c>
      <c r="E14" s="81">
        <f>(C14*0.8)*0.15</f>
        <v>175.1292</v>
      </c>
      <c r="F14" s="82">
        <f>C14*0.2</f>
        <v>291.88200000000001</v>
      </c>
      <c r="I14" s="122">
        <f>+I11+1</f>
        <v>43664</v>
      </c>
      <c r="J14" s="83"/>
      <c r="K14" s="80">
        <f>+'SALES SUMMARY'!AF60</f>
        <v>1872.05</v>
      </c>
      <c r="L14" s="81">
        <f>(K14*0.8)*0.85</f>
        <v>1272.9940000000001</v>
      </c>
      <c r="M14" s="81">
        <f>(K14*0.8)*0.15</f>
        <v>224.64600000000002</v>
      </c>
      <c r="N14" s="82">
        <f>K14*0.2</f>
        <v>374.41</v>
      </c>
    </row>
    <row r="15" spans="1:15" ht="13.5" thickBot="1" x14ac:dyDescent="0.25">
      <c r="A15" s="221"/>
      <c r="B15" s="83"/>
      <c r="C15" s="80">
        <f>+'SALES SUMMARY'!AF16</f>
        <v>1299.8399999999999</v>
      </c>
      <c r="D15" s="81">
        <f>(C15*0.8)*0.85</f>
        <v>883.89120000000003</v>
      </c>
      <c r="E15" s="81">
        <f>(C15*0.8)*0.15</f>
        <v>155.98080000000002</v>
      </c>
      <c r="F15" s="82">
        <f>C15*0.2</f>
        <v>259.96800000000002</v>
      </c>
      <c r="I15" s="123"/>
      <c r="J15" s="83"/>
      <c r="K15" s="80">
        <f>+'SALES SUMMARY'!AF61</f>
        <v>646.79</v>
      </c>
      <c r="L15" s="81">
        <f>(K15*0.8)*0.85</f>
        <v>439.81720000000001</v>
      </c>
      <c r="M15" s="81">
        <f>(K15*0.8)*0.15</f>
        <v>77.614800000000002</v>
      </c>
      <c r="N15" s="82">
        <f>K15*0.2</f>
        <v>129.358</v>
      </c>
    </row>
    <row r="16" spans="1:15" ht="13.5" thickBot="1" x14ac:dyDescent="0.25">
      <c r="A16" s="126"/>
      <c r="B16" s="84"/>
      <c r="C16" s="85">
        <f>+C15+C14</f>
        <v>2759.25</v>
      </c>
      <c r="D16" s="86">
        <f>+D15+D14</f>
        <v>1876.29</v>
      </c>
      <c r="E16" s="86">
        <f>+E15+E14</f>
        <v>331.11</v>
      </c>
      <c r="F16" s="87">
        <f>+F15+F14</f>
        <v>551.85</v>
      </c>
      <c r="I16" s="126"/>
      <c r="J16" s="84"/>
      <c r="K16" s="85">
        <f>+K15+K14</f>
        <v>2518.84</v>
      </c>
      <c r="L16" s="86">
        <f>+L15+L14</f>
        <v>1712.8112000000001</v>
      </c>
      <c r="M16" s="86">
        <f>+M15+M14</f>
        <v>302.26080000000002</v>
      </c>
      <c r="N16" s="87">
        <f>+N15+N14</f>
        <v>503.76800000000003</v>
      </c>
    </row>
    <row r="17" spans="1:14" x14ac:dyDescent="0.2">
      <c r="A17" s="220">
        <f>+A14+1</f>
        <v>43650</v>
      </c>
      <c r="B17" s="83"/>
      <c r="C17" s="80">
        <f>+'SALES SUMMARY'!AF18</f>
        <v>1406.11</v>
      </c>
      <c r="D17" s="81">
        <f>(C17*0.8)*0.85</f>
        <v>956.15479999999991</v>
      </c>
      <c r="E17" s="81">
        <f>(C17*0.8)*0.15</f>
        <v>168.73319999999998</v>
      </c>
      <c r="F17" s="82">
        <f>C17*0.2</f>
        <v>281.22199999999998</v>
      </c>
      <c r="I17" s="122">
        <f>+I14+1</f>
        <v>43665</v>
      </c>
      <c r="J17" s="83"/>
      <c r="K17" s="80">
        <f>+'SALES SUMMARY'!AF63</f>
        <v>2066.61</v>
      </c>
      <c r="L17" s="81">
        <f>(K17*0.8)*0.85</f>
        <v>1405.2948000000001</v>
      </c>
      <c r="M17" s="81">
        <f>(K17*0.8)*0.15</f>
        <v>247.99320000000003</v>
      </c>
      <c r="N17" s="82">
        <f>K17*0.2</f>
        <v>413.32200000000006</v>
      </c>
    </row>
    <row r="18" spans="1:14" ht="13.5" thickBot="1" x14ac:dyDescent="0.25">
      <c r="A18" s="221"/>
      <c r="B18" s="83"/>
      <c r="C18" s="80">
        <f>+'SALES SUMMARY'!AF19</f>
        <v>975.62</v>
      </c>
      <c r="D18" s="81">
        <f>(C18*0.8)*0.85</f>
        <v>663.42160000000001</v>
      </c>
      <c r="E18" s="81">
        <f>(C18*0.8)*0.15</f>
        <v>117.07440000000001</v>
      </c>
      <c r="F18" s="82">
        <f>C18*0.2</f>
        <v>195.12400000000002</v>
      </c>
      <c r="I18" s="123"/>
      <c r="J18" s="83"/>
      <c r="K18" s="80">
        <f>+'SALES SUMMARY'!AF64</f>
        <v>1713.73</v>
      </c>
      <c r="L18" s="81">
        <f>(K18*0.8)*0.85</f>
        <v>1165.3364000000001</v>
      </c>
      <c r="M18" s="81">
        <f>(K18*0.8)*0.15</f>
        <v>205.64760000000001</v>
      </c>
      <c r="N18" s="82">
        <f>K18*0.2</f>
        <v>342.74600000000004</v>
      </c>
    </row>
    <row r="19" spans="1:14" ht="13.5" thickBot="1" x14ac:dyDescent="0.25">
      <c r="A19" s="126"/>
      <c r="B19" s="84"/>
      <c r="C19" s="85">
        <f>+C18+C17</f>
        <v>2381.73</v>
      </c>
      <c r="D19" s="86">
        <f>+D18+D17</f>
        <v>1619.5763999999999</v>
      </c>
      <c r="E19" s="86">
        <f>+E18+E17</f>
        <v>285.80759999999998</v>
      </c>
      <c r="F19" s="87">
        <f>+F18+F17</f>
        <v>476.346</v>
      </c>
      <c r="I19" s="126"/>
      <c r="J19" s="84"/>
      <c r="K19" s="85">
        <f>+K18+K17</f>
        <v>3780.34</v>
      </c>
      <c r="L19" s="86">
        <f>+L18+L17</f>
        <v>2570.6312000000003</v>
      </c>
      <c r="M19" s="86">
        <f>+M18+M17</f>
        <v>453.64080000000001</v>
      </c>
      <c r="N19" s="87">
        <f>+N18+N17</f>
        <v>756.0680000000001</v>
      </c>
    </row>
    <row r="20" spans="1:14" x14ac:dyDescent="0.2">
      <c r="A20" s="220">
        <f>+A17+1</f>
        <v>43651</v>
      </c>
      <c r="B20" s="83"/>
      <c r="C20" s="80">
        <f>+'SALES SUMMARY'!AF21</f>
        <v>2184.19</v>
      </c>
      <c r="D20" s="81">
        <f>(C20*0.8)*0.85</f>
        <v>1485.2492</v>
      </c>
      <c r="E20" s="81">
        <f>(C20*0.8)*0.15</f>
        <v>262.1028</v>
      </c>
      <c r="F20" s="82">
        <f>C20*0.2</f>
        <v>436.83800000000002</v>
      </c>
      <c r="I20" s="122">
        <f>+I17+1</f>
        <v>43666</v>
      </c>
      <c r="J20" s="83"/>
      <c r="K20" s="80">
        <f>+'SALES SUMMARY'!AF66</f>
        <v>0</v>
      </c>
      <c r="L20" s="81">
        <f>(K20*0.8)*0.85</f>
        <v>0</v>
      </c>
      <c r="M20" s="81">
        <f>(K20*0.8)*0.15</f>
        <v>0</v>
      </c>
      <c r="N20" s="82">
        <f>K20*0.2</f>
        <v>0</v>
      </c>
    </row>
    <row r="21" spans="1:14" ht="13.5" thickBot="1" x14ac:dyDescent="0.25">
      <c r="A21" s="221"/>
      <c r="B21" s="83"/>
      <c r="C21" s="80">
        <f>+'SALES SUMMARY'!AF22</f>
        <v>2415.19</v>
      </c>
      <c r="D21" s="81">
        <f>(C21*0.8)*0.85</f>
        <v>1642.3291999999999</v>
      </c>
      <c r="E21" s="81">
        <f>(C21*0.8)*0.15</f>
        <v>289.82279999999997</v>
      </c>
      <c r="F21" s="82">
        <f>C21*0.2</f>
        <v>483.03800000000001</v>
      </c>
      <c r="I21" s="123"/>
      <c r="J21" s="83"/>
      <c r="K21" s="80">
        <f>+'SALES SUMMARY'!AF67</f>
        <v>251.34</v>
      </c>
      <c r="L21" s="81">
        <f>(K21*0.8)*0.85</f>
        <v>170.91120000000001</v>
      </c>
      <c r="M21" s="81">
        <f>(K21*0.8)*0.15</f>
        <v>30.160799999999998</v>
      </c>
      <c r="N21" s="82">
        <f>K21*0.2</f>
        <v>50.268000000000001</v>
      </c>
    </row>
    <row r="22" spans="1:14" ht="13.5" thickBot="1" x14ac:dyDescent="0.25">
      <c r="A22" s="126"/>
      <c r="B22" s="84"/>
      <c r="C22" s="85">
        <f>+C21+C20</f>
        <v>4599.38</v>
      </c>
      <c r="D22" s="86">
        <f>+D21+D20</f>
        <v>3127.5783999999999</v>
      </c>
      <c r="E22" s="86">
        <f>+E21+E20</f>
        <v>551.92560000000003</v>
      </c>
      <c r="F22" s="87">
        <f>+F21+F20</f>
        <v>919.87599999999998</v>
      </c>
      <c r="I22" s="126"/>
      <c r="J22" s="84"/>
      <c r="K22" s="85">
        <f>+K21+K20</f>
        <v>251.34</v>
      </c>
      <c r="L22" s="86">
        <f>+L21+L20</f>
        <v>170.91120000000001</v>
      </c>
      <c r="M22" s="86">
        <f>+M21+M20</f>
        <v>30.160799999999998</v>
      </c>
      <c r="N22" s="87">
        <f>+N21+N20</f>
        <v>50.268000000000001</v>
      </c>
    </row>
    <row r="23" spans="1:14" x14ac:dyDescent="0.2">
      <c r="A23" s="220">
        <f>+A20+1</f>
        <v>43652</v>
      </c>
      <c r="B23" s="83"/>
      <c r="C23" s="80">
        <f>+'SALES SUMMARY'!AF24</f>
        <v>0</v>
      </c>
      <c r="D23" s="81">
        <f>(C23*0.8)*0.85</f>
        <v>0</v>
      </c>
      <c r="E23" s="81">
        <f>(C23*0.8)*0.15</f>
        <v>0</v>
      </c>
      <c r="F23" s="82">
        <f>C23*0.2</f>
        <v>0</v>
      </c>
      <c r="I23" s="122">
        <f>+I20+1</f>
        <v>43667</v>
      </c>
      <c r="J23" s="83"/>
      <c r="K23" s="80">
        <f>+'SALES SUMMARY'!AF69</f>
        <v>0</v>
      </c>
      <c r="L23" s="81">
        <f>(K23*0.8)*0.85</f>
        <v>0</v>
      </c>
      <c r="M23" s="81">
        <f>(K23*0.8)*0.15</f>
        <v>0</v>
      </c>
      <c r="N23" s="82">
        <f>K23*0.2</f>
        <v>0</v>
      </c>
    </row>
    <row r="24" spans="1:14" ht="13.5" thickBot="1" x14ac:dyDescent="0.25">
      <c r="A24" s="221"/>
      <c r="B24" s="83"/>
      <c r="C24" s="80">
        <f>+'SALES SUMMARY'!AF25</f>
        <v>712.94</v>
      </c>
      <c r="D24" s="81">
        <f>(C24*0.8)*0.85</f>
        <v>484.79920000000004</v>
      </c>
      <c r="E24" s="81">
        <f>(C24*0.8)*0.15</f>
        <v>85.552800000000005</v>
      </c>
      <c r="F24" s="82">
        <f>C24*0.2</f>
        <v>142.58800000000002</v>
      </c>
      <c r="I24" s="123"/>
      <c r="J24" s="83"/>
      <c r="K24" s="80">
        <f>+'SALES SUMMARY'!AF70</f>
        <v>0</v>
      </c>
      <c r="L24" s="81">
        <f>(K24*0.8)*0.85</f>
        <v>0</v>
      </c>
      <c r="M24" s="81">
        <f>(K24*0.8)*0.15</f>
        <v>0</v>
      </c>
      <c r="N24" s="82">
        <f>K24*0.2</f>
        <v>0</v>
      </c>
    </row>
    <row r="25" spans="1:14" ht="13.5" thickBot="1" x14ac:dyDescent="0.25">
      <c r="A25" s="126"/>
      <c r="B25" s="84"/>
      <c r="C25" s="85">
        <f>+C24+C23</f>
        <v>712.94</v>
      </c>
      <c r="D25" s="86">
        <f>+D24+D23</f>
        <v>484.79920000000004</v>
      </c>
      <c r="E25" s="86">
        <f>+E24+E23</f>
        <v>85.552800000000005</v>
      </c>
      <c r="F25" s="87">
        <f>+F24+F23</f>
        <v>142.58800000000002</v>
      </c>
      <c r="G25" s="127"/>
      <c r="I25" s="126"/>
      <c r="J25" s="84"/>
      <c r="K25" s="85">
        <f>+K24+K23</f>
        <v>0</v>
      </c>
      <c r="L25" s="86">
        <f>+L24+L23</f>
        <v>0</v>
      </c>
      <c r="M25" s="86">
        <f>+M24+M23</f>
        <v>0</v>
      </c>
      <c r="N25" s="87">
        <f>+N24+N23</f>
        <v>0</v>
      </c>
    </row>
    <row r="26" spans="1:14" x14ac:dyDescent="0.2">
      <c r="A26" s="220">
        <f>+A23+1</f>
        <v>43653</v>
      </c>
      <c r="B26" s="83"/>
      <c r="C26" s="80">
        <f>+'SALES SUMMARY'!AF27</f>
        <v>0</v>
      </c>
      <c r="D26" s="81">
        <f>(C26*0.8)*0.85</f>
        <v>0</v>
      </c>
      <c r="E26" s="81">
        <f>(C26*0.8)*0.15</f>
        <v>0</v>
      </c>
      <c r="F26" s="82">
        <f>C26*0.2</f>
        <v>0</v>
      </c>
      <c r="I26" s="122">
        <f>+I23+1</f>
        <v>43668</v>
      </c>
      <c r="J26" s="83"/>
      <c r="K26" s="80">
        <f>+'SALES SUMMARY'!AF72</f>
        <v>800.75</v>
      </c>
      <c r="L26" s="81">
        <f>(K26*0.8)*0.85</f>
        <v>544.51</v>
      </c>
      <c r="M26" s="81">
        <f>(K26*0.8)*0.15</f>
        <v>96.09</v>
      </c>
      <c r="N26" s="82">
        <f>K26*0.2</f>
        <v>160.15</v>
      </c>
    </row>
    <row r="27" spans="1:14" ht="13.5" thickBot="1" x14ac:dyDescent="0.25">
      <c r="A27" s="221"/>
      <c r="B27" s="83"/>
      <c r="C27" s="80">
        <f>+'SALES SUMMARY'!AF28</f>
        <v>0</v>
      </c>
      <c r="D27" s="81">
        <f>(C27*0.8)*0.85</f>
        <v>0</v>
      </c>
      <c r="E27" s="81">
        <f>(C27*0.8)*0.15</f>
        <v>0</v>
      </c>
      <c r="F27" s="82">
        <f>C27*0.2</f>
        <v>0</v>
      </c>
      <c r="I27" s="123"/>
      <c r="J27" s="83"/>
      <c r="K27" s="80">
        <f>+'SALES SUMMARY'!AF73</f>
        <v>892.96</v>
      </c>
      <c r="L27" s="81">
        <f>(K27*0.8)*0.85</f>
        <v>607.21280000000002</v>
      </c>
      <c r="M27" s="81">
        <f>(K27*0.8)*0.15</f>
        <v>107.15520000000001</v>
      </c>
      <c r="N27" s="82">
        <f>K27*0.2</f>
        <v>178.59200000000001</v>
      </c>
    </row>
    <row r="28" spans="1:14" ht="13.5" thickBot="1" x14ac:dyDescent="0.25">
      <c r="A28" s="126"/>
      <c r="B28" s="84"/>
      <c r="C28" s="85">
        <f>+C27+C26</f>
        <v>0</v>
      </c>
      <c r="D28" s="86">
        <f>+D27+D26</f>
        <v>0</v>
      </c>
      <c r="E28" s="86">
        <f>+E27+E26</f>
        <v>0</v>
      </c>
      <c r="F28" s="87">
        <f>+F27+F26</f>
        <v>0</v>
      </c>
      <c r="I28" s="126"/>
      <c r="J28" s="84"/>
      <c r="K28" s="85">
        <f>+K27+K26</f>
        <v>1693.71</v>
      </c>
      <c r="L28" s="86">
        <f>+L27+L26</f>
        <v>1151.7228</v>
      </c>
      <c r="M28" s="86">
        <f>+M27+M26</f>
        <v>203.24520000000001</v>
      </c>
      <c r="N28" s="87">
        <f>+N27+N26</f>
        <v>338.74200000000002</v>
      </c>
    </row>
    <row r="29" spans="1:14" x14ac:dyDescent="0.2">
      <c r="A29" s="220">
        <f>+A26+1</f>
        <v>43654</v>
      </c>
      <c r="B29" s="83"/>
      <c r="C29" s="80">
        <f>+'SALES SUMMARY'!AF30</f>
        <v>1473.67</v>
      </c>
      <c r="D29" s="81">
        <f>(C29*0.8)*0.85</f>
        <v>1002.0956000000001</v>
      </c>
      <c r="E29" s="81">
        <f>(C29*0.8)*0.15</f>
        <v>176.84040000000002</v>
      </c>
      <c r="F29" s="82">
        <f>C29*0.2</f>
        <v>294.73400000000004</v>
      </c>
      <c r="I29" s="122">
        <f>+I26+1</f>
        <v>43669</v>
      </c>
      <c r="J29" s="83"/>
      <c r="K29" s="80">
        <f>+'SALES SUMMARY'!AF75</f>
        <v>1459.16</v>
      </c>
      <c r="L29" s="81">
        <f>(K29*0.8)*0.85</f>
        <v>992.22880000000009</v>
      </c>
      <c r="M29" s="81">
        <f>(K29*0.8)*0.15</f>
        <v>175.09920000000002</v>
      </c>
      <c r="N29" s="82">
        <f>K29*0.2</f>
        <v>291.83200000000005</v>
      </c>
    </row>
    <row r="30" spans="1:14" ht="13.5" thickBot="1" x14ac:dyDescent="0.25">
      <c r="A30" s="221"/>
      <c r="B30" s="83"/>
      <c r="C30" s="80">
        <f>+'SALES SUMMARY'!AF31</f>
        <v>1136.6099999999999</v>
      </c>
      <c r="D30" s="81">
        <f>(C30*0.8)*0.85</f>
        <v>772.89480000000003</v>
      </c>
      <c r="E30" s="81">
        <f>(C30*0.8)*0.15</f>
        <v>136.39320000000001</v>
      </c>
      <c r="F30" s="82">
        <f>C30*0.2</f>
        <v>227.322</v>
      </c>
      <c r="I30" s="123"/>
      <c r="J30" s="83"/>
      <c r="K30" s="80">
        <f>+'SALES SUMMARY'!AF76</f>
        <v>744.58</v>
      </c>
      <c r="L30" s="81">
        <f>(K30*0.8)*0.85</f>
        <v>506.31440000000009</v>
      </c>
      <c r="M30" s="81">
        <f>(K30*0.8)*0.15</f>
        <v>89.349600000000009</v>
      </c>
      <c r="N30" s="82">
        <f>K30*0.2</f>
        <v>148.91600000000003</v>
      </c>
    </row>
    <row r="31" spans="1:14" ht="13.5" thickBot="1" x14ac:dyDescent="0.25">
      <c r="A31" s="126"/>
      <c r="B31" s="84"/>
      <c r="C31" s="85">
        <f>+C30+C29</f>
        <v>2610.2799999999997</v>
      </c>
      <c r="D31" s="86">
        <f>+D30+D29</f>
        <v>1774.9904000000001</v>
      </c>
      <c r="E31" s="86">
        <f>+E30+E29</f>
        <v>313.23360000000002</v>
      </c>
      <c r="F31" s="87">
        <f>+F30+F29</f>
        <v>522.05600000000004</v>
      </c>
      <c r="I31" s="126"/>
      <c r="J31" s="84"/>
      <c r="K31" s="85">
        <f>+K30+K29</f>
        <v>2203.7400000000002</v>
      </c>
      <c r="L31" s="86">
        <f>+L30+L29</f>
        <v>1498.5432000000001</v>
      </c>
      <c r="M31" s="86">
        <f>+M30+M29</f>
        <v>264.44880000000001</v>
      </c>
      <c r="N31" s="87">
        <f>+N30+N29</f>
        <v>440.74800000000005</v>
      </c>
    </row>
    <row r="32" spans="1:14" x14ac:dyDescent="0.2">
      <c r="A32" s="220">
        <f>+A29+1</f>
        <v>43655</v>
      </c>
      <c r="B32" s="83"/>
      <c r="C32" s="80">
        <f>+'SALES SUMMARY'!AF33</f>
        <v>1192.8</v>
      </c>
      <c r="D32" s="81">
        <f>(C32*0.8)*0.85</f>
        <v>811.10400000000004</v>
      </c>
      <c r="E32" s="81">
        <f>(C32*0.8)*0.15</f>
        <v>143.136</v>
      </c>
      <c r="F32" s="82">
        <f>C32*0.2</f>
        <v>238.56</v>
      </c>
      <c r="I32" s="122">
        <f>+I29+1</f>
        <v>43670</v>
      </c>
      <c r="J32" s="83"/>
      <c r="K32" s="80">
        <f>+'SALES SUMMARY'!AF78</f>
        <v>1145.81</v>
      </c>
      <c r="L32" s="81">
        <f>(K32*0.8)*0.85</f>
        <v>779.1508</v>
      </c>
      <c r="M32" s="81">
        <f>(K32*0.8)*0.15</f>
        <v>137.49719999999999</v>
      </c>
      <c r="N32" s="82">
        <f>K32*0.2</f>
        <v>229.16200000000001</v>
      </c>
    </row>
    <row r="33" spans="1:18" ht="13.5" thickBot="1" x14ac:dyDescent="0.25">
      <c r="A33" s="221"/>
      <c r="B33" s="83"/>
      <c r="C33" s="80">
        <f>+'SALES SUMMARY'!AF34</f>
        <v>736.2</v>
      </c>
      <c r="D33" s="81">
        <f>(C33*0.8)*0.85</f>
        <v>500.61600000000004</v>
      </c>
      <c r="E33" s="81">
        <f>(C33*0.8)*0.15</f>
        <v>88.344000000000008</v>
      </c>
      <c r="F33" s="82">
        <f>C33*0.2</f>
        <v>147.24</v>
      </c>
      <c r="I33" s="123"/>
      <c r="J33" s="83"/>
      <c r="K33" s="80">
        <f>+'SALES SUMMARY'!AF79</f>
        <v>1307.5899999999999</v>
      </c>
      <c r="L33" s="81">
        <f>(K33*0.8)*0.85</f>
        <v>889.16119999999989</v>
      </c>
      <c r="M33" s="81">
        <f>(K33*0.8)*0.15</f>
        <v>156.91079999999997</v>
      </c>
      <c r="N33" s="82">
        <f>K33*0.2</f>
        <v>261.51799999999997</v>
      </c>
    </row>
    <row r="34" spans="1:18" ht="13.5" thickBot="1" x14ac:dyDescent="0.25">
      <c r="A34" s="126"/>
      <c r="B34" s="84"/>
      <c r="C34" s="85">
        <f>+C33+C32</f>
        <v>1929</v>
      </c>
      <c r="D34" s="86">
        <f>+D33+D32</f>
        <v>1311.72</v>
      </c>
      <c r="E34" s="86">
        <f>+E33+E32</f>
        <v>231.48000000000002</v>
      </c>
      <c r="F34" s="87">
        <f>+F33+F32</f>
        <v>385.8</v>
      </c>
      <c r="G34" s="127"/>
      <c r="I34" s="126"/>
      <c r="J34" s="84"/>
      <c r="K34" s="85">
        <f>+K33+K32</f>
        <v>2453.3999999999996</v>
      </c>
      <c r="L34" s="86">
        <f>+L33+L32</f>
        <v>1668.3119999999999</v>
      </c>
      <c r="M34" s="86">
        <f>+M33+M32</f>
        <v>294.40799999999996</v>
      </c>
      <c r="N34" s="87">
        <f>+N33+N32</f>
        <v>490.67999999999995</v>
      </c>
    </row>
    <row r="35" spans="1:18" x14ac:dyDescent="0.2">
      <c r="A35" s="220">
        <f>+A32+1</f>
        <v>43656</v>
      </c>
      <c r="B35" s="83"/>
      <c r="C35" s="80">
        <f>+'SALES SUMMARY'!AF36</f>
        <v>1659.86</v>
      </c>
      <c r="D35" s="81">
        <f>(C35*0.8)*0.85</f>
        <v>1128.7048</v>
      </c>
      <c r="E35" s="81">
        <f>(C35*0.8)*0.15</f>
        <v>199.18319999999997</v>
      </c>
      <c r="F35" s="82">
        <f>C35*0.2</f>
        <v>331.97199999999998</v>
      </c>
      <c r="I35" s="122">
        <f>+I32+1</f>
        <v>43671</v>
      </c>
      <c r="J35" s="83"/>
      <c r="K35" s="80">
        <f>+'SALES SUMMARY'!AF81</f>
        <v>1623.53</v>
      </c>
      <c r="L35" s="81">
        <f>(K35*0.8)*0.85</f>
        <v>1104.0004000000001</v>
      </c>
      <c r="M35" s="81">
        <f>(K35*0.8)*0.15</f>
        <v>194.8236</v>
      </c>
      <c r="N35" s="82">
        <f>K35*0.2</f>
        <v>324.70600000000002</v>
      </c>
    </row>
    <row r="36" spans="1:18" ht="13.5" thickBot="1" x14ac:dyDescent="0.25">
      <c r="A36" s="221"/>
      <c r="B36" s="83"/>
      <c r="C36" s="80">
        <f>+'SALES SUMMARY'!AF37</f>
        <v>954.01</v>
      </c>
      <c r="D36" s="81">
        <f>(C36*0.8)*0.85</f>
        <v>648.72680000000003</v>
      </c>
      <c r="E36" s="81">
        <f>(C36*0.8)*0.15</f>
        <v>114.48120000000002</v>
      </c>
      <c r="F36" s="82">
        <f>C36*0.2</f>
        <v>190.80200000000002</v>
      </c>
      <c r="I36" s="123"/>
      <c r="J36" s="83"/>
      <c r="K36" s="80">
        <f>+'SALES SUMMARY'!AF82</f>
        <v>694.77</v>
      </c>
      <c r="L36" s="81">
        <f>(K36*0.8)*0.85</f>
        <v>472.4436</v>
      </c>
      <c r="M36" s="81">
        <f>(K36*0.8)*0.15</f>
        <v>83.372399999999999</v>
      </c>
      <c r="N36" s="82">
        <f>K36*0.2</f>
        <v>138.95400000000001</v>
      </c>
    </row>
    <row r="37" spans="1:18" ht="13.5" thickBot="1" x14ac:dyDescent="0.25">
      <c r="A37" s="126"/>
      <c r="B37" s="84"/>
      <c r="C37" s="85">
        <f>+C36+C35</f>
        <v>2613.87</v>
      </c>
      <c r="D37" s="86">
        <f>+D36+D35</f>
        <v>1777.4315999999999</v>
      </c>
      <c r="E37" s="86">
        <f>+E36+E35</f>
        <v>313.6644</v>
      </c>
      <c r="F37" s="87">
        <f>+F36+F35</f>
        <v>522.774</v>
      </c>
      <c r="G37" s="127"/>
      <c r="I37" s="126"/>
      <c r="J37" s="84"/>
      <c r="K37" s="85">
        <f>+K36+K35</f>
        <v>2318.3000000000002</v>
      </c>
      <c r="L37" s="86">
        <f>+L36+L35</f>
        <v>1576.4440000000002</v>
      </c>
      <c r="M37" s="86">
        <f>+M36+M35</f>
        <v>278.19600000000003</v>
      </c>
      <c r="N37" s="87">
        <f>+N36+N35</f>
        <v>463.66</v>
      </c>
    </row>
    <row r="38" spans="1:18" ht="15" x14ac:dyDescent="0.25">
      <c r="A38" s="220">
        <f>+A35+1</f>
        <v>43657</v>
      </c>
      <c r="B38" s="83"/>
      <c r="C38" s="80">
        <f>+'SALES SUMMARY'!AF39</f>
        <v>1062.24</v>
      </c>
      <c r="D38" s="81">
        <f>(C38*0.8)*0.85</f>
        <v>722.32320000000004</v>
      </c>
      <c r="E38" s="81">
        <f>(C38*0.8)*0.15</f>
        <v>127.4688</v>
      </c>
      <c r="F38" s="82">
        <f>C38*0.2</f>
        <v>212.44800000000001</v>
      </c>
      <c r="I38" s="122">
        <f>+I35+1</f>
        <v>43672</v>
      </c>
      <c r="J38" s="83"/>
      <c r="K38" s="80">
        <f>+'SALES SUMMARY'!AF84</f>
        <v>2695.86</v>
      </c>
      <c r="L38" s="81">
        <f>(K38*0.8)*0.85</f>
        <v>1833.1848</v>
      </c>
      <c r="M38" s="81">
        <f>(K38*0.8)*0.15</f>
        <v>323.50319999999999</v>
      </c>
      <c r="N38" s="82">
        <f>K38*0.2</f>
        <v>539.17200000000003</v>
      </c>
      <c r="R38" s="128"/>
    </row>
    <row r="39" spans="1:18" ht="13.5" thickBot="1" x14ac:dyDescent="0.25">
      <c r="A39" s="221"/>
      <c r="B39" s="83"/>
      <c r="C39" s="80">
        <f>+'SALES SUMMARY'!AF40</f>
        <v>2015.79</v>
      </c>
      <c r="D39" s="81">
        <f>(C39*0.8)*0.85</f>
        <v>1370.7372</v>
      </c>
      <c r="E39" s="81">
        <f>(C39*0.8)*0.15</f>
        <v>241.8948</v>
      </c>
      <c r="F39" s="82">
        <f>C39*0.2</f>
        <v>403.15800000000002</v>
      </c>
      <c r="I39" s="123"/>
      <c r="J39" s="83"/>
      <c r="K39" s="80">
        <f>+'SALES SUMMARY'!AF85</f>
        <v>1458.91</v>
      </c>
      <c r="L39" s="81">
        <f>(K39*0.8)*0.85</f>
        <v>992.05880000000013</v>
      </c>
      <c r="M39" s="81">
        <f>(K39*0.8)*0.15</f>
        <v>175.06920000000002</v>
      </c>
      <c r="N39" s="82">
        <f>K39*0.2</f>
        <v>291.78200000000004</v>
      </c>
    </row>
    <row r="40" spans="1:18" ht="13.5" thickBot="1" x14ac:dyDescent="0.25">
      <c r="A40" s="126"/>
      <c r="B40" s="84"/>
      <c r="C40" s="85">
        <f>+C39+C38</f>
        <v>3078.0299999999997</v>
      </c>
      <c r="D40" s="86">
        <f>+D39+D38</f>
        <v>2093.0604000000003</v>
      </c>
      <c r="E40" s="86">
        <f>+E39+E38</f>
        <v>369.36360000000002</v>
      </c>
      <c r="F40" s="87">
        <f>+F39+F38</f>
        <v>615.60599999999999</v>
      </c>
      <c r="I40" s="126"/>
      <c r="J40" s="84"/>
      <c r="K40" s="85">
        <f>+K39+K38</f>
        <v>4154.7700000000004</v>
      </c>
      <c r="L40" s="86">
        <f>+L39+L38</f>
        <v>2825.2436000000002</v>
      </c>
      <c r="M40" s="86">
        <f>+M39+M38</f>
        <v>498.57240000000002</v>
      </c>
      <c r="N40" s="87">
        <f>+N39+N38</f>
        <v>830.95400000000006</v>
      </c>
    </row>
    <row r="41" spans="1:18" x14ac:dyDescent="0.2">
      <c r="A41" s="220">
        <f>+A38+1</f>
        <v>43658</v>
      </c>
      <c r="B41" s="79"/>
      <c r="C41" s="80">
        <f>+'SALES SUMMARY'!AF42</f>
        <v>9289.81</v>
      </c>
      <c r="D41" s="81">
        <f>(C41*0.8)*0.85</f>
        <v>6317.0707999999995</v>
      </c>
      <c r="E41" s="81">
        <f>(C41*0.8)*0.15</f>
        <v>1114.7772</v>
      </c>
      <c r="F41" s="82">
        <f>C41*0.2</f>
        <v>1857.962</v>
      </c>
      <c r="I41" s="122">
        <f>+I38+1</f>
        <v>43673</v>
      </c>
      <c r="J41" s="79"/>
      <c r="K41" s="80">
        <f>+'SALES SUMMARY'!AF87</f>
        <v>0</v>
      </c>
      <c r="L41" s="81">
        <f>(K41*0.8)*0.85</f>
        <v>0</v>
      </c>
      <c r="M41" s="81">
        <f>(K41*0.8)*0.15</f>
        <v>0</v>
      </c>
      <c r="N41" s="82">
        <f>K41*0.2</f>
        <v>0</v>
      </c>
    </row>
    <row r="42" spans="1:18" ht="13.5" thickBot="1" x14ac:dyDescent="0.25">
      <c r="A42" s="221"/>
      <c r="B42" s="83"/>
      <c r="C42" s="80">
        <f>+'SALES SUMMARY'!AF43</f>
        <v>1190.27</v>
      </c>
      <c r="D42" s="81">
        <f>(C42*0.8)*0.85</f>
        <v>809.3836</v>
      </c>
      <c r="E42" s="81">
        <f>(C42*0.8)*0.15</f>
        <v>142.83240000000001</v>
      </c>
      <c r="F42" s="82">
        <f>C42*0.2</f>
        <v>238.054</v>
      </c>
      <c r="I42" s="123"/>
      <c r="J42" s="83"/>
      <c r="K42" s="80">
        <f>+'SALES SUMMARY'!AF88</f>
        <v>537.05999999999995</v>
      </c>
      <c r="L42" s="81">
        <f>(K42*0.8)*0.85</f>
        <v>365.20079999999996</v>
      </c>
      <c r="M42" s="81">
        <f>(K42*0.8)*0.15</f>
        <v>64.447199999999995</v>
      </c>
      <c r="N42" s="82">
        <f>K42*0.2</f>
        <v>107.41199999999999</v>
      </c>
    </row>
    <row r="43" spans="1:18" ht="13.5" thickBot="1" x14ac:dyDescent="0.25">
      <c r="A43" s="125"/>
      <c r="B43" s="84"/>
      <c r="C43" s="85">
        <f>+C42+C41</f>
        <v>10480.08</v>
      </c>
      <c r="D43" s="86">
        <f>+D42+D41</f>
        <v>7126.4543999999996</v>
      </c>
      <c r="E43" s="86">
        <f>+E42+E41</f>
        <v>1257.6096</v>
      </c>
      <c r="F43" s="87">
        <f>+F42+F41</f>
        <v>2096.0160000000001</v>
      </c>
      <c r="I43" s="125"/>
      <c r="J43" s="84"/>
      <c r="K43" s="85">
        <f>+K42+K41</f>
        <v>537.05999999999995</v>
      </c>
      <c r="L43" s="86">
        <f>+L42+L41</f>
        <v>365.20079999999996</v>
      </c>
      <c r="M43" s="86">
        <f>+M42+M41</f>
        <v>64.447199999999995</v>
      </c>
      <c r="N43" s="87">
        <f>+N42+N41</f>
        <v>107.41199999999999</v>
      </c>
    </row>
    <row r="44" spans="1:18" x14ac:dyDescent="0.2">
      <c r="A44" s="220">
        <f>+A41+1</f>
        <v>43659</v>
      </c>
      <c r="B44" s="83"/>
      <c r="C44" s="80">
        <f>+'SALES SUMMARY'!AF45</f>
        <v>0</v>
      </c>
      <c r="D44" s="81">
        <f>(C44*0.8)*0.85</f>
        <v>0</v>
      </c>
      <c r="E44" s="81">
        <f>(C44*0.8)*0.15</f>
        <v>0</v>
      </c>
      <c r="F44" s="82">
        <f>C44*0.2</f>
        <v>0</v>
      </c>
      <c r="I44" s="122">
        <f>+I41+1</f>
        <v>43674</v>
      </c>
      <c r="J44" s="83"/>
      <c r="K44" s="80">
        <f>+'SALES SUMMARY'!AF90</f>
        <v>0</v>
      </c>
      <c r="L44" s="81">
        <f>(K44*0.8)*0.85</f>
        <v>0</v>
      </c>
      <c r="M44" s="81">
        <f>(K44*0.8)*0.15</f>
        <v>0</v>
      </c>
      <c r="N44" s="82">
        <f>K44*0.2</f>
        <v>0</v>
      </c>
    </row>
    <row r="45" spans="1:18" ht="13.5" thickBot="1" x14ac:dyDescent="0.25">
      <c r="A45" s="221"/>
      <c r="B45" s="83"/>
      <c r="C45" s="80">
        <f>+'SALES SUMMARY'!AF46</f>
        <v>597.02</v>
      </c>
      <c r="D45" s="81">
        <f>(C45*0.8)*0.85</f>
        <v>405.97359999999998</v>
      </c>
      <c r="E45" s="81">
        <f>(C45*0.8)*0.15</f>
        <v>71.642399999999995</v>
      </c>
      <c r="F45" s="82">
        <f>C45*0.2</f>
        <v>119.404</v>
      </c>
      <c r="I45" s="123"/>
      <c r="J45" s="83"/>
      <c r="K45" s="80">
        <f>+'SALES SUMMARY'!AF91</f>
        <v>0</v>
      </c>
      <c r="L45" s="81">
        <f>(K45*0.8)*0.85</f>
        <v>0</v>
      </c>
      <c r="M45" s="81">
        <f>(K45*0.8)*0.15</f>
        <v>0</v>
      </c>
      <c r="N45" s="82">
        <f>K45*0.2</f>
        <v>0</v>
      </c>
      <c r="R45" s="83"/>
    </row>
    <row r="46" spans="1:18" ht="13.5" thickBot="1" x14ac:dyDescent="0.25">
      <c r="A46" s="125"/>
      <c r="B46" s="84"/>
      <c r="C46" s="85">
        <f>+C45+C44</f>
        <v>597.02</v>
      </c>
      <c r="D46" s="86">
        <f>+D45+D44</f>
        <v>405.97359999999998</v>
      </c>
      <c r="E46" s="86">
        <f>+E45+E44</f>
        <v>71.642399999999995</v>
      </c>
      <c r="F46" s="87">
        <f>+F45+F44</f>
        <v>119.404</v>
      </c>
      <c r="G46" s="127"/>
      <c r="I46" s="125"/>
      <c r="J46" s="84"/>
      <c r="K46" s="85">
        <f>+K45+K44</f>
        <v>0</v>
      </c>
      <c r="L46" s="86">
        <f>+L45+L44</f>
        <v>0</v>
      </c>
      <c r="M46" s="86">
        <f>+M45+M44</f>
        <v>0</v>
      </c>
      <c r="N46" s="87">
        <f>+N45+N44</f>
        <v>0</v>
      </c>
    </row>
    <row r="47" spans="1:18" x14ac:dyDescent="0.2">
      <c r="A47" s="220">
        <f>+A44+1</f>
        <v>43660</v>
      </c>
      <c r="B47" s="83"/>
      <c r="C47" s="80">
        <f>+'SALES SUMMARY'!AF48</f>
        <v>0</v>
      </c>
      <c r="D47" s="81">
        <f>(C47*0.8)*0.85</f>
        <v>0</v>
      </c>
      <c r="E47" s="81">
        <f>(C47*0.8)*0.15</f>
        <v>0</v>
      </c>
      <c r="F47" s="82">
        <f>C47*0.2</f>
        <v>0</v>
      </c>
      <c r="I47" s="122">
        <f>+I44+1</f>
        <v>43675</v>
      </c>
      <c r="J47" s="83"/>
      <c r="K47" s="80">
        <f>+'SALES SUMMARY'!AF93</f>
        <v>1327.34</v>
      </c>
      <c r="L47" s="81">
        <f>(K47*0.8)*0.85</f>
        <v>902.59120000000007</v>
      </c>
      <c r="M47" s="81">
        <f>(K47*0.8)*0.15</f>
        <v>159.2808</v>
      </c>
      <c r="N47" s="82">
        <f>K47*0.2</f>
        <v>265.46800000000002</v>
      </c>
    </row>
    <row r="48" spans="1:18" ht="13.5" thickBot="1" x14ac:dyDescent="0.25">
      <c r="A48" s="221"/>
      <c r="B48" s="83"/>
      <c r="C48" s="80">
        <f>+'SALES SUMMARY'!AF49</f>
        <v>0</v>
      </c>
      <c r="D48" s="81">
        <f>(C48*0.8)*0.85</f>
        <v>0</v>
      </c>
      <c r="E48" s="81">
        <f>(C48*0.8)*0.15</f>
        <v>0</v>
      </c>
      <c r="F48" s="82">
        <f>C48*0.2</f>
        <v>0</v>
      </c>
      <c r="I48" s="123"/>
      <c r="J48" s="83"/>
      <c r="K48" s="80">
        <f>+'SALES SUMMARY'!AF94</f>
        <v>646.08000000000004</v>
      </c>
      <c r="L48" s="81">
        <f>(K48*0.8)*0.85</f>
        <v>439.33440000000002</v>
      </c>
      <c r="M48" s="81">
        <f>(K48*0.8)*0.15</f>
        <v>77.529600000000002</v>
      </c>
      <c r="N48" s="82">
        <f>K48*0.2</f>
        <v>129.21600000000001</v>
      </c>
    </row>
    <row r="49" spans="1:16" ht="13.5" thickBot="1" x14ac:dyDescent="0.25">
      <c r="A49" s="125"/>
      <c r="B49" s="84"/>
      <c r="C49" s="85">
        <f>+C48+C47</f>
        <v>0</v>
      </c>
      <c r="D49" s="86">
        <f>+D48+D47</f>
        <v>0</v>
      </c>
      <c r="E49" s="86">
        <f>+E48+E47</f>
        <v>0</v>
      </c>
      <c r="F49" s="87">
        <f>+F48+F47</f>
        <v>0</v>
      </c>
      <c r="G49" s="127"/>
      <c r="H49" s="127"/>
      <c r="I49" s="125"/>
      <c r="J49" s="84"/>
      <c r="K49" s="85">
        <f>+K48+K47</f>
        <v>1973.42</v>
      </c>
      <c r="L49" s="86">
        <f>+L48+L47</f>
        <v>1341.9256</v>
      </c>
      <c r="M49" s="86">
        <f>+M48+M47</f>
        <v>236.81040000000002</v>
      </c>
      <c r="N49" s="87">
        <f>+N48+N47</f>
        <v>394.68400000000003</v>
      </c>
    </row>
    <row r="50" spans="1:16" x14ac:dyDescent="0.2">
      <c r="A50" s="220">
        <f>+A47+1</f>
        <v>43661</v>
      </c>
      <c r="B50" s="83"/>
      <c r="C50" s="80">
        <f>+'SALES SUMMARY'!AF51</f>
        <v>1303.3</v>
      </c>
      <c r="D50" s="81">
        <f>(C50*0.8)*0.85</f>
        <v>886.24400000000003</v>
      </c>
      <c r="E50" s="81">
        <f>(C50*0.8)*0.15</f>
        <v>156.39600000000002</v>
      </c>
      <c r="F50" s="82">
        <f>C50*0.2</f>
        <v>260.66000000000003</v>
      </c>
      <c r="I50" s="122">
        <f>+I47+1</f>
        <v>43676</v>
      </c>
      <c r="J50" s="83"/>
      <c r="K50" s="80">
        <f>+'SALES SUMMARY'!AF96</f>
        <v>1840.96</v>
      </c>
      <c r="L50" s="81">
        <f>(K50*0.8)*0.85</f>
        <v>1251.8527999999999</v>
      </c>
      <c r="M50" s="81">
        <f>(K50*0.8)*0.15</f>
        <v>220.9152</v>
      </c>
      <c r="N50" s="82">
        <f>K50*0.2</f>
        <v>368.19200000000001</v>
      </c>
    </row>
    <row r="51" spans="1:16" ht="13.5" thickBot="1" x14ac:dyDescent="0.25">
      <c r="A51" s="221"/>
      <c r="B51" s="83"/>
      <c r="C51" s="80">
        <f>+'SALES SUMMARY'!AF52</f>
        <v>1272.56</v>
      </c>
      <c r="D51" s="81">
        <f>(C51*0.8)*0.85</f>
        <v>865.34079999999994</v>
      </c>
      <c r="E51" s="81">
        <f>(C51*0.8)*0.15</f>
        <v>152.7072</v>
      </c>
      <c r="F51" s="82">
        <f>C51*0.2</f>
        <v>254.512</v>
      </c>
      <c r="I51" s="123"/>
      <c r="J51" s="83"/>
      <c r="K51" s="80">
        <f>+'SALES SUMMARY'!AF97</f>
        <v>1121.94</v>
      </c>
      <c r="L51" s="81">
        <f>(K51*0.8)*0.85</f>
        <v>762.91920000000005</v>
      </c>
      <c r="M51" s="81">
        <f>(K51*0.8)*0.15</f>
        <v>134.6328</v>
      </c>
      <c r="N51" s="82">
        <f>K51*0.2</f>
        <v>224.38800000000003</v>
      </c>
    </row>
    <row r="52" spans="1:16" ht="13.5" thickBot="1" x14ac:dyDescent="0.25">
      <c r="A52" s="125"/>
      <c r="B52" s="84"/>
      <c r="C52" s="85">
        <f>+C51+C50</f>
        <v>2575.8599999999997</v>
      </c>
      <c r="D52" s="86">
        <f>+D51+D50</f>
        <v>1751.5848000000001</v>
      </c>
      <c r="E52" s="86">
        <f>+E51+E50</f>
        <v>309.10320000000002</v>
      </c>
      <c r="F52" s="87">
        <f>+F51+F50</f>
        <v>515.17200000000003</v>
      </c>
      <c r="G52" s="127"/>
      <c r="H52" s="127"/>
      <c r="I52" s="125"/>
      <c r="J52" s="84"/>
      <c r="K52" s="85">
        <f>+K51+K50</f>
        <v>2962.9</v>
      </c>
      <c r="L52" s="86">
        <f>+L51+L50</f>
        <v>2014.7719999999999</v>
      </c>
      <c r="M52" s="86">
        <f>+M51+M50</f>
        <v>355.548</v>
      </c>
      <c r="N52" s="87">
        <f>+N51+N50</f>
        <v>592.58000000000004</v>
      </c>
    </row>
    <row r="53" spans="1:16" ht="13.5" thickBot="1" x14ac:dyDescent="0.25">
      <c r="C53" s="88"/>
      <c r="D53" s="88"/>
      <c r="E53" s="88"/>
      <c r="F53" s="82"/>
      <c r="I53" s="122">
        <f>+I50+1</f>
        <v>43677</v>
      </c>
      <c r="J53" s="83"/>
      <c r="K53" s="80">
        <f>+'SALES SUMMARY'!AF99</f>
        <v>2284.4</v>
      </c>
      <c r="L53" s="81">
        <f>(K53*0.8)*0.85</f>
        <v>1553.3920000000001</v>
      </c>
      <c r="M53" s="81">
        <f>(K53*0.8)*0.15</f>
        <v>274.12800000000004</v>
      </c>
      <c r="N53" s="82">
        <f>K53*0.2</f>
        <v>456.88000000000005</v>
      </c>
    </row>
    <row r="54" spans="1:16" ht="14.25" thickTop="1" thickBot="1" x14ac:dyDescent="0.25">
      <c r="A54" s="89" t="s">
        <v>45</v>
      </c>
      <c r="B54" s="89"/>
      <c r="C54" s="90">
        <f>C10+C13+C16+C19+C22+C25+C28+C31+C34+C37+C40+C43+C46+C49+C52</f>
        <v>38539.819999999992</v>
      </c>
      <c r="D54" s="90">
        <f>D10+D13+D16+D19+D22+D25+D28+D31+D34+D37+D40+D43+D46+D49+D52</f>
        <v>26207.077600000001</v>
      </c>
      <c r="E54" s="90">
        <f>E10+E13+E16+E19+E22+E25+E28+E31+E34+E37+E40+E43+E46+E49+E52</f>
        <v>4624.7783999999992</v>
      </c>
      <c r="F54" s="90">
        <f>F10+F13+F16+F19+F22+F25+F28+F31+F34+F37+F40+F43+F46+F49+F52</f>
        <v>7707.9640000000018</v>
      </c>
      <c r="I54" s="123"/>
      <c r="J54" s="83"/>
      <c r="K54" s="80">
        <f>+'SALES SUMMARY'!AF100</f>
        <v>709.16</v>
      </c>
      <c r="L54" s="81">
        <f>(K54*0.8)*0.85</f>
        <v>482.22879999999998</v>
      </c>
      <c r="M54" s="81">
        <f>(K54*0.8)*0.15</f>
        <v>85.099199999999996</v>
      </c>
      <c r="N54" s="82">
        <f>K54*0.2</f>
        <v>141.83199999999999</v>
      </c>
    </row>
    <row r="55" spans="1:16" ht="14.25" thickTop="1" thickBot="1" x14ac:dyDescent="0.25">
      <c r="C55" s="75" t="s">
        <v>1</v>
      </c>
      <c r="I55" s="125"/>
      <c r="J55" s="84"/>
      <c r="K55" s="85">
        <f>+K54+K53</f>
        <v>2993.56</v>
      </c>
      <c r="L55" s="86">
        <f>+L54+L53</f>
        <v>2035.6208000000001</v>
      </c>
      <c r="M55" s="86">
        <f>+M54+M53</f>
        <v>359.22720000000004</v>
      </c>
      <c r="N55" s="87">
        <f>+N54+N53</f>
        <v>598.71199999999999</v>
      </c>
    </row>
    <row r="56" spans="1:16" ht="13.5" thickBot="1" x14ac:dyDescent="0.25">
      <c r="A56" s="91"/>
      <c r="B56" s="91"/>
      <c r="C56" s="91" t="s">
        <v>70</v>
      </c>
      <c r="D56" s="91"/>
      <c r="E56" s="91"/>
      <c r="F56" s="92">
        <f>D54</f>
        <v>26207.077600000001</v>
      </c>
      <c r="K56" s="88"/>
      <c r="L56" s="88"/>
      <c r="M56" s="88"/>
      <c r="N56" s="82"/>
    </row>
    <row r="57" spans="1:16" ht="14.25" thickTop="1" thickBot="1" x14ac:dyDescent="0.25">
      <c r="A57" s="91"/>
      <c r="B57" s="91"/>
      <c r="C57" s="91"/>
      <c r="D57" s="91"/>
      <c r="E57" s="91"/>
      <c r="F57" s="91"/>
      <c r="H57" s="127"/>
      <c r="I57" s="89" t="s">
        <v>45</v>
      </c>
      <c r="J57" s="89"/>
      <c r="K57" s="90">
        <f>+K55+K52+K49+K46+K43+K40+K37+K34+K31+K28+K25+K22+K19+K16+K13+K10</f>
        <v>32433.740000000005</v>
      </c>
      <c r="L57" s="90">
        <f>+L10+L13+L16+L19+L22+L25+L28+L31+L34+L37+L40+L43+L46+L49+L52+L55</f>
        <v>22054.943199999998</v>
      </c>
      <c r="M57" s="90">
        <f>+M10+M13+M16+M19+M22+M25+M28+M31+M34+M37+M40+M43+M46+M49+M52+M55</f>
        <v>3892.0488000000005</v>
      </c>
      <c r="N57" s="90">
        <f>+N10+N13+N16+N19+N22+N25+N28+N31+N34+N37+N40+N43+N46+N49+N52+N55</f>
        <v>6486.7480000000014</v>
      </c>
    </row>
    <row r="58" spans="1:16" ht="14.25" thickTop="1" thickBot="1" x14ac:dyDescent="0.25">
      <c r="A58" s="91"/>
      <c r="B58" s="91"/>
      <c r="C58" s="91" t="s">
        <v>76</v>
      </c>
      <c r="D58" s="91"/>
      <c r="E58" s="91"/>
      <c r="F58" s="93"/>
      <c r="I58" s="91"/>
      <c r="J58" s="91"/>
      <c r="K58" s="91"/>
      <c r="L58" s="91"/>
      <c r="M58" s="91"/>
      <c r="N58" s="93"/>
    </row>
    <row r="59" spans="1:16" ht="14.25" thickTop="1" thickBot="1" x14ac:dyDescent="0.25">
      <c r="A59" s="91"/>
      <c r="B59" s="91"/>
      <c r="C59" s="91" t="s">
        <v>77</v>
      </c>
      <c r="D59" s="91"/>
      <c r="E59" s="91"/>
      <c r="F59" s="93">
        <v>4580</v>
      </c>
      <c r="I59" s="91"/>
      <c r="J59" s="91" t="s">
        <v>70</v>
      </c>
      <c r="K59" s="91"/>
      <c r="L59" s="91"/>
      <c r="M59" s="129"/>
      <c r="N59" s="94">
        <f>L57</f>
        <v>22054.943199999998</v>
      </c>
    </row>
    <row r="60" spans="1:16" ht="14.25" thickTop="1" thickBot="1" x14ac:dyDescent="0.25">
      <c r="A60" s="91"/>
      <c r="B60" s="91"/>
      <c r="C60" s="91" t="s">
        <v>78</v>
      </c>
      <c r="D60" s="91"/>
      <c r="E60" s="91"/>
      <c r="F60" s="93">
        <f>(F54-F59)*0.6</f>
        <v>1876.7784000000011</v>
      </c>
      <c r="I60" s="91"/>
      <c r="J60" s="91"/>
      <c r="K60" s="91"/>
      <c r="L60" s="91"/>
      <c r="M60" s="130"/>
    </row>
    <row r="61" spans="1:16" ht="14.25" thickTop="1" thickBot="1" x14ac:dyDescent="0.25">
      <c r="A61" s="91"/>
      <c r="B61" s="91"/>
      <c r="C61" s="91" t="s">
        <v>79</v>
      </c>
      <c r="D61" s="91"/>
      <c r="E61" s="91"/>
      <c r="F61" s="94">
        <f>+F59+F60</f>
        <v>6456.7784000000011</v>
      </c>
      <c r="I61" s="91"/>
      <c r="J61" s="91" t="s">
        <v>76</v>
      </c>
      <c r="K61" s="91"/>
      <c r="L61" s="91"/>
      <c r="M61" s="129"/>
      <c r="N61" s="127"/>
      <c r="P61" s="127"/>
    </row>
    <row r="62" spans="1:16" ht="13.5" thickTop="1" x14ac:dyDescent="0.2">
      <c r="A62" s="91"/>
      <c r="B62" s="91"/>
      <c r="C62" s="91"/>
      <c r="D62" s="91"/>
      <c r="E62" s="91"/>
      <c r="F62" s="91"/>
      <c r="H62" s="127"/>
      <c r="I62" s="91"/>
      <c r="J62" s="91" t="s">
        <v>77</v>
      </c>
      <c r="K62" s="91"/>
      <c r="L62" s="91"/>
      <c r="M62" s="130"/>
      <c r="N62" s="131">
        <v>4580</v>
      </c>
    </row>
    <row r="63" spans="1:16" ht="13.5" thickBot="1" x14ac:dyDescent="0.25">
      <c r="A63" s="91"/>
      <c r="B63" s="91"/>
      <c r="C63" s="91" t="s">
        <v>80</v>
      </c>
      <c r="D63" s="91"/>
      <c r="E63" s="91"/>
      <c r="F63" s="93">
        <f>E54</f>
        <v>4624.7783999999992</v>
      </c>
      <c r="I63" s="91"/>
      <c r="J63" s="91" t="s">
        <v>81</v>
      </c>
      <c r="K63" s="91"/>
      <c r="L63" s="91"/>
      <c r="M63" s="130"/>
      <c r="N63" s="132">
        <f>(N57-N62)*0.6</f>
        <v>1144.0488000000007</v>
      </c>
    </row>
    <row r="64" spans="1:16" ht="14.25" thickTop="1" thickBot="1" x14ac:dyDescent="0.25">
      <c r="I64" s="91"/>
      <c r="J64" s="91" t="s">
        <v>79</v>
      </c>
      <c r="K64" s="91"/>
      <c r="L64" s="91"/>
      <c r="M64" s="129"/>
      <c r="N64" s="94">
        <f>+N62+N63</f>
        <v>5724.0488000000005</v>
      </c>
    </row>
    <row r="65" spans="3:14" ht="13.5" thickTop="1" x14ac:dyDescent="0.2">
      <c r="C65" s="91" t="s">
        <v>82</v>
      </c>
      <c r="I65" s="91"/>
      <c r="J65" s="91"/>
      <c r="K65" s="91"/>
      <c r="L65" s="91"/>
      <c r="M65" s="130"/>
    </row>
    <row r="66" spans="3:14" x14ac:dyDescent="0.2">
      <c r="C66" s="91" t="s">
        <v>83</v>
      </c>
      <c r="F66" s="93">
        <f>(F54-F59)*0.4</f>
        <v>1251.1856000000007</v>
      </c>
      <c r="I66" s="91"/>
      <c r="J66" s="91" t="s">
        <v>80</v>
      </c>
      <c r="K66" s="91"/>
      <c r="L66" s="91"/>
      <c r="M66" s="129"/>
      <c r="N66" s="93">
        <f>M57</f>
        <v>3892.0488000000005</v>
      </c>
    </row>
    <row r="67" spans="3:14" x14ac:dyDescent="0.2">
      <c r="M67" s="83"/>
    </row>
    <row r="68" spans="3:14" ht="13.5" thickBot="1" x14ac:dyDescent="0.25">
      <c r="C68" s="91" t="s">
        <v>84</v>
      </c>
      <c r="F68" s="95">
        <f>+F56+F59+F60+F63+F66</f>
        <v>38539.819999999992</v>
      </c>
      <c r="G68" s="127">
        <f>+F68-C54</f>
        <v>0</v>
      </c>
      <c r="J68" s="91" t="s">
        <v>82</v>
      </c>
      <c r="M68" s="83"/>
    </row>
    <row r="69" spans="3:14" ht="13.5" thickTop="1" x14ac:dyDescent="0.2">
      <c r="J69" s="91" t="s">
        <v>83</v>
      </c>
      <c r="M69" s="83"/>
      <c r="N69" s="93">
        <f>(N57-N62)*0.4</f>
        <v>762.69920000000059</v>
      </c>
    </row>
    <row r="71" spans="3:14" ht="13.5" thickBot="1" x14ac:dyDescent="0.25">
      <c r="J71" s="91" t="s">
        <v>84</v>
      </c>
      <c r="N71" s="95">
        <f>+N59+N62+N63+N66+N69</f>
        <v>32433.739999999998</v>
      </c>
    </row>
    <row r="72" spans="3:14" ht="13.5" thickTop="1" x14ac:dyDescent="0.2"/>
    <row r="74" spans="3:14" x14ac:dyDescent="0.2">
      <c r="F74" s="75" t="s">
        <v>1</v>
      </c>
    </row>
  </sheetData>
  <mergeCells count="26">
    <mergeCell ref="A47:A48"/>
    <mergeCell ref="A50:A51"/>
    <mergeCell ref="A29:A30"/>
    <mergeCell ref="A32:A33"/>
    <mergeCell ref="A35:A36"/>
    <mergeCell ref="A38:A39"/>
    <mergeCell ref="A41:A42"/>
    <mergeCell ref="A44:A45"/>
    <mergeCell ref="N5:N6"/>
    <mergeCell ref="A8:A9"/>
    <mergeCell ref="I8:I9"/>
    <mergeCell ref="A5:A6"/>
    <mergeCell ref="B5:B6"/>
    <mergeCell ref="C5:C6"/>
    <mergeCell ref="D5:E5"/>
    <mergeCell ref="F5:F6"/>
    <mergeCell ref="I5:I6"/>
    <mergeCell ref="A26:A27"/>
    <mergeCell ref="J5:J6"/>
    <mergeCell ref="K5:K6"/>
    <mergeCell ref="L5:M5"/>
    <mergeCell ref="A11:A12"/>
    <mergeCell ref="A14:A15"/>
    <mergeCell ref="A17:A18"/>
    <mergeCell ref="A20:A21"/>
    <mergeCell ref="A23:A24"/>
  </mergeCells>
  <phoneticPr fontId="0" type="noConversion"/>
  <pageMargins left="0.75" right="0.75" top="0.5" bottom="0.17" header="0.5" footer="0.23"/>
  <pageSetup paperSize="5" scale="80" orientation="portrait" r:id="rId1"/>
  <headerFooter alignWithMargins="0"/>
  <colBreaks count="1" manualBreakCount="1">
    <brk id="7" max="72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9"/>
  <sheetViews>
    <sheetView topLeftCell="A10" workbookViewId="0">
      <selection activeCell="K25" sqref="K25"/>
    </sheetView>
  </sheetViews>
  <sheetFormatPr defaultRowHeight="12.75" x14ac:dyDescent="0.2"/>
  <cols>
    <col min="1" max="1" width="33.85546875" style="73" bestFit="1" customWidth="1"/>
    <col min="2" max="2" width="9.140625" style="73"/>
    <col min="3" max="4" width="0" style="73" hidden="1" customWidth="1"/>
    <col min="5" max="5" width="9.140625" style="73"/>
    <col min="6" max="7" width="12.85546875" style="73" customWidth="1"/>
    <col min="8" max="16384" width="9.140625" style="73"/>
  </cols>
  <sheetData>
    <row r="1" spans="1:7" x14ac:dyDescent="0.2">
      <c r="A1" s="96"/>
      <c r="B1" s="96"/>
      <c r="C1" s="96"/>
      <c r="D1" s="96"/>
      <c r="E1" s="96"/>
      <c r="F1" s="96"/>
      <c r="G1" s="96"/>
    </row>
    <row r="2" spans="1:7" x14ac:dyDescent="0.2">
      <c r="A2" s="96"/>
      <c r="B2" s="96"/>
      <c r="C2" s="96"/>
      <c r="D2" s="96"/>
      <c r="E2" s="96"/>
      <c r="F2" s="96"/>
      <c r="G2" s="96"/>
    </row>
    <row r="3" spans="1:7" x14ac:dyDescent="0.2">
      <c r="A3" s="97" t="str">
        <f>'SALES SUMMARY'!A1</f>
        <v>THE OLD SPAGHETTI HOUSE-VALERO</v>
      </c>
      <c r="B3" s="98"/>
      <c r="C3" s="98"/>
      <c r="D3" s="96"/>
      <c r="E3" s="96"/>
      <c r="F3" s="96"/>
      <c r="G3" s="96"/>
    </row>
    <row r="4" spans="1:7" x14ac:dyDescent="0.2">
      <c r="A4" s="97" t="s">
        <v>85</v>
      </c>
      <c r="B4" s="98"/>
      <c r="C4" s="98"/>
      <c r="D4" s="96"/>
      <c r="E4" s="96"/>
      <c r="F4" s="96"/>
      <c r="G4" s="96"/>
    </row>
    <row r="5" spans="1:7" x14ac:dyDescent="0.2">
      <c r="A5" s="99">
        <v>43617</v>
      </c>
      <c r="B5" s="99"/>
      <c r="C5" s="99"/>
      <c r="D5" s="99"/>
      <c r="E5" s="96"/>
      <c r="F5" s="96"/>
      <c r="G5" s="96"/>
    </row>
    <row r="6" spans="1:7" x14ac:dyDescent="0.2">
      <c r="A6" s="96"/>
      <c r="B6" s="96"/>
      <c r="C6" s="96"/>
      <c r="D6" s="96"/>
      <c r="E6" s="96"/>
      <c r="F6" s="96"/>
      <c r="G6" s="96"/>
    </row>
    <row r="7" spans="1:7" x14ac:dyDescent="0.2">
      <c r="A7" s="96"/>
      <c r="B7" s="96"/>
      <c r="C7" s="96"/>
      <c r="D7" s="96"/>
      <c r="E7" s="96"/>
      <c r="F7" s="96"/>
      <c r="G7" s="96"/>
    </row>
    <row r="8" spans="1:7" x14ac:dyDescent="0.2">
      <c r="A8" s="96" t="s">
        <v>86</v>
      </c>
      <c r="B8" s="96"/>
      <c r="C8" s="96"/>
      <c r="D8" s="96"/>
      <c r="E8" s="96"/>
      <c r="F8" s="96"/>
      <c r="G8" s="100">
        <f>+'SALES SUMMARY'!C103</f>
        <v>895781.05000000028</v>
      </c>
    </row>
    <row r="9" spans="1:7" x14ac:dyDescent="0.2">
      <c r="A9" s="96"/>
      <c r="B9" s="96"/>
      <c r="C9" s="96"/>
      <c r="D9" s="96"/>
      <c r="E9" s="96"/>
      <c r="F9" s="96"/>
      <c r="G9" s="100"/>
    </row>
    <row r="10" spans="1:7" x14ac:dyDescent="0.2">
      <c r="A10" s="96" t="s">
        <v>87</v>
      </c>
      <c r="B10" s="96"/>
      <c r="C10" s="96"/>
      <c r="D10" s="96"/>
      <c r="E10" s="96"/>
      <c r="F10" s="96"/>
      <c r="G10" s="100">
        <f>+'SALES SUMMARY'!AF103</f>
        <v>70973.56</v>
      </c>
    </row>
    <row r="11" spans="1:7" x14ac:dyDescent="0.2">
      <c r="A11" s="96"/>
      <c r="B11" s="96"/>
      <c r="C11" s="96"/>
      <c r="D11" s="96"/>
      <c r="E11" s="96"/>
      <c r="F11" s="96"/>
      <c r="G11" s="96"/>
    </row>
    <row r="12" spans="1:7" x14ac:dyDescent="0.2">
      <c r="A12" s="96" t="s">
        <v>33</v>
      </c>
      <c r="B12" s="96"/>
      <c r="C12" s="96"/>
      <c r="D12" s="96"/>
      <c r="E12" s="96"/>
      <c r="F12" s="96"/>
      <c r="G12" s="101">
        <f>+'SALES SUMMARY'!AM103</f>
        <v>87002.96747142855</v>
      </c>
    </row>
    <row r="13" spans="1:7" x14ac:dyDescent="0.2">
      <c r="A13" s="96"/>
      <c r="B13" s="96"/>
      <c r="C13" s="96"/>
      <c r="D13" s="96"/>
      <c r="E13" s="96"/>
      <c r="F13" s="96"/>
      <c r="G13" s="102"/>
    </row>
    <row r="14" spans="1:7" x14ac:dyDescent="0.2">
      <c r="A14" s="96" t="s">
        <v>31</v>
      </c>
      <c r="B14" s="96"/>
      <c r="C14" s="96"/>
      <c r="D14" s="96"/>
      <c r="E14" s="96"/>
      <c r="F14" s="96"/>
      <c r="G14" s="100">
        <f>G8-G10-G12</f>
        <v>737804.52252857166</v>
      </c>
    </row>
    <row r="15" spans="1:7" x14ac:dyDescent="0.2">
      <c r="A15" s="96"/>
      <c r="B15" s="96"/>
      <c r="C15" s="96"/>
      <c r="D15" s="96"/>
      <c r="E15" s="96"/>
      <c r="F15" s="96"/>
      <c r="G15" s="96"/>
    </row>
    <row r="16" spans="1:7" x14ac:dyDescent="0.2">
      <c r="A16" s="96"/>
      <c r="B16" s="96"/>
      <c r="C16" s="96"/>
      <c r="D16" s="96"/>
      <c r="E16" s="96"/>
      <c r="F16" s="96"/>
      <c r="G16" s="103"/>
    </row>
    <row r="17" spans="1:7" ht="13.5" thickBot="1" x14ac:dyDescent="0.25">
      <c r="A17" s="104" t="s">
        <v>85</v>
      </c>
      <c r="B17" s="104"/>
      <c r="C17" s="104"/>
      <c r="D17" s="104"/>
      <c r="E17" s="104"/>
      <c r="F17" s="105">
        <v>0.02</v>
      </c>
      <c r="G17" s="106">
        <f>G14*F17</f>
        <v>14756.090450571433</v>
      </c>
    </row>
    <row r="18" spans="1:7" ht="13.5" thickTop="1" x14ac:dyDescent="0.2">
      <c r="A18" s="104"/>
      <c r="B18" s="104"/>
      <c r="C18" s="104"/>
      <c r="D18" s="104"/>
      <c r="E18" s="104"/>
      <c r="F18" s="105"/>
      <c r="G18" s="121"/>
    </row>
    <row r="19" spans="1:7" x14ac:dyDescent="0.2">
      <c r="A19" s="104" t="s">
        <v>105</v>
      </c>
      <c r="B19" s="104"/>
      <c r="C19" s="104"/>
      <c r="D19" s="104"/>
      <c r="E19" s="104"/>
      <c r="F19" s="105"/>
      <c r="G19" s="121">
        <f>+G17*0.12</f>
        <v>1770.7308540685719</v>
      </c>
    </row>
    <row r="20" spans="1:7" x14ac:dyDescent="0.2">
      <c r="A20" s="104"/>
      <c r="B20" s="104"/>
      <c r="C20" s="104"/>
      <c r="D20" s="104"/>
      <c r="E20" s="104"/>
      <c r="F20" s="105"/>
      <c r="G20" s="121"/>
    </row>
    <row r="21" spans="1:7" x14ac:dyDescent="0.2">
      <c r="A21" s="104" t="s">
        <v>106</v>
      </c>
      <c r="B21" s="104"/>
      <c r="C21" s="104"/>
      <c r="D21" s="104"/>
      <c r="E21" s="104"/>
      <c r="F21" s="105"/>
      <c r="G21" s="121">
        <f>+G17*0.15</f>
        <v>2213.4135675857151</v>
      </c>
    </row>
    <row r="22" spans="1:7" x14ac:dyDescent="0.2">
      <c r="A22" s="96"/>
      <c r="B22" s="96"/>
      <c r="C22" s="96"/>
      <c r="D22" s="96"/>
      <c r="E22" s="96"/>
      <c r="F22" s="96"/>
      <c r="G22" s="100"/>
    </row>
    <row r="23" spans="1:7" ht="13.5" thickBot="1" x14ac:dyDescent="0.25">
      <c r="A23" s="104" t="s">
        <v>124</v>
      </c>
      <c r="B23" s="104"/>
      <c r="C23" s="104"/>
      <c r="D23" s="104"/>
      <c r="E23" s="104"/>
      <c r="F23" s="104"/>
      <c r="G23" s="112">
        <f>G17+G19-G21</f>
        <v>14313.407737054291</v>
      </c>
    </row>
    <row r="24" spans="1:7" ht="13.5" thickTop="1" x14ac:dyDescent="0.2">
      <c r="A24" s="96"/>
      <c r="B24" s="96"/>
      <c r="C24" s="96"/>
      <c r="D24" s="96"/>
      <c r="E24" s="96"/>
      <c r="F24" s="96"/>
      <c r="G24" s="96"/>
    </row>
    <row r="25" spans="1:7" x14ac:dyDescent="0.2">
      <c r="A25" s="96"/>
      <c r="B25" s="96"/>
      <c r="C25" s="96"/>
      <c r="D25" s="96"/>
      <c r="E25" s="96"/>
      <c r="F25" s="96"/>
      <c r="G25" s="96"/>
    </row>
    <row r="26" spans="1:7" x14ac:dyDescent="0.2">
      <c r="A26" s="96"/>
      <c r="B26" s="96"/>
      <c r="C26" s="96"/>
      <c r="D26" s="96"/>
      <c r="E26" s="96"/>
      <c r="F26" s="96"/>
      <c r="G26" s="96"/>
    </row>
    <row r="27" spans="1:7" x14ac:dyDescent="0.2">
      <c r="A27" s="96"/>
      <c r="B27" s="96"/>
      <c r="C27" s="96"/>
      <c r="D27" s="96"/>
      <c r="E27" s="96"/>
      <c r="F27" s="96"/>
      <c r="G27" s="96"/>
    </row>
    <row r="28" spans="1:7" x14ac:dyDescent="0.2">
      <c r="A28" s="96" t="s">
        <v>88</v>
      </c>
      <c r="B28" s="96"/>
      <c r="C28" s="96"/>
      <c r="D28" s="96"/>
      <c r="E28" s="96"/>
      <c r="F28" s="96" t="s">
        <v>89</v>
      </c>
      <c r="G28" s="96"/>
    </row>
    <row r="29" spans="1:7" ht="13.5" thickBot="1" x14ac:dyDescent="0.25">
      <c r="A29" s="107"/>
      <c r="B29" s="107"/>
      <c r="C29" s="107"/>
      <c r="D29" s="107"/>
      <c r="E29" s="107"/>
      <c r="F29" s="107"/>
      <c r="G29" s="107"/>
    </row>
    <row r="30" spans="1:7" x14ac:dyDescent="0.2">
      <c r="A30" s="108"/>
      <c r="B30" s="108"/>
      <c r="C30" s="108"/>
      <c r="D30" s="108"/>
      <c r="E30" s="108"/>
      <c r="F30" s="108"/>
      <c r="G30" s="108"/>
    </row>
    <row r="31" spans="1:7" x14ac:dyDescent="0.2">
      <c r="A31" s="109"/>
      <c r="B31" s="109"/>
      <c r="C31" s="109"/>
      <c r="D31" s="109"/>
      <c r="E31" s="109"/>
      <c r="F31" s="109"/>
      <c r="G31" s="109"/>
    </row>
    <row r="32" spans="1:7" x14ac:dyDescent="0.2">
      <c r="A32" s="109"/>
      <c r="B32" s="109"/>
      <c r="C32" s="109"/>
      <c r="D32" s="109"/>
      <c r="E32" s="109"/>
      <c r="F32" s="109"/>
      <c r="G32" s="109"/>
    </row>
    <row r="33" spans="1:7" x14ac:dyDescent="0.2">
      <c r="A33" s="109"/>
      <c r="B33" s="109"/>
      <c r="C33" s="109"/>
      <c r="D33" s="109"/>
      <c r="E33" s="109"/>
      <c r="F33" s="109"/>
      <c r="G33" s="109"/>
    </row>
    <row r="34" spans="1:7" x14ac:dyDescent="0.2">
      <c r="A34" s="109"/>
      <c r="B34" s="109"/>
      <c r="C34" s="109"/>
      <c r="D34" s="109"/>
      <c r="E34" s="109"/>
      <c r="F34" s="109"/>
      <c r="G34" s="109"/>
    </row>
    <row r="35" spans="1:7" x14ac:dyDescent="0.2">
      <c r="A35" s="109"/>
      <c r="B35" s="109"/>
      <c r="C35" s="109"/>
      <c r="D35" s="109"/>
      <c r="E35" s="109"/>
      <c r="F35" s="109"/>
      <c r="G35" s="109"/>
    </row>
    <row r="36" spans="1:7" x14ac:dyDescent="0.2">
      <c r="A36" s="109"/>
      <c r="B36" s="109"/>
      <c r="C36" s="109"/>
      <c r="D36" s="109"/>
      <c r="E36" s="109"/>
      <c r="F36" s="109"/>
      <c r="G36" s="109"/>
    </row>
    <row r="37" spans="1:7" x14ac:dyDescent="0.2">
      <c r="A37" s="97" t="str">
        <f>+A3</f>
        <v>THE OLD SPAGHETTI HOUSE-VALERO</v>
      </c>
      <c r="B37" s="98"/>
      <c r="C37" s="98"/>
      <c r="D37" s="96"/>
      <c r="E37" s="96"/>
      <c r="F37" s="96"/>
      <c r="G37" s="96"/>
    </row>
    <row r="38" spans="1:7" x14ac:dyDescent="0.2">
      <c r="A38" s="97" t="s">
        <v>85</v>
      </c>
      <c r="B38" s="98"/>
      <c r="C38" s="98"/>
      <c r="D38" s="96"/>
      <c r="E38" s="96"/>
      <c r="F38" s="96"/>
      <c r="G38" s="96"/>
    </row>
    <row r="39" spans="1:7" x14ac:dyDescent="0.2">
      <c r="A39" s="99">
        <f>+A5</f>
        <v>43617</v>
      </c>
      <c r="B39" s="99"/>
      <c r="C39" s="99"/>
      <c r="D39" s="99"/>
      <c r="E39" s="96"/>
      <c r="F39" s="96"/>
      <c r="G39" s="96"/>
    </row>
    <row r="40" spans="1:7" x14ac:dyDescent="0.2">
      <c r="A40" s="96"/>
      <c r="B40" s="96"/>
      <c r="C40" s="96"/>
      <c r="D40" s="96"/>
      <c r="E40" s="96"/>
      <c r="F40" s="96"/>
      <c r="G40" s="96"/>
    </row>
    <row r="41" spans="1:7" x14ac:dyDescent="0.2">
      <c r="A41" s="96"/>
      <c r="B41" s="96"/>
      <c r="C41" s="96"/>
      <c r="D41" s="96"/>
      <c r="E41" s="96"/>
      <c r="F41" s="96"/>
      <c r="G41" s="96"/>
    </row>
    <row r="42" spans="1:7" x14ac:dyDescent="0.2">
      <c r="A42" s="96" t="s">
        <v>86</v>
      </c>
      <c r="B42" s="96"/>
      <c r="C42" s="96"/>
      <c r="D42" s="96"/>
      <c r="E42" s="96"/>
      <c r="F42" s="96"/>
      <c r="G42" s="100">
        <f>G8</f>
        <v>895781.05000000028</v>
      </c>
    </row>
    <row r="43" spans="1:7" x14ac:dyDescent="0.2">
      <c r="A43" s="96"/>
      <c r="B43" s="96"/>
      <c r="C43" s="96"/>
      <c r="D43" s="96"/>
      <c r="E43" s="96"/>
      <c r="F43" s="96"/>
      <c r="G43" s="96"/>
    </row>
    <row r="44" spans="1:7" x14ac:dyDescent="0.2">
      <c r="A44" s="96" t="s">
        <v>87</v>
      </c>
      <c r="B44" s="96"/>
      <c r="C44" s="96"/>
      <c r="D44" s="96"/>
      <c r="E44" s="96"/>
      <c r="F44" s="96"/>
      <c r="G44" s="100">
        <f>+G10</f>
        <v>70973.56</v>
      </c>
    </row>
    <row r="45" spans="1:7" x14ac:dyDescent="0.2">
      <c r="A45" s="96"/>
      <c r="B45" s="96"/>
      <c r="C45" s="96"/>
      <c r="D45" s="96"/>
      <c r="E45" s="96"/>
      <c r="F45" s="96"/>
      <c r="G45" s="96"/>
    </row>
    <row r="46" spans="1:7" x14ac:dyDescent="0.2">
      <c r="A46" s="96" t="s">
        <v>33</v>
      </c>
      <c r="B46" s="96"/>
      <c r="C46" s="96"/>
      <c r="D46" s="96"/>
      <c r="E46" s="96"/>
      <c r="F46" s="96"/>
      <c r="G46" s="101">
        <f>G12</f>
        <v>87002.96747142855</v>
      </c>
    </row>
    <row r="47" spans="1:7" x14ac:dyDescent="0.2">
      <c r="A47" s="96"/>
      <c r="B47" s="96"/>
      <c r="C47" s="96"/>
      <c r="D47" s="96"/>
      <c r="E47" s="96"/>
      <c r="F47" s="96"/>
      <c r="G47" s="102"/>
    </row>
    <row r="48" spans="1:7" x14ac:dyDescent="0.2">
      <c r="A48" s="96" t="s">
        <v>31</v>
      </c>
      <c r="B48" s="96"/>
      <c r="C48" s="96"/>
      <c r="D48" s="96"/>
      <c r="E48" s="96"/>
      <c r="F48" s="96"/>
      <c r="G48" s="100">
        <f>G42-G44-G46</f>
        <v>737804.52252857166</v>
      </c>
    </row>
    <row r="49" spans="1:7" x14ac:dyDescent="0.2">
      <c r="A49" s="96"/>
      <c r="B49" s="96"/>
      <c r="C49" s="96"/>
      <c r="D49" s="96"/>
      <c r="E49" s="96"/>
      <c r="F49" s="96"/>
      <c r="G49" s="96"/>
    </row>
    <row r="50" spans="1:7" x14ac:dyDescent="0.2">
      <c r="A50" s="96"/>
      <c r="B50" s="96"/>
      <c r="C50" s="96"/>
      <c r="D50" s="96"/>
      <c r="E50" s="96"/>
      <c r="F50" s="96"/>
      <c r="G50" s="103"/>
    </row>
    <row r="51" spans="1:7" ht="13.5" thickBot="1" x14ac:dyDescent="0.25">
      <c r="A51" s="104" t="s">
        <v>85</v>
      </c>
      <c r="B51" s="104"/>
      <c r="C51" s="104"/>
      <c r="D51" s="104"/>
      <c r="E51" s="104"/>
      <c r="F51" s="105">
        <v>0.02</v>
      </c>
      <c r="G51" s="106">
        <f>G48*F51</f>
        <v>14756.090450571433</v>
      </c>
    </row>
    <row r="52" spans="1:7" ht="13.5" thickTop="1" x14ac:dyDescent="0.2">
      <c r="A52" s="104"/>
      <c r="B52" s="104"/>
      <c r="C52" s="104"/>
      <c r="D52" s="104"/>
      <c r="E52" s="104"/>
      <c r="F52" s="105"/>
      <c r="G52" s="121"/>
    </row>
    <row r="53" spans="1:7" x14ac:dyDescent="0.2">
      <c r="A53" s="104" t="s">
        <v>105</v>
      </c>
      <c r="B53" s="104"/>
      <c r="C53" s="104"/>
      <c r="D53" s="104"/>
      <c r="E53" s="104"/>
      <c r="F53" s="105"/>
      <c r="G53" s="121">
        <f>+G51*0.12</f>
        <v>1770.7308540685719</v>
      </c>
    </row>
    <row r="54" spans="1:7" x14ac:dyDescent="0.2">
      <c r="A54" s="104"/>
      <c r="B54" s="104"/>
      <c r="C54" s="104"/>
      <c r="D54" s="104"/>
      <c r="E54" s="104"/>
      <c r="F54" s="105"/>
      <c r="G54" s="121"/>
    </row>
    <row r="55" spans="1:7" x14ac:dyDescent="0.2">
      <c r="A55" s="104" t="s">
        <v>106</v>
      </c>
      <c r="B55" s="104"/>
      <c r="C55" s="104"/>
      <c r="D55" s="104"/>
      <c r="E55" s="104"/>
      <c r="F55" s="105"/>
      <c r="G55" s="121">
        <f>+G51*0.15</f>
        <v>2213.4135675857151</v>
      </c>
    </row>
    <row r="56" spans="1:7" x14ac:dyDescent="0.2">
      <c r="A56" s="96"/>
      <c r="B56" s="96"/>
      <c r="C56" s="96"/>
      <c r="D56" s="96"/>
      <c r="E56" s="96"/>
      <c r="F56" s="96"/>
      <c r="G56" s="100"/>
    </row>
    <row r="57" spans="1:7" ht="13.5" thickBot="1" x14ac:dyDescent="0.25">
      <c r="A57" s="104" t="s">
        <v>124</v>
      </c>
      <c r="B57" s="104"/>
      <c r="C57" s="104"/>
      <c r="D57" s="104"/>
      <c r="E57" s="104"/>
      <c r="F57" s="104"/>
      <c r="G57" s="112">
        <f>G51+G53-G55</f>
        <v>14313.407737054291</v>
      </c>
    </row>
    <row r="58" spans="1:7" ht="13.5" thickTop="1" x14ac:dyDescent="0.2">
      <c r="A58" s="96"/>
      <c r="B58" s="96"/>
      <c r="C58" s="96"/>
      <c r="D58" s="96"/>
      <c r="E58" s="96"/>
      <c r="F58" s="96"/>
      <c r="G58" s="96"/>
    </row>
    <row r="59" spans="1:7" x14ac:dyDescent="0.2">
      <c r="A59" s="96" t="s">
        <v>90</v>
      </c>
      <c r="B59" s="96"/>
      <c r="C59" s="96"/>
      <c r="D59" s="96"/>
      <c r="E59" s="96"/>
      <c r="F59" s="96"/>
      <c r="G59" s="96"/>
    </row>
    <row r="60" spans="1:7" x14ac:dyDescent="0.2">
      <c r="A60" s="96"/>
      <c r="B60" s="96"/>
      <c r="C60" s="96"/>
      <c r="D60" s="96"/>
      <c r="E60" s="96"/>
      <c r="F60" s="96"/>
      <c r="G60" s="96"/>
    </row>
    <row r="61" spans="1:7" x14ac:dyDescent="0.2">
      <c r="A61" s="96"/>
      <c r="B61" s="96"/>
      <c r="C61" s="96"/>
      <c r="D61" s="96"/>
      <c r="E61" s="96"/>
      <c r="F61" s="96"/>
      <c r="G61" s="96"/>
    </row>
    <row r="62" spans="1:7" x14ac:dyDescent="0.2">
      <c r="A62" s="96" t="s">
        <v>88</v>
      </c>
      <c r="B62" s="96"/>
      <c r="C62" s="96"/>
      <c r="D62" s="96"/>
      <c r="E62" s="96"/>
      <c r="F62" s="96" t="s">
        <v>89</v>
      </c>
      <c r="G62" s="96"/>
    </row>
    <row r="63" spans="1:7" x14ac:dyDescent="0.2">
      <c r="A63" s="96"/>
      <c r="B63" s="96"/>
      <c r="C63" s="96"/>
      <c r="D63" s="96"/>
      <c r="E63" s="96"/>
      <c r="F63" s="96"/>
      <c r="G63" s="96"/>
    </row>
    <row r="64" spans="1:7" x14ac:dyDescent="0.2">
      <c r="A64" s="96"/>
      <c r="B64" s="96"/>
      <c r="C64" s="96"/>
      <c r="D64" s="96"/>
      <c r="E64" s="96"/>
      <c r="F64" s="96"/>
      <c r="G64" s="96"/>
    </row>
    <row r="67" spans="1:7" x14ac:dyDescent="0.2">
      <c r="A67" s="96"/>
      <c r="B67" s="96"/>
      <c r="C67" s="96"/>
      <c r="D67" s="96"/>
      <c r="E67" s="96"/>
      <c r="F67" s="96"/>
      <c r="G67" s="96"/>
    </row>
    <row r="68" spans="1:7" x14ac:dyDescent="0.2">
      <c r="A68" s="96"/>
      <c r="B68" s="96"/>
      <c r="C68" s="96"/>
      <c r="D68" s="96"/>
      <c r="E68" s="96"/>
      <c r="F68" s="96"/>
      <c r="G68" s="96"/>
    </row>
    <row r="69" spans="1:7" x14ac:dyDescent="0.2">
      <c r="A69" s="97" t="str">
        <f>A37</f>
        <v>THE OLD SPAGHETTI HOUSE-VALERO</v>
      </c>
      <c r="B69" s="98"/>
      <c r="C69" s="98"/>
      <c r="D69" s="96"/>
      <c r="E69" s="96"/>
      <c r="F69" s="96"/>
      <c r="G69" s="96"/>
    </row>
    <row r="70" spans="1:7" x14ac:dyDescent="0.2">
      <c r="A70" s="97" t="s">
        <v>91</v>
      </c>
      <c r="B70" s="98"/>
      <c r="C70" s="98"/>
      <c r="D70" s="96"/>
      <c r="E70" s="96"/>
      <c r="F70" s="96"/>
      <c r="G70" s="96"/>
    </row>
    <row r="71" spans="1:7" x14ac:dyDescent="0.2">
      <c r="A71" s="99">
        <f>A5</f>
        <v>43617</v>
      </c>
      <c r="B71" s="99"/>
      <c r="C71" s="99"/>
      <c r="D71" s="99"/>
      <c r="E71" s="96"/>
      <c r="F71" s="96"/>
      <c r="G71" s="96"/>
    </row>
    <row r="72" spans="1:7" x14ac:dyDescent="0.2">
      <c r="A72" s="96"/>
      <c r="B72" s="96"/>
      <c r="C72" s="96"/>
      <c r="D72" s="96"/>
      <c r="E72" s="96"/>
      <c r="F72" s="96"/>
      <c r="G72" s="96"/>
    </row>
    <row r="73" spans="1:7" x14ac:dyDescent="0.2">
      <c r="A73" s="96"/>
      <c r="B73" s="96"/>
      <c r="C73" s="96"/>
      <c r="D73" s="96"/>
      <c r="E73" s="96"/>
      <c r="F73" s="96"/>
      <c r="G73" s="96"/>
    </row>
    <row r="74" spans="1:7" x14ac:dyDescent="0.2">
      <c r="A74" s="96" t="s">
        <v>86</v>
      </c>
      <c r="B74" s="96"/>
      <c r="C74" s="96"/>
      <c r="D74" s="96"/>
      <c r="E74" s="96"/>
      <c r="F74" s="96"/>
      <c r="G74" s="100">
        <f>G8</f>
        <v>895781.05000000028</v>
      </c>
    </row>
    <row r="75" spans="1:7" x14ac:dyDescent="0.2">
      <c r="A75" s="96"/>
      <c r="B75" s="96"/>
      <c r="C75" s="96"/>
      <c r="D75" s="96"/>
      <c r="E75" s="96"/>
      <c r="F75" s="96"/>
      <c r="G75" s="96"/>
    </row>
    <row r="76" spans="1:7" x14ac:dyDescent="0.2">
      <c r="A76" s="96" t="s">
        <v>87</v>
      </c>
      <c r="B76" s="96"/>
      <c r="C76" s="96"/>
      <c r="D76" s="96"/>
      <c r="E76" s="96"/>
      <c r="F76" s="96"/>
      <c r="G76" s="100">
        <f>G10</f>
        <v>70973.56</v>
      </c>
    </row>
    <row r="77" spans="1:7" x14ac:dyDescent="0.2">
      <c r="A77" s="96"/>
      <c r="B77" s="96"/>
      <c r="C77" s="96"/>
      <c r="D77" s="96"/>
      <c r="E77" s="96"/>
      <c r="F77" s="96"/>
      <c r="G77" s="96"/>
    </row>
    <row r="78" spans="1:7" x14ac:dyDescent="0.2">
      <c r="A78" s="96" t="s">
        <v>33</v>
      </c>
      <c r="B78" s="96"/>
      <c r="C78" s="96"/>
      <c r="D78" s="96"/>
      <c r="E78" s="96"/>
      <c r="F78" s="96"/>
      <c r="G78" s="101">
        <f>G12</f>
        <v>87002.96747142855</v>
      </c>
    </row>
    <row r="79" spans="1:7" x14ac:dyDescent="0.2">
      <c r="A79" s="96"/>
      <c r="B79" s="96"/>
      <c r="C79" s="96"/>
      <c r="D79" s="96"/>
      <c r="E79" s="96"/>
      <c r="F79" s="96"/>
      <c r="G79" s="110"/>
    </row>
    <row r="80" spans="1:7" x14ac:dyDescent="0.2">
      <c r="A80" s="96" t="s">
        <v>31</v>
      </c>
      <c r="B80" s="96"/>
      <c r="C80" s="96"/>
      <c r="D80" s="96"/>
      <c r="E80" s="96"/>
      <c r="F80" s="96"/>
      <c r="G80" s="100">
        <f>G74-G76-G78</f>
        <v>737804.52252857166</v>
      </c>
    </row>
    <row r="81" spans="1:7" x14ac:dyDescent="0.2">
      <c r="A81" s="96"/>
      <c r="B81" s="96"/>
      <c r="C81" s="96"/>
      <c r="D81" s="96"/>
      <c r="E81" s="96"/>
      <c r="F81" s="96"/>
      <c r="G81" s="96"/>
    </row>
    <row r="82" spans="1:7" x14ac:dyDescent="0.2">
      <c r="A82" s="96"/>
      <c r="B82" s="96"/>
      <c r="C82" s="96"/>
      <c r="D82" s="96"/>
      <c r="E82" s="96"/>
      <c r="F82" s="96"/>
      <c r="G82" s="103"/>
    </row>
    <row r="83" spans="1:7" x14ac:dyDescent="0.2">
      <c r="A83" s="104" t="s">
        <v>91</v>
      </c>
      <c r="B83" s="104"/>
      <c r="C83" s="104"/>
      <c r="D83" s="104"/>
      <c r="E83" s="104"/>
      <c r="F83" s="105">
        <v>0.05</v>
      </c>
      <c r="G83" s="111">
        <f>G80*F83</f>
        <v>36890.226126428584</v>
      </c>
    </row>
    <row r="84" spans="1:7" x14ac:dyDescent="0.2">
      <c r="A84" s="104"/>
      <c r="B84" s="104"/>
      <c r="C84" s="104"/>
      <c r="D84" s="104"/>
      <c r="E84" s="104"/>
      <c r="F84" s="105"/>
      <c r="G84" s="121"/>
    </row>
    <row r="85" spans="1:7" x14ac:dyDescent="0.2">
      <c r="A85" s="104" t="s">
        <v>105</v>
      </c>
      <c r="B85" s="104"/>
      <c r="C85" s="104"/>
      <c r="D85" s="104"/>
      <c r="E85" s="104"/>
      <c r="F85" s="105"/>
      <c r="G85" s="121">
        <f>+G83*0.12</f>
        <v>4426.8271351714302</v>
      </c>
    </row>
    <row r="86" spans="1:7" x14ac:dyDescent="0.2">
      <c r="A86" s="104"/>
      <c r="B86" s="104"/>
      <c r="C86" s="104"/>
      <c r="D86" s="104"/>
      <c r="E86" s="104"/>
      <c r="F86" s="105"/>
      <c r="G86" s="121"/>
    </row>
    <row r="87" spans="1:7" x14ac:dyDescent="0.2">
      <c r="A87" s="104" t="s">
        <v>107</v>
      </c>
      <c r="B87" s="104"/>
      <c r="C87" s="104"/>
      <c r="D87" s="104"/>
      <c r="E87" s="104"/>
      <c r="F87" s="105"/>
      <c r="G87" s="121">
        <f>+G83*0.1</f>
        <v>3689.0226126428588</v>
      </c>
    </row>
    <row r="88" spans="1:7" x14ac:dyDescent="0.2">
      <c r="A88" s="96"/>
      <c r="B88" s="96"/>
      <c r="C88" s="96"/>
      <c r="D88" s="96"/>
      <c r="E88" s="96"/>
      <c r="F88" s="96"/>
      <c r="G88" s="100"/>
    </row>
    <row r="89" spans="1:7" ht="13.5" thickBot="1" x14ac:dyDescent="0.25">
      <c r="A89" s="104" t="s">
        <v>124</v>
      </c>
      <c r="B89" s="104"/>
      <c r="C89" s="104"/>
      <c r="D89" s="104"/>
      <c r="E89" s="104"/>
      <c r="F89" s="104"/>
      <c r="G89" s="112">
        <f>+G83+G85-G87</f>
        <v>37628.030648957152</v>
      </c>
    </row>
    <row r="90" spans="1:7" ht="13.5" thickTop="1" x14ac:dyDescent="0.2">
      <c r="A90" s="104"/>
      <c r="B90" s="104"/>
      <c r="C90" s="104"/>
      <c r="D90" s="104"/>
      <c r="E90" s="104"/>
      <c r="F90" s="104"/>
      <c r="G90" s="113"/>
    </row>
    <row r="91" spans="1:7" x14ac:dyDescent="0.2">
      <c r="A91" s="104"/>
      <c r="B91" s="104"/>
      <c r="C91" s="104"/>
      <c r="D91" s="104"/>
      <c r="E91" s="104"/>
      <c r="F91" s="104"/>
      <c r="G91" s="113"/>
    </row>
    <row r="92" spans="1:7" x14ac:dyDescent="0.2">
      <c r="A92" s="96"/>
      <c r="B92" s="96"/>
      <c r="C92" s="96"/>
      <c r="D92" s="96"/>
      <c r="E92" s="96"/>
      <c r="F92" s="96"/>
      <c r="G92" s="96"/>
    </row>
    <row r="93" spans="1:7" x14ac:dyDescent="0.2">
      <c r="A93" s="96"/>
      <c r="B93" s="96"/>
      <c r="C93" s="96"/>
      <c r="D93" s="96"/>
      <c r="E93" s="96"/>
      <c r="F93" s="96"/>
      <c r="G93" s="96"/>
    </row>
    <row r="94" spans="1:7" x14ac:dyDescent="0.2">
      <c r="A94" s="96"/>
      <c r="B94" s="96"/>
      <c r="C94" s="96"/>
      <c r="D94" s="96"/>
      <c r="E94" s="96"/>
      <c r="F94" s="96"/>
      <c r="G94" s="96"/>
    </row>
    <row r="95" spans="1:7" x14ac:dyDescent="0.2">
      <c r="A95" s="96"/>
      <c r="B95" s="96"/>
      <c r="C95" s="96"/>
      <c r="D95" s="96"/>
      <c r="E95" s="96"/>
      <c r="F95" s="96"/>
      <c r="G95" s="96"/>
    </row>
    <row r="96" spans="1:7" x14ac:dyDescent="0.2">
      <c r="A96" s="96" t="s">
        <v>88</v>
      </c>
      <c r="B96" s="96"/>
      <c r="C96" s="96"/>
      <c r="D96" s="96"/>
      <c r="E96" s="96"/>
      <c r="F96" s="96" t="s">
        <v>89</v>
      </c>
      <c r="G96" s="96"/>
    </row>
    <row r="97" spans="1:7" ht="13.5" thickBot="1" x14ac:dyDescent="0.25">
      <c r="A97" s="107"/>
      <c r="B97" s="107"/>
      <c r="C97" s="107"/>
      <c r="D97" s="107"/>
      <c r="E97" s="107"/>
      <c r="F97" s="107"/>
      <c r="G97" s="107"/>
    </row>
    <row r="98" spans="1:7" x14ac:dyDescent="0.2">
      <c r="A98" s="108"/>
      <c r="B98" s="108"/>
      <c r="C98" s="108"/>
      <c r="D98" s="108"/>
      <c r="E98" s="108"/>
      <c r="F98" s="108"/>
      <c r="G98" s="108"/>
    </row>
    <row r="99" spans="1:7" x14ac:dyDescent="0.2">
      <c r="A99" s="109"/>
      <c r="B99" s="109"/>
      <c r="C99" s="109"/>
      <c r="D99" s="109"/>
      <c r="E99" s="109"/>
      <c r="F99" s="109"/>
      <c r="G99" s="109"/>
    </row>
    <row r="100" spans="1:7" x14ac:dyDescent="0.2">
      <c r="A100" s="109"/>
      <c r="B100" s="109"/>
      <c r="C100" s="109"/>
      <c r="D100" s="109"/>
      <c r="E100" s="109"/>
      <c r="F100" s="109"/>
      <c r="G100" s="109"/>
    </row>
    <row r="101" spans="1:7" x14ac:dyDescent="0.2">
      <c r="A101" s="97" t="str">
        <f>+A69</f>
        <v>THE OLD SPAGHETTI HOUSE-VALERO</v>
      </c>
      <c r="B101" s="98"/>
      <c r="C101" s="98"/>
      <c r="D101" s="96"/>
      <c r="E101" s="96"/>
      <c r="F101" s="96"/>
      <c r="G101" s="96"/>
    </row>
    <row r="102" spans="1:7" x14ac:dyDescent="0.2">
      <c r="A102" s="97" t="s">
        <v>91</v>
      </c>
      <c r="B102" s="98"/>
      <c r="C102" s="98"/>
      <c r="D102" s="96"/>
      <c r="E102" s="96"/>
      <c r="F102" s="96"/>
      <c r="G102" s="96"/>
    </row>
    <row r="103" spans="1:7" x14ac:dyDescent="0.2">
      <c r="A103" s="99">
        <f>A5</f>
        <v>43617</v>
      </c>
      <c r="B103" s="99"/>
      <c r="C103" s="99"/>
      <c r="D103" s="99"/>
      <c r="E103" s="96"/>
      <c r="F103" s="96"/>
      <c r="G103" s="96"/>
    </row>
    <row r="104" spans="1:7" x14ac:dyDescent="0.2">
      <c r="A104" s="96"/>
      <c r="B104" s="96"/>
      <c r="C104" s="96"/>
      <c r="D104" s="96"/>
      <c r="E104" s="96"/>
      <c r="F104" s="96"/>
      <c r="G104" s="96"/>
    </row>
    <row r="105" spans="1:7" x14ac:dyDescent="0.2">
      <c r="A105" s="96"/>
      <c r="B105" s="96"/>
      <c r="C105" s="96"/>
      <c r="D105" s="96"/>
      <c r="E105" s="96"/>
      <c r="F105" s="96"/>
      <c r="G105" s="96"/>
    </row>
    <row r="106" spans="1:7" x14ac:dyDescent="0.2">
      <c r="A106" s="96" t="s">
        <v>86</v>
      </c>
      <c r="B106" s="96"/>
      <c r="C106" s="96"/>
      <c r="D106" s="96"/>
      <c r="E106" s="96"/>
      <c r="F106" s="96"/>
      <c r="G106" s="100">
        <f>G8</f>
        <v>895781.05000000028</v>
      </c>
    </row>
    <row r="107" spans="1:7" x14ac:dyDescent="0.2">
      <c r="A107" s="96"/>
      <c r="B107" s="96"/>
      <c r="C107" s="96"/>
      <c r="D107" s="96"/>
      <c r="E107" s="96"/>
      <c r="F107" s="96"/>
      <c r="G107" s="96"/>
    </row>
    <row r="108" spans="1:7" x14ac:dyDescent="0.2">
      <c r="A108" s="96" t="s">
        <v>87</v>
      </c>
      <c r="B108" s="96"/>
      <c r="C108" s="96"/>
      <c r="D108" s="96"/>
      <c r="E108" s="96"/>
      <c r="F108" s="96"/>
      <c r="G108" s="100">
        <f>G10</f>
        <v>70973.56</v>
      </c>
    </row>
    <row r="109" spans="1:7" x14ac:dyDescent="0.2">
      <c r="A109" s="96"/>
      <c r="B109" s="96"/>
      <c r="C109" s="96"/>
      <c r="D109" s="96"/>
      <c r="E109" s="96"/>
      <c r="F109" s="96"/>
      <c r="G109" s="96"/>
    </row>
    <row r="110" spans="1:7" x14ac:dyDescent="0.2">
      <c r="A110" s="96" t="s">
        <v>33</v>
      </c>
      <c r="B110" s="96"/>
      <c r="C110" s="96"/>
      <c r="D110" s="96"/>
      <c r="E110" s="96"/>
      <c r="F110" s="96"/>
      <c r="G110" s="101">
        <f>G12</f>
        <v>87002.96747142855</v>
      </c>
    </row>
    <row r="111" spans="1:7" x14ac:dyDescent="0.2">
      <c r="A111" s="96"/>
      <c r="B111" s="96"/>
      <c r="C111" s="96"/>
      <c r="D111" s="96"/>
      <c r="E111" s="96"/>
      <c r="F111" s="96"/>
      <c r="G111" s="102"/>
    </row>
    <row r="112" spans="1:7" x14ac:dyDescent="0.2">
      <c r="A112" s="96" t="s">
        <v>31</v>
      </c>
      <c r="B112" s="96"/>
      <c r="C112" s="96"/>
      <c r="D112" s="96"/>
      <c r="E112" s="96"/>
      <c r="F112" s="96"/>
      <c r="G112" s="100">
        <f>G80</f>
        <v>737804.52252857166</v>
      </c>
    </row>
    <row r="113" spans="1:7" x14ac:dyDescent="0.2">
      <c r="A113" s="96"/>
      <c r="B113" s="96"/>
      <c r="C113" s="96"/>
      <c r="D113" s="96"/>
      <c r="E113" s="96"/>
      <c r="F113" s="96"/>
      <c r="G113" s="96"/>
    </row>
    <row r="114" spans="1:7" x14ac:dyDescent="0.2">
      <c r="A114" s="96"/>
      <c r="B114" s="96"/>
      <c r="C114" s="96"/>
      <c r="D114" s="96"/>
      <c r="E114" s="96"/>
      <c r="F114" s="96"/>
      <c r="G114" s="103"/>
    </row>
    <row r="115" spans="1:7" x14ac:dyDescent="0.2">
      <c r="A115" s="104" t="s">
        <v>92</v>
      </c>
      <c r="B115" s="104"/>
      <c r="C115" s="104"/>
      <c r="D115" s="104"/>
      <c r="E115" s="104"/>
      <c r="F115" s="105">
        <f>F83</f>
        <v>0.05</v>
      </c>
      <c r="G115" s="111">
        <f>G112*F115</f>
        <v>36890.226126428584</v>
      </c>
    </row>
    <row r="116" spans="1:7" x14ac:dyDescent="0.2">
      <c r="A116" s="104"/>
      <c r="B116" s="104"/>
      <c r="C116" s="104"/>
      <c r="D116" s="104"/>
      <c r="E116" s="104"/>
      <c r="F116" s="105"/>
      <c r="G116" s="121"/>
    </row>
    <row r="117" spans="1:7" x14ac:dyDescent="0.2">
      <c r="A117" s="104" t="s">
        <v>105</v>
      </c>
      <c r="B117" s="104"/>
      <c r="C117" s="104"/>
      <c r="D117" s="104"/>
      <c r="E117" s="104"/>
      <c r="F117" s="105"/>
      <c r="G117" s="121">
        <f>+G115*0.12</f>
        <v>4426.8271351714302</v>
      </c>
    </row>
    <row r="118" spans="1:7" x14ac:dyDescent="0.2">
      <c r="A118" s="104"/>
      <c r="B118" s="104"/>
      <c r="C118" s="104"/>
      <c r="D118" s="104"/>
      <c r="E118" s="104"/>
      <c r="F118" s="105"/>
      <c r="G118" s="121"/>
    </row>
    <row r="119" spans="1:7" x14ac:dyDescent="0.2">
      <c r="A119" s="104" t="s">
        <v>106</v>
      </c>
      <c r="B119" s="104"/>
      <c r="C119" s="104"/>
      <c r="D119" s="104"/>
      <c r="E119" s="104"/>
      <c r="F119" s="105"/>
      <c r="G119" s="121">
        <f>+G115*0.1</f>
        <v>3689.0226126428588</v>
      </c>
    </row>
    <row r="120" spans="1:7" x14ac:dyDescent="0.2">
      <c r="A120" s="96"/>
      <c r="B120" s="96"/>
      <c r="C120" s="96"/>
      <c r="D120" s="96"/>
      <c r="E120" s="96"/>
      <c r="F120" s="96"/>
      <c r="G120" s="100"/>
    </row>
    <row r="121" spans="1:7" ht="13.5" thickBot="1" x14ac:dyDescent="0.25">
      <c r="A121" s="104" t="s">
        <v>124</v>
      </c>
      <c r="B121" s="104"/>
      <c r="C121" s="104"/>
      <c r="D121" s="104"/>
      <c r="E121" s="104"/>
      <c r="F121" s="104"/>
      <c r="G121" s="112">
        <f>G115+G117-G119</f>
        <v>37628.030648957152</v>
      </c>
    </row>
    <row r="122" spans="1:7" ht="13.5" thickTop="1" x14ac:dyDescent="0.2">
      <c r="A122" s="96"/>
      <c r="B122" s="96"/>
      <c r="C122" s="96"/>
      <c r="D122" s="96"/>
      <c r="E122" s="96"/>
      <c r="F122" s="96"/>
      <c r="G122" s="100"/>
    </row>
    <row r="123" spans="1:7" x14ac:dyDescent="0.2">
      <c r="A123" s="104"/>
      <c r="B123" s="104"/>
      <c r="C123" s="104"/>
      <c r="D123" s="104"/>
      <c r="E123" s="104"/>
      <c r="F123" s="104"/>
      <c r="G123" s="114"/>
    </row>
    <row r="124" spans="1:7" x14ac:dyDescent="0.2">
      <c r="A124" s="104"/>
      <c r="B124" s="104"/>
      <c r="C124" s="104"/>
      <c r="D124" s="104"/>
      <c r="E124" s="104"/>
      <c r="F124" s="104"/>
      <c r="G124" s="114"/>
    </row>
    <row r="125" spans="1:7" x14ac:dyDescent="0.2">
      <c r="A125" s="115" t="s">
        <v>93</v>
      </c>
      <c r="B125" s="104"/>
      <c r="C125" s="104"/>
      <c r="D125" s="104"/>
      <c r="E125" s="104"/>
      <c r="F125" s="104"/>
      <c r="G125" s="114"/>
    </row>
    <row r="126" spans="1:7" x14ac:dyDescent="0.2">
      <c r="A126" s="104"/>
      <c r="B126" s="104"/>
      <c r="C126" s="104"/>
      <c r="D126" s="104"/>
      <c r="E126" s="104"/>
      <c r="F126" s="104"/>
      <c r="G126" s="114"/>
    </row>
    <row r="127" spans="1:7" x14ac:dyDescent="0.2">
      <c r="A127" s="96"/>
      <c r="B127" s="96"/>
      <c r="C127" s="96"/>
      <c r="D127" s="96"/>
      <c r="E127" s="96"/>
      <c r="F127" s="96"/>
      <c r="G127" s="96"/>
    </row>
    <row r="128" spans="1:7" x14ac:dyDescent="0.2">
      <c r="A128" s="96" t="s">
        <v>88</v>
      </c>
      <c r="B128" s="96"/>
      <c r="C128" s="96"/>
      <c r="D128" s="96"/>
      <c r="E128" s="96"/>
      <c r="F128" s="96" t="s">
        <v>89</v>
      </c>
      <c r="G128" s="96"/>
    </row>
    <row r="129" spans="1:7" x14ac:dyDescent="0.2">
      <c r="A129" s="96"/>
      <c r="B129" s="96"/>
      <c r="C129" s="96"/>
      <c r="D129" s="96"/>
      <c r="E129" s="96"/>
      <c r="F129" s="96"/>
      <c r="G129" s="96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SALES SUMMARY</vt:lpstr>
      <vt:lpstr>ENTRY</vt:lpstr>
      <vt:lpstr>SC</vt:lpstr>
      <vt:lpstr>M &amp; C VALERO</vt:lpstr>
      <vt:lpstr>'M &amp; C VALERO'!Print_Area</vt:lpstr>
      <vt:lpstr>SC!Print_Area</vt:lpstr>
    </vt:vector>
  </TitlesOfParts>
  <Company>ADMIN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default</cp:lastModifiedBy>
  <cp:lastPrinted>2019-02-20T01:55:01Z</cp:lastPrinted>
  <dcterms:created xsi:type="dcterms:W3CDTF">2013-01-10T00:59:22Z</dcterms:created>
  <dcterms:modified xsi:type="dcterms:W3CDTF">2020-05-30T10:20:46Z</dcterms:modified>
</cp:coreProperties>
</file>