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7 Files\monthlyreportsjuly2019\done\"/>
    </mc:Choice>
  </mc:AlternateContent>
  <xr:revisionPtr revIDLastSave="0" documentId="13_ncr:1_{BBF00CA2-13C3-4895-BE1B-4D4E94F76F7B}" xr6:coauthVersionLast="43" xr6:coauthVersionMax="43" xr10:uidLastSave="{00000000-0000-0000-0000-000000000000}"/>
  <bookViews>
    <workbookView xWindow="-60" yWindow="-60" windowWidth="24120" windowHeight="12960" xr2:uid="{00000000-000D-0000-FFFF-FFFF00000000}"/>
  </bookViews>
  <sheets>
    <sheet name="Summary" sheetId="58" r:id="rId1"/>
    <sheet name="June 6-11" sheetId="60" r:id="rId2"/>
    <sheet name="June 13-18" sheetId="62" r:id="rId3"/>
    <sheet name="June 18-25" sheetId="63" r:id="rId4"/>
    <sheet name="June 25-29" sheetId="64" r:id="rId5"/>
  </sheets>
  <externalReferences>
    <externalReference r:id="rId6"/>
    <externalReference r:id="rId7"/>
    <externalReference r:id="rId8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  <definedName name="_xlnm.Print_Area" localSheetId="0">Summary!#REF!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57" i="58" l="1"/>
  <c r="M157" i="58"/>
  <c r="K150" i="58" l="1"/>
  <c r="N150" i="58" s="1"/>
  <c r="O151" i="58"/>
  <c r="N151" i="58"/>
  <c r="AF151" i="58" s="1"/>
  <c r="AG151" i="58" s="1"/>
  <c r="M151" i="58"/>
  <c r="O150" i="58"/>
  <c r="O149" i="58"/>
  <c r="N149" i="58"/>
  <c r="M149" i="58"/>
  <c r="O148" i="58"/>
  <c r="N148" i="58"/>
  <c r="M148" i="58"/>
  <c r="O147" i="58"/>
  <c r="N147" i="58"/>
  <c r="M147" i="58"/>
  <c r="O146" i="58"/>
  <c r="N146" i="58"/>
  <c r="M146" i="58"/>
  <c r="O145" i="58"/>
  <c r="N145" i="58"/>
  <c r="M145" i="58"/>
  <c r="AF150" i="58" l="1"/>
  <c r="AG150" i="58" s="1"/>
  <c r="AF145" i="58"/>
  <c r="AG145" i="58" s="1"/>
  <c r="AF146" i="58"/>
  <c r="AG146" i="58" s="1"/>
  <c r="AF149" i="58"/>
  <c r="AG149" i="58" s="1"/>
  <c r="AF147" i="58"/>
  <c r="AG147" i="58" s="1"/>
  <c r="M150" i="58"/>
  <c r="AF148" i="58"/>
  <c r="AG148" i="58" s="1"/>
  <c r="O152" i="58"/>
  <c r="N152" i="58"/>
  <c r="M152" i="58"/>
  <c r="O144" i="58"/>
  <c r="N144" i="58"/>
  <c r="M144" i="58"/>
  <c r="O143" i="58"/>
  <c r="N143" i="58"/>
  <c r="M143" i="58"/>
  <c r="O142" i="58"/>
  <c r="N142" i="58"/>
  <c r="M142" i="58"/>
  <c r="O141" i="58"/>
  <c r="N141" i="58"/>
  <c r="M141" i="58"/>
  <c r="O140" i="58"/>
  <c r="N140" i="58"/>
  <c r="M140" i="58"/>
  <c r="O139" i="58"/>
  <c r="N139" i="58"/>
  <c r="AF139" i="58" s="1"/>
  <c r="AG139" i="58" s="1"/>
  <c r="M139" i="58"/>
  <c r="O138" i="58"/>
  <c r="N138" i="58"/>
  <c r="M138" i="58"/>
  <c r="K137" i="58"/>
  <c r="N137" i="58" s="1"/>
  <c r="O136" i="58"/>
  <c r="N136" i="58"/>
  <c r="M136" i="58"/>
  <c r="O135" i="58"/>
  <c r="N135" i="58"/>
  <c r="M135" i="58"/>
  <c r="O134" i="58"/>
  <c r="N134" i="58"/>
  <c r="M134" i="58"/>
  <c r="O133" i="58"/>
  <c r="N133" i="58"/>
  <c r="AF133" i="58" s="1"/>
  <c r="AG133" i="58" s="1"/>
  <c r="M133" i="58"/>
  <c r="O132" i="58"/>
  <c r="N132" i="58"/>
  <c r="M132" i="58"/>
  <c r="O131" i="58"/>
  <c r="N131" i="58"/>
  <c r="M131" i="58"/>
  <c r="O130" i="58"/>
  <c r="N130" i="58"/>
  <c r="M130" i="58"/>
  <c r="O129" i="58"/>
  <c r="N129" i="58"/>
  <c r="AF129" i="58" s="1"/>
  <c r="AG129" i="58" s="1"/>
  <c r="M129" i="58"/>
  <c r="O128" i="58"/>
  <c r="N128" i="58"/>
  <c r="M128" i="58"/>
  <c r="O127" i="58"/>
  <c r="N127" i="58"/>
  <c r="M127" i="58"/>
  <c r="O126" i="58"/>
  <c r="N126" i="58"/>
  <c r="M126" i="58"/>
  <c r="O125" i="58"/>
  <c r="N125" i="58"/>
  <c r="M125" i="58"/>
  <c r="O124" i="58"/>
  <c r="N124" i="58"/>
  <c r="M124" i="58"/>
  <c r="O123" i="58"/>
  <c r="N123" i="58"/>
  <c r="M123" i="58"/>
  <c r="O122" i="58"/>
  <c r="N122" i="58"/>
  <c r="M122" i="58"/>
  <c r="O121" i="58"/>
  <c r="N121" i="58"/>
  <c r="M121" i="58"/>
  <c r="O120" i="58"/>
  <c r="N120" i="58"/>
  <c r="M120" i="58"/>
  <c r="O119" i="58"/>
  <c r="N119" i="58"/>
  <c r="M119" i="58"/>
  <c r="K118" i="58"/>
  <c r="N118" i="58" s="1"/>
  <c r="O117" i="58"/>
  <c r="N117" i="58"/>
  <c r="M117" i="58"/>
  <c r="O116" i="58"/>
  <c r="N116" i="58"/>
  <c r="M116" i="58"/>
  <c r="M153" i="58"/>
  <c r="N153" i="58"/>
  <c r="O153" i="58"/>
  <c r="H154" i="58"/>
  <c r="I154" i="58"/>
  <c r="J154" i="58"/>
  <c r="L154" i="58"/>
  <c r="P154" i="58"/>
  <c r="Q154" i="58"/>
  <c r="R154" i="58"/>
  <c r="S154" i="58"/>
  <c r="T154" i="58"/>
  <c r="U154" i="58"/>
  <c r="V154" i="58"/>
  <c r="W154" i="58"/>
  <c r="X154" i="58"/>
  <c r="Y154" i="58"/>
  <c r="Z154" i="58"/>
  <c r="AA154" i="58"/>
  <c r="AB154" i="58"/>
  <c r="AC154" i="58"/>
  <c r="AD154" i="58"/>
  <c r="AE154" i="58"/>
  <c r="AF143" i="58" l="1"/>
  <c r="AG143" i="58" s="1"/>
  <c r="AF121" i="58"/>
  <c r="AG121" i="58" s="1"/>
  <c r="AF125" i="58"/>
  <c r="AG125" i="58" s="1"/>
  <c r="AF153" i="58"/>
  <c r="AG153" i="58" s="1"/>
  <c r="AF144" i="58"/>
  <c r="AG144" i="58" s="1"/>
  <c r="AF117" i="58"/>
  <c r="AG117" i="58" s="1"/>
  <c r="AF119" i="58"/>
  <c r="AG119" i="58" s="1"/>
  <c r="AF123" i="58"/>
  <c r="AG123" i="58" s="1"/>
  <c r="AF127" i="58"/>
  <c r="AG127" i="58" s="1"/>
  <c r="AF131" i="58"/>
  <c r="AG131" i="58" s="1"/>
  <c r="AF135" i="58"/>
  <c r="AG135" i="58" s="1"/>
  <c r="AF141" i="58"/>
  <c r="AG141" i="58" s="1"/>
  <c r="AF152" i="58"/>
  <c r="AG152" i="58" s="1"/>
  <c r="AF116" i="58"/>
  <c r="AG116" i="58" s="1"/>
  <c r="AF120" i="58"/>
  <c r="AG120" i="58" s="1"/>
  <c r="AF122" i="58"/>
  <c r="AG122" i="58" s="1"/>
  <c r="AF124" i="58"/>
  <c r="AG124" i="58" s="1"/>
  <c r="AF126" i="58"/>
  <c r="AG126" i="58" s="1"/>
  <c r="AF128" i="58"/>
  <c r="AG128" i="58" s="1"/>
  <c r="AF130" i="58"/>
  <c r="AG130" i="58" s="1"/>
  <c r="AF132" i="58"/>
  <c r="AG132" i="58" s="1"/>
  <c r="AF134" i="58"/>
  <c r="AG134" i="58" s="1"/>
  <c r="AF136" i="58"/>
  <c r="AG136" i="58" s="1"/>
  <c r="AF138" i="58"/>
  <c r="AG138" i="58" s="1"/>
  <c r="AF140" i="58"/>
  <c r="AG140" i="58" s="1"/>
  <c r="AF142" i="58"/>
  <c r="AG142" i="58" s="1"/>
  <c r="M118" i="58"/>
  <c r="O118" i="58"/>
  <c r="AF118" i="58" s="1"/>
  <c r="AG118" i="58" s="1"/>
  <c r="M137" i="58"/>
  <c r="O137" i="58"/>
  <c r="AF137" i="58" s="1"/>
  <c r="AG137" i="58" s="1"/>
  <c r="O115" i="58" l="1"/>
  <c r="N115" i="58"/>
  <c r="M115" i="58"/>
  <c r="O114" i="58"/>
  <c r="N114" i="58"/>
  <c r="M114" i="58"/>
  <c r="O113" i="58"/>
  <c r="N113" i="58"/>
  <c r="AF113" i="58" s="1"/>
  <c r="AG113" i="58" s="1"/>
  <c r="M113" i="58"/>
  <c r="O112" i="58"/>
  <c r="N112" i="58"/>
  <c r="M112" i="58"/>
  <c r="O111" i="58"/>
  <c r="N111" i="58"/>
  <c r="M111" i="58"/>
  <c r="O110" i="58"/>
  <c r="N110" i="58"/>
  <c r="M110" i="58"/>
  <c r="K109" i="58"/>
  <c r="N109" i="58" s="1"/>
  <c r="O108" i="58"/>
  <c r="N108" i="58"/>
  <c r="M108" i="58"/>
  <c r="O107" i="58"/>
  <c r="N107" i="58"/>
  <c r="M107" i="58"/>
  <c r="O106" i="58"/>
  <c r="N106" i="58"/>
  <c r="M106" i="58"/>
  <c r="O105" i="58"/>
  <c r="N105" i="58"/>
  <c r="M105" i="58"/>
  <c r="O104" i="58"/>
  <c r="N104" i="58"/>
  <c r="M104" i="58"/>
  <c r="O103" i="58"/>
  <c r="N103" i="58"/>
  <c r="M103" i="58"/>
  <c r="O102" i="58"/>
  <c r="N102" i="58"/>
  <c r="M102" i="58"/>
  <c r="O101" i="58"/>
  <c r="N101" i="58"/>
  <c r="M101" i="58"/>
  <c r="O100" i="58"/>
  <c r="N100" i="58"/>
  <c r="M100" i="58"/>
  <c r="O99" i="58"/>
  <c r="N99" i="58"/>
  <c r="M99" i="58"/>
  <c r="K98" i="58"/>
  <c r="N98" i="58" s="1"/>
  <c r="O97" i="58"/>
  <c r="N97" i="58"/>
  <c r="M97" i="58"/>
  <c r="O96" i="58"/>
  <c r="N96" i="58"/>
  <c r="M96" i="58"/>
  <c r="O95" i="58"/>
  <c r="N95" i="58"/>
  <c r="M95" i="58"/>
  <c r="O94" i="58"/>
  <c r="N94" i="58"/>
  <c r="M94" i="58"/>
  <c r="O93" i="58"/>
  <c r="N93" i="58"/>
  <c r="M93" i="58"/>
  <c r="O92" i="58"/>
  <c r="N92" i="58"/>
  <c r="M92" i="58"/>
  <c r="AF95" i="58" l="1"/>
  <c r="AG95" i="58" s="1"/>
  <c r="AF105" i="58"/>
  <c r="AG105" i="58" s="1"/>
  <c r="AF101" i="58"/>
  <c r="AG101" i="58" s="1"/>
  <c r="AF111" i="58"/>
  <c r="AG111" i="58" s="1"/>
  <c r="AF115" i="58"/>
  <c r="AG115" i="58" s="1"/>
  <c r="M109" i="58"/>
  <c r="AF93" i="58"/>
  <c r="AG93" i="58" s="1"/>
  <c r="AF97" i="58"/>
  <c r="AG97" i="58" s="1"/>
  <c r="AF99" i="58"/>
  <c r="AG99" i="58" s="1"/>
  <c r="AF103" i="58"/>
  <c r="AG103" i="58" s="1"/>
  <c r="AF107" i="58"/>
  <c r="AG107" i="58" s="1"/>
  <c r="O98" i="58"/>
  <c r="AF98" i="58" s="1"/>
  <c r="AG98" i="58" s="1"/>
  <c r="M98" i="58"/>
  <c r="O109" i="58"/>
  <c r="AF109" i="58" s="1"/>
  <c r="AG109" i="58" s="1"/>
  <c r="AF92" i="58"/>
  <c r="AG92" i="58" s="1"/>
  <c r="AF94" i="58"/>
  <c r="AG94" i="58" s="1"/>
  <c r="AF96" i="58"/>
  <c r="AG96" i="58" s="1"/>
  <c r="AF100" i="58"/>
  <c r="AG100" i="58" s="1"/>
  <c r="AF102" i="58"/>
  <c r="AG102" i="58" s="1"/>
  <c r="AF104" i="58"/>
  <c r="AG104" i="58" s="1"/>
  <c r="AF106" i="58"/>
  <c r="AG106" i="58" s="1"/>
  <c r="AF108" i="58"/>
  <c r="AG108" i="58" s="1"/>
  <c r="AF110" i="58"/>
  <c r="AG110" i="58" s="1"/>
  <c r="AF112" i="58"/>
  <c r="AG112" i="58" s="1"/>
  <c r="AF114" i="58"/>
  <c r="AG114" i="58" s="1"/>
  <c r="O91" i="58"/>
  <c r="N91" i="58"/>
  <c r="M91" i="58"/>
  <c r="K90" i="58"/>
  <c r="O90" i="58" s="1"/>
  <c r="O89" i="58"/>
  <c r="N89" i="58"/>
  <c r="M89" i="58"/>
  <c r="O88" i="58"/>
  <c r="N88" i="58"/>
  <c r="M88" i="58"/>
  <c r="O87" i="58"/>
  <c r="N87" i="58"/>
  <c r="M87" i="58"/>
  <c r="O86" i="58"/>
  <c r="N86" i="58"/>
  <c r="M86" i="58"/>
  <c r="O85" i="58"/>
  <c r="N85" i="58"/>
  <c r="M85" i="58"/>
  <c r="O84" i="58"/>
  <c r="N84" i="58"/>
  <c r="M84" i="58"/>
  <c r="O83" i="58"/>
  <c r="N83" i="58"/>
  <c r="M83" i="58"/>
  <c r="O82" i="58"/>
  <c r="N82" i="58"/>
  <c r="M82" i="58"/>
  <c r="O81" i="58"/>
  <c r="N81" i="58"/>
  <c r="M81" i="58"/>
  <c r="K80" i="58"/>
  <c r="N80" i="58" s="1"/>
  <c r="O79" i="58"/>
  <c r="N79" i="58"/>
  <c r="M79" i="58"/>
  <c r="K78" i="58"/>
  <c r="O78" i="58" s="1"/>
  <c r="O77" i="58"/>
  <c r="N77" i="58"/>
  <c r="M77" i="58"/>
  <c r="O76" i="58"/>
  <c r="N76" i="58"/>
  <c r="M76" i="58"/>
  <c r="O75" i="58"/>
  <c r="N75" i="58"/>
  <c r="M75" i="58"/>
  <c r="O74" i="58"/>
  <c r="N74" i="58"/>
  <c r="M74" i="58"/>
  <c r="O73" i="58"/>
  <c r="N73" i="58"/>
  <c r="M73" i="58"/>
  <c r="O72" i="58"/>
  <c r="N72" i="58"/>
  <c r="M72" i="58"/>
  <c r="O71" i="58"/>
  <c r="N71" i="58"/>
  <c r="M71" i="58"/>
  <c r="M80" i="58" l="1"/>
  <c r="O80" i="58"/>
  <c r="AF80" i="58" s="1"/>
  <c r="AG80" i="58" s="1"/>
  <c r="AF72" i="58"/>
  <c r="AG72" i="58" s="1"/>
  <c r="AF74" i="58"/>
  <c r="AG74" i="58" s="1"/>
  <c r="AF76" i="58"/>
  <c r="AG76" i="58" s="1"/>
  <c r="AF82" i="58"/>
  <c r="AG82" i="58" s="1"/>
  <c r="AF84" i="58"/>
  <c r="AG84" i="58" s="1"/>
  <c r="AF86" i="58"/>
  <c r="AG86" i="58" s="1"/>
  <c r="AF88" i="58"/>
  <c r="AG88" i="58" s="1"/>
  <c r="AF71" i="58"/>
  <c r="AG71" i="58" s="1"/>
  <c r="AF73" i="58"/>
  <c r="AG73" i="58" s="1"/>
  <c r="AF75" i="58"/>
  <c r="AG75" i="58" s="1"/>
  <c r="AF77" i="58"/>
  <c r="AG77" i="58" s="1"/>
  <c r="AF79" i="58"/>
  <c r="AG79" i="58" s="1"/>
  <c r="AF81" i="58"/>
  <c r="AG81" i="58" s="1"/>
  <c r="AF83" i="58"/>
  <c r="AG83" i="58" s="1"/>
  <c r="AF85" i="58"/>
  <c r="AG85" i="58" s="1"/>
  <c r="AF87" i="58"/>
  <c r="AG87" i="58" s="1"/>
  <c r="AF89" i="58"/>
  <c r="AG89" i="58" s="1"/>
  <c r="AF91" i="58"/>
  <c r="AG91" i="58" s="1"/>
  <c r="N78" i="58"/>
  <c r="AF78" i="58" s="1"/>
  <c r="AG78" i="58" s="1"/>
  <c r="N90" i="58"/>
  <c r="AF90" i="58" s="1"/>
  <c r="AG90" i="58" s="1"/>
  <c r="M78" i="58"/>
  <c r="M90" i="58"/>
  <c r="O70" i="58" l="1"/>
  <c r="N70" i="58"/>
  <c r="M70" i="58"/>
  <c r="O69" i="58"/>
  <c r="N69" i="58"/>
  <c r="M69" i="58"/>
  <c r="O68" i="58"/>
  <c r="N68" i="58"/>
  <c r="AF68" i="58" s="1"/>
  <c r="AG68" i="58" s="1"/>
  <c r="M68" i="58"/>
  <c r="O67" i="58"/>
  <c r="N67" i="58"/>
  <c r="M67" i="58"/>
  <c r="O66" i="58"/>
  <c r="N66" i="58"/>
  <c r="M66" i="58"/>
  <c r="O65" i="58"/>
  <c r="N65" i="58"/>
  <c r="M65" i="58"/>
  <c r="O64" i="58"/>
  <c r="N64" i="58"/>
  <c r="AF64" i="58" s="1"/>
  <c r="AG64" i="58" s="1"/>
  <c r="M64" i="58"/>
  <c r="O63" i="58"/>
  <c r="N63" i="58"/>
  <c r="M63" i="58"/>
  <c r="O62" i="58"/>
  <c r="N62" i="58"/>
  <c r="M62" i="58"/>
  <c r="O61" i="58"/>
  <c r="N61" i="58"/>
  <c r="M61" i="58"/>
  <c r="O60" i="58"/>
  <c r="N60" i="58"/>
  <c r="M60" i="58"/>
  <c r="O59" i="58"/>
  <c r="N59" i="58"/>
  <c r="M59" i="58"/>
  <c r="O58" i="58"/>
  <c r="N58" i="58"/>
  <c r="M58" i="58"/>
  <c r="O57" i="58"/>
  <c r="N57" i="58"/>
  <c r="M57" i="58"/>
  <c r="O56" i="58"/>
  <c r="N56" i="58"/>
  <c r="AF56" i="58" s="1"/>
  <c r="AG56" i="58" s="1"/>
  <c r="M56" i="58"/>
  <c r="O55" i="58"/>
  <c r="N55" i="58"/>
  <c r="M55" i="58"/>
  <c r="O54" i="58"/>
  <c r="N54" i="58"/>
  <c r="M54" i="58"/>
  <c r="O53" i="58"/>
  <c r="N53" i="58"/>
  <c r="M53" i="58"/>
  <c r="O52" i="58"/>
  <c r="N52" i="58"/>
  <c r="AF52" i="58" s="1"/>
  <c r="AG52" i="58" s="1"/>
  <c r="M52" i="58"/>
  <c r="O51" i="58"/>
  <c r="N51" i="58"/>
  <c r="M51" i="58"/>
  <c r="O50" i="58"/>
  <c r="N50" i="58"/>
  <c r="M50" i="58"/>
  <c r="O49" i="58"/>
  <c r="N49" i="58"/>
  <c r="M49" i="58"/>
  <c r="O48" i="58"/>
  <c r="N48" i="58"/>
  <c r="AF48" i="58" s="1"/>
  <c r="AG48" i="58" s="1"/>
  <c r="M48" i="58"/>
  <c r="O47" i="58"/>
  <c r="N47" i="58"/>
  <c r="M47" i="58"/>
  <c r="O46" i="58"/>
  <c r="N46" i="58"/>
  <c r="M46" i="58"/>
  <c r="AF60" i="58" l="1"/>
  <c r="AG60" i="58" s="1"/>
  <c r="AF46" i="58"/>
  <c r="AG46" i="58" s="1"/>
  <c r="AF50" i="58"/>
  <c r="AG50" i="58" s="1"/>
  <c r="AF54" i="58"/>
  <c r="AG54" i="58" s="1"/>
  <c r="AF58" i="58"/>
  <c r="AG58" i="58" s="1"/>
  <c r="AF62" i="58"/>
  <c r="AG62" i="58" s="1"/>
  <c r="AF66" i="58"/>
  <c r="AG66" i="58" s="1"/>
  <c r="AF47" i="58"/>
  <c r="AG47" i="58" s="1"/>
  <c r="AF49" i="58"/>
  <c r="AG49" i="58" s="1"/>
  <c r="AF51" i="58"/>
  <c r="AG51" i="58" s="1"/>
  <c r="AF53" i="58"/>
  <c r="AG53" i="58" s="1"/>
  <c r="AF55" i="58"/>
  <c r="AG55" i="58" s="1"/>
  <c r="AF57" i="58"/>
  <c r="AG57" i="58" s="1"/>
  <c r="AF59" i="58"/>
  <c r="AG59" i="58" s="1"/>
  <c r="AF61" i="58"/>
  <c r="AG61" i="58" s="1"/>
  <c r="AF63" i="58"/>
  <c r="AG63" i="58" s="1"/>
  <c r="AF65" i="58"/>
  <c r="AG65" i="58" s="1"/>
  <c r="AF67" i="58"/>
  <c r="AG67" i="58" s="1"/>
  <c r="AF69" i="58"/>
  <c r="AF70" i="58"/>
  <c r="AG70" i="58" s="1"/>
  <c r="K45" i="58"/>
  <c r="N45" i="58" s="1"/>
  <c r="K44" i="58"/>
  <c r="N44" i="58" s="1"/>
  <c r="O43" i="58"/>
  <c r="N43" i="58"/>
  <c r="M43" i="58"/>
  <c r="O42" i="58"/>
  <c r="N42" i="58"/>
  <c r="M42" i="58"/>
  <c r="O41" i="58"/>
  <c r="N41" i="58"/>
  <c r="M41" i="58"/>
  <c r="O40" i="58"/>
  <c r="N40" i="58"/>
  <c r="M40" i="58"/>
  <c r="O39" i="58"/>
  <c r="N39" i="58"/>
  <c r="M39" i="58"/>
  <c r="O38" i="58"/>
  <c r="N38" i="58"/>
  <c r="M38" i="58"/>
  <c r="O37" i="58"/>
  <c r="N37" i="58"/>
  <c r="M37" i="58"/>
  <c r="O36" i="58"/>
  <c r="N36" i="58"/>
  <c r="M36" i="58"/>
  <c r="K35" i="58"/>
  <c r="N35" i="58" s="1"/>
  <c r="O34" i="58"/>
  <c r="N34" i="58"/>
  <c r="M34" i="58"/>
  <c r="O33" i="58"/>
  <c r="N33" i="58"/>
  <c r="M33" i="58"/>
  <c r="O32" i="58"/>
  <c r="N32" i="58"/>
  <c r="M32" i="58"/>
  <c r="O31" i="58"/>
  <c r="N31" i="58"/>
  <c r="M31" i="58"/>
  <c r="O30" i="58"/>
  <c r="N30" i="58"/>
  <c r="M30" i="58"/>
  <c r="O29" i="58"/>
  <c r="N29" i="58"/>
  <c r="M29" i="58"/>
  <c r="O28" i="58"/>
  <c r="N28" i="58"/>
  <c r="M28" i="58"/>
  <c r="O27" i="58"/>
  <c r="N27" i="58"/>
  <c r="M27" i="58"/>
  <c r="O26" i="58"/>
  <c r="N26" i="58"/>
  <c r="M26" i="58"/>
  <c r="O25" i="58"/>
  <c r="N25" i="58"/>
  <c r="M25" i="58"/>
  <c r="O24" i="58"/>
  <c r="N24" i="58"/>
  <c r="M24" i="58"/>
  <c r="K23" i="58"/>
  <c r="N23" i="58" s="1"/>
  <c r="O22" i="58"/>
  <c r="N22" i="58"/>
  <c r="AF22" i="58" s="1"/>
  <c r="AG22" i="58" s="1"/>
  <c r="M22" i="58"/>
  <c r="K21" i="58"/>
  <c r="N21" i="58" s="1"/>
  <c r="O20" i="58"/>
  <c r="N20" i="58"/>
  <c r="M20" i="58"/>
  <c r="AF28" i="58" l="1"/>
  <c r="AG28" i="58" s="1"/>
  <c r="AF24" i="58"/>
  <c r="AG24" i="58" s="1"/>
  <c r="AF20" i="58"/>
  <c r="AG20" i="58" s="1"/>
  <c r="AF26" i="58"/>
  <c r="AG26" i="58" s="1"/>
  <c r="AF30" i="58"/>
  <c r="AG30" i="58" s="1"/>
  <c r="AF34" i="58"/>
  <c r="AG34" i="58" s="1"/>
  <c r="AF36" i="58"/>
  <c r="AG36" i="58" s="1"/>
  <c r="AF40" i="58"/>
  <c r="AG40" i="58" s="1"/>
  <c r="AF32" i="58"/>
  <c r="AG32" i="58" s="1"/>
  <c r="AF38" i="58"/>
  <c r="AG38" i="58" s="1"/>
  <c r="AF42" i="58"/>
  <c r="AG42" i="58" s="1"/>
  <c r="O23" i="58"/>
  <c r="AF23" i="58" s="1"/>
  <c r="AG23" i="58" s="1"/>
  <c r="M23" i="58"/>
  <c r="AF25" i="58"/>
  <c r="AG25" i="58" s="1"/>
  <c r="AF27" i="58"/>
  <c r="AG27" i="58" s="1"/>
  <c r="AF29" i="58"/>
  <c r="AG29" i="58" s="1"/>
  <c r="AF31" i="58"/>
  <c r="AG31" i="58" s="1"/>
  <c r="AF33" i="58"/>
  <c r="AG33" i="58" s="1"/>
  <c r="AF37" i="58"/>
  <c r="AG37" i="58" s="1"/>
  <c r="AF39" i="58"/>
  <c r="AG39" i="58" s="1"/>
  <c r="AF41" i="58"/>
  <c r="AG41" i="58" s="1"/>
  <c r="AF43" i="58"/>
  <c r="AG43" i="58" s="1"/>
  <c r="AG69" i="58"/>
  <c r="M21" i="58"/>
  <c r="O21" i="58"/>
  <c r="AF21" i="58" s="1"/>
  <c r="AG21" i="58" s="1"/>
  <c r="M35" i="58"/>
  <c r="O35" i="58"/>
  <c r="AF35" i="58" s="1"/>
  <c r="AG35" i="58" s="1"/>
  <c r="M44" i="58"/>
  <c r="O44" i="58"/>
  <c r="AF44" i="58" s="1"/>
  <c r="AG44" i="58" s="1"/>
  <c r="M45" i="58"/>
  <c r="O45" i="58"/>
  <c r="AF45" i="58" s="1"/>
  <c r="AG45" i="58" s="1"/>
  <c r="O19" i="58" l="1"/>
  <c r="N19" i="58"/>
  <c r="M19" i="58"/>
  <c r="K18" i="58"/>
  <c r="O17" i="58"/>
  <c r="N17" i="58"/>
  <c r="M17" i="58"/>
  <c r="O16" i="58"/>
  <c r="N16" i="58"/>
  <c r="M16" i="58"/>
  <c r="O15" i="58"/>
  <c r="N15" i="58"/>
  <c r="AF15" i="58" s="1"/>
  <c r="AG15" i="58" s="1"/>
  <c r="M15" i="58"/>
  <c r="O14" i="58"/>
  <c r="N14" i="58"/>
  <c r="M14" i="58"/>
  <c r="O13" i="58"/>
  <c r="N13" i="58"/>
  <c r="M13" i="58"/>
  <c r="O12" i="58"/>
  <c r="N12" i="58"/>
  <c r="M12" i="58"/>
  <c r="O11" i="58"/>
  <c r="N11" i="58"/>
  <c r="AF11" i="58" s="1"/>
  <c r="AG11" i="58" s="1"/>
  <c r="M11" i="58"/>
  <c r="O10" i="58"/>
  <c r="N10" i="58"/>
  <c r="M10" i="58"/>
  <c r="O9" i="58"/>
  <c r="N9" i="58"/>
  <c r="M9" i="58"/>
  <c r="O8" i="58"/>
  <c r="N8" i="58"/>
  <c r="M8" i="58"/>
  <c r="O7" i="58"/>
  <c r="N7" i="58"/>
  <c r="AF7" i="58" s="1"/>
  <c r="AG7" i="58" s="1"/>
  <c r="M7" i="58"/>
  <c r="O6" i="58"/>
  <c r="N6" i="58"/>
  <c r="M6" i="58"/>
  <c r="O5" i="58"/>
  <c r="N5" i="58"/>
  <c r="M5" i="58"/>
  <c r="AF9" i="58" l="1"/>
  <c r="AG9" i="58" s="1"/>
  <c r="AF13" i="58"/>
  <c r="AG13" i="58" s="1"/>
  <c r="AF17" i="58"/>
  <c r="AG17" i="58" s="1"/>
  <c r="AF19" i="58"/>
  <c r="AG19" i="58" s="1"/>
  <c r="AF5" i="58"/>
  <c r="O18" i="58"/>
  <c r="O154" i="58" s="1"/>
  <c r="K154" i="58"/>
  <c r="K156" i="58" s="1"/>
  <c r="AF6" i="58"/>
  <c r="AG6" i="58" s="1"/>
  <c r="AF8" i="58"/>
  <c r="AG8" i="58" s="1"/>
  <c r="AF10" i="58"/>
  <c r="AG10" i="58" s="1"/>
  <c r="AF12" i="58"/>
  <c r="AG12" i="58" s="1"/>
  <c r="AF14" i="58"/>
  <c r="AG14" i="58" s="1"/>
  <c r="AF16" i="58"/>
  <c r="AG16" i="58" s="1"/>
  <c r="N18" i="58"/>
  <c r="AF18" i="58" s="1"/>
  <c r="AG18" i="58" s="1"/>
  <c r="M18" i="58"/>
  <c r="M154" i="58" s="1"/>
  <c r="AG5" i="58" l="1"/>
  <c r="AG154" i="58" s="1"/>
  <c r="AF154" i="58"/>
  <c r="AF156" i="58" s="1"/>
  <c r="N154" i="58"/>
  <c r="O11" i="64"/>
  <c r="N11" i="64"/>
  <c r="M11" i="64"/>
  <c r="K9" i="64"/>
  <c r="O6" i="64"/>
  <c r="N6" i="64"/>
  <c r="M6" i="64"/>
  <c r="O8" i="64"/>
  <c r="N8" i="64"/>
  <c r="AF8" i="64" s="1"/>
  <c r="AG8" i="64" s="1"/>
  <c r="M8" i="64"/>
  <c r="O7" i="64"/>
  <c r="N7" i="64"/>
  <c r="M7" i="64"/>
  <c r="AE42" i="63"/>
  <c r="AD42" i="63"/>
  <c r="AC42" i="63"/>
  <c r="AB42" i="63"/>
  <c r="AA42" i="63"/>
  <c r="Z42" i="63"/>
  <c r="Y42" i="63"/>
  <c r="X42" i="63"/>
  <c r="W42" i="63"/>
  <c r="V42" i="63"/>
  <c r="U42" i="63"/>
  <c r="T42" i="63"/>
  <c r="S42" i="63"/>
  <c r="R42" i="63"/>
  <c r="Q42" i="63"/>
  <c r="P42" i="63"/>
  <c r="L42" i="63"/>
  <c r="J42" i="63"/>
  <c r="I42" i="63"/>
  <c r="H42" i="63"/>
  <c r="K44" i="63" s="1"/>
  <c r="O41" i="63"/>
  <c r="N41" i="63"/>
  <c r="AF41" i="63" s="1"/>
  <c r="AG41" i="63" s="1"/>
  <c r="M41" i="63"/>
  <c r="O39" i="63"/>
  <c r="N39" i="63"/>
  <c r="M39" i="63"/>
  <c r="O38" i="63"/>
  <c r="N38" i="63"/>
  <c r="AF38" i="63" s="1"/>
  <c r="AG38" i="63" s="1"/>
  <c r="M38" i="63"/>
  <c r="O37" i="63"/>
  <c r="N37" i="63"/>
  <c r="AF37" i="63" s="1"/>
  <c r="AG37" i="63" s="1"/>
  <c r="M37" i="63"/>
  <c r="O36" i="63"/>
  <c r="N36" i="63"/>
  <c r="AF36" i="63" s="1"/>
  <c r="AG36" i="63" s="1"/>
  <c r="M36" i="63"/>
  <c r="O35" i="63"/>
  <c r="K35" i="63"/>
  <c r="N35" i="63" s="1"/>
  <c r="O34" i="63"/>
  <c r="N34" i="63"/>
  <c r="AF34" i="63" s="1"/>
  <c r="AG34" i="63" s="1"/>
  <c r="M34" i="63"/>
  <c r="O33" i="63"/>
  <c r="N33" i="63"/>
  <c r="AF33" i="63" s="1"/>
  <c r="AG33" i="63" s="1"/>
  <c r="M33" i="63"/>
  <c r="O32" i="63"/>
  <c r="N32" i="63"/>
  <c r="AF32" i="63" s="1"/>
  <c r="AG32" i="63" s="1"/>
  <c r="M32" i="63"/>
  <c r="O31" i="63"/>
  <c r="N31" i="63"/>
  <c r="M31" i="63"/>
  <c r="O30" i="63"/>
  <c r="N30" i="63"/>
  <c r="AF30" i="63" s="1"/>
  <c r="AG30" i="63" s="1"/>
  <c r="M30" i="63"/>
  <c r="O29" i="63"/>
  <c r="N29" i="63"/>
  <c r="AF29" i="63" s="1"/>
  <c r="AG29" i="63" s="1"/>
  <c r="M29" i="63"/>
  <c r="O28" i="63"/>
  <c r="N28" i="63"/>
  <c r="AF28" i="63" s="1"/>
  <c r="AG28" i="63" s="1"/>
  <c r="M28" i="63"/>
  <c r="O27" i="63"/>
  <c r="N27" i="63"/>
  <c r="M27" i="63"/>
  <c r="O26" i="63"/>
  <c r="N26" i="63"/>
  <c r="AF26" i="63" s="1"/>
  <c r="AG26" i="63" s="1"/>
  <c r="M26" i="63"/>
  <c r="O25" i="63"/>
  <c r="N25" i="63"/>
  <c r="AF25" i="63" s="1"/>
  <c r="AG25" i="63" s="1"/>
  <c r="M25" i="63"/>
  <c r="O24" i="63"/>
  <c r="N24" i="63"/>
  <c r="AF24" i="63" s="1"/>
  <c r="AG24" i="63" s="1"/>
  <c r="M24" i="63"/>
  <c r="AF23" i="63"/>
  <c r="AG23" i="63" s="1"/>
  <c r="N23" i="63"/>
  <c r="M23" i="63"/>
  <c r="O22" i="63"/>
  <c r="N22" i="63"/>
  <c r="AF22" i="63" s="1"/>
  <c r="AG22" i="63" s="1"/>
  <c r="M22" i="63"/>
  <c r="O21" i="63"/>
  <c r="N21" i="63"/>
  <c r="AF21" i="63" s="1"/>
  <c r="AG21" i="63" s="1"/>
  <c r="M21" i="63"/>
  <c r="K20" i="63"/>
  <c r="N20" i="63" s="1"/>
  <c r="O19" i="63"/>
  <c r="N19" i="63"/>
  <c r="AF19" i="63" s="1"/>
  <c r="AG19" i="63" s="1"/>
  <c r="M19" i="63"/>
  <c r="N18" i="63"/>
  <c r="AF18" i="63" s="1"/>
  <c r="AG18" i="63" s="1"/>
  <c r="M18" i="63"/>
  <c r="O17" i="63"/>
  <c r="N17" i="63"/>
  <c r="AF17" i="63" s="1"/>
  <c r="AG17" i="63" s="1"/>
  <c r="M17" i="63"/>
  <c r="N16" i="63"/>
  <c r="AF16" i="63" s="1"/>
  <c r="AG16" i="63" s="1"/>
  <c r="M16" i="63"/>
  <c r="N15" i="63"/>
  <c r="AF15" i="63" s="1"/>
  <c r="AG15" i="63" s="1"/>
  <c r="M15" i="63"/>
  <c r="O14" i="63"/>
  <c r="N14" i="63"/>
  <c r="M14" i="63"/>
  <c r="O13" i="63"/>
  <c r="M13" i="63"/>
  <c r="K13" i="63"/>
  <c r="N13" i="63" s="1"/>
  <c r="N12" i="63"/>
  <c r="AF12" i="63" s="1"/>
  <c r="AG12" i="63" s="1"/>
  <c r="M12" i="63"/>
  <c r="O11" i="63"/>
  <c r="N11" i="63"/>
  <c r="M11" i="63"/>
  <c r="N10" i="63"/>
  <c r="AF10" i="63" s="1"/>
  <c r="AG10" i="63" s="1"/>
  <c r="M10" i="63"/>
  <c r="O9" i="63"/>
  <c r="N9" i="63"/>
  <c r="AF9" i="63" s="1"/>
  <c r="AG9" i="63" s="1"/>
  <c r="M9" i="63"/>
  <c r="N8" i="63"/>
  <c r="AF8" i="63" s="1"/>
  <c r="AG8" i="63" s="1"/>
  <c r="M8" i="63"/>
  <c r="O7" i="63"/>
  <c r="M7" i="63"/>
  <c r="K7" i="63"/>
  <c r="K42" i="63" s="1"/>
  <c r="N6" i="63"/>
  <c r="AF6" i="63" s="1"/>
  <c r="AG6" i="63" s="1"/>
  <c r="M6" i="63"/>
  <c r="N5" i="63"/>
  <c r="M5" i="63"/>
  <c r="AF35" i="63" l="1"/>
  <c r="AG35" i="63" s="1"/>
  <c r="AF11" i="63"/>
  <c r="AG11" i="63" s="1"/>
  <c r="AF13" i="63"/>
  <c r="AG13" i="63" s="1"/>
  <c r="AF14" i="63"/>
  <c r="AG14" i="63" s="1"/>
  <c r="AF27" i="63"/>
  <c r="AG27" i="63" s="1"/>
  <c r="AF31" i="63"/>
  <c r="AG31" i="63" s="1"/>
  <c r="M35" i="63"/>
  <c r="AF39" i="63"/>
  <c r="AG39" i="63" s="1"/>
  <c r="AF6" i="64"/>
  <c r="AG6" i="64" s="1"/>
  <c r="AF11" i="64"/>
  <c r="AG11" i="64" s="1"/>
  <c r="AF7" i="64"/>
  <c r="AG7" i="64" s="1"/>
  <c r="M42" i="63"/>
  <c r="AF5" i="63"/>
  <c r="N7" i="63"/>
  <c r="AF7" i="63" s="1"/>
  <c r="AG7" i="63" s="1"/>
  <c r="M20" i="63"/>
  <c r="O20" i="63"/>
  <c r="O42" i="63" s="1"/>
  <c r="AG5" i="63" l="1"/>
  <c r="AG42" i="63" s="1"/>
  <c r="AF20" i="63"/>
  <c r="AG20" i="63" s="1"/>
  <c r="N42" i="63"/>
  <c r="AF42" i="63" l="1"/>
  <c r="AF44" i="63" s="1"/>
  <c r="AE29" i="62" l="1"/>
  <c r="AD29" i="62"/>
  <c r="AC29" i="62"/>
  <c r="AB29" i="62"/>
  <c r="AA29" i="62"/>
  <c r="Z29" i="62"/>
  <c r="Y29" i="62"/>
  <c r="X29" i="62"/>
  <c r="W29" i="62"/>
  <c r="V29" i="62"/>
  <c r="U29" i="62"/>
  <c r="T29" i="62"/>
  <c r="S29" i="62"/>
  <c r="R29" i="62"/>
  <c r="Q29" i="62"/>
  <c r="P29" i="62"/>
  <c r="L29" i="62"/>
  <c r="J29" i="62"/>
  <c r="I29" i="62"/>
  <c r="H29" i="62"/>
  <c r="O28" i="62"/>
  <c r="N28" i="62"/>
  <c r="M28" i="62"/>
  <c r="O27" i="62"/>
  <c r="N27" i="62"/>
  <c r="AF27" i="62" s="1"/>
  <c r="AG27" i="62" s="1"/>
  <c r="M27" i="62"/>
  <c r="O26" i="62"/>
  <c r="N26" i="62"/>
  <c r="AF26" i="62" s="1"/>
  <c r="AG26" i="62" s="1"/>
  <c r="M26" i="62"/>
  <c r="O25" i="62"/>
  <c r="N25" i="62"/>
  <c r="AF25" i="62" s="1"/>
  <c r="AG25" i="62" s="1"/>
  <c r="M25" i="62"/>
  <c r="O24" i="62"/>
  <c r="N24" i="62"/>
  <c r="M24" i="62"/>
  <c r="K23" i="62"/>
  <c r="O23" i="62" s="1"/>
  <c r="O22" i="62"/>
  <c r="N22" i="62"/>
  <c r="M22" i="62"/>
  <c r="O21" i="62"/>
  <c r="N21" i="62"/>
  <c r="AF21" i="62" s="1"/>
  <c r="AG21" i="62" s="1"/>
  <c r="M21" i="62"/>
  <c r="O20" i="62"/>
  <c r="N20" i="62"/>
  <c r="AF20" i="62" s="1"/>
  <c r="AG20" i="62" s="1"/>
  <c r="M20" i="62"/>
  <c r="O19" i="62"/>
  <c r="N19" i="62"/>
  <c r="AF19" i="62" s="1"/>
  <c r="AG19" i="62" s="1"/>
  <c r="M19" i="62"/>
  <c r="M18" i="62"/>
  <c r="K18" i="62"/>
  <c r="N18" i="62" s="1"/>
  <c r="AF18" i="62" s="1"/>
  <c r="AG18" i="62" s="1"/>
  <c r="O17" i="62"/>
  <c r="N17" i="62"/>
  <c r="AF17" i="62" s="1"/>
  <c r="AG17" i="62" s="1"/>
  <c r="M17" i="62"/>
  <c r="N16" i="62"/>
  <c r="AF16" i="62" s="1"/>
  <c r="AG16" i="62" s="1"/>
  <c r="M16" i="62"/>
  <c r="AF15" i="62"/>
  <c r="AG15" i="62" s="1"/>
  <c r="N15" i="62"/>
  <c r="M15" i="62"/>
  <c r="O14" i="62"/>
  <c r="N14" i="62"/>
  <c r="AF14" i="62" s="1"/>
  <c r="AG14" i="62" s="1"/>
  <c r="M14" i="62"/>
  <c r="K13" i="62"/>
  <c r="N13" i="62" s="1"/>
  <c r="N12" i="62"/>
  <c r="AF12" i="62" s="1"/>
  <c r="AG12" i="62" s="1"/>
  <c r="M12" i="62"/>
  <c r="O11" i="62"/>
  <c r="N11" i="62"/>
  <c r="AF11" i="62" s="1"/>
  <c r="AG11" i="62" s="1"/>
  <c r="M11" i="62"/>
  <c r="N10" i="62"/>
  <c r="AF10" i="62" s="1"/>
  <c r="AG10" i="62" s="1"/>
  <c r="M10" i="62"/>
  <c r="O9" i="62"/>
  <c r="N9" i="62"/>
  <c r="AF9" i="62" s="1"/>
  <c r="AG9" i="62" s="1"/>
  <c r="M9" i="62"/>
  <c r="N8" i="62"/>
  <c r="AF8" i="62" s="1"/>
  <c r="AG8" i="62" s="1"/>
  <c r="M8" i="62"/>
  <c r="O7" i="62"/>
  <c r="N7" i="62"/>
  <c r="AF7" i="62" s="1"/>
  <c r="AG7" i="62" s="1"/>
  <c r="M7" i="62"/>
  <c r="N6" i="62"/>
  <c r="AF6" i="62" s="1"/>
  <c r="AG6" i="62" s="1"/>
  <c r="M6" i="62"/>
  <c r="AF5" i="62"/>
  <c r="N5" i="62"/>
  <c r="M5" i="62"/>
  <c r="M13" i="62" l="1"/>
  <c r="O13" i="62"/>
  <c r="AF13" i="62" s="1"/>
  <c r="AF22" i="62"/>
  <c r="AG22" i="62" s="1"/>
  <c r="AF24" i="62"/>
  <c r="AG24" i="62" s="1"/>
  <c r="AF28" i="62"/>
  <c r="AG28" i="62" s="1"/>
  <c r="N23" i="62"/>
  <c r="AF23" i="62" s="1"/>
  <c r="AG23" i="62" s="1"/>
  <c r="K29" i="62"/>
  <c r="K31" i="62" s="1"/>
  <c r="AG5" i="62"/>
  <c r="M23" i="62"/>
  <c r="M29" i="62" s="1"/>
  <c r="AG13" i="62" l="1"/>
  <c r="AG29" i="62" s="1"/>
  <c r="AF29" i="62"/>
  <c r="AF31" i="62" s="1"/>
  <c r="O29" i="62"/>
  <c r="N29" i="62"/>
  <c r="AE24" i="60" l="1"/>
  <c r="AD24" i="60"/>
  <c r="AC24" i="60"/>
  <c r="AB24" i="60"/>
  <c r="AA24" i="60"/>
  <c r="Z24" i="60"/>
  <c r="Y24" i="60"/>
  <c r="X24" i="60"/>
  <c r="W24" i="60"/>
  <c r="V24" i="60"/>
  <c r="U24" i="60"/>
  <c r="T24" i="60"/>
  <c r="S24" i="60"/>
  <c r="R24" i="60"/>
  <c r="Q24" i="60"/>
  <c r="P24" i="60"/>
  <c r="L24" i="60"/>
  <c r="K24" i="60"/>
  <c r="J24" i="60"/>
  <c r="I24" i="60"/>
  <c r="H24" i="60"/>
  <c r="O23" i="60"/>
  <c r="N23" i="60"/>
  <c r="AF23" i="60" s="1"/>
  <c r="AG23" i="60" s="1"/>
  <c r="M23" i="60"/>
  <c r="O22" i="60"/>
  <c r="N22" i="60"/>
  <c r="AF22" i="60" s="1"/>
  <c r="AG22" i="60" s="1"/>
  <c r="M22" i="60"/>
  <c r="O21" i="60"/>
  <c r="N21" i="60"/>
  <c r="M21" i="60"/>
  <c r="N20" i="60"/>
  <c r="AF20" i="60" s="1"/>
  <c r="AG20" i="60" s="1"/>
  <c r="M20" i="60"/>
  <c r="O19" i="60"/>
  <c r="N19" i="60"/>
  <c r="AF19" i="60" s="1"/>
  <c r="AG19" i="60" s="1"/>
  <c r="M19" i="60"/>
  <c r="N18" i="60"/>
  <c r="AF18" i="60" s="1"/>
  <c r="AG18" i="60" s="1"/>
  <c r="M18" i="60"/>
  <c r="O17" i="60"/>
  <c r="N17" i="60"/>
  <c r="AF17" i="60" s="1"/>
  <c r="AG17" i="60" s="1"/>
  <c r="M17" i="60"/>
  <c r="N16" i="60"/>
  <c r="AF16" i="60" s="1"/>
  <c r="AG16" i="60" s="1"/>
  <c r="M16" i="60"/>
  <c r="N15" i="60"/>
  <c r="AF15" i="60" s="1"/>
  <c r="AG15" i="60" s="1"/>
  <c r="M15" i="60"/>
  <c r="O14" i="60"/>
  <c r="N14" i="60"/>
  <c r="M14" i="60"/>
  <c r="O13" i="60"/>
  <c r="N13" i="60"/>
  <c r="AF13" i="60" s="1"/>
  <c r="AG13" i="60" s="1"/>
  <c r="M13" i="60"/>
  <c r="N12" i="60"/>
  <c r="AF12" i="60" s="1"/>
  <c r="AG12" i="60" s="1"/>
  <c r="M12" i="60"/>
  <c r="O11" i="60"/>
  <c r="N11" i="60"/>
  <c r="AF11" i="60" s="1"/>
  <c r="AG11" i="60" s="1"/>
  <c r="M11" i="60"/>
  <c r="N10" i="60"/>
  <c r="AF10" i="60" s="1"/>
  <c r="AG10" i="60" s="1"/>
  <c r="M10" i="60"/>
  <c r="O9" i="60"/>
  <c r="N9" i="60"/>
  <c r="AF9" i="60" s="1"/>
  <c r="AG9" i="60" s="1"/>
  <c r="M9" i="60"/>
  <c r="AF8" i="60"/>
  <c r="AG8" i="60" s="1"/>
  <c r="N8" i="60"/>
  <c r="M8" i="60"/>
  <c r="O7" i="60"/>
  <c r="O24" i="60" s="1"/>
  <c r="N7" i="60"/>
  <c r="AF7" i="60" s="1"/>
  <c r="AG7" i="60" s="1"/>
  <c r="M7" i="60"/>
  <c r="N6" i="60"/>
  <c r="AF6" i="60" s="1"/>
  <c r="AG6" i="60" s="1"/>
  <c r="M6" i="60"/>
  <c r="N5" i="60"/>
  <c r="N24" i="60" s="1"/>
  <c r="M5" i="60"/>
  <c r="M24" i="60" l="1"/>
  <c r="AF14" i="60"/>
  <c r="AG14" i="60" s="1"/>
  <c r="AF21" i="60"/>
  <c r="AG21" i="60" s="1"/>
  <c r="K26" i="60"/>
  <c r="AF5" i="60"/>
  <c r="AF24" i="60" l="1"/>
  <c r="AF26" i="60" s="1"/>
  <c r="AG5" i="60"/>
  <c r="AG24" i="60" s="1"/>
  <c r="AE47" i="64" l="1"/>
  <c r="AD47" i="64"/>
  <c r="AC47" i="64"/>
  <c r="AB47" i="64"/>
  <c r="AA47" i="64"/>
  <c r="Z47" i="64"/>
  <c r="Y47" i="64"/>
  <c r="X47" i="64"/>
  <c r="W47" i="64"/>
  <c r="V47" i="64"/>
  <c r="U47" i="64"/>
  <c r="T47" i="64"/>
  <c r="S47" i="64"/>
  <c r="R47" i="64"/>
  <c r="Q47" i="64"/>
  <c r="P47" i="64"/>
  <c r="L47" i="64"/>
  <c r="J47" i="64"/>
  <c r="I47" i="64"/>
  <c r="H47" i="64"/>
  <c r="O46" i="64"/>
  <c r="N46" i="64"/>
  <c r="M46" i="64"/>
  <c r="O45" i="64"/>
  <c r="N45" i="64"/>
  <c r="M45" i="64"/>
  <c r="N44" i="64"/>
  <c r="AF44" i="64" s="1"/>
  <c r="AG44" i="64" s="1"/>
  <c r="M44" i="64"/>
  <c r="N43" i="64"/>
  <c r="AF43" i="64" s="1"/>
  <c r="AG43" i="64" s="1"/>
  <c r="M43" i="64"/>
  <c r="N42" i="64"/>
  <c r="AF42" i="64" s="1"/>
  <c r="AG42" i="64" s="1"/>
  <c r="M42" i="64"/>
  <c r="N41" i="64"/>
  <c r="AF41" i="64" s="1"/>
  <c r="AG41" i="64" s="1"/>
  <c r="M41" i="64"/>
  <c r="N40" i="64"/>
  <c r="AF40" i="64" s="1"/>
  <c r="AG40" i="64" s="1"/>
  <c r="M40" i="64"/>
  <c r="M39" i="64"/>
  <c r="O38" i="64"/>
  <c r="N38" i="64"/>
  <c r="AF38" i="64" s="1"/>
  <c r="AG38" i="64" s="1"/>
  <c r="M38" i="64"/>
  <c r="N37" i="64"/>
  <c r="AF37" i="64" s="1"/>
  <c r="AG37" i="64" s="1"/>
  <c r="M37" i="64"/>
  <c r="N36" i="64"/>
  <c r="AF36" i="64" s="1"/>
  <c r="AG36" i="64" s="1"/>
  <c r="M36" i="64"/>
  <c r="N35" i="64"/>
  <c r="AF35" i="64" s="1"/>
  <c r="AG35" i="64" s="1"/>
  <c r="M35" i="64"/>
  <c r="N34" i="64"/>
  <c r="AF34" i="64" s="1"/>
  <c r="AG34" i="64" s="1"/>
  <c r="M34" i="64"/>
  <c r="O33" i="64"/>
  <c r="N33" i="64"/>
  <c r="M33" i="64"/>
  <c r="N32" i="64"/>
  <c r="AF32" i="64" s="1"/>
  <c r="AG32" i="64" s="1"/>
  <c r="M32" i="64"/>
  <c r="N31" i="64"/>
  <c r="AF31" i="64" s="1"/>
  <c r="AG31" i="64" s="1"/>
  <c r="M31" i="64"/>
  <c r="O30" i="64"/>
  <c r="N30" i="64"/>
  <c r="M30" i="64"/>
  <c r="N29" i="64"/>
  <c r="AF29" i="64" s="1"/>
  <c r="AG29" i="64" s="1"/>
  <c r="M29" i="64"/>
  <c r="M28" i="64"/>
  <c r="N27" i="64"/>
  <c r="AF27" i="64" s="1"/>
  <c r="AG27" i="64" s="1"/>
  <c r="M27" i="64"/>
  <c r="AF26" i="64"/>
  <c r="AG26" i="64" s="1"/>
  <c r="N26" i="64"/>
  <c r="M26" i="64"/>
  <c r="N25" i="64"/>
  <c r="AF25" i="64" s="1"/>
  <c r="AG25" i="64" s="1"/>
  <c r="M25" i="64"/>
  <c r="N24" i="64"/>
  <c r="AF24" i="64" s="1"/>
  <c r="AG24" i="64" s="1"/>
  <c r="M24" i="64"/>
  <c r="O23" i="64"/>
  <c r="N23" i="64"/>
  <c r="M23" i="64"/>
  <c r="O22" i="64"/>
  <c r="N22" i="64"/>
  <c r="M22" i="64"/>
  <c r="O21" i="64"/>
  <c r="N21" i="64"/>
  <c r="M21" i="64"/>
  <c r="O20" i="64"/>
  <c r="N20" i="64"/>
  <c r="M20" i="64"/>
  <c r="O19" i="64"/>
  <c r="N19" i="64"/>
  <c r="M19" i="64"/>
  <c r="O18" i="64"/>
  <c r="N18" i="64"/>
  <c r="M18" i="64"/>
  <c r="O17" i="64"/>
  <c r="N17" i="64"/>
  <c r="M17" i="64"/>
  <c r="O16" i="64"/>
  <c r="N16" i="64"/>
  <c r="M16" i="64"/>
  <c r="O15" i="64"/>
  <c r="N15" i="64"/>
  <c r="M15" i="64"/>
  <c r="O14" i="64"/>
  <c r="N14" i="64"/>
  <c r="M14" i="64"/>
  <c r="O13" i="64"/>
  <c r="N13" i="64"/>
  <c r="M13" i="64"/>
  <c r="O12" i="64"/>
  <c r="N12" i="64"/>
  <c r="M12" i="64"/>
  <c r="O10" i="64"/>
  <c r="N10" i="64"/>
  <c r="M10" i="64"/>
  <c r="O9" i="64"/>
  <c r="N9" i="64"/>
  <c r="M9" i="64"/>
  <c r="O5" i="64"/>
  <c r="N5" i="64"/>
  <c r="M5" i="64"/>
  <c r="AF45" i="64" l="1"/>
  <c r="AG45" i="64" s="1"/>
  <c r="O47" i="64"/>
  <c r="AF5" i="64"/>
  <c r="AG5" i="64" s="1"/>
  <c r="AF9" i="64"/>
  <c r="AG9" i="64" s="1"/>
  <c r="AF13" i="64"/>
  <c r="AG13" i="64" s="1"/>
  <c r="AF15" i="64"/>
  <c r="AG15" i="64" s="1"/>
  <c r="AF17" i="64"/>
  <c r="AG17" i="64" s="1"/>
  <c r="AF19" i="64"/>
  <c r="AG19" i="64" s="1"/>
  <c r="AF21" i="64"/>
  <c r="AG21" i="64" s="1"/>
  <c r="AF23" i="64"/>
  <c r="AG23" i="64" s="1"/>
  <c r="AF30" i="64"/>
  <c r="AG30" i="64" s="1"/>
  <c r="AF46" i="64"/>
  <c r="AG46" i="64" s="1"/>
  <c r="M47" i="64"/>
  <c r="AF10" i="64"/>
  <c r="AG10" i="64" s="1"/>
  <c r="AF12" i="64"/>
  <c r="AG12" i="64" s="1"/>
  <c r="AF14" i="64"/>
  <c r="AG14" i="64" s="1"/>
  <c r="AF16" i="64"/>
  <c r="AG16" i="64" s="1"/>
  <c r="AF18" i="64"/>
  <c r="AG18" i="64" s="1"/>
  <c r="AF20" i="64"/>
  <c r="AG20" i="64" s="1"/>
  <c r="AF22" i="64"/>
  <c r="AG22" i="64" s="1"/>
  <c r="AF33" i="64"/>
  <c r="AG33" i="64" s="1"/>
  <c r="N28" i="64"/>
  <c r="AF28" i="64" s="1"/>
  <c r="AG28" i="64" s="1"/>
  <c r="N39" i="64"/>
  <c r="AF39" i="64" s="1"/>
  <c r="AG39" i="64" s="1"/>
  <c r="K47" i="64"/>
  <c r="K49" i="64" s="1"/>
  <c r="AF47" i="64" l="1"/>
  <c r="AF49" i="64" s="1"/>
  <c r="AG47" i="64"/>
  <c r="N47" i="64"/>
</calcChain>
</file>

<file path=xl/sharedStrings.xml><?xml version="1.0" encoding="utf-8"?>
<sst xmlns="http://schemas.openxmlformats.org/spreadsheetml/2006/main" count="1015" uniqueCount="271">
  <si>
    <t>Petty Cash</t>
  </si>
  <si>
    <t>MISC</t>
  </si>
  <si>
    <t>EMP MEAL</t>
  </si>
  <si>
    <t>MARKETING</t>
  </si>
  <si>
    <t>SALARIES AND WAGES</t>
  </si>
  <si>
    <t>TRANSPO</t>
  </si>
  <si>
    <t>REPAIRS AND MAINTENANCE</t>
  </si>
  <si>
    <t>OFFICE SUPPLIES</t>
  </si>
  <si>
    <t>RAW MATS BEVERAGES</t>
  </si>
  <si>
    <t>RAW MATS FOOD</t>
  </si>
  <si>
    <t>EWT</t>
  </si>
  <si>
    <t>Input VAT</t>
  </si>
  <si>
    <t>Net of VAT</t>
  </si>
  <si>
    <t>EWT Rate</t>
  </si>
  <si>
    <t>VAT 12%</t>
  </si>
  <si>
    <t>VAT Exempt</t>
  </si>
  <si>
    <t>VAT Zero-Rated</t>
  </si>
  <si>
    <t>Invalid</t>
  </si>
  <si>
    <t>Particulars</t>
  </si>
  <si>
    <t>Invoice Number</t>
  </si>
  <si>
    <t>TIN</t>
  </si>
  <si>
    <t>Payee</t>
  </si>
  <si>
    <t>PCV Number</t>
  </si>
  <si>
    <t>Date</t>
  </si>
  <si>
    <t>6102-3</t>
  </si>
  <si>
    <t>6223-2</t>
  </si>
  <si>
    <t xml:space="preserve">Petty Cash </t>
  </si>
  <si>
    <t>Address</t>
  </si>
  <si>
    <t>GUEST SUPPLIES</t>
  </si>
  <si>
    <t>PHOTOCOPY</t>
  </si>
  <si>
    <t>CO. NAME: TOSHCO INC</t>
  </si>
  <si>
    <t xml:space="preserve">CLEANING </t>
  </si>
  <si>
    <t>PACKAGING</t>
  </si>
  <si>
    <t>Prepared by: Marie Sosa</t>
  </si>
  <si>
    <t>DECORS</t>
  </si>
  <si>
    <t>MEDICAL SUPPLIES</t>
  </si>
  <si>
    <t>WARES AND UTENSILS</t>
  </si>
  <si>
    <t>Valero St Makati City</t>
  </si>
  <si>
    <t>The Landmark Corporation</t>
  </si>
  <si>
    <t>000-148-285-000</t>
  </si>
  <si>
    <t>Makati City</t>
  </si>
  <si>
    <t>Glenn Biarcal</t>
  </si>
  <si>
    <t>ASC Enterprises Inc</t>
  </si>
  <si>
    <t>000-080-595-000</t>
  </si>
  <si>
    <t>Sta Mesa Manila</t>
  </si>
  <si>
    <t>Tube Ice</t>
  </si>
  <si>
    <t>Rustans Supercenters Inc</t>
  </si>
  <si>
    <t>201-160-401-002</t>
  </si>
  <si>
    <t>101-703-221-000</t>
  </si>
  <si>
    <t>Pasay City</t>
  </si>
  <si>
    <t>Ministop</t>
  </si>
  <si>
    <t>477-928-673-004</t>
  </si>
  <si>
    <t>Rosette Alcoy</t>
  </si>
  <si>
    <t>Extra Dining Staff</t>
  </si>
  <si>
    <t>Evarlies Meatshop</t>
  </si>
  <si>
    <t>139-599-310-000</t>
  </si>
  <si>
    <t>Angelo Sanchez</t>
  </si>
  <si>
    <t>Marikina City</t>
  </si>
  <si>
    <t>Cherry Tomato</t>
  </si>
  <si>
    <t>219-294-991-331</t>
  </si>
  <si>
    <t>Bacon Bits</t>
  </si>
  <si>
    <t>Cooks Exchange Inc</t>
  </si>
  <si>
    <t>001-925-221-002</t>
  </si>
  <si>
    <t>For the Month Ended:June 2019</t>
  </si>
  <si>
    <t>Harrys Liquor Mart</t>
  </si>
  <si>
    <t>White Wine</t>
  </si>
  <si>
    <t>Transpo purchased Wine</t>
  </si>
  <si>
    <t>Mayonnaise</t>
  </si>
  <si>
    <t>Lulubee Corporation</t>
  </si>
  <si>
    <t>008-191-206-000</t>
  </si>
  <si>
    <t>Pasig City</t>
  </si>
  <si>
    <t>Coconut Oil</t>
  </si>
  <si>
    <t>Sardines,Broas,Macaroni,</t>
  </si>
  <si>
    <t>Cheery Tomato</t>
  </si>
  <si>
    <t>Abmabarac Corporation</t>
  </si>
  <si>
    <t>006-748-072-000</t>
  </si>
  <si>
    <t>QC</t>
  </si>
  <si>
    <t>Hot Sauce</t>
  </si>
  <si>
    <t>Zonrox,Liquid Sosa</t>
  </si>
  <si>
    <t>Elbow Macaroni,Black Olives</t>
  </si>
  <si>
    <t>Broas,Chooey Choco,Fudge Cream,Oreo Vanilla</t>
  </si>
  <si>
    <t>Paseo Admin</t>
  </si>
  <si>
    <t>Car Sticker c/o VCC</t>
  </si>
  <si>
    <t>Transpo going to Divisoria</t>
  </si>
  <si>
    <t>Makati Public Market</t>
  </si>
  <si>
    <t xml:space="preserve">Cleaning Material </t>
  </si>
  <si>
    <t>Packing Tape</t>
  </si>
  <si>
    <t>Power Land Trading</t>
  </si>
  <si>
    <t>719-559-451-000</t>
  </si>
  <si>
    <t>San Nicolas Manila</t>
  </si>
  <si>
    <t>Chuan Hong Glassware</t>
  </si>
  <si>
    <t>106-268-748-000</t>
  </si>
  <si>
    <t>Foodkeeper</t>
  </si>
  <si>
    <t>Pepperoni,Soimai Wrapper</t>
  </si>
  <si>
    <t>Extra Staff</t>
  </si>
  <si>
    <t>Zonrox,Toilet Plunger,Rubber Force cup,Glade</t>
  </si>
  <si>
    <t>Plastic Labo</t>
  </si>
  <si>
    <t>Transpo purchased Kitchen stocks</t>
  </si>
  <si>
    <t>Basil &amp; Camote</t>
  </si>
  <si>
    <t>Red Wine</t>
  </si>
  <si>
    <t>Penne Pasta</t>
  </si>
  <si>
    <t>Pork Ribs &amp; Bacon Bits</t>
  </si>
  <si>
    <t>Hotdog,Demi Glace,Garlic Longaniza</t>
  </si>
  <si>
    <t>Cabbage,French Beans</t>
  </si>
  <si>
    <t>Blackk Olives,Button Mushroom,Cheddar Cheese</t>
  </si>
  <si>
    <t>Tanglad</t>
  </si>
  <si>
    <t>Spaghetti,Kikkoman,Chorizo</t>
  </si>
  <si>
    <t>Sugar Beets</t>
  </si>
  <si>
    <t>Condura Express Service Makati</t>
  </si>
  <si>
    <t>002-284-007-000</t>
  </si>
  <si>
    <t>ACU Cleaning</t>
  </si>
  <si>
    <t>Glaccine Paper</t>
  </si>
  <si>
    <t>Cheddar Cheese,Black Pepper</t>
  </si>
  <si>
    <t>Basil</t>
  </si>
  <si>
    <t>Calamansi Puree</t>
  </si>
  <si>
    <t>Ideal Spaghetti</t>
  </si>
  <si>
    <t>Pepperoni,Broas,Cranberri</t>
  </si>
  <si>
    <t>Consolidated Global Imports Inc</t>
  </si>
  <si>
    <t>Eggs</t>
  </si>
  <si>
    <t>Shah Bonn Hadd</t>
  </si>
  <si>
    <t>106-226-027-000</t>
  </si>
  <si>
    <t>Sauce Cup,Plastic Labo</t>
  </si>
  <si>
    <t>Transpo purchased packaging Materials</t>
  </si>
  <si>
    <t>Bacon Bits, Honeycured Bacon</t>
  </si>
  <si>
    <t>Transpo purchased Kitchen Stocks</t>
  </si>
  <si>
    <t>Sauce Cup</t>
  </si>
  <si>
    <t>Cabbage,Cheese</t>
  </si>
  <si>
    <t>Chorizo,Raisins</t>
  </si>
  <si>
    <t>Ground Pork</t>
  </si>
  <si>
    <t>Fuji Apple</t>
  </si>
  <si>
    <t>Benzen Cahilig</t>
  </si>
  <si>
    <t>Half Day VL Payment (June 15) not included in Payroll</t>
  </si>
  <si>
    <t>Christian Briones</t>
  </si>
  <si>
    <t>1 day VL Payment (June 18) not included in Payroll</t>
  </si>
  <si>
    <t>Calamnsi Puree</t>
  </si>
  <si>
    <t>Anchovies,Elbow Macaroni,Ground Pepper</t>
  </si>
  <si>
    <t>Tomato,Banana Saba</t>
  </si>
  <si>
    <t>For the Month Ended:July 2019</t>
  </si>
  <si>
    <t>Office Warehouse Inc</t>
  </si>
  <si>
    <t>200-492-462-008</t>
  </si>
  <si>
    <t>POS Ribbon,Scotch Tape,Scissors,USB</t>
  </si>
  <si>
    <t>Pork Ribs &amp; Bacon</t>
  </si>
  <si>
    <t>Transpo purchased kitchen stocks in Marikina</t>
  </si>
  <si>
    <t>Cream Cheese,Oreo Vanilla, Angel Hair Pasta,Lipton Tea</t>
  </si>
  <si>
    <t>Earles Delicatessen</t>
  </si>
  <si>
    <t>213-575-918-005</t>
  </si>
  <si>
    <t>Black Forest Ham,Smoked Bavarian Sausage</t>
  </si>
  <si>
    <t>Datu Puti Vinegar</t>
  </si>
  <si>
    <t>Tofu</t>
  </si>
  <si>
    <t>Fresh Milk</t>
  </si>
  <si>
    <t>Bond Paper</t>
  </si>
  <si>
    <t>Smoked Bangus,Cucumber</t>
  </si>
  <si>
    <t>Garlic Longaniza,Pepperoni,Sardines</t>
  </si>
  <si>
    <t>Energizer Battery</t>
  </si>
  <si>
    <t>Dorado Fish</t>
  </si>
  <si>
    <t>DM Tidbits,Ground Pepper,Cheddar Cheese</t>
  </si>
  <si>
    <t>Bread Crums,Spaghetti,Anchovies,Salt,Cranberries</t>
  </si>
  <si>
    <t>Onion White,Tomato</t>
  </si>
  <si>
    <t>Extra Dining Staff (July 6)</t>
  </si>
  <si>
    <t>Valero Makati City</t>
  </si>
  <si>
    <t>Extra Dining Staff (July 8)</t>
  </si>
  <si>
    <t>Ace Hardware Phil Inc.</t>
  </si>
  <si>
    <t>200-035-311-017</t>
  </si>
  <si>
    <t xml:space="preserve">DS Audio Cable </t>
  </si>
  <si>
    <t>Belong Enterprise</t>
  </si>
  <si>
    <t>000-390-189-000</t>
  </si>
  <si>
    <t>Sozo Exousia Inc</t>
  </si>
  <si>
    <t>006-801-328-000</t>
  </si>
  <si>
    <t>ABS,Lasagna</t>
  </si>
  <si>
    <t>Transpo purchased kitchen stocks</t>
  </si>
  <si>
    <t>Spaghetti.Splenda,Molo Wrapper</t>
  </si>
  <si>
    <t>Green Peas,Camote</t>
  </si>
  <si>
    <t>Extra Dining Staff (July9)</t>
  </si>
  <si>
    <t>Transpo going to TOSH Head office</t>
  </si>
  <si>
    <t>Grenadine</t>
  </si>
  <si>
    <t>Knorr Cubes,Kikoman</t>
  </si>
  <si>
    <t>Extra Dining Staff (July10)</t>
  </si>
  <si>
    <t>Photocopy</t>
  </si>
  <si>
    <t>Envelope</t>
  </si>
  <si>
    <t>Chicken Cube,Pepperoni,Hotdog</t>
  </si>
  <si>
    <t>Bagumbayan</t>
  </si>
  <si>
    <t>Mozzarella Cheese</t>
  </si>
  <si>
    <t>Tomato Sauce</t>
  </si>
  <si>
    <t>Soysauce,All Purpose Cream</t>
  </si>
  <si>
    <t>Joyce Dino</t>
  </si>
  <si>
    <t>Transpo going to MACEA</t>
  </si>
  <si>
    <t>Transpo going to KCC office for check signature</t>
  </si>
  <si>
    <t>Bacon,Back Ribs</t>
  </si>
  <si>
    <t>Transpo purchased kitchen stocks in marikina</t>
  </si>
  <si>
    <t>BBQ Sauce</t>
  </si>
  <si>
    <t>San Miguel Brewery  Inc</t>
  </si>
  <si>
    <t>Penalty c/o Late Payment</t>
  </si>
  <si>
    <t>Anchovies,Iodized Salt,Oreo Vanilla,Bread Crumbs,Milk Magic,Cream Cheese</t>
  </si>
  <si>
    <t>Manggahan Pasig City</t>
  </si>
  <si>
    <t>Oyster Sauce,Fresh Milk,All Purpose Cream</t>
  </si>
  <si>
    <t>National Book Store Inc</t>
  </si>
  <si>
    <t>000-325-972-010</t>
  </si>
  <si>
    <t>Ayala Center Makati</t>
  </si>
  <si>
    <t>Photocopy of MACEA Documents</t>
  </si>
  <si>
    <t>Wenphil Corporation</t>
  </si>
  <si>
    <t>001-096-949-030</t>
  </si>
  <si>
    <t>Meal c/o Joyce Dino</t>
  </si>
  <si>
    <t>Transpo purchased Rice</t>
  </si>
  <si>
    <t>Rice</t>
  </si>
  <si>
    <t>Transpo going to TOSH MOA purchased parmesan cheese</t>
  </si>
  <si>
    <t>Calamansi Concentrated</t>
  </si>
  <si>
    <t>Transpo going to Commissary &amp; Head Office</t>
  </si>
  <si>
    <t>Lettuce</t>
  </si>
  <si>
    <t>Spaghetti,Ground Pepper,Milk Magic,Pepperoni</t>
  </si>
  <si>
    <t>Raspberry Vinaigrette</t>
  </si>
  <si>
    <t>Milk Magic,APC,Macaroni,Bread Crumbs</t>
  </si>
  <si>
    <t>White Onion,Tomato,Cabbage</t>
  </si>
  <si>
    <t>Paseo Parkview Suites Condo Assoc Inc</t>
  </si>
  <si>
    <t>227-293-501-000</t>
  </si>
  <si>
    <t>Balance Payment for Utility Bill (June 2019)</t>
  </si>
  <si>
    <t>Marie Sosa</t>
  </si>
  <si>
    <t>Transpo going to Makati City Hall for Business Permit Payment</t>
  </si>
  <si>
    <t>Coffee Beans</t>
  </si>
  <si>
    <t xml:space="preserve">Transpo going to Commissary </t>
  </si>
  <si>
    <t>Datu Puti &amp; BBQ Sauce</t>
  </si>
  <si>
    <t>Black Forest Ham,Smoked Bavarian</t>
  </si>
  <si>
    <t>Spaghetti,Cream Cheese,Garlic Longaniza,APC</t>
  </si>
  <si>
    <t>Green Peas,Carrots,Squash</t>
  </si>
  <si>
    <t>Tosh Moa</t>
  </si>
  <si>
    <t>Parmesan Cheese</t>
  </si>
  <si>
    <t>200-492-462-000</t>
  </si>
  <si>
    <t>Inkcartridge</t>
  </si>
  <si>
    <t>Century Tuna,Fresh Milk,APC</t>
  </si>
  <si>
    <t>Fresh Milk,APC</t>
  </si>
  <si>
    <t>Ripe Mango,Potato</t>
  </si>
  <si>
    <t>Baby Back Ribs &amp; Bacon Bits</t>
  </si>
  <si>
    <t>Transpo purchased Kitchen stocks in Marikina</t>
  </si>
  <si>
    <t>French Baker</t>
  </si>
  <si>
    <t>000-380-226-001</t>
  </si>
  <si>
    <t>Baguette Bread</t>
  </si>
  <si>
    <t>Anso Emporium Corp</t>
  </si>
  <si>
    <t>000-106-840-001</t>
  </si>
  <si>
    <t>Electric Kettle</t>
  </si>
  <si>
    <t>Pepperoni,Broas,Corn Oil,Iodized Salt</t>
  </si>
  <si>
    <t>Cooks Exchange</t>
  </si>
  <si>
    <t>Wax Paper</t>
  </si>
  <si>
    <t>Almas Cold Cuts Store</t>
  </si>
  <si>
    <t>235-048-461-000</t>
  </si>
  <si>
    <t>Mozzarella</t>
  </si>
  <si>
    <t>Pesto Mix,Buffalo,ABS,Meatballs</t>
  </si>
  <si>
    <t>APC,Cream Cheese</t>
  </si>
  <si>
    <t>Transpo going to Machuca Tiles</t>
  </si>
  <si>
    <t>Knorr,Milk Magic,Butter,APC,Oreo Vanilla</t>
  </si>
  <si>
    <t>Tomato</t>
  </si>
  <si>
    <t>Anchovies</t>
  </si>
  <si>
    <t>Bel Air Makati</t>
  </si>
  <si>
    <t>Hunts BBQ Sauce,Oyster Sauce</t>
  </si>
  <si>
    <t>Carrots &amp; Squash</t>
  </si>
  <si>
    <t>Babyback Ribs,Bacon Bits</t>
  </si>
  <si>
    <t>American Baked Spareribs</t>
  </si>
  <si>
    <t>Transpo purchased Parmesan Cheese</t>
  </si>
  <si>
    <t>APC,Sugar</t>
  </si>
  <si>
    <t>Black Forrest Ham</t>
  </si>
  <si>
    <t>Potato</t>
  </si>
  <si>
    <t>Bread Flour,Knorr,Penne Pasta,AP Flour</t>
  </si>
  <si>
    <t>Ripe Mango,Century Tuna,Baguette Bread</t>
  </si>
  <si>
    <t>Corn Oil,Spaghetti,Butter,Anchovies</t>
  </si>
  <si>
    <t>White Onion</t>
  </si>
  <si>
    <t>Pesto Mix,Raspberry Vinaigrette</t>
  </si>
  <si>
    <t>Transpo going to Commissary</t>
  </si>
  <si>
    <t>Hanging Tender</t>
  </si>
  <si>
    <t>Cooking Oil &amp; Century Tuna</t>
  </si>
  <si>
    <t>Cabbage for EM</t>
  </si>
  <si>
    <t>Chicken Fillet,Lettuce</t>
  </si>
  <si>
    <t>Anchovies,Butter,Macaroni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</si>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</sst>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;@"/>
    <numFmt numFmtId="165" formatCode="[$-409]d\-mmm\-yy;@"/>
    <numFmt numFmtId="166" formatCode="yyyy\-mm\-dd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0">
    <xf numFmtId="0" fontId="0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15" applyFont="1" applyFill="1"/>
    <xf numFmtId="43" fontId="2" fillId="0" borderId="0" xfId="2" applyFont="1" applyFill="1"/>
    <xf numFmtId="9" fontId="2" fillId="0" borderId="0" xfId="29" applyFont="1" applyFill="1" applyAlignment="1">
      <alignment horizontal="center"/>
    </xf>
    <xf numFmtId="0" fontId="2" fillId="0" borderId="0" xfId="15" applyFont="1" applyFill="1" applyAlignment="1">
      <alignment horizontal="center"/>
    </xf>
    <xf numFmtId="0" fontId="2" fillId="0" borderId="0" xfId="15" applyFont="1" applyFill="1" applyAlignment="1">
      <alignment horizontal="left"/>
    </xf>
    <xf numFmtId="0" fontId="2" fillId="0" borderId="0" xfId="15" applyNumberFormat="1" applyFont="1" applyFill="1" applyAlignment="1">
      <alignment horizontal="center"/>
    </xf>
    <xf numFmtId="164" fontId="2" fillId="0" borderId="0" xfId="15" applyNumberFormat="1" applyFont="1" applyFill="1" applyAlignment="1">
      <alignment horizontal="center"/>
    </xf>
    <xf numFmtId="43" fontId="2" fillId="0" borderId="0" xfId="2" applyFont="1" applyFill="1" applyBorder="1"/>
    <xf numFmtId="9" fontId="2" fillId="0" borderId="0" xfId="29" applyFont="1" applyFill="1" applyBorder="1" applyAlignment="1">
      <alignment horizontal="center"/>
    </xf>
    <xf numFmtId="0" fontId="3" fillId="0" borderId="0" xfId="15" applyFont="1" applyFill="1"/>
    <xf numFmtId="0" fontId="2" fillId="0" borderId="0" xfId="15" applyFont="1" applyFill="1" applyAlignment="1">
      <alignment vertical="center" wrapText="1"/>
    </xf>
    <xf numFmtId="0" fontId="2" fillId="2" borderId="0" xfId="15" applyFont="1" applyFill="1"/>
    <xf numFmtId="164" fontId="3" fillId="0" borderId="0" xfId="15" applyNumberFormat="1" applyFont="1" applyFill="1" applyAlignment="1">
      <alignment horizontal="left"/>
    </xf>
    <xf numFmtId="0" fontId="3" fillId="0" borderId="0" xfId="15" applyNumberFormat="1" applyFont="1" applyFill="1" applyAlignment="1">
      <alignment horizontal="left"/>
    </xf>
    <xf numFmtId="49" fontId="3" fillId="0" borderId="0" xfId="15" applyNumberFormat="1" applyFont="1" applyFill="1"/>
    <xf numFmtId="0" fontId="7" fillId="0" borderId="0" xfId="2" applyNumberFormat="1" applyFont="1" applyFill="1" applyAlignment="1">
      <alignment horizontal="center"/>
    </xf>
    <xf numFmtId="164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Font="1" applyFill="1" applyBorder="1" applyAlignment="1">
      <alignment horizontal="center" vertical="center" wrapText="1"/>
    </xf>
    <xf numFmtId="9" fontId="3" fillId="0" borderId="3" xfId="29" applyFont="1" applyFill="1" applyBorder="1" applyAlignment="1">
      <alignment horizontal="center" vertical="center" wrapText="1"/>
    </xf>
    <xf numFmtId="43" fontId="3" fillId="0" borderId="3" xfId="2" applyFont="1" applyFill="1" applyBorder="1" applyAlignment="1">
      <alignment horizontal="center" vertical="center" wrapText="1"/>
    </xf>
    <xf numFmtId="43" fontId="3" fillId="0" borderId="6" xfId="2" applyFont="1" applyFill="1" applyBorder="1" applyAlignment="1">
      <alignment horizontal="center" vertical="center" wrapText="1"/>
    </xf>
    <xf numFmtId="43" fontId="3" fillId="0" borderId="2" xfId="2" applyFont="1" applyFill="1" applyBorder="1" applyAlignment="1">
      <alignment horizontal="center" vertical="center" wrapText="1"/>
    </xf>
    <xf numFmtId="43" fontId="3" fillId="0" borderId="7" xfId="2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2" xfId="15" applyFont="1" applyFill="1" applyBorder="1" applyAlignment="1">
      <alignment horizontal="center" vertical="center" wrapText="1"/>
    </xf>
    <xf numFmtId="43" fontId="2" fillId="2" borderId="2" xfId="2" applyFont="1" applyFill="1" applyBorder="1" applyAlignment="1">
      <alignment wrapText="1"/>
    </xf>
    <xf numFmtId="43" fontId="2" fillId="2" borderId="0" xfId="15" applyNumberFormat="1" applyFont="1" applyFill="1" applyAlignment="1">
      <alignment wrapText="1"/>
    </xf>
    <xf numFmtId="0" fontId="2" fillId="2" borderId="4" xfId="15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/>
    </xf>
    <xf numFmtId="49" fontId="2" fillId="2" borderId="2" xfId="15" applyNumberFormat="1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/>
    </xf>
    <xf numFmtId="9" fontId="2" fillId="2" borderId="2" xfId="29" applyFont="1" applyFill="1" applyBorder="1" applyAlignment="1">
      <alignment horizontal="center"/>
    </xf>
    <xf numFmtId="43" fontId="2" fillId="2" borderId="2" xfId="2" applyFont="1" applyFill="1" applyBorder="1"/>
    <xf numFmtId="43" fontId="2" fillId="2" borderId="5" xfId="2" applyFont="1" applyFill="1" applyBorder="1"/>
    <xf numFmtId="0" fontId="2" fillId="2" borderId="2" xfId="0" applyFont="1" applyFill="1" applyBorder="1" applyAlignment="1">
      <alignment horizontal="center" vertical="center"/>
    </xf>
    <xf numFmtId="43" fontId="2" fillId="0" borderId="2" xfId="2" applyFont="1" applyFill="1" applyBorder="1"/>
    <xf numFmtId="43" fontId="3" fillId="2" borderId="2" xfId="2" applyFont="1" applyFill="1" applyBorder="1"/>
    <xf numFmtId="164" fontId="3" fillId="0" borderId="1" xfId="15" applyNumberFormat="1" applyFont="1" applyFill="1" applyBorder="1" applyAlignment="1" applyProtection="1">
      <alignment horizontal="center"/>
      <protection locked="0"/>
    </xf>
    <xf numFmtId="0" fontId="3" fillId="0" borderId="1" xfId="15" applyNumberFormat="1" applyFont="1" applyFill="1" applyBorder="1" applyAlignment="1" applyProtection="1">
      <alignment horizontal="left"/>
      <protection locked="0"/>
    </xf>
    <xf numFmtId="0" fontId="3" fillId="0" borderId="1" xfId="15" applyFont="1" applyFill="1" applyBorder="1"/>
    <xf numFmtId="0" fontId="3" fillId="0" borderId="1" xfId="15" applyFont="1" applyFill="1" applyBorder="1" applyAlignment="1">
      <alignment horizontal="left"/>
    </xf>
    <xf numFmtId="0" fontId="3" fillId="0" borderId="1" xfId="15" applyFont="1" applyFill="1" applyBorder="1" applyAlignment="1">
      <alignment horizontal="center"/>
    </xf>
    <xf numFmtId="43" fontId="3" fillId="0" borderId="1" xfId="1" applyFont="1" applyFill="1" applyBorder="1"/>
    <xf numFmtId="43" fontId="8" fillId="0" borderId="0" xfId="2" applyFont="1" applyFill="1" applyBorder="1"/>
    <xf numFmtId="43" fontId="8" fillId="0" borderId="0" xfId="2" applyFont="1" applyFill="1"/>
    <xf numFmtId="0" fontId="9" fillId="0" borderId="0" xfId="15" applyFont="1" applyFill="1"/>
    <xf numFmtId="0" fontId="2" fillId="0" borderId="4" xfId="15" applyFont="1" applyFill="1" applyBorder="1" applyAlignment="1">
      <alignment horizontal="center" vertical="center" wrapText="1"/>
    </xf>
    <xf numFmtId="0" fontId="2" fillId="3" borderId="4" xfId="15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3" borderId="2" xfId="15" applyFont="1" applyFill="1" applyBorder="1" applyAlignment="1">
      <alignment horizontal="center" vertical="center" wrapText="1"/>
    </xf>
    <xf numFmtId="9" fontId="2" fillId="3" borderId="2" xfId="29" applyFont="1" applyFill="1" applyBorder="1" applyAlignment="1">
      <alignment horizontal="center"/>
    </xf>
    <xf numFmtId="43" fontId="2" fillId="3" borderId="2" xfId="2" applyFont="1" applyFill="1" applyBorder="1" applyAlignment="1">
      <alignment wrapText="1"/>
    </xf>
    <xf numFmtId="43" fontId="2" fillId="3" borderId="2" xfId="2" applyFont="1" applyFill="1" applyBorder="1"/>
    <xf numFmtId="43" fontId="2" fillId="3" borderId="5" xfId="2" applyFont="1" applyFill="1" applyBorder="1"/>
    <xf numFmtId="43" fontId="2" fillId="3" borderId="0" xfId="15" applyNumberFormat="1" applyFont="1" applyFill="1" applyAlignment="1">
      <alignment wrapText="1"/>
    </xf>
    <xf numFmtId="0" fontId="2" fillId="3" borderId="0" xfId="15" applyFont="1" applyFill="1"/>
    <xf numFmtId="49" fontId="2" fillId="3" borderId="2" xfId="15" applyNumberFormat="1" applyFont="1" applyFill="1" applyBorder="1" applyAlignment="1">
      <alignment horizontal="center" vertical="center"/>
    </xf>
    <xf numFmtId="0" fontId="2" fillId="0" borderId="2" xfId="15" applyFont="1" applyFill="1" applyBorder="1" applyAlignment="1">
      <alignment horizontal="center" vertical="center" wrapText="1"/>
    </xf>
    <xf numFmtId="16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right"/>
    </xf>
    <xf numFmtId="166" fontId="3" fillId="0" borderId="0" xfId="15" applyNumberFormat="1" applyFont="1" applyFill="1" applyAlignment="1">
      <alignment horizontal="left"/>
    </xf>
    <xf numFmtId="166" fontId="3" fillId="0" borderId="3" xfId="15" applyNumberFormat="1" applyFont="1" applyFill="1" applyBorder="1" applyAlignment="1">
      <alignment horizontal="center" vertical="center" wrapText="1"/>
    </xf>
    <xf numFmtId="166" fontId="2" fillId="2" borderId="2" xfId="0" applyNumberFormat="1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/>
    </xf>
    <xf numFmtId="166" fontId="3" fillId="0" borderId="1" xfId="15" applyNumberFormat="1" applyFont="1" applyFill="1" applyBorder="1" applyAlignment="1" applyProtection="1">
      <alignment horizontal="center"/>
      <protection locked="0"/>
    </xf>
    <xf numFmtId="166" fontId="2" fillId="0" borderId="0" xfId="15" applyNumberFormat="1" applyFont="1" applyFill="1" applyAlignment="1">
      <alignment horizontal="center"/>
    </xf>
    <xf numFmtId="166" fontId="2" fillId="0" borderId="0" xfId="15" applyNumberFormat="1" applyFont="1" applyFill="1"/>
    <xf numFmtId="2" fontId="2" fillId="0" borderId="0" xfId="2" applyNumberFormat="1" applyFont="1" applyFill="1"/>
    <xf numFmtId="2" fontId="3" fillId="0" borderId="3" xfId="15" applyNumberFormat="1" applyFont="1" applyFill="1" applyBorder="1" applyAlignment="1">
      <alignment horizontal="center" vertical="center" wrapText="1"/>
    </xf>
    <xf numFmtId="2" fontId="2" fillId="2" borderId="2" xfId="1" applyNumberFormat="1" applyFont="1" applyFill="1" applyBorder="1" applyAlignment="1">
      <alignment horizontal="center"/>
    </xf>
    <xf numFmtId="2" fontId="2" fillId="3" borderId="2" xfId="1" applyNumberFormat="1" applyFont="1" applyFill="1" applyBorder="1" applyAlignment="1">
      <alignment horizontal="center"/>
    </xf>
    <xf numFmtId="2" fontId="3" fillId="0" borderId="1" xfId="1" applyNumberFormat="1" applyFont="1" applyFill="1" applyBorder="1"/>
    <xf numFmtId="2" fontId="8" fillId="0" borderId="0" xfId="2" applyNumberFormat="1" applyFont="1" applyFill="1" applyBorder="1"/>
    <xf numFmtId="2" fontId="2" fillId="0" borderId="0" xfId="2" applyNumberFormat="1" applyFont="1" applyFill="1" applyBorder="1"/>
    <xf numFmtId="2" fontId="2" fillId="0" borderId="0" xfId="15" applyNumberFormat="1" applyFont="1" applyFill="1"/>
    <xf numFmtId="166" fontId="2" fillId="0" borderId="2" xfId="0" applyNumberFormat="1" applyFont="1" applyFill="1" applyBorder="1" applyAlignment="1">
      <alignment horizontal="center" vertical="center"/>
    </xf>
    <xf numFmtId="49" fontId="2" fillId="0" borderId="2" xfId="15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2" fontId="2" fillId="0" borderId="2" xfId="1" applyNumberFormat="1" applyFont="1" applyFill="1" applyBorder="1" applyAlignment="1">
      <alignment horizontal="center"/>
    </xf>
    <xf numFmtId="9" fontId="2" fillId="0" borderId="2" xfId="29" applyFont="1" applyFill="1" applyBorder="1" applyAlignment="1">
      <alignment horizontal="center"/>
    </xf>
    <xf numFmtId="43" fontId="2" fillId="0" borderId="2" xfId="2" applyFont="1" applyFill="1" applyBorder="1" applyAlignment="1">
      <alignment wrapText="1"/>
    </xf>
    <xf numFmtId="43" fontId="2" fillId="0" borderId="5" xfId="2" applyFont="1" applyFill="1" applyBorder="1"/>
    <xf numFmtId="43" fontId="2" fillId="0" borderId="0" xfId="15" applyNumberFormat="1" applyFont="1" applyFill="1" applyAlignment="1">
      <alignment wrapText="1"/>
    </xf>
    <xf numFmtId="43" fontId="3" fillId="0" borderId="0" xfId="2" applyFont="1" applyFill="1" applyBorder="1" applyAlignment="1">
      <alignment horizontal="center"/>
    </xf>
  </cellXfs>
  <cellStyles count="30">
    <cellStyle name="Comma" xfId="1" builtinId="3"/>
    <cellStyle name="Comma 10" xfId="2" xr:uid="{00000000-0005-0000-0000-000001000000}"/>
    <cellStyle name="Comma 11" xfId="3" xr:uid="{00000000-0005-0000-0000-000002000000}"/>
    <cellStyle name="Comma 11 3" xfId="4" xr:uid="{00000000-0005-0000-0000-000003000000}"/>
    <cellStyle name="Comma 11 4" xfId="5" xr:uid="{00000000-0005-0000-0000-000004000000}"/>
    <cellStyle name="Comma 11 5" xfId="6" xr:uid="{00000000-0005-0000-0000-000005000000}"/>
    <cellStyle name="Comma 11 5 2" xfId="7" xr:uid="{00000000-0005-0000-0000-000006000000}"/>
    <cellStyle name="Comma 2" xfId="8" xr:uid="{00000000-0005-0000-0000-000007000000}"/>
    <cellStyle name="Comma 2 2" xfId="9" xr:uid="{00000000-0005-0000-0000-000008000000}"/>
    <cellStyle name="Comma 2 2 2" xfId="10" xr:uid="{00000000-0005-0000-0000-000009000000}"/>
    <cellStyle name="Comma 2 5" xfId="11" xr:uid="{00000000-0005-0000-0000-00000A000000}"/>
    <cellStyle name="Comma 3" xfId="12" xr:uid="{00000000-0005-0000-0000-00000B000000}"/>
    <cellStyle name="Comma 4 2 2" xfId="13" xr:uid="{00000000-0005-0000-0000-00000C000000}"/>
    <cellStyle name="Excel Built-in Normal" xfId="14" xr:uid="{00000000-0005-0000-0000-00000D000000}"/>
    <cellStyle name="Normal" xfId="0" builtinId="0"/>
    <cellStyle name="Normal 10" xfId="15" xr:uid="{00000000-0005-0000-0000-00000F000000}"/>
    <cellStyle name="Normal 2" xfId="16" xr:uid="{00000000-0005-0000-0000-000010000000}"/>
    <cellStyle name="Normal 2 2" xfId="17" xr:uid="{00000000-0005-0000-0000-000011000000}"/>
    <cellStyle name="Normal 32" xfId="18" xr:uid="{00000000-0005-0000-0000-000012000000}"/>
    <cellStyle name="Normal 33" xfId="19" xr:uid="{00000000-0005-0000-0000-000013000000}"/>
    <cellStyle name="Normal 34" xfId="20" xr:uid="{00000000-0005-0000-0000-000014000000}"/>
    <cellStyle name="Normal 35" xfId="21" xr:uid="{00000000-0005-0000-0000-000015000000}"/>
    <cellStyle name="Normal 36" xfId="22" xr:uid="{00000000-0005-0000-0000-000016000000}"/>
    <cellStyle name="Normal 37" xfId="23" xr:uid="{00000000-0005-0000-0000-000017000000}"/>
    <cellStyle name="Normal 7 3" xfId="24" xr:uid="{00000000-0005-0000-0000-000018000000}"/>
    <cellStyle name="Normal 7 4" xfId="25" xr:uid="{00000000-0005-0000-0000-000019000000}"/>
    <cellStyle name="Normal 7 5" xfId="26" xr:uid="{00000000-0005-0000-0000-00001A000000}"/>
    <cellStyle name="Normal 8" xfId="27" xr:uid="{00000000-0005-0000-0000-00001B000000}"/>
    <cellStyle name="Normal 9" xfId="28" xr:uid="{00000000-0005-0000-0000-00001C000000}"/>
    <cellStyle name="Percent 2" xfId="29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Ortigas/Ortigas%202006/Ortigas%20May/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osh%20april%202006/ortigas/04%20SALES%20RECOR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>
        <row r="3">
          <cell r="K3">
            <v>2007</v>
          </cell>
        </row>
        <row r="5">
          <cell r="K5" t="str">
            <v>FEBRUARY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9"/>
  <sheetViews>
    <sheetView tabSelected="1" topLeftCell="D1" workbookViewId="0">
      <pane ySplit="4" topLeftCell="A5" activePane="bottomLeft" state="frozen"/>
      <selection activeCell="D1" sqref="D1"/>
      <selection pane="bottomLeft" activeCell="I162" sqref="I162"/>
    </sheetView>
  </sheetViews>
  <sheetFormatPr defaultRowHeight="11.25" x14ac:dyDescent="0.2"/>
  <cols>
    <col min="1" max="1" width="11.42578125" style="67" customWidth="1"/>
    <col min="2" max="2" width="7.28515625" style="6" hidden="1" customWidth="1"/>
    <col min="3" max="3" width="24" style="1" customWidth="1"/>
    <col min="4" max="4" width="14" style="5" customWidth="1"/>
    <col min="5" max="5" width="28" style="5" hidden="1" customWidth="1"/>
    <col min="6" max="6" width="7.85546875" style="4" customWidth="1"/>
    <col min="7" max="7" width="31.5703125" style="1" customWidth="1"/>
    <col min="8" max="8" width="11" style="69" customWidth="1"/>
    <col min="9" max="9" width="8.42578125" style="69" customWidth="1"/>
    <col min="10" max="10" width="9.7109375" style="69" customWidth="1"/>
    <col min="11" max="11" width="10.42578125" style="69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9.5703125" style="2" customWidth="1"/>
    <col min="18" max="18" width="10.710937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8.7109375" style="2" customWidth="1"/>
    <col min="28" max="28" width="9.5703125" style="2" customWidth="1"/>
    <col min="29" max="30" width="8" style="2" customWidth="1"/>
    <col min="31" max="31" width="10.140625" style="2" customWidth="1"/>
    <col min="32" max="32" width="10.7109375" style="2" customWidth="1"/>
    <col min="33" max="33" width="10.7109375" style="1" customWidth="1"/>
    <col min="34" max="16384" width="9.140625" style="1"/>
  </cols>
  <sheetData>
    <row r="1" spans="1:33" ht="12" customHeight="1" x14ac:dyDescent="0.2">
      <c r="A1" s="62" t="s">
        <v>30</v>
      </c>
      <c r="C1" s="14"/>
    </row>
    <row r="2" spans="1:33" ht="12" customHeight="1" x14ac:dyDescent="0.2">
      <c r="A2" s="62" t="s">
        <v>26</v>
      </c>
    </row>
    <row r="3" spans="1:33" ht="12" customHeight="1" x14ac:dyDescent="0.2">
      <c r="A3" s="62" t="s">
        <v>137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>
        <v>6211</v>
      </c>
      <c r="Y3" s="16" t="s">
        <v>25</v>
      </c>
      <c r="Z3" s="16">
        <v>6231</v>
      </c>
      <c r="AA3" s="16">
        <v>6230</v>
      </c>
      <c r="AB3" s="16" t="s">
        <v>24</v>
      </c>
      <c r="AC3" s="16">
        <v>6202</v>
      </c>
      <c r="AD3" s="16">
        <v>6999</v>
      </c>
      <c r="AE3" s="16">
        <v>6109</v>
      </c>
      <c r="AF3" s="16">
        <v>1002</v>
      </c>
    </row>
    <row r="4" spans="1:33" s="11" customFormat="1" ht="43.5" customHeight="1" x14ac:dyDescent="0.25">
      <c r="A4" s="63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70" t="s">
        <v>17</v>
      </c>
      <c r="I4" s="70" t="s">
        <v>16</v>
      </c>
      <c r="J4" s="70" t="s">
        <v>15</v>
      </c>
      <c r="K4" s="70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4.75" hidden="1" customHeight="1" x14ac:dyDescent="0.2">
      <c r="A5" s="64">
        <v>43647</v>
      </c>
      <c r="B5" s="31"/>
      <c r="C5" s="25" t="s">
        <v>138</v>
      </c>
      <c r="D5" s="25" t="s">
        <v>139</v>
      </c>
      <c r="E5" s="25" t="s">
        <v>40</v>
      </c>
      <c r="F5" s="26">
        <v>756009</v>
      </c>
      <c r="G5" s="29" t="s">
        <v>140</v>
      </c>
      <c r="H5" s="71"/>
      <c r="I5" s="71"/>
      <c r="J5" s="71"/>
      <c r="K5" s="71">
        <v>732.75</v>
      </c>
      <c r="L5" s="33"/>
      <c r="M5" s="27">
        <f t="shared" ref="M5:M68" si="0">SUM(H5:J5,K5/1.12)</f>
        <v>654.24107142857133</v>
      </c>
      <c r="N5" s="27">
        <f t="shared" ref="N5:N68" si="1">K5/1.12*0.12</f>
        <v>78.508928571428555</v>
      </c>
      <c r="O5" s="27">
        <f t="shared" ref="O5:O68" si="2">-SUM(I5:J5,K5/1.12)*L5</f>
        <v>0</v>
      </c>
      <c r="P5" s="27"/>
      <c r="Q5" s="34"/>
      <c r="R5" s="34"/>
      <c r="S5" s="35"/>
      <c r="T5" s="35">
        <v>654.24</v>
      </c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:AF17" si="3">-SUM(N5:AE5)</f>
        <v>-732.74892857142856</v>
      </c>
      <c r="AG5" s="28">
        <f t="shared" ref="AG5:AG17" si="4">SUM(H5:K5)+AF5+O5</f>
        <v>1.0714285714357175E-3</v>
      </c>
    </row>
    <row r="6" spans="1:33" s="12" customFormat="1" ht="24.75" hidden="1" customHeight="1" x14ac:dyDescent="0.2">
      <c r="A6" s="64">
        <v>43647</v>
      </c>
      <c r="B6" s="31"/>
      <c r="C6" s="25" t="s">
        <v>42</v>
      </c>
      <c r="D6" s="25" t="s">
        <v>43</v>
      </c>
      <c r="E6" s="25" t="s">
        <v>44</v>
      </c>
      <c r="F6" s="26">
        <v>193149</v>
      </c>
      <c r="G6" s="29" t="s">
        <v>45</v>
      </c>
      <c r="H6" s="71"/>
      <c r="I6" s="71"/>
      <c r="J6" s="71"/>
      <c r="K6" s="71">
        <v>180</v>
      </c>
      <c r="L6" s="33"/>
      <c r="M6" s="27">
        <f t="shared" si="0"/>
        <v>160.71428571428569</v>
      </c>
      <c r="N6" s="27">
        <f t="shared" si="1"/>
        <v>19.285714285714281</v>
      </c>
      <c r="O6" s="27">
        <f t="shared" si="2"/>
        <v>0</v>
      </c>
      <c r="P6" s="27"/>
      <c r="Q6" s="34">
        <v>160.71</v>
      </c>
      <c r="R6" s="34"/>
      <c r="S6" s="35"/>
      <c r="T6" s="35"/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si="3"/>
        <v>-179.99571428571429</v>
      </c>
      <c r="AG6" s="28">
        <f t="shared" si="4"/>
        <v>4.2857142857144481E-3</v>
      </c>
    </row>
    <row r="7" spans="1:33" s="12" customFormat="1" ht="24.75" hidden="1" customHeight="1" x14ac:dyDescent="0.2">
      <c r="A7" s="64">
        <v>43647</v>
      </c>
      <c r="B7" s="31"/>
      <c r="C7" s="25" t="s">
        <v>54</v>
      </c>
      <c r="D7" s="25" t="s">
        <v>55</v>
      </c>
      <c r="E7" s="25" t="s">
        <v>57</v>
      </c>
      <c r="F7" s="26">
        <v>3240</v>
      </c>
      <c r="G7" s="29" t="s">
        <v>141</v>
      </c>
      <c r="H7" s="71"/>
      <c r="I7" s="71"/>
      <c r="J7" s="71">
        <v>2140</v>
      </c>
      <c r="K7" s="71"/>
      <c r="L7" s="33"/>
      <c r="M7" s="27">
        <f t="shared" si="0"/>
        <v>2140</v>
      </c>
      <c r="N7" s="27">
        <f t="shared" si="1"/>
        <v>0</v>
      </c>
      <c r="O7" s="27">
        <f t="shared" si="2"/>
        <v>0</v>
      </c>
      <c r="P7" s="27">
        <v>2140</v>
      </c>
      <c r="Q7" s="34"/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si="3"/>
        <v>-2140</v>
      </c>
      <c r="AG7" s="28">
        <f t="shared" si="4"/>
        <v>0</v>
      </c>
    </row>
    <row r="8" spans="1:33" s="12" customFormat="1" ht="24.75" hidden="1" customHeight="1" x14ac:dyDescent="0.2">
      <c r="A8" s="64">
        <v>43647</v>
      </c>
      <c r="B8" s="31"/>
      <c r="C8" s="25" t="s">
        <v>56</v>
      </c>
      <c r="D8" s="25"/>
      <c r="E8" s="25"/>
      <c r="F8" s="26"/>
      <c r="G8" s="29" t="s">
        <v>142</v>
      </c>
      <c r="H8" s="71">
        <v>100</v>
      </c>
      <c r="I8" s="71"/>
      <c r="J8" s="71"/>
      <c r="K8" s="71"/>
      <c r="L8" s="33"/>
      <c r="M8" s="27">
        <f t="shared" si="0"/>
        <v>100</v>
      </c>
      <c r="N8" s="27">
        <f t="shared" si="1"/>
        <v>0</v>
      </c>
      <c r="O8" s="27">
        <f t="shared" si="2"/>
        <v>0</v>
      </c>
      <c r="P8" s="27"/>
      <c r="Q8" s="34"/>
      <c r="R8" s="34"/>
      <c r="S8" s="35"/>
      <c r="T8" s="35"/>
      <c r="U8" s="35"/>
      <c r="V8" s="35"/>
      <c r="W8" s="35"/>
      <c r="X8" s="34"/>
      <c r="Y8" s="34"/>
      <c r="Z8" s="34"/>
      <c r="AA8" s="34">
        <v>100</v>
      </c>
      <c r="AB8" s="35"/>
      <c r="AC8" s="35"/>
      <c r="AD8" s="34"/>
      <c r="AE8" s="34"/>
      <c r="AF8" s="27">
        <f t="shared" si="3"/>
        <v>-100</v>
      </c>
      <c r="AG8" s="28">
        <f t="shared" si="4"/>
        <v>0</v>
      </c>
    </row>
    <row r="9" spans="1:33" s="12" customFormat="1" ht="24.75" hidden="1" customHeight="1" x14ac:dyDescent="0.2">
      <c r="A9" s="64">
        <v>43647</v>
      </c>
      <c r="B9" s="31"/>
      <c r="C9" s="25" t="s">
        <v>38</v>
      </c>
      <c r="D9" s="25" t="s">
        <v>39</v>
      </c>
      <c r="E9" s="25" t="s">
        <v>40</v>
      </c>
      <c r="F9" s="26">
        <v>167999</v>
      </c>
      <c r="G9" s="29" t="s">
        <v>143</v>
      </c>
      <c r="H9" s="71"/>
      <c r="I9" s="71"/>
      <c r="J9" s="71"/>
      <c r="K9" s="71">
        <v>1254.44</v>
      </c>
      <c r="L9" s="33"/>
      <c r="M9" s="27">
        <f t="shared" si="0"/>
        <v>1120.0357142857142</v>
      </c>
      <c r="N9" s="27">
        <f t="shared" si="1"/>
        <v>134.40428571428569</v>
      </c>
      <c r="O9" s="27">
        <f t="shared" si="2"/>
        <v>0</v>
      </c>
      <c r="P9" s="27">
        <v>1120.04</v>
      </c>
      <c r="Q9" s="34"/>
      <c r="R9" s="34"/>
      <c r="S9" s="35"/>
      <c r="T9" s="35"/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si="3"/>
        <v>-1254.4442857142856</v>
      </c>
      <c r="AG9" s="28">
        <f t="shared" si="4"/>
        <v>-4.2857142855154962E-3</v>
      </c>
    </row>
    <row r="10" spans="1:33" s="12" customFormat="1" ht="24.75" hidden="1" customHeight="1" x14ac:dyDescent="0.2">
      <c r="A10" s="64">
        <v>43647</v>
      </c>
      <c r="B10" s="31"/>
      <c r="C10" s="25" t="s">
        <v>42</v>
      </c>
      <c r="D10" s="25" t="s">
        <v>43</v>
      </c>
      <c r="E10" s="25" t="s">
        <v>44</v>
      </c>
      <c r="F10" s="26">
        <v>185798</v>
      </c>
      <c r="G10" s="29" t="s">
        <v>45</v>
      </c>
      <c r="H10" s="71"/>
      <c r="I10" s="71"/>
      <c r="J10" s="71"/>
      <c r="K10" s="71">
        <v>180</v>
      </c>
      <c r="L10" s="33"/>
      <c r="M10" s="27">
        <f t="shared" si="0"/>
        <v>160.71428571428569</v>
      </c>
      <c r="N10" s="27">
        <f t="shared" si="1"/>
        <v>19.285714285714281</v>
      </c>
      <c r="O10" s="27">
        <f t="shared" si="2"/>
        <v>0</v>
      </c>
      <c r="P10" s="27"/>
      <c r="Q10" s="34">
        <v>160.71</v>
      </c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si="3"/>
        <v>-179.99571428571429</v>
      </c>
      <c r="AG10" s="28">
        <f t="shared" si="4"/>
        <v>4.2857142857144481E-3</v>
      </c>
    </row>
    <row r="11" spans="1:33" s="12" customFormat="1" ht="24.75" hidden="1" customHeight="1" x14ac:dyDescent="0.2">
      <c r="A11" s="64">
        <v>43648</v>
      </c>
      <c r="B11" s="31"/>
      <c r="C11" s="25" t="s">
        <v>144</v>
      </c>
      <c r="D11" s="25" t="s">
        <v>145</v>
      </c>
      <c r="E11" s="25" t="s">
        <v>40</v>
      </c>
      <c r="F11" s="26">
        <v>58111</v>
      </c>
      <c r="G11" s="29" t="s">
        <v>146</v>
      </c>
      <c r="H11" s="71"/>
      <c r="I11" s="71"/>
      <c r="J11" s="71"/>
      <c r="K11" s="71">
        <v>834.47</v>
      </c>
      <c r="L11" s="33"/>
      <c r="M11" s="27">
        <f t="shared" si="0"/>
        <v>745.0625</v>
      </c>
      <c r="N11" s="27">
        <f t="shared" si="1"/>
        <v>89.407499999999999</v>
      </c>
      <c r="O11" s="27">
        <f t="shared" si="2"/>
        <v>0</v>
      </c>
      <c r="P11" s="27">
        <v>745.06</v>
      </c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si="3"/>
        <v>-834.46749999999997</v>
      </c>
      <c r="AG11" s="28">
        <f t="shared" si="4"/>
        <v>2.5000000000545697E-3</v>
      </c>
    </row>
    <row r="12" spans="1:33" s="12" customFormat="1" ht="24.75" hidden="1" customHeight="1" x14ac:dyDescent="0.2">
      <c r="A12" s="64">
        <v>43648</v>
      </c>
      <c r="B12" s="31"/>
      <c r="C12" s="25" t="s">
        <v>46</v>
      </c>
      <c r="D12" s="25" t="s">
        <v>47</v>
      </c>
      <c r="E12" s="25" t="s">
        <v>37</v>
      </c>
      <c r="F12" s="26">
        <v>36202</v>
      </c>
      <c r="G12" s="29" t="s">
        <v>147</v>
      </c>
      <c r="H12" s="71"/>
      <c r="I12" s="71"/>
      <c r="J12" s="71"/>
      <c r="K12" s="71">
        <v>72.25</v>
      </c>
      <c r="L12" s="33"/>
      <c r="M12" s="27">
        <f t="shared" si="0"/>
        <v>64.508928571428569</v>
      </c>
      <c r="N12" s="27">
        <f t="shared" si="1"/>
        <v>7.7410714285714279</v>
      </c>
      <c r="O12" s="27">
        <f t="shared" si="2"/>
        <v>0</v>
      </c>
      <c r="P12" s="27"/>
      <c r="Q12" s="34">
        <v>64.510000000000005</v>
      </c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3"/>
        <v>-72.251071428571436</v>
      </c>
      <c r="AG12" s="28">
        <f t="shared" si="4"/>
        <v>-1.0714285714357175E-3</v>
      </c>
    </row>
    <row r="13" spans="1:33" s="12" customFormat="1" ht="24.75" hidden="1" customHeight="1" x14ac:dyDescent="0.2">
      <c r="A13" s="64">
        <v>43648</v>
      </c>
      <c r="B13" s="31"/>
      <c r="C13" s="25" t="s">
        <v>46</v>
      </c>
      <c r="D13" s="25" t="s">
        <v>47</v>
      </c>
      <c r="E13" s="25" t="s">
        <v>37</v>
      </c>
      <c r="F13" s="26">
        <v>36254</v>
      </c>
      <c r="G13" s="29" t="s">
        <v>148</v>
      </c>
      <c r="H13" s="71"/>
      <c r="I13" s="71"/>
      <c r="J13" s="71"/>
      <c r="K13" s="71">
        <v>49.8</v>
      </c>
      <c r="L13" s="33"/>
      <c r="M13" s="27">
        <f t="shared" si="0"/>
        <v>44.464285714285708</v>
      </c>
      <c r="N13" s="27">
        <f t="shared" si="1"/>
        <v>5.3357142857142845</v>
      </c>
      <c r="O13" s="27">
        <f t="shared" si="2"/>
        <v>0</v>
      </c>
      <c r="P13" s="27">
        <v>44.46</v>
      </c>
      <c r="Q13" s="34"/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3"/>
        <v>-49.795714285714283</v>
      </c>
      <c r="AG13" s="28">
        <f t="shared" si="4"/>
        <v>4.2857142857144481E-3</v>
      </c>
    </row>
    <row r="14" spans="1:33" s="12" customFormat="1" ht="23.25" hidden="1" customHeight="1" x14ac:dyDescent="0.2">
      <c r="A14" s="64">
        <v>43649</v>
      </c>
      <c r="B14" s="31"/>
      <c r="C14" s="25" t="s">
        <v>46</v>
      </c>
      <c r="D14" s="25" t="s">
        <v>47</v>
      </c>
      <c r="E14" s="25" t="s">
        <v>37</v>
      </c>
      <c r="F14" s="26">
        <v>36211</v>
      </c>
      <c r="G14" s="29" t="s">
        <v>149</v>
      </c>
      <c r="H14" s="71"/>
      <c r="I14" s="71"/>
      <c r="J14" s="71"/>
      <c r="K14" s="71">
        <v>216</v>
      </c>
      <c r="L14" s="33"/>
      <c r="M14" s="27">
        <f t="shared" si="0"/>
        <v>192.85714285714283</v>
      </c>
      <c r="N14" s="27">
        <f t="shared" si="1"/>
        <v>23.142857142857139</v>
      </c>
      <c r="O14" s="27">
        <f t="shared" si="2"/>
        <v>0</v>
      </c>
      <c r="P14" s="27"/>
      <c r="Q14" s="34">
        <v>192.86</v>
      </c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si="3"/>
        <v>-216.00285714285715</v>
      </c>
      <c r="AG14" s="28">
        <f t="shared" si="4"/>
        <v>-2.8571428571524393E-3</v>
      </c>
    </row>
    <row r="15" spans="1:33" s="12" customFormat="1" ht="24.75" hidden="1" customHeight="1" x14ac:dyDescent="0.2">
      <c r="A15" s="64">
        <v>43649</v>
      </c>
      <c r="B15" s="31"/>
      <c r="C15" s="25" t="s">
        <v>42</v>
      </c>
      <c r="D15" s="25" t="s">
        <v>43</v>
      </c>
      <c r="E15" s="25" t="s">
        <v>44</v>
      </c>
      <c r="F15" s="26">
        <v>197844</v>
      </c>
      <c r="G15" s="29" t="s">
        <v>45</v>
      </c>
      <c r="H15" s="71"/>
      <c r="I15" s="71"/>
      <c r="J15" s="71"/>
      <c r="K15" s="71">
        <v>180</v>
      </c>
      <c r="L15" s="33"/>
      <c r="M15" s="27">
        <f t="shared" si="0"/>
        <v>160.71428571428569</v>
      </c>
      <c r="N15" s="27">
        <f t="shared" si="1"/>
        <v>19.285714285714281</v>
      </c>
      <c r="O15" s="27">
        <f t="shared" si="2"/>
        <v>0</v>
      </c>
      <c r="P15" s="27"/>
      <c r="Q15" s="34">
        <v>160.71</v>
      </c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si="3"/>
        <v>-179.99571428571429</v>
      </c>
      <c r="AG15" s="28">
        <f t="shared" si="4"/>
        <v>4.2857142857144481E-3</v>
      </c>
    </row>
    <row r="16" spans="1:33" s="12" customFormat="1" ht="23.25" hidden="1" customHeight="1" x14ac:dyDescent="0.2">
      <c r="A16" s="64">
        <v>43649</v>
      </c>
      <c r="B16" s="31"/>
      <c r="C16" s="25" t="s">
        <v>138</v>
      </c>
      <c r="D16" s="25" t="s">
        <v>139</v>
      </c>
      <c r="E16" s="25" t="s">
        <v>40</v>
      </c>
      <c r="F16" s="26">
        <v>715309</v>
      </c>
      <c r="G16" s="29" t="s">
        <v>150</v>
      </c>
      <c r="H16" s="71"/>
      <c r="I16" s="71"/>
      <c r="J16" s="71"/>
      <c r="K16" s="71">
        <v>44.5</v>
      </c>
      <c r="L16" s="33"/>
      <c r="M16" s="27">
        <f t="shared" si="0"/>
        <v>39.732142857142854</v>
      </c>
      <c r="N16" s="27">
        <f t="shared" si="1"/>
        <v>4.7678571428571423</v>
      </c>
      <c r="O16" s="27">
        <f t="shared" si="2"/>
        <v>0</v>
      </c>
      <c r="P16" s="27"/>
      <c r="Q16" s="34"/>
      <c r="R16" s="34"/>
      <c r="S16" s="35"/>
      <c r="T16" s="35">
        <v>39.729999999999997</v>
      </c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si="3"/>
        <v>-44.497857142857143</v>
      </c>
      <c r="AG16" s="28">
        <f t="shared" si="4"/>
        <v>2.1428571428572241E-3</v>
      </c>
    </row>
    <row r="17" spans="1:33" s="12" customFormat="1" ht="23.25" hidden="1" customHeight="1" x14ac:dyDescent="0.2">
      <c r="A17" s="64">
        <v>43649</v>
      </c>
      <c r="B17" s="31"/>
      <c r="C17" s="25" t="s">
        <v>38</v>
      </c>
      <c r="D17" s="25" t="s">
        <v>39</v>
      </c>
      <c r="E17" s="25" t="s">
        <v>40</v>
      </c>
      <c r="F17" s="26">
        <v>177186</v>
      </c>
      <c r="G17" s="29" t="s">
        <v>151</v>
      </c>
      <c r="H17" s="71"/>
      <c r="I17" s="71"/>
      <c r="J17" s="71">
        <v>412.9</v>
      </c>
      <c r="K17" s="71"/>
      <c r="L17" s="33"/>
      <c r="M17" s="27">
        <f t="shared" si="0"/>
        <v>412.9</v>
      </c>
      <c r="N17" s="27">
        <f t="shared" si="1"/>
        <v>0</v>
      </c>
      <c r="O17" s="27">
        <f t="shared" si="2"/>
        <v>0</v>
      </c>
      <c r="P17" s="27">
        <v>412.9</v>
      </c>
      <c r="Q17" s="34"/>
      <c r="R17" s="34"/>
      <c r="S17" s="35"/>
      <c r="T17" s="35"/>
      <c r="U17" s="35"/>
      <c r="V17" s="35"/>
      <c r="W17" s="35"/>
      <c r="X17" s="34"/>
      <c r="Y17" s="34"/>
      <c r="Z17" s="34"/>
      <c r="AA17" s="34"/>
      <c r="AB17" s="35"/>
      <c r="AC17" s="35"/>
      <c r="AD17" s="34"/>
      <c r="AE17" s="34"/>
      <c r="AF17" s="27">
        <f t="shared" si="3"/>
        <v>-412.9</v>
      </c>
      <c r="AG17" s="28">
        <f t="shared" si="4"/>
        <v>0</v>
      </c>
    </row>
    <row r="18" spans="1:33" s="12" customFormat="1" ht="23.25" hidden="1" customHeight="1" x14ac:dyDescent="0.2">
      <c r="A18" s="64">
        <v>43649</v>
      </c>
      <c r="B18" s="31"/>
      <c r="C18" s="25" t="s">
        <v>38</v>
      </c>
      <c r="D18" s="25" t="s">
        <v>39</v>
      </c>
      <c r="E18" s="25" t="s">
        <v>40</v>
      </c>
      <c r="F18" s="26">
        <v>177186</v>
      </c>
      <c r="G18" s="29" t="s">
        <v>152</v>
      </c>
      <c r="H18" s="71"/>
      <c r="I18" s="71"/>
      <c r="J18" s="71"/>
      <c r="K18" s="71">
        <f>768.75+92.25</f>
        <v>861</v>
      </c>
      <c r="L18" s="33"/>
      <c r="M18" s="27">
        <f t="shared" si="0"/>
        <v>768.74999999999989</v>
      </c>
      <c r="N18" s="27">
        <f t="shared" si="1"/>
        <v>92.249999999999986</v>
      </c>
      <c r="O18" s="27">
        <f t="shared" si="2"/>
        <v>0</v>
      </c>
      <c r="P18" s="27">
        <v>768.75</v>
      </c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ref="AF18:AF19" si="5">-SUM(N18:AE18)</f>
        <v>-861</v>
      </c>
      <c r="AG18" s="28">
        <f t="shared" ref="AG18:AG19" si="6">SUM(H18:K18)+AF18+O18</f>
        <v>0</v>
      </c>
    </row>
    <row r="19" spans="1:33" s="57" customFormat="1" ht="23.25" hidden="1" customHeight="1" x14ac:dyDescent="0.2">
      <c r="A19" s="65">
        <v>43649</v>
      </c>
      <c r="B19" s="58"/>
      <c r="C19" s="50" t="s">
        <v>46</v>
      </c>
      <c r="D19" s="50" t="s">
        <v>47</v>
      </c>
      <c r="E19" s="50" t="s">
        <v>37</v>
      </c>
      <c r="F19" s="51">
        <v>36260</v>
      </c>
      <c r="G19" s="49" t="s">
        <v>153</v>
      </c>
      <c r="H19" s="72"/>
      <c r="I19" s="72"/>
      <c r="J19" s="72"/>
      <c r="K19" s="72">
        <v>194</v>
      </c>
      <c r="L19" s="52"/>
      <c r="M19" s="53">
        <f t="shared" si="0"/>
        <v>173.21428571428569</v>
      </c>
      <c r="N19" s="53">
        <f t="shared" si="1"/>
        <v>20.785714285714281</v>
      </c>
      <c r="O19" s="53">
        <f t="shared" si="2"/>
        <v>0</v>
      </c>
      <c r="P19" s="53"/>
      <c r="Q19" s="54"/>
      <c r="R19" s="54"/>
      <c r="S19" s="55"/>
      <c r="T19" s="55"/>
      <c r="U19" s="55"/>
      <c r="V19" s="55"/>
      <c r="W19" s="55"/>
      <c r="X19" s="54"/>
      <c r="Y19" s="54">
        <v>173.21</v>
      </c>
      <c r="Z19" s="54"/>
      <c r="AA19" s="54"/>
      <c r="AB19" s="55"/>
      <c r="AC19" s="55"/>
      <c r="AD19" s="54"/>
      <c r="AE19" s="54"/>
      <c r="AF19" s="53">
        <f t="shared" si="5"/>
        <v>-193.99571428571429</v>
      </c>
      <c r="AG19" s="56">
        <f t="shared" si="6"/>
        <v>4.2857142857144481E-3</v>
      </c>
    </row>
    <row r="20" spans="1:33" s="12" customFormat="1" ht="23.25" hidden="1" customHeight="1" x14ac:dyDescent="0.2">
      <c r="A20" s="64">
        <v>43650</v>
      </c>
      <c r="B20" s="31"/>
      <c r="C20" s="25" t="s">
        <v>38</v>
      </c>
      <c r="D20" s="25" t="s">
        <v>39</v>
      </c>
      <c r="E20" s="25" t="s">
        <v>40</v>
      </c>
      <c r="F20" s="26">
        <v>131986</v>
      </c>
      <c r="G20" s="59" t="s">
        <v>154</v>
      </c>
      <c r="H20" s="71"/>
      <c r="I20" s="71"/>
      <c r="J20" s="71">
        <v>867</v>
      </c>
      <c r="K20" s="71"/>
      <c r="L20" s="33"/>
      <c r="M20" s="27">
        <f t="shared" si="0"/>
        <v>867</v>
      </c>
      <c r="N20" s="27">
        <f t="shared" si="1"/>
        <v>0</v>
      </c>
      <c r="O20" s="27">
        <f t="shared" si="2"/>
        <v>0</v>
      </c>
      <c r="P20" s="27">
        <v>867</v>
      </c>
      <c r="Q20" s="34"/>
      <c r="R20" s="34"/>
      <c r="S20" s="35"/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ref="AF20:AF43" si="7">-SUM(N20:AE20)</f>
        <v>-867</v>
      </c>
      <c r="AG20" s="28">
        <f t="shared" ref="AG20:AG43" si="8">SUM(H20:K20)+AF20+O20</f>
        <v>0</v>
      </c>
    </row>
    <row r="21" spans="1:33" s="12" customFormat="1" ht="24.75" hidden="1" customHeight="1" x14ac:dyDescent="0.2">
      <c r="A21" s="64">
        <v>43650</v>
      </c>
      <c r="B21" s="31"/>
      <c r="C21" s="25" t="s">
        <v>38</v>
      </c>
      <c r="D21" s="25" t="s">
        <v>39</v>
      </c>
      <c r="E21" s="25" t="s">
        <v>40</v>
      </c>
      <c r="F21" s="26">
        <v>131986</v>
      </c>
      <c r="G21" s="29" t="s">
        <v>155</v>
      </c>
      <c r="H21" s="71"/>
      <c r="I21" s="71"/>
      <c r="J21" s="71"/>
      <c r="K21" s="71">
        <f>301.38+36.17</f>
        <v>337.55</v>
      </c>
      <c r="L21" s="33"/>
      <c r="M21" s="27">
        <f t="shared" si="0"/>
        <v>301.38392857142856</v>
      </c>
      <c r="N21" s="27">
        <f t="shared" si="1"/>
        <v>36.166071428571428</v>
      </c>
      <c r="O21" s="27">
        <f t="shared" si="2"/>
        <v>0</v>
      </c>
      <c r="P21" s="27">
        <v>301.38</v>
      </c>
      <c r="Q21" s="34"/>
      <c r="R21" s="34"/>
      <c r="S21" s="35"/>
      <c r="T21" s="35"/>
      <c r="U21" s="35"/>
      <c r="V21" s="35"/>
      <c r="W21" s="35"/>
      <c r="X21" s="34"/>
      <c r="Y21" s="34"/>
      <c r="Z21" s="34"/>
      <c r="AA21" s="34"/>
      <c r="AB21" s="35"/>
      <c r="AC21" s="35"/>
      <c r="AD21" s="34"/>
      <c r="AE21" s="34"/>
      <c r="AF21" s="27">
        <f t="shared" si="7"/>
        <v>-337.54607142857139</v>
      </c>
      <c r="AG21" s="28">
        <f t="shared" si="8"/>
        <v>3.9285714286165785E-3</v>
      </c>
    </row>
    <row r="22" spans="1:33" s="12" customFormat="1" ht="23.25" hidden="1" customHeight="1" x14ac:dyDescent="0.2">
      <c r="A22" s="64">
        <v>43650</v>
      </c>
      <c r="B22" s="31"/>
      <c r="C22" s="25" t="s">
        <v>42</v>
      </c>
      <c r="D22" s="25" t="s">
        <v>43</v>
      </c>
      <c r="E22" s="25" t="s">
        <v>44</v>
      </c>
      <c r="F22" s="26">
        <v>197890</v>
      </c>
      <c r="G22" s="59" t="s">
        <v>45</v>
      </c>
      <c r="H22" s="71"/>
      <c r="I22" s="71"/>
      <c r="J22" s="71"/>
      <c r="K22" s="71">
        <v>180</v>
      </c>
      <c r="L22" s="33"/>
      <c r="M22" s="27">
        <f t="shared" si="0"/>
        <v>160.71428571428569</v>
      </c>
      <c r="N22" s="27">
        <f t="shared" si="1"/>
        <v>19.285714285714281</v>
      </c>
      <c r="O22" s="27">
        <f t="shared" si="2"/>
        <v>0</v>
      </c>
      <c r="P22" s="27"/>
      <c r="Q22" s="34">
        <v>160.71</v>
      </c>
      <c r="R22" s="34"/>
      <c r="S22" s="35"/>
      <c r="T22" s="35"/>
      <c r="U22" s="35"/>
      <c r="V22" s="35"/>
      <c r="W22" s="35"/>
      <c r="X22" s="34"/>
      <c r="Y22" s="34"/>
      <c r="Z22" s="34"/>
      <c r="AA22" s="34"/>
      <c r="AB22" s="35"/>
      <c r="AC22" s="35"/>
      <c r="AD22" s="34"/>
      <c r="AE22" s="34"/>
      <c r="AF22" s="27">
        <f t="shared" si="7"/>
        <v>-179.99571428571429</v>
      </c>
      <c r="AG22" s="28">
        <f t="shared" si="8"/>
        <v>4.2857142857144481E-3</v>
      </c>
    </row>
    <row r="23" spans="1:33" s="12" customFormat="1" ht="23.25" hidden="1" customHeight="1" x14ac:dyDescent="0.2">
      <c r="A23" s="64">
        <v>43651</v>
      </c>
      <c r="B23" s="31"/>
      <c r="C23" s="25" t="s">
        <v>38</v>
      </c>
      <c r="D23" s="25" t="s">
        <v>39</v>
      </c>
      <c r="E23" s="25" t="s">
        <v>40</v>
      </c>
      <c r="F23" s="26">
        <v>174241</v>
      </c>
      <c r="G23" s="48" t="s">
        <v>156</v>
      </c>
      <c r="H23" s="71"/>
      <c r="I23" s="71"/>
      <c r="J23" s="71"/>
      <c r="K23" s="71">
        <f>1975.67+237.08</f>
        <v>2212.75</v>
      </c>
      <c r="L23" s="33"/>
      <c r="M23" s="27">
        <f t="shared" si="0"/>
        <v>1975.6696428571427</v>
      </c>
      <c r="N23" s="27">
        <f t="shared" si="1"/>
        <v>237.08035714285711</v>
      </c>
      <c r="O23" s="27">
        <f t="shared" si="2"/>
        <v>0</v>
      </c>
      <c r="P23" s="27">
        <v>1975.67</v>
      </c>
      <c r="Q23" s="34"/>
      <c r="R23" s="34"/>
      <c r="S23" s="35"/>
      <c r="T23" s="35"/>
      <c r="U23" s="35"/>
      <c r="V23" s="35"/>
      <c r="W23" s="35"/>
      <c r="X23" s="34"/>
      <c r="Y23" s="34"/>
      <c r="Z23" s="34"/>
      <c r="AA23" s="34"/>
      <c r="AB23" s="35"/>
      <c r="AC23" s="35"/>
      <c r="AD23" s="34"/>
      <c r="AE23" s="34"/>
      <c r="AF23" s="27">
        <f t="shared" si="7"/>
        <v>-2212.750357142857</v>
      </c>
      <c r="AG23" s="28">
        <f t="shared" si="8"/>
        <v>-3.5714285695576109E-4</v>
      </c>
    </row>
    <row r="24" spans="1:33" s="12" customFormat="1" ht="23.25" hidden="1" customHeight="1" x14ac:dyDescent="0.2">
      <c r="A24" s="64">
        <v>43651</v>
      </c>
      <c r="B24" s="31"/>
      <c r="C24" s="25" t="s">
        <v>38</v>
      </c>
      <c r="D24" s="25" t="s">
        <v>39</v>
      </c>
      <c r="E24" s="25" t="s">
        <v>40</v>
      </c>
      <c r="F24" s="26">
        <v>174241</v>
      </c>
      <c r="G24" s="25" t="s">
        <v>157</v>
      </c>
      <c r="H24" s="71"/>
      <c r="I24" s="71"/>
      <c r="J24" s="71">
        <v>197.45</v>
      </c>
      <c r="K24" s="71"/>
      <c r="L24" s="33"/>
      <c r="M24" s="27">
        <f t="shared" si="0"/>
        <v>197.45</v>
      </c>
      <c r="N24" s="27">
        <f t="shared" si="1"/>
        <v>0</v>
      </c>
      <c r="O24" s="27">
        <f t="shared" si="2"/>
        <v>0</v>
      </c>
      <c r="P24" s="27">
        <v>197.45</v>
      </c>
      <c r="Q24" s="34"/>
      <c r="R24" s="34"/>
      <c r="S24" s="35"/>
      <c r="T24" s="35"/>
      <c r="U24" s="35"/>
      <c r="V24" s="35"/>
      <c r="W24" s="35"/>
      <c r="X24" s="34"/>
      <c r="Y24" s="34"/>
      <c r="Z24" s="34"/>
      <c r="AA24" s="34"/>
      <c r="AB24" s="35"/>
      <c r="AC24" s="35"/>
      <c r="AD24" s="34"/>
      <c r="AE24" s="34"/>
      <c r="AF24" s="27">
        <f t="shared" si="7"/>
        <v>-197.45</v>
      </c>
      <c r="AG24" s="28">
        <f t="shared" si="8"/>
        <v>0</v>
      </c>
    </row>
    <row r="25" spans="1:33" s="12" customFormat="1" ht="23.25" hidden="1" customHeight="1" x14ac:dyDescent="0.2">
      <c r="A25" s="64">
        <v>43651</v>
      </c>
      <c r="B25" s="31"/>
      <c r="C25" s="25" t="s">
        <v>42</v>
      </c>
      <c r="D25" s="25" t="s">
        <v>43</v>
      </c>
      <c r="E25" s="25" t="s">
        <v>44</v>
      </c>
      <c r="F25" s="26">
        <v>197943</v>
      </c>
      <c r="G25" s="48" t="s">
        <v>45</v>
      </c>
      <c r="H25" s="71"/>
      <c r="I25" s="71"/>
      <c r="J25" s="71"/>
      <c r="K25" s="71">
        <v>180</v>
      </c>
      <c r="L25" s="33"/>
      <c r="M25" s="27">
        <f t="shared" si="0"/>
        <v>160.71428571428569</v>
      </c>
      <c r="N25" s="27">
        <f t="shared" si="1"/>
        <v>19.285714285714281</v>
      </c>
      <c r="O25" s="27">
        <f t="shared" si="2"/>
        <v>0</v>
      </c>
      <c r="P25" s="27"/>
      <c r="Q25" s="34">
        <v>160.71</v>
      </c>
      <c r="R25" s="34"/>
      <c r="S25" s="35"/>
      <c r="T25" s="35"/>
      <c r="U25" s="35"/>
      <c r="V25" s="35"/>
      <c r="W25" s="35"/>
      <c r="X25" s="34"/>
      <c r="Y25" s="34"/>
      <c r="Z25" s="34"/>
      <c r="AA25" s="34"/>
      <c r="AB25" s="35"/>
      <c r="AC25" s="35"/>
      <c r="AD25" s="34"/>
      <c r="AE25" s="34"/>
      <c r="AF25" s="27">
        <f t="shared" si="7"/>
        <v>-179.99571428571429</v>
      </c>
      <c r="AG25" s="28">
        <f t="shared" si="8"/>
        <v>4.2857142857144481E-3</v>
      </c>
    </row>
    <row r="26" spans="1:33" s="12" customFormat="1" ht="24.75" hidden="1" customHeight="1" x14ac:dyDescent="0.2">
      <c r="A26" s="64">
        <v>43652</v>
      </c>
      <c r="B26" s="31"/>
      <c r="C26" s="25" t="s">
        <v>52</v>
      </c>
      <c r="D26" s="25"/>
      <c r="E26" s="25"/>
      <c r="F26" s="26"/>
      <c r="G26" s="29" t="s">
        <v>158</v>
      </c>
      <c r="H26" s="71">
        <v>537</v>
      </c>
      <c r="I26" s="71"/>
      <c r="J26" s="71"/>
      <c r="K26" s="71"/>
      <c r="L26" s="33"/>
      <c r="M26" s="27">
        <f t="shared" si="0"/>
        <v>537</v>
      </c>
      <c r="N26" s="27">
        <f t="shared" si="1"/>
        <v>0</v>
      </c>
      <c r="O26" s="27">
        <f t="shared" si="2"/>
        <v>0</v>
      </c>
      <c r="P26" s="27"/>
      <c r="Q26" s="34"/>
      <c r="R26" s="34"/>
      <c r="S26" s="35"/>
      <c r="T26" s="35"/>
      <c r="U26" s="35"/>
      <c r="V26" s="35"/>
      <c r="W26" s="35"/>
      <c r="X26" s="34"/>
      <c r="Y26" s="34"/>
      <c r="Z26" s="34"/>
      <c r="AA26" s="34"/>
      <c r="AB26" s="35">
        <v>537</v>
      </c>
      <c r="AC26" s="35"/>
      <c r="AD26" s="34"/>
      <c r="AE26" s="34"/>
      <c r="AF26" s="27">
        <f t="shared" si="7"/>
        <v>-537</v>
      </c>
      <c r="AG26" s="28">
        <f t="shared" si="8"/>
        <v>0</v>
      </c>
    </row>
    <row r="27" spans="1:33" s="12" customFormat="1" ht="24.75" hidden="1" customHeight="1" x14ac:dyDescent="0.2">
      <c r="A27" s="64">
        <v>43652</v>
      </c>
      <c r="B27" s="31"/>
      <c r="C27" s="25" t="s">
        <v>50</v>
      </c>
      <c r="D27" s="25" t="s">
        <v>51</v>
      </c>
      <c r="E27" s="25" t="s">
        <v>159</v>
      </c>
      <c r="F27" s="26">
        <v>1444</v>
      </c>
      <c r="G27" s="29" t="s">
        <v>45</v>
      </c>
      <c r="H27" s="71"/>
      <c r="I27" s="71"/>
      <c r="J27" s="71"/>
      <c r="K27" s="71">
        <v>80</v>
      </c>
      <c r="L27" s="33"/>
      <c r="M27" s="27">
        <f t="shared" si="0"/>
        <v>71.428571428571416</v>
      </c>
      <c r="N27" s="27">
        <f t="shared" si="1"/>
        <v>8.5714285714285694</v>
      </c>
      <c r="O27" s="27">
        <f t="shared" si="2"/>
        <v>0</v>
      </c>
      <c r="P27" s="27"/>
      <c r="Q27" s="34">
        <v>71.430000000000007</v>
      </c>
      <c r="R27" s="34"/>
      <c r="S27" s="35"/>
      <c r="T27" s="35"/>
      <c r="U27" s="35"/>
      <c r="V27" s="35"/>
      <c r="W27" s="35"/>
      <c r="X27" s="34"/>
      <c r="Y27" s="34"/>
      <c r="Z27" s="34"/>
      <c r="AA27" s="34"/>
      <c r="AB27" s="35"/>
      <c r="AC27" s="35"/>
      <c r="AD27" s="34"/>
      <c r="AE27" s="34"/>
      <c r="AF27" s="27">
        <f t="shared" si="7"/>
        <v>-80.001428571428576</v>
      </c>
      <c r="AG27" s="28">
        <f t="shared" si="8"/>
        <v>-1.4285714285762197E-3</v>
      </c>
    </row>
    <row r="28" spans="1:33" s="12" customFormat="1" ht="24.75" hidden="1" customHeight="1" x14ac:dyDescent="0.2">
      <c r="A28" s="64">
        <v>43654</v>
      </c>
      <c r="B28" s="31"/>
      <c r="C28" s="25" t="s">
        <v>42</v>
      </c>
      <c r="D28" s="25" t="s">
        <v>43</v>
      </c>
      <c r="E28" s="25" t="s">
        <v>44</v>
      </c>
      <c r="F28" s="26">
        <v>153182</v>
      </c>
      <c r="G28" s="29" t="s">
        <v>45</v>
      </c>
      <c r="H28" s="71"/>
      <c r="I28" s="71"/>
      <c r="J28" s="71"/>
      <c r="K28" s="71">
        <v>180</v>
      </c>
      <c r="L28" s="33"/>
      <c r="M28" s="27">
        <f t="shared" si="0"/>
        <v>160.71428571428569</v>
      </c>
      <c r="N28" s="27">
        <f t="shared" si="1"/>
        <v>19.285714285714281</v>
      </c>
      <c r="O28" s="27">
        <f t="shared" si="2"/>
        <v>0</v>
      </c>
      <c r="P28" s="27"/>
      <c r="Q28" s="34">
        <v>160.71</v>
      </c>
      <c r="R28" s="34"/>
      <c r="S28" s="35"/>
      <c r="T28" s="35"/>
      <c r="U28" s="35"/>
      <c r="V28" s="35"/>
      <c r="W28" s="35"/>
      <c r="X28" s="34"/>
      <c r="Y28" s="34"/>
      <c r="Z28" s="34"/>
      <c r="AA28" s="34"/>
      <c r="AB28" s="35"/>
      <c r="AC28" s="35"/>
      <c r="AD28" s="34"/>
      <c r="AE28" s="34"/>
      <c r="AF28" s="27">
        <f t="shared" si="7"/>
        <v>-179.99571428571429</v>
      </c>
      <c r="AG28" s="28">
        <f t="shared" si="8"/>
        <v>4.2857142857144481E-3</v>
      </c>
    </row>
    <row r="29" spans="1:33" s="12" customFormat="1" ht="24.75" hidden="1" customHeight="1" x14ac:dyDescent="0.2">
      <c r="A29" s="64">
        <v>43654</v>
      </c>
      <c r="B29" s="31"/>
      <c r="C29" s="25" t="s">
        <v>52</v>
      </c>
      <c r="D29" s="25"/>
      <c r="E29" s="25"/>
      <c r="F29" s="26"/>
      <c r="G29" s="29" t="s">
        <v>160</v>
      </c>
      <c r="H29" s="71">
        <v>537</v>
      </c>
      <c r="I29" s="71"/>
      <c r="J29" s="71"/>
      <c r="K29" s="71"/>
      <c r="L29" s="33"/>
      <c r="M29" s="27">
        <f t="shared" si="0"/>
        <v>537</v>
      </c>
      <c r="N29" s="27">
        <f t="shared" si="1"/>
        <v>0</v>
      </c>
      <c r="O29" s="27">
        <f t="shared" si="2"/>
        <v>0</v>
      </c>
      <c r="P29" s="27"/>
      <c r="Q29" s="34"/>
      <c r="R29" s="34"/>
      <c r="S29" s="35"/>
      <c r="T29" s="35"/>
      <c r="U29" s="35"/>
      <c r="V29" s="35"/>
      <c r="W29" s="35"/>
      <c r="X29" s="34"/>
      <c r="Y29" s="34"/>
      <c r="Z29" s="34"/>
      <c r="AA29" s="34"/>
      <c r="AB29" s="35">
        <v>537</v>
      </c>
      <c r="AC29" s="35"/>
      <c r="AD29" s="34"/>
      <c r="AE29" s="34"/>
      <c r="AF29" s="27">
        <f t="shared" si="7"/>
        <v>-537</v>
      </c>
      <c r="AG29" s="28">
        <f t="shared" si="8"/>
        <v>0</v>
      </c>
    </row>
    <row r="30" spans="1:33" s="12" customFormat="1" ht="24.75" hidden="1" customHeight="1" x14ac:dyDescent="0.2">
      <c r="A30" s="64">
        <v>43654</v>
      </c>
      <c r="B30" s="31"/>
      <c r="C30" s="25" t="s">
        <v>161</v>
      </c>
      <c r="D30" s="25" t="s">
        <v>162</v>
      </c>
      <c r="E30" s="25" t="s">
        <v>40</v>
      </c>
      <c r="F30" s="26">
        <v>1697083</v>
      </c>
      <c r="G30" s="29" t="s">
        <v>163</v>
      </c>
      <c r="H30" s="71"/>
      <c r="I30" s="71"/>
      <c r="J30" s="71"/>
      <c r="K30" s="71">
        <v>219.5</v>
      </c>
      <c r="L30" s="33"/>
      <c r="M30" s="27">
        <f t="shared" si="0"/>
        <v>195.98214285714283</v>
      </c>
      <c r="N30" s="27">
        <f t="shared" si="1"/>
        <v>23.517857142857139</v>
      </c>
      <c r="O30" s="27">
        <f t="shared" si="2"/>
        <v>0</v>
      </c>
      <c r="P30" s="27"/>
      <c r="Q30" s="34"/>
      <c r="R30" s="34"/>
      <c r="S30" s="35"/>
      <c r="T30" s="35"/>
      <c r="U30" s="35"/>
      <c r="V30" s="35"/>
      <c r="W30" s="35"/>
      <c r="X30" s="34"/>
      <c r="Y30" s="34">
        <v>195.98</v>
      </c>
      <c r="Z30" s="34"/>
      <c r="AA30" s="34"/>
      <c r="AB30" s="35"/>
      <c r="AC30" s="35"/>
      <c r="AD30" s="34"/>
      <c r="AE30" s="34"/>
      <c r="AF30" s="27">
        <f t="shared" si="7"/>
        <v>-219.49785714285713</v>
      </c>
      <c r="AG30" s="28">
        <f t="shared" si="8"/>
        <v>2.1428571428714349E-3</v>
      </c>
    </row>
    <row r="31" spans="1:33" s="12" customFormat="1" ht="24.75" hidden="1" customHeight="1" x14ac:dyDescent="0.2">
      <c r="A31" s="64">
        <v>43655</v>
      </c>
      <c r="B31" s="31"/>
      <c r="C31" s="25" t="s">
        <v>164</v>
      </c>
      <c r="D31" s="25" t="s">
        <v>165</v>
      </c>
      <c r="E31" s="25" t="s">
        <v>159</v>
      </c>
      <c r="F31" s="26">
        <v>1745495</v>
      </c>
      <c r="G31" s="29" t="s">
        <v>45</v>
      </c>
      <c r="H31" s="71"/>
      <c r="I31" s="71"/>
      <c r="J31" s="71"/>
      <c r="K31" s="71">
        <v>48</v>
      </c>
      <c r="L31" s="33"/>
      <c r="M31" s="27">
        <f>SUM(H31:J31,K31/1.12)</f>
        <v>42.857142857142854</v>
      </c>
      <c r="N31" s="27">
        <f>K31/1.12*0.12</f>
        <v>5.1428571428571423</v>
      </c>
      <c r="O31" s="27">
        <f>-SUM(I31:J31,K31/1.12)*L31</f>
        <v>0</v>
      </c>
      <c r="P31" s="27"/>
      <c r="Q31" s="34">
        <v>42.86</v>
      </c>
      <c r="R31" s="34"/>
      <c r="S31" s="35"/>
      <c r="T31" s="35"/>
      <c r="U31" s="35"/>
      <c r="V31" s="35"/>
      <c r="W31" s="35"/>
      <c r="X31" s="34"/>
      <c r="Y31" s="34"/>
      <c r="Z31" s="34"/>
      <c r="AA31" s="34"/>
      <c r="AB31" s="35"/>
      <c r="AC31" s="35"/>
      <c r="AD31" s="34"/>
      <c r="AE31" s="34"/>
      <c r="AF31" s="27">
        <f>-SUM(N31:AE31)</f>
        <v>-48.002857142857138</v>
      </c>
      <c r="AG31" s="28">
        <f>SUM(H31:K31)+AF31+O31</f>
        <v>-2.8571428571382285E-3</v>
      </c>
    </row>
    <row r="32" spans="1:33" s="12" customFormat="1" ht="24.75" hidden="1" customHeight="1" x14ac:dyDescent="0.2">
      <c r="A32" s="64">
        <v>43655</v>
      </c>
      <c r="B32" s="31"/>
      <c r="C32" s="25" t="s">
        <v>50</v>
      </c>
      <c r="D32" s="25" t="s">
        <v>51</v>
      </c>
      <c r="E32" s="25" t="s">
        <v>159</v>
      </c>
      <c r="F32" s="26">
        <v>951</v>
      </c>
      <c r="G32" s="29" t="s">
        <v>45</v>
      </c>
      <c r="H32" s="71"/>
      <c r="I32" s="71"/>
      <c r="J32" s="71"/>
      <c r="K32" s="71">
        <v>40</v>
      </c>
      <c r="L32" s="33"/>
      <c r="M32" s="27">
        <f t="shared" si="0"/>
        <v>35.714285714285708</v>
      </c>
      <c r="N32" s="27">
        <f t="shared" si="1"/>
        <v>4.2857142857142847</v>
      </c>
      <c r="O32" s="27">
        <f t="shared" si="2"/>
        <v>0</v>
      </c>
      <c r="P32" s="27"/>
      <c r="Q32" s="34">
        <v>35.71</v>
      </c>
      <c r="R32" s="34"/>
      <c r="S32" s="35"/>
      <c r="T32" s="35"/>
      <c r="U32" s="35"/>
      <c r="V32" s="35"/>
      <c r="W32" s="35"/>
      <c r="X32" s="34"/>
      <c r="Y32" s="34"/>
      <c r="Z32" s="34"/>
      <c r="AA32" s="34"/>
      <c r="AB32" s="35"/>
      <c r="AC32" s="35"/>
      <c r="AD32" s="34"/>
      <c r="AE32" s="34"/>
      <c r="AF32" s="27">
        <f t="shared" si="7"/>
        <v>-39.995714285714286</v>
      </c>
      <c r="AG32" s="28">
        <f t="shared" si="8"/>
        <v>4.2857142857144481E-3</v>
      </c>
    </row>
    <row r="33" spans="1:33" s="12" customFormat="1" ht="23.25" customHeight="1" x14ac:dyDescent="0.2">
      <c r="A33" s="64">
        <v>43655</v>
      </c>
      <c r="B33" s="31"/>
      <c r="C33" s="25" t="s">
        <v>166</v>
      </c>
      <c r="D33" s="25" t="s">
        <v>167</v>
      </c>
      <c r="E33" s="25" t="s">
        <v>40</v>
      </c>
      <c r="F33" s="26">
        <v>1912</v>
      </c>
      <c r="G33" s="29" t="s">
        <v>168</v>
      </c>
      <c r="H33" s="71"/>
      <c r="I33" s="71"/>
      <c r="J33" s="71"/>
      <c r="K33" s="71">
        <v>1294</v>
      </c>
      <c r="L33" s="33">
        <v>0.01</v>
      </c>
      <c r="M33" s="27">
        <f t="shared" si="0"/>
        <v>1155.3571428571427</v>
      </c>
      <c r="N33" s="27">
        <f t="shared" si="1"/>
        <v>138.64285714285711</v>
      </c>
      <c r="O33" s="27">
        <f t="shared" si="2"/>
        <v>-11.553571428571427</v>
      </c>
      <c r="P33" s="27">
        <v>1155.3599999999999</v>
      </c>
      <c r="Q33" s="34"/>
      <c r="R33" s="34"/>
      <c r="S33" s="35"/>
      <c r="T33" s="35"/>
      <c r="U33" s="35"/>
      <c r="V33" s="35"/>
      <c r="W33" s="35"/>
      <c r="X33" s="34"/>
      <c r="Y33" s="34"/>
      <c r="Z33" s="34"/>
      <c r="AA33" s="34"/>
      <c r="AB33" s="35"/>
      <c r="AC33" s="35"/>
      <c r="AD33" s="34"/>
      <c r="AE33" s="34"/>
      <c r="AF33" s="27">
        <f t="shared" si="7"/>
        <v>-1282.4492857142857</v>
      </c>
      <c r="AG33" s="28">
        <f t="shared" si="8"/>
        <v>-2.857142857106254E-3</v>
      </c>
    </row>
    <row r="34" spans="1:33" s="12" customFormat="1" ht="24.75" hidden="1" customHeight="1" x14ac:dyDescent="0.2">
      <c r="A34" s="64">
        <v>43655</v>
      </c>
      <c r="B34" s="31"/>
      <c r="C34" s="25" t="s">
        <v>56</v>
      </c>
      <c r="D34" s="25"/>
      <c r="E34" s="25"/>
      <c r="F34" s="26"/>
      <c r="G34" s="29" t="s">
        <v>169</v>
      </c>
      <c r="H34" s="71">
        <v>50</v>
      </c>
      <c r="I34" s="71"/>
      <c r="J34" s="71"/>
      <c r="K34" s="71"/>
      <c r="L34" s="33"/>
      <c r="M34" s="27">
        <f t="shared" si="0"/>
        <v>50</v>
      </c>
      <c r="N34" s="27">
        <f t="shared" si="1"/>
        <v>0</v>
      </c>
      <c r="O34" s="27">
        <f t="shared" si="2"/>
        <v>0</v>
      </c>
      <c r="P34" s="27"/>
      <c r="Q34" s="34"/>
      <c r="R34" s="34"/>
      <c r="S34" s="35"/>
      <c r="T34" s="35"/>
      <c r="U34" s="35"/>
      <c r="V34" s="35"/>
      <c r="W34" s="35"/>
      <c r="X34" s="34"/>
      <c r="Y34" s="34"/>
      <c r="Z34" s="34"/>
      <c r="AA34" s="34">
        <v>50</v>
      </c>
      <c r="AB34" s="35"/>
      <c r="AC34" s="35"/>
      <c r="AD34" s="34"/>
      <c r="AE34" s="34"/>
      <c r="AF34" s="27">
        <f t="shared" si="7"/>
        <v>-50</v>
      </c>
      <c r="AG34" s="28">
        <f t="shared" si="8"/>
        <v>0</v>
      </c>
    </row>
    <row r="35" spans="1:33" s="12" customFormat="1" ht="23.25" hidden="1" customHeight="1" x14ac:dyDescent="0.2">
      <c r="A35" s="64">
        <v>43655</v>
      </c>
      <c r="B35" s="31"/>
      <c r="C35" s="25" t="s">
        <v>38</v>
      </c>
      <c r="D35" s="25" t="s">
        <v>39</v>
      </c>
      <c r="E35" s="25" t="s">
        <v>40</v>
      </c>
      <c r="F35" s="26">
        <v>213036</v>
      </c>
      <c r="G35" s="29" t="s">
        <v>170</v>
      </c>
      <c r="H35" s="71"/>
      <c r="I35" s="71"/>
      <c r="J35" s="71"/>
      <c r="K35" s="71">
        <f>788.84+94.66</f>
        <v>883.5</v>
      </c>
      <c r="L35" s="33"/>
      <c r="M35" s="27">
        <f t="shared" si="0"/>
        <v>788.83928571428567</v>
      </c>
      <c r="N35" s="27">
        <f t="shared" si="1"/>
        <v>94.660714285714278</v>
      </c>
      <c r="O35" s="27">
        <f t="shared" si="2"/>
        <v>0</v>
      </c>
      <c r="P35" s="27">
        <v>788.84</v>
      </c>
      <c r="Q35" s="34"/>
      <c r="R35" s="34"/>
      <c r="S35" s="35"/>
      <c r="T35" s="35"/>
      <c r="U35" s="35"/>
      <c r="V35" s="35"/>
      <c r="W35" s="35"/>
      <c r="X35" s="34"/>
      <c r="Y35" s="34"/>
      <c r="Z35" s="34"/>
      <c r="AA35" s="34"/>
      <c r="AB35" s="35"/>
      <c r="AC35" s="35"/>
      <c r="AD35" s="34"/>
      <c r="AE35" s="34"/>
      <c r="AF35" s="27">
        <f t="shared" si="7"/>
        <v>-883.50071428571437</v>
      </c>
      <c r="AG35" s="28">
        <f t="shared" si="8"/>
        <v>-7.1428571436626953E-4</v>
      </c>
    </row>
    <row r="36" spans="1:33" s="12" customFormat="1" ht="24.75" hidden="1" customHeight="1" x14ac:dyDescent="0.2">
      <c r="A36" s="64">
        <v>43655</v>
      </c>
      <c r="B36" s="31"/>
      <c r="C36" s="25" t="s">
        <v>38</v>
      </c>
      <c r="D36" s="25" t="s">
        <v>39</v>
      </c>
      <c r="E36" s="25" t="s">
        <v>40</v>
      </c>
      <c r="F36" s="26">
        <v>213036</v>
      </c>
      <c r="G36" s="29" t="s">
        <v>171</v>
      </c>
      <c r="H36" s="71"/>
      <c r="I36" s="71"/>
      <c r="J36" s="71">
        <v>136</v>
      </c>
      <c r="K36" s="71"/>
      <c r="L36" s="33"/>
      <c r="M36" s="27">
        <f t="shared" si="0"/>
        <v>136</v>
      </c>
      <c r="N36" s="27">
        <f t="shared" si="1"/>
        <v>0</v>
      </c>
      <c r="O36" s="27">
        <f t="shared" si="2"/>
        <v>0</v>
      </c>
      <c r="P36" s="27">
        <v>136</v>
      </c>
      <c r="Q36" s="34"/>
      <c r="R36" s="34"/>
      <c r="S36" s="35"/>
      <c r="T36" s="35"/>
      <c r="U36" s="35"/>
      <c r="V36" s="35"/>
      <c r="W36" s="35"/>
      <c r="X36" s="34"/>
      <c r="Y36" s="34"/>
      <c r="Z36" s="34"/>
      <c r="AA36" s="34"/>
      <c r="AB36" s="35"/>
      <c r="AC36" s="35"/>
      <c r="AD36" s="34"/>
      <c r="AE36" s="34"/>
      <c r="AF36" s="27">
        <f t="shared" si="7"/>
        <v>-136</v>
      </c>
      <c r="AG36" s="28">
        <f t="shared" si="8"/>
        <v>0</v>
      </c>
    </row>
    <row r="37" spans="1:33" s="12" customFormat="1" ht="24.75" hidden="1" customHeight="1" x14ac:dyDescent="0.2">
      <c r="A37" s="64">
        <v>43655</v>
      </c>
      <c r="B37" s="31"/>
      <c r="C37" s="25" t="s">
        <v>52</v>
      </c>
      <c r="D37" s="25"/>
      <c r="E37" s="25"/>
      <c r="F37" s="26"/>
      <c r="G37" s="29" t="s">
        <v>172</v>
      </c>
      <c r="H37" s="71">
        <v>537</v>
      </c>
      <c r="I37" s="71"/>
      <c r="J37" s="71"/>
      <c r="K37" s="71"/>
      <c r="L37" s="33"/>
      <c r="M37" s="27">
        <f t="shared" si="0"/>
        <v>537</v>
      </c>
      <c r="N37" s="27">
        <f t="shared" si="1"/>
        <v>0</v>
      </c>
      <c r="O37" s="27">
        <f t="shared" si="2"/>
        <v>0</v>
      </c>
      <c r="P37" s="27"/>
      <c r="Q37" s="34"/>
      <c r="R37" s="34"/>
      <c r="S37" s="35"/>
      <c r="T37" s="35"/>
      <c r="U37" s="35"/>
      <c r="V37" s="35"/>
      <c r="W37" s="35"/>
      <c r="X37" s="34"/>
      <c r="Y37" s="34"/>
      <c r="Z37" s="34"/>
      <c r="AA37" s="34"/>
      <c r="AB37" s="35">
        <v>537</v>
      </c>
      <c r="AC37" s="35"/>
      <c r="AD37" s="34"/>
      <c r="AE37" s="34"/>
      <c r="AF37" s="27">
        <f t="shared" si="7"/>
        <v>-537</v>
      </c>
      <c r="AG37" s="28">
        <f t="shared" si="8"/>
        <v>0</v>
      </c>
    </row>
    <row r="38" spans="1:33" s="12" customFormat="1" ht="24.75" hidden="1" customHeight="1" x14ac:dyDescent="0.2">
      <c r="A38" s="64">
        <v>43655</v>
      </c>
      <c r="B38" s="31"/>
      <c r="C38" s="25" t="s">
        <v>42</v>
      </c>
      <c r="D38" s="25" t="s">
        <v>43</v>
      </c>
      <c r="E38" s="25" t="s">
        <v>44</v>
      </c>
      <c r="F38" s="26">
        <v>152958</v>
      </c>
      <c r="G38" s="29" t="s">
        <v>45</v>
      </c>
      <c r="H38" s="71"/>
      <c r="I38" s="71"/>
      <c r="J38" s="71"/>
      <c r="K38" s="71">
        <v>180</v>
      </c>
      <c r="L38" s="33"/>
      <c r="M38" s="27">
        <f t="shared" si="0"/>
        <v>160.71428571428569</v>
      </c>
      <c r="N38" s="27">
        <f t="shared" si="1"/>
        <v>19.285714285714281</v>
      </c>
      <c r="O38" s="27">
        <f t="shared" si="2"/>
        <v>0</v>
      </c>
      <c r="P38" s="27"/>
      <c r="Q38" s="34">
        <v>160.71</v>
      </c>
      <c r="R38" s="34"/>
      <c r="S38" s="35"/>
      <c r="T38" s="35"/>
      <c r="U38" s="35"/>
      <c r="V38" s="35"/>
      <c r="W38" s="35"/>
      <c r="X38" s="34"/>
      <c r="Y38" s="34"/>
      <c r="Z38" s="34"/>
      <c r="AA38" s="34"/>
      <c r="AB38" s="35"/>
      <c r="AC38" s="35"/>
      <c r="AD38" s="34"/>
      <c r="AE38" s="34"/>
      <c r="AF38" s="27">
        <f t="shared" si="7"/>
        <v>-179.99571428571429</v>
      </c>
      <c r="AG38" s="28">
        <f t="shared" si="8"/>
        <v>4.2857142857144481E-3</v>
      </c>
    </row>
    <row r="39" spans="1:33" s="12" customFormat="1" ht="24.75" hidden="1" customHeight="1" x14ac:dyDescent="0.2">
      <c r="A39" s="64">
        <v>43656</v>
      </c>
      <c r="B39" s="31"/>
      <c r="C39" s="25" t="s">
        <v>42</v>
      </c>
      <c r="D39" s="25" t="s">
        <v>43</v>
      </c>
      <c r="E39" s="25" t="s">
        <v>44</v>
      </c>
      <c r="F39" s="26">
        <v>152982</v>
      </c>
      <c r="G39" s="29" t="s">
        <v>45</v>
      </c>
      <c r="H39" s="71"/>
      <c r="I39" s="71"/>
      <c r="J39" s="71"/>
      <c r="K39" s="71">
        <v>180</v>
      </c>
      <c r="L39" s="33"/>
      <c r="M39" s="27">
        <f t="shared" si="0"/>
        <v>160.71428571428569</v>
      </c>
      <c r="N39" s="27">
        <f t="shared" si="1"/>
        <v>19.285714285714281</v>
      </c>
      <c r="O39" s="27">
        <f t="shared" si="2"/>
        <v>0</v>
      </c>
      <c r="P39" s="27"/>
      <c r="Q39" s="34">
        <v>160.71</v>
      </c>
      <c r="R39" s="34"/>
      <c r="S39" s="35"/>
      <c r="T39" s="35"/>
      <c r="U39" s="35"/>
      <c r="V39" s="35"/>
      <c r="W39" s="35"/>
      <c r="X39" s="34"/>
      <c r="Y39" s="34"/>
      <c r="Z39" s="34"/>
      <c r="AA39" s="34"/>
      <c r="AB39" s="35"/>
      <c r="AC39" s="35"/>
      <c r="AD39" s="34"/>
      <c r="AE39" s="34"/>
      <c r="AF39" s="27">
        <f t="shared" si="7"/>
        <v>-179.99571428571429</v>
      </c>
      <c r="AG39" s="28">
        <f t="shared" si="8"/>
        <v>4.2857142857144481E-3</v>
      </c>
    </row>
    <row r="40" spans="1:33" s="12" customFormat="1" ht="23.25" hidden="1" customHeight="1" x14ac:dyDescent="0.2">
      <c r="A40" s="64">
        <v>43656</v>
      </c>
      <c r="B40" s="31"/>
      <c r="C40" s="25" t="s">
        <v>56</v>
      </c>
      <c r="D40" s="25"/>
      <c r="E40" s="25"/>
      <c r="F40" s="26"/>
      <c r="G40" s="29" t="s">
        <v>173</v>
      </c>
      <c r="H40" s="71">
        <v>50</v>
      </c>
      <c r="I40" s="71"/>
      <c r="J40" s="71"/>
      <c r="K40" s="71"/>
      <c r="L40" s="33"/>
      <c r="M40" s="27">
        <f t="shared" si="0"/>
        <v>50</v>
      </c>
      <c r="N40" s="27">
        <f t="shared" si="1"/>
        <v>0</v>
      </c>
      <c r="O40" s="27">
        <f t="shared" si="2"/>
        <v>0</v>
      </c>
      <c r="P40" s="27"/>
      <c r="Q40" s="34"/>
      <c r="R40" s="34"/>
      <c r="S40" s="35"/>
      <c r="T40" s="35"/>
      <c r="U40" s="35"/>
      <c r="V40" s="35"/>
      <c r="W40" s="35"/>
      <c r="X40" s="34"/>
      <c r="Y40" s="34"/>
      <c r="Z40" s="34"/>
      <c r="AA40" s="34">
        <v>50</v>
      </c>
      <c r="AB40" s="35"/>
      <c r="AC40" s="35"/>
      <c r="AD40" s="34"/>
      <c r="AE40" s="34"/>
      <c r="AF40" s="27">
        <f t="shared" si="7"/>
        <v>-50</v>
      </c>
      <c r="AG40" s="28">
        <f t="shared" si="8"/>
        <v>0</v>
      </c>
    </row>
    <row r="41" spans="1:33" s="12" customFormat="1" ht="23.25" hidden="1" customHeight="1" x14ac:dyDescent="0.2">
      <c r="A41" s="64">
        <v>43656</v>
      </c>
      <c r="B41" s="31"/>
      <c r="C41" s="25" t="s">
        <v>46</v>
      </c>
      <c r="D41" s="25" t="s">
        <v>47</v>
      </c>
      <c r="E41" s="25" t="s">
        <v>37</v>
      </c>
      <c r="F41" s="26">
        <v>36328</v>
      </c>
      <c r="G41" s="29" t="s">
        <v>174</v>
      </c>
      <c r="H41" s="71"/>
      <c r="I41" s="71"/>
      <c r="J41" s="71"/>
      <c r="K41" s="71">
        <v>207</v>
      </c>
      <c r="L41" s="33"/>
      <c r="M41" s="27">
        <f t="shared" si="0"/>
        <v>184.82142857142856</v>
      </c>
      <c r="N41" s="27">
        <f t="shared" si="1"/>
        <v>22.178571428571427</v>
      </c>
      <c r="O41" s="27">
        <f t="shared" si="2"/>
        <v>0</v>
      </c>
      <c r="P41" s="27"/>
      <c r="Q41" s="34">
        <v>184.82</v>
      </c>
      <c r="R41" s="34"/>
      <c r="S41" s="35"/>
      <c r="T41" s="35"/>
      <c r="U41" s="35"/>
      <c r="V41" s="35"/>
      <c r="W41" s="35"/>
      <c r="X41" s="34"/>
      <c r="Y41" s="34"/>
      <c r="Z41" s="34"/>
      <c r="AA41" s="34"/>
      <c r="AB41" s="35"/>
      <c r="AC41" s="35"/>
      <c r="AD41" s="34"/>
      <c r="AE41" s="34"/>
      <c r="AF41" s="27">
        <f t="shared" si="7"/>
        <v>-206.99857142857141</v>
      </c>
      <c r="AG41" s="28">
        <f t="shared" si="8"/>
        <v>1.4285714285904305E-3</v>
      </c>
    </row>
    <row r="42" spans="1:33" s="12" customFormat="1" ht="23.25" hidden="1" customHeight="1" x14ac:dyDescent="0.2">
      <c r="A42" s="64">
        <v>43656</v>
      </c>
      <c r="B42" s="31"/>
      <c r="C42" s="25" t="s">
        <v>46</v>
      </c>
      <c r="D42" s="25" t="s">
        <v>47</v>
      </c>
      <c r="E42" s="25" t="s">
        <v>37</v>
      </c>
      <c r="F42" s="26">
        <v>36330</v>
      </c>
      <c r="G42" s="29" t="s">
        <v>175</v>
      </c>
      <c r="H42" s="71"/>
      <c r="I42" s="71"/>
      <c r="J42" s="71"/>
      <c r="K42" s="71">
        <v>443.5</v>
      </c>
      <c r="L42" s="33"/>
      <c r="M42" s="27">
        <f t="shared" si="0"/>
        <v>395.98214285714283</v>
      </c>
      <c r="N42" s="27">
        <f t="shared" si="1"/>
        <v>47.517857142857139</v>
      </c>
      <c r="O42" s="27">
        <f t="shared" si="2"/>
        <v>0</v>
      </c>
      <c r="P42" s="27">
        <v>395.98</v>
      </c>
      <c r="Q42" s="34"/>
      <c r="R42" s="34"/>
      <c r="S42" s="35"/>
      <c r="T42" s="35"/>
      <c r="U42" s="35"/>
      <c r="V42" s="35"/>
      <c r="W42" s="35"/>
      <c r="X42" s="34"/>
      <c r="Y42" s="34"/>
      <c r="Z42" s="34"/>
      <c r="AA42" s="34"/>
      <c r="AB42" s="35"/>
      <c r="AC42" s="35"/>
      <c r="AD42" s="34"/>
      <c r="AE42" s="34"/>
      <c r="AF42" s="27">
        <f t="shared" si="7"/>
        <v>-443.49785714285713</v>
      </c>
      <c r="AG42" s="28">
        <f t="shared" si="8"/>
        <v>2.1428571428714349E-3</v>
      </c>
    </row>
    <row r="43" spans="1:33" s="12" customFormat="1" ht="24.75" hidden="1" customHeight="1" x14ac:dyDescent="0.2">
      <c r="A43" s="64">
        <v>43656</v>
      </c>
      <c r="B43" s="31"/>
      <c r="C43" s="25" t="s">
        <v>52</v>
      </c>
      <c r="D43" s="25"/>
      <c r="E43" s="25"/>
      <c r="F43" s="26"/>
      <c r="G43" s="29" t="s">
        <v>176</v>
      </c>
      <c r="H43" s="71">
        <v>537</v>
      </c>
      <c r="I43" s="71"/>
      <c r="J43" s="71"/>
      <c r="K43" s="71"/>
      <c r="L43" s="33"/>
      <c r="M43" s="27">
        <f t="shared" si="0"/>
        <v>537</v>
      </c>
      <c r="N43" s="27">
        <f t="shared" si="1"/>
        <v>0</v>
      </c>
      <c r="O43" s="27">
        <f t="shared" si="2"/>
        <v>0</v>
      </c>
      <c r="P43" s="27"/>
      <c r="Q43" s="34"/>
      <c r="R43" s="34"/>
      <c r="S43" s="35"/>
      <c r="T43" s="35"/>
      <c r="U43" s="35"/>
      <c r="V43" s="35"/>
      <c r="W43" s="35"/>
      <c r="X43" s="34"/>
      <c r="Y43" s="34"/>
      <c r="Z43" s="34"/>
      <c r="AA43" s="34"/>
      <c r="AB43" s="35">
        <v>537</v>
      </c>
      <c r="AC43" s="35"/>
      <c r="AD43" s="34"/>
      <c r="AE43" s="34"/>
      <c r="AF43" s="27">
        <f t="shared" si="7"/>
        <v>-537</v>
      </c>
      <c r="AG43" s="28">
        <f t="shared" si="8"/>
        <v>0</v>
      </c>
    </row>
    <row r="44" spans="1:33" s="12" customFormat="1" ht="23.25" hidden="1" customHeight="1" x14ac:dyDescent="0.2">
      <c r="A44" s="64">
        <v>43656</v>
      </c>
      <c r="B44" s="31"/>
      <c r="C44" s="25" t="s">
        <v>138</v>
      </c>
      <c r="D44" s="25" t="s">
        <v>139</v>
      </c>
      <c r="E44" s="25" t="s">
        <v>40</v>
      </c>
      <c r="F44" s="26">
        <v>757961</v>
      </c>
      <c r="G44" s="29" t="s">
        <v>177</v>
      </c>
      <c r="H44" s="71"/>
      <c r="I44" s="71"/>
      <c r="J44" s="71"/>
      <c r="K44" s="71">
        <f>16.5+38.5+4</f>
        <v>59</v>
      </c>
      <c r="L44" s="33"/>
      <c r="M44" s="27">
        <f t="shared" si="0"/>
        <v>52.678571428571423</v>
      </c>
      <c r="N44" s="27">
        <f t="shared" si="1"/>
        <v>6.3214285714285703</v>
      </c>
      <c r="O44" s="27">
        <f t="shared" si="2"/>
        <v>0</v>
      </c>
      <c r="P44" s="27"/>
      <c r="Q44" s="34"/>
      <c r="R44" s="34"/>
      <c r="S44" s="35"/>
      <c r="T44" s="35"/>
      <c r="U44" s="35"/>
      <c r="V44" s="35"/>
      <c r="W44" s="35"/>
      <c r="X44" s="34"/>
      <c r="Y44" s="34"/>
      <c r="Z44" s="34">
        <v>52.68</v>
      </c>
      <c r="AA44" s="34"/>
      <c r="AB44" s="35"/>
      <c r="AC44" s="35"/>
      <c r="AD44" s="34"/>
      <c r="AE44" s="34"/>
      <c r="AF44" s="27">
        <f t="shared" ref="AF44:AF45" si="9">-SUM(N44:AE44)</f>
        <v>-59.001428571428569</v>
      </c>
      <c r="AG44" s="28">
        <f t="shared" ref="AG44:AG45" si="10">SUM(H44:K44)+AF44+O44</f>
        <v>-1.4285714285691142E-3</v>
      </c>
    </row>
    <row r="45" spans="1:33" s="57" customFormat="1" ht="23.25" hidden="1" customHeight="1" x14ac:dyDescent="0.2">
      <c r="A45" s="65">
        <v>43656</v>
      </c>
      <c r="B45" s="58"/>
      <c r="C45" s="50" t="s">
        <v>138</v>
      </c>
      <c r="D45" s="50" t="s">
        <v>139</v>
      </c>
      <c r="E45" s="50" t="s">
        <v>40</v>
      </c>
      <c r="F45" s="51">
        <v>757961</v>
      </c>
      <c r="G45" s="49" t="s">
        <v>178</v>
      </c>
      <c r="H45" s="72"/>
      <c r="I45" s="72"/>
      <c r="J45" s="72"/>
      <c r="K45" s="72">
        <f>2.5+6.5</f>
        <v>9</v>
      </c>
      <c r="L45" s="52"/>
      <c r="M45" s="53">
        <f t="shared" si="0"/>
        <v>8.0357142857142847</v>
      </c>
      <c r="N45" s="53">
        <f t="shared" si="1"/>
        <v>0.96428571428571408</v>
      </c>
      <c r="O45" s="53">
        <f t="shared" si="2"/>
        <v>0</v>
      </c>
      <c r="P45" s="53"/>
      <c r="Q45" s="54"/>
      <c r="R45" s="54"/>
      <c r="S45" s="55"/>
      <c r="T45" s="55">
        <v>8.0399999999999991</v>
      </c>
      <c r="U45" s="55"/>
      <c r="V45" s="55"/>
      <c r="W45" s="55"/>
      <c r="X45" s="54"/>
      <c r="Y45" s="54"/>
      <c r="Z45" s="54"/>
      <c r="AA45" s="54"/>
      <c r="AB45" s="55"/>
      <c r="AC45" s="55"/>
      <c r="AD45" s="54"/>
      <c r="AE45" s="54"/>
      <c r="AF45" s="53">
        <f t="shared" si="9"/>
        <v>-9.0042857142857127</v>
      </c>
      <c r="AG45" s="56">
        <f t="shared" si="10"/>
        <v>-4.2857142857126718E-3</v>
      </c>
    </row>
    <row r="46" spans="1:33" s="12" customFormat="1" ht="23.25" hidden="1" customHeight="1" x14ac:dyDescent="0.2">
      <c r="A46" s="64">
        <v>43656</v>
      </c>
      <c r="B46" s="31"/>
      <c r="C46" s="25" t="s">
        <v>38</v>
      </c>
      <c r="D46" s="25" t="s">
        <v>39</v>
      </c>
      <c r="E46" s="25" t="s">
        <v>40</v>
      </c>
      <c r="F46" s="26">
        <v>154133</v>
      </c>
      <c r="G46" s="59" t="s">
        <v>179</v>
      </c>
      <c r="H46" s="71"/>
      <c r="I46" s="71"/>
      <c r="J46" s="71"/>
      <c r="K46" s="71">
        <v>791.3</v>
      </c>
      <c r="L46" s="33"/>
      <c r="M46" s="27">
        <f t="shared" si="0"/>
        <v>706.517857142857</v>
      </c>
      <c r="N46" s="27">
        <f t="shared" si="1"/>
        <v>84.78214285714283</v>
      </c>
      <c r="O46" s="27">
        <f t="shared" si="2"/>
        <v>0</v>
      </c>
      <c r="P46" s="27">
        <v>706.52</v>
      </c>
      <c r="Q46" s="34"/>
      <c r="R46" s="34"/>
      <c r="S46" s="35"/>
      <c r="T46" s="35"/>
      <c r="U46" s="35"/>
      <c r="V46" s="35"/>
      <c r="W46" s="35"/>
      <c r="X46" s="34"/>
      <c r="Y46" s="34"/>
      <c r="Z46" s="34"/>
      <c r="AA46" s="34"/>
      <c r="AB46" s="35"/>
      <c r="AC46" s="35"/>
      <c r="AD46" s="34"/>
      <c r="AE46" s="34"/>
      <c r="AF46" s="27">
        <f t="shared" ref="AF46:AF69" si="11">-SUM(N46:AE46)</f>
        <v>-791.30214285714283</v>
      </c>
      <c r="AG46" s="28">
        <f t="shared" ref="AG46:AG69" si="12">SUM(H46:K46)+AF46+O46</f>
        <v>-2.1428571428714349E-3</v>
      </c>
    </row>
    <row r="47" spans="1:33" s="12" customFormat="1" ht="24.75" customHeight="1" x14ac:dyDescent="0.2">
      <c r="A47" s="64">
        <v>43657</v>
      </c>
      <c r="B47" s="31"/>
      <c r="C47" s="25" t="s">
        <v>166</v>
      </c>
      <c r="D47" s="25" t="s">
        <v>167</v>
      </c>
      <c r="E47" s="25" t="s">
        <v>180</v>
      </c>
      <c r="F47" s="26">
        <v>1919</v>
      </c>
      <c r="G47" s="29" t="s">
        <v>181</v>
      </c>
      <c r="H47" s="71"/>
      <c r="I47" s="71"/>
      <c r="J47" s="71"/>
      <c r="K47" s="71">
        <v>4000</v>
      </c>
      <c r="L47" s="33">
        <v>0.01</v>
      </c>
      <c r="M47" s="27">
        <f t="shared" si="0"/>
        <v>3571.4285714285711</v>
      </c>
      <c r="N47" s="27">
        <f t="shared" si="1"/>
        <v>428.5714285714285</v>
      </c>
      <c r="O47" s="27">
        <f t="shared" si="2"/>
        <v>-35.714285714285715</v>
      </c>
      <c r="P47" s="27">
        <v>3571.43</v>
      </c>
      <c r="Q47" s="34"/>
      <c r="R47" s="34"/>
      <c r="S47" s="35"/>
      <c r="T47" s="35"/>
      <c r="U47" s="35"/>
      <c r="V47" s="35"/>
      <c r="W47" s="35"/>
      <c r="X47" s="34"/>
      <c r="Y47" s="34"/>
      <c r="Z47" s="34"/>
      <c r="AA47" s="34"/>
      <c r="AB47" s="35"/>
      <c r="AC47" s="35"/>
      <c r="AD47" s="34"/>
      <c r="AE47" s="34"/>
      <c r="AF47" s="27">
        <f t="shared" si="11"/>
        <v>-3964.2871428571425</v>
      </c>
      <c r="AG47" s="28">
        <f t="shared" si="12"/>
        <v>-1.4285714282138429E-3</v>
      </c>
    </row>
    <row r="48" spans="1:33" s="12" customFormat="1" ht="23.25" hidden="1" customHeight="1" x14ac:dyDescent="0.2">
      <c r="A48" s="64">
        <v>43657</v>
      </c>
      <c r="B48" s="31"/>
      <c r="C48" s="25" t="s">
        <v>46</v>
      </c>
      <c r="D48" s="25" t="s">
        <v>47</v>
      </c>
      <c r="E48" s="25" t="s">
        <v>37</v>
      </c>
      <c r="F48" s="26">
        <v>99115</v>
      </c>
      <c r="G48" s="59" t="s">
        <v>182</v>
      </c>
      <c r="H48" s="71"/>
      <c r="I48" s="71"/>
      <c r="J48" s="71"/>
      <c r="K48" s="71">
        <v>79.53</v>
      </c>
      <c r="L48" s="33"/>
      <c r="M48" s="27">
        <f t="shared" si="0"/>
        <v>71.008928571428569</v>
      </c>
      <c r="N48" s="27">
        <f t="shared" si="1"/>
        <v>8.5210714285714282</v>
      </c>
      <c r="O48" s="27">
        <f t="shared" si="2"/>
        <v>0</v>
      </c>
      <c r="P48" s="27">
        <v>71.010000000000005</v>
      </c>
      <c r="Q48" s="34"/>
      <c r="R48" s="34"/>
      <c r="S48" s="35"/>
      <c r="T48" s="35"/>
      <c r="U48" s="35"/>
      <c r="V48" s="35"/>
      <c r="W48" s="35"/>
      <c r="X48" s="34"/>
      <c r="Y48" s="34"/>
      <c r="Z48" s="34"/>
      <c r="AA48" s="34"/>
      <c r="AB48" s="35"/>
      <c r="AC48" s="35"/>
      <c r="AD48" s="34"/>
      <c r="AE48" s="34"/>
      <c r="AF48" s="27">
        <f t="shared" si="11"/>
        <v>-79.531071428571437</v>
      </c>
      <c r="AG48" s="28">
        <f t="shared" si="12"/>
        <v>-1.0714285714357175E-3</v>
      </c>
    </row>
    <row r="49" spans="1:33" s="12" customFormat="1" ht="24.75" hidden="1" customHeight="1" x14ac:dyDescent="0.2">
      <c r="A49" s="64">
        <v>43657</v>
      </c>
      <c r="B49" s="31"/>
      <c r="C49" s="25" t="s">
        <v>42</v>
      </c>
      <c r="D49" s="25" t="s">
        <v>43</v>
      </c>
      <c r="E49" s="25" t="s">
        <v>44</v>
      </c>
      <c r="F49" s="26">
        <v>161376</v>
      </c>
      <c r="G49" s="29" t="s">
        <v>45</v>
      </c>
      <c r="H49" s="71"/>
      <c r="I49" s="71"/>
      <c r="J49" s="71"/>
      <c r="K49" s="71">
        <v>90</v>
      </c>
      <c r="L49" s="33"/>
      <c r="M49" s="27">
        <f t="shared" si="0"/>
        <v>80.357142857142847</v>
      </c>
      <c r="N49" s="27">
        <f t="shared" si="1"/>
        <v>9.6428571428571406</v>
      </c>
      <c r="O49" s="27">
        <f t="shared" si="2"/>
        <v>0</v>
      </c>
      <c r="P49" s="27"/>
      <c r="Q49" s="34">
        <v>80.36</v>
      </c>
      <c r="R49" s="34"/>
      <c r="S49" s="35"/>
      <c r="T49" s="35"/>
      <c r="U49" s="35"/>
      <c r="V49" s="35"/>
      <c r="W49" s="35"/>
      <c r="X49" s="34"/>
      <c r="Y49" s="34"/>
      <c r="Z49" s="34"/>
      <c r="AA49" s="34"/>
      <c r="AB49" s="35"/>
      <c r="AC49" s="35"/>
      <c r="AD49" s="34"/>
      <c r="AE49" s="34"/>
      <c r="AF49" s="27">
        <f t="shared" si="11"/>
        <v>-90.002857142857138</v>
      </c>
      <c r="AG49" s="28">
        <f t="shared" si="12"/>
        <v>-2.8571428571382285E-3</v>
      </c>
    </row>
    <row r="50" spans="1:33" s="12" customFormat="1" ht="23.25" hidden="1" customHeight="1" x14ac:dyDescent="0.2">
      <c r="A50" s="64">
        <v>43657</v>
      </c>
      <c r="B50" s="31"/>
      <c r="C50" s="25" t="s">
        <v>46</v>
      </c>
      <c r="D50" s="25" t="s">
        <v>47</v>
      </c>
      <c r="E50" s="25" t="s">
        <v>37</v>
      </c>
      <c r="F50" s="26">
        <v>36377</v>
      </c>
      <c r="G50" s="25" t="s">
        <v>183</v>
      </c>
      <c r="H50" s="71"/>
      <c r="I50" s="71"/>
      <c r="J50" s="71"/>
      <c r="K50" s="71">
        <v>400</v>
      </c>
      <c r="L50" s="33"/>
      <c r="M50" s="27">
        <f t="shared" si="0"/>
        <v>357.14285714285711</v>
      </c>
      <c r="N50" s="27">
        <f t="shared" si="1"/>
        <v>42.857142857142854</v>
      </c>
      <c r="O50" s="27">
        <f t="shared" si="2"/>
        <v>0</v>
      </c>
      <c r="P50" s="27">
        <v>357.14</v>
      </c>
      <c r="Q50" s="34"/>
      <c r="R50" s="34"/>
      <c r="S50" s="35"/>
      <c r="T50" s="35"/>
      <c r="U50" s="35"/>
      <c r="V50" s="35"/>
      <c r="W50" s="35"/>
      <c r="X50" s="34"/>
      <c r="Y50" s="34"/>
      <c r="Z50" s="34"/>
      <c r="AA50" s="34"/>
      <c r="AB50" s="35"/>
      <c r="AC50" s="35"/>
      <c r="AD50" s="34"/>
      <c r="AE50" s="34"/>
      <c r="AF50" s="27">
        <f t="shared" si="11"/>
        <v>-399.99714285714282</v>
      </c>
      <c r="AG50" s="28">
        <f t="shared" si="12"/>
        <v>2.857142857180861E-3</v>
      </c>
    </row>
    <row r="51" spans="1:33" s="12" customFormat="1" ht="23.25" hidden="1" customHeight="1" x14ac:dyDescent="0.2">
      <c r="A51" s="64">
        <v>43657</v>
      </c>
      <c r="B51" s="31"/>
      <c r="C51" s="25" t="s">
        <v>46</v>
      </c>
      <c r="D51" s="25" t="s">
        <v>47</v>
      </c>
      <c r="E51" s="25" t="s">
        <v>37</v>
      </c>
      <c r="F51" s="26">
        <v>36383</v>
      </c>
      <c r="G51" s="48" t="s">
        <v>65</v>
      </c>
      <c r="H51" s="71"/>
      <c r="I51" s="71"/>
      <c r="J51" s="71"/>
      <c r="K51" s="71">
        <v>598</v>
      </c>
      <c r="L51" s="33"/>
      <c r="M51" s="27">
        <f t="shared" si="0"/>
        <v>533.92857142857133</v>
      </c>
      <c r="N51" s="27">
        <f t="shared" si="1"/>
        <v>64.071428571428555</v>
      </c>
      <c r="O51" s="27">
        <f t="shared" si="2"/>
        <v>0</v>
      </c>
      <c r="P51" s="27"/>
      <c r="Q51" s="34">
        <v>533.92999999999995</v>
      </c>
      <c r="R51" s="34"/>
      <c r="S51" s="35"/>
      <c r="T51" s="35"/>
      <c r="U51" s="35"/>
      <c r="V51" s="35"/>
      <c r="W51" s="35"/>
      <c r="X51" s="34"/>
      <c r="Y51" s="34"/>
      <c r="Z51" s="34"/>
      <c r="AA51" s="34"/>
      <c r="AB51" s="35"/>
      <c r="AC51" s="35"/>
      <c r="AD51" s="34"/>
      <c r="AE51" s="34"/>
      <c r="AF51" s="27">
        <f t="shared" si="11"/>
        <v>-598.00142857142851</v>
      </c>
      <c r="AG51" s="28">
        <f t="shared" si="12"/>
        <v>-1.4285714285051654E-3</v>
      </c>
    </row>
    <row r="52" spans="1:33" s="12" customFormat="1" ht="24.75" hidden="1" customHeight="1" x14ac:dyDescent="0.2">
      <c r="A52" s="64">
        <v>43657</v>
      </c>
      <c r="B52" s="31"/>
      <c r="C52" s="25" t="s">
        <v>184</v>
      </c>
      <c r="D52" s="25"/>
      <c r="E52" s="25"/>
      <c r="F52" s="26"/>
      <c r="G52" s="29" t="s">
        <v>185</v>
      </c>
      <c r="H52" s="71">
        <v>140</v>
      </c>
      <c r="I52" s="71"/>
      <c r="J52" s="71"/>
      <c r="K52" s="71"/>
      <c r="L52" s="33"/>
      <c r="M52" s="27">
        <f t="shared" si="0"/>
        <v>140</v>
      </c>
      <c r="N52" s="27">
        <f t="shared" si="1"/>
        <v>0</v>
      </c>
      <c r="O52" s="27">
        <f t="shared" si="2"/>
        <v>0</v>
      </c>
      <c r="P52" s="27"/>
      <c r="Q52" s="34"/>
      <c r="R52" s="34"/>
      <c r="S52" s="35"/>
      <c r="T52" s="35"/>
      <c r="U52" s="35"/>
      <c r="V52" s="35"/>
      <c r="W52" s="35"/>
      <c r="X52" s="34"/>
      <c r="Y52" s="34"/>
      <c r="Z52" s="34"/>
      <c r="AA52" s="34">
        <v>140</v>
      </c>
      <c r="AB52" s="35"/>
      <c r="AC52" s="35"/>
      <c r="AD52" s="34"/>
      <c r="AE52" s="34"/>
      <c r="AF52" s="27">
        <f t="shared" si="11"/>
        <v>-140</v>
      </c>
      <c r="AG52" s="28">
        <f t="shared" si="12"/>
        <v>0</v>
      </c>
    </row>
    <row r="53" spans="1:33" s="12" customFormat="1" ht="24.75" hidden="1" customHeight="1" x14ac:dyDescent="0.2">
      <c r="A53" s="64">
        <v>43658</v>
      </c>
      <c r="B53" s="31"/>
      <c r="C53" s="25" t="s">
        <v>41</v>
      </c>
      <c r="D53" s="25"/>
      <c r="E53" s="25"/>
      <c r="F53" s="26"/>
      <c r="G53" s="29" t="s">
        <v>186</v>
      </c>
      <c r="H53" s="71">
        <v>40</v>
      </c>
      <c r="I53" s="71"/>
      <c r="J53" s="71"/>
      <c r="K53" s="71"/>
      <c r="L53" s="33"/>
      <c r="M53" s="27">
        <f t="shared" si="0"/>
        <v>40</v>
      </c>
      <c r="N53" s="27">
        <f t="shared" si="1"/>
        <v>0</v>
      </c>
      <c r="O53" s="27">
        <f t="shared" si="2"/>
        <v>0</v>
      </c>
      <c r="P53" s="27"/>
      <c r="Q53" s="34"/>
      <c r="R53" s="34"/>
      <c r="S53" s="35"/>
      <c r="T53" s="35"/>
      <c r="U53" s="35"/>
      <c r="V53" s="35"/>
      <c r="W53" s="35"/>
      <c r="X53" s="34"/>
      <c r="Y53" s="34"/>
      <c r="Z53" s="34"/>
      <c r="AA53" s="34">
        <v>40</v>
      </c>
      <c r="AB53" s="35"/>
      <c r="AC53" s="35"/>
      <c r="AD53" s="34"/>
      <c r="AE53" s="34"/>
      <c r="AF53" s="27">
        <f t="shared" si="11"/>
        <v>-40</v>
      </c>
      <c r="AG53" s="28">
        <f t="shared" si="12"/>
        <v>0</v>
      </c>
    </row>
    <row r="54" spans="1:33" s="12" customFormat="1" ht="24.75" hidden="1" customHeight="1" x14ac:dyDescent="0.2">
      <c r="A54" s="64">
        <v>43658</v>
      </c>
      <c r="B54" s="31"/>
      <c r="C54" s="25" t="s">
        <v>54</v>
      </c>
      <c r="D54" s="25" t="s">
        <v>55</v>
      </c>
      <c r="E54" s="25" t="s">
        <v>57</v>
      </c>
      <c r="F54" s="26">
        <v>3262</v>
      </c>
      <c r="G54" s="29" t="s">
        <v>187</v>
      </c>
      <c r="H54" s="71"/>
      <c r="I54" s="71"/>
      <c r="J54" s="71">
        <v>1085</v>
      </c>
      <c r="K54" s="71"/>
      <c r="L54" s="33"/>
      <c r="M54" s="27">
        <f t="shared" si="0"/>
        <v>1085</v>
      </c>
      <c r="N54" s="27">
        <f t="shared" si="1"/>
        <v>0</v>
      </c>
      <c r="O54" s="27">
        <f t="shared" si="2"/>
        <v>0</v>
      </c>
      <c r="P54" s="27">
        <v>1085</v>
      </c>
      <c r="Q54" s="34"/>
      <c r="R54" s="34"/>
      <c r="S54" s="35"/>
      <c r="T54" s="35"/>
      <c r="U54" s="35"/>
      <c r="V54" s="35"/>
      <c r="W54" s="35"/>
      <c r="X54" s="34"/>
      <c r="Y54" s="34"/>
      <c r="Z54" s="34"/>
      <c r="AA54" s="34"/>
      <c r="AB54" s="35"/>
      <c r="AC54" s="35"/>
      <c r="AD54" s="34"/>
      <c r="AE54" s="34"/>
      <c r="AF54" s="27">
        <f t="shared" si="11"/>
        <v>-1085</v>
      </c>
      <c r="AG54" s="28">
        <f t="shared" si="12"/>
        <v>0</v>
      </c>
    </row>
    <row r="55" spans="1:33" s="12" customFormat="1" ht="24.75" hidden="1" customHeight="1" x14ac:dyDescent="0.2">
      <c r="A55" s="64">
        <v>43658</v>
      </c>
      <c r="B55" s="31"/>
      <c r="C55" s="25" t="s">
        <v>42</v>
      </c>
      <c r="D55" s="25" t="s">
        <v>43</v>
      </c>
      <c r="E55" s="25" t="s">
        <v>44</v>
      </c>
      <c r="F55" s="26">
        <v>153071</v>
      </c>
      <c r="G55" s="29" t="s">
        <v>45</v>
      </c>
      <c r="H55" s="71"/>
      <c r="I55" s="71"/>
      <c r="J55" s="71"/>
      <c r="K55" s="71">
        <v>180</v>
      </c>
      <c r="L55" s="33"/>
      <c r="M55" s="27">
        <f t="shared" si="0"/>
        <v>160.71428571428569</v>
      </c>
      <c r="N55" s="27">
        <f t="shared" si="1"/>
        <v>19.285714285714281</v>
      </c>
      <c r="O55" s="27">
        <f t="shared" si="2"/>
        <v>0</v>
      </c>
      <c r="P55" s="27"/>
      <c r="Q55" s="34">
        <v>160.71</v>
      </c>
      <c r="R55" s="34"/>
      <c r="S55" s="35"/>
      <c r="T55" s="35"/>
      <c r="U55" s="35"/>
      <c r="V55" s="35"/>
      <c r="W55" s="35"/>
      <c r="X55" s="34"/>
      <c r="Y55" s="34"/>
      <c r="Z55" s="34"/>
      <c r="AA55" s="34"/>
      <c r="AB55" s="35"/>
      <c r="AC55" s="35"/>
      <c r="AD55" s="34"/>
      <c r="AE55" s="34"/>
      <c r="AF55" s="27">
        <f t="shared" si="11"/>
        <v>-179.99571428571429</v>
      </c>
      <c r="AG55" s="28">
        <f t="shared" si="12"/>
        <v>4.2857142857144481E-3</v>
      </c>
    </row>
    <row r="56" spans="1:33" s="12" customFormat="1" ht="24.75" hidden="1" customHeight="1" x14ac:dyDescent="0.2">
      <c r="A56" s="64">
        <v>43658</v>
      </c>
      <c r="B56" s="31"/>
      <c r="C56" s="25" t="s">
        <v>56</v>
      </c>
      <c r="D56" s="25"/>
      <c r="E56" s="25"/>
      <c r="F56" s="26"/>
      <c r="G56" s="29" t="s">
        <v>188</v>
      </c>
      <c r="H56" s="71">
        <v>100</v>
      </c>
      <c r="I56" s="71"/>
      <c r="J56" s="71"/>
      <c r="K56" s="71"/>
      <c r="L56" s="33"/>
      <c r="M56" s="27">
        <f t="shared" si="0"/>
        <v>100</v>
      </c>
      <c r="N56" s="27">
        <f t="shared" si="1"/>
        <v>0</v>
      </c>
      <c r="O56" s="27">
        <f t="shared" si="2"/>
        <v>0</v>
      </c>
      <c r="P56" s="27"/>
      <c r="Q56" s="34"/>
      <c r="R56" s="34"/>
      <c r="S56" s="35"/>
      <c r="T56" s="35"/>
      <c r="U56" s="35"/>
      <c r="V56" s="35"/>
      <c r="W56" s="35"/>
      <c r="X56" s="34"/>
      <c r="Y56" s="34"/>
      <c r="Z56" s="34"/>
      <c r="AA56" s="34">
        <v>100</v>
      </c>
      <c r="AB56" s="35"/>
      <c r="AC56" s="35"/>
      <c r="AD56" s="34"/>
      <c r="AE56" s="34"/>
      <c r="AF56" s="27">
        <f t="shared" si="11"/>
        <v>-100</v>
      </c>
      <c r="AG56" s="28">
        <f t="shared" si="12"/>
        <v>0</v>
      </c>
    </row>
    <row r="57" spans="1:33" s="12" customFormat="1" ht="24.75" hidden="1" customHeight="1" x14ac:dyDescent="0.2">
      <c r="A57" s="64">
        <v>43658</v>
      </c>
      <c r="B57" s="31"/>
      <c r="C57" s="25" t="s">
        <v>46</v>
      </c>
      <c r="D57" s="25" t="s">
        <v>47</v>
      </c>
      <c r="E57" s="25" t="s">
        <v>37</v>
      </c>
      <c r="F57" s="26">
        <v>36393</v>
      </c>
      <c r="G57" s="29" t="s">
        <v>189</v>
      </c>
      <c r="H57" s="71"/>
      <c r="I57" s="71"/>
      <c r="J57" s="71"/>
      <c r="K57" s="71">
        <v>118.5</v>
      </c>
      <c r="L57" s="33"/>
      <c r="M57" s="27">
        <f>SUM(H57:J57,K57/1.12)</f>
        <v>105.80357142857142</v>
      </c>
      <c r="N57" s="27">
        <f>K57/1.12*0.12</f>
        <v>12.696428571428569</v>
      </c>
      <c r="O57" s="27">
        <f>-SUM(I57:J57,K57/1.12)*L57</f>
        <v>0</v>
      </c>
      <c r="P57" s="27">
        <v>105.8</v>
      </c>
      <c r="Q57" s="34"/>
      <c r="R57" s="34"/>
      <c r="S57" s="35"/>
      <c r="T57" s="35"/>
      <c r="U57" s="35"/>
      <c r="V57" s="35"/>
      <c r="W57" s="35"/>
      <c r="X57" s="34"/>
      <c r="Y57" s="34"/>
      <c r="Z57" s="34"/>
      <c r="AA57" s="34"/>
      <c r="AB57" s="35"/>
      <c r="AC57" s="35"/>
      <c r="AD57" s="34"/>
      <c r="AE57" s="34"/>
      <c r="AF57" s="27">
        <f>-SUM(N57:AE57)</f>
        <v>-118.49642857142857</v>
      </c>
      <c r="AG57" s="28">
        <f>SUM(H57:K57)+AF57+O57</f>
        <v>3.5714285714334437E-3</v>
      </c>
    </row>
    <row r="58" spans="1:33" s="12" customFormat="1" ht="24.75" hidden="1" customHeight="1" x14ac:dyDescent="0.2">
      <c r="A58" s="64">
        <v>43658</v>
      </c>
      <c r="B58" s="31"/>
      <c r="C58" s="25" t="s">
        <v>190</v>
      </c>
      <c r="D58" s="25"/>
      <c r="E58" s="25"/>
      <c r="F58" s="26"/>
      <c r="G58" s="29" t="s">
        <v>191</v>
      </c>
      <c r="H58" s="71">
        <v>11.3</v>
      </c>
      <c r="I58" s="71"/>
      <c r="J58" s="71"/>
      <c r="K58" s="71"/>
      <c r="L58" s="33"/>
      <c r="M58" s="27">
        <f t="shared" si="0"/>
        <v>11.3</v>
      </c>
      <c r="N58" s="27">
        <f t="shared" si="1"/>
        <v>0</v>
      </c>
      <c r="O58" s="27">
        <f t="shared" si="2"/>
        <v>0</v>
      </c>
      <c r="P58" s="27"/>
      <c r="Q58" s="34"/>
      <c r="R58" s="34"/>
      <c r="S58" s="35"/>
      <c r="T58" s="35"/>
      <c r="U58" s="35"/>
      <c r="V58" s="35"/>
      <c r="W58" s="35"/>
      <c r="X58" s="34"/>
      <c r="Y58" s="34"/>
      <c r="Z58" s="34"/>
      <c r="AA58" s="34"/>
      <c r="AB58" s="35"/>
      <c r="AC58" s="35"/>
      <c r="AD58" s="34">
        <v>11.3</v>
      </c>
      <c r="AE58" s="34"/>
      <c r="AF58" s="27">
        <f t="shared" si="11"/>
        <v>-11.3</v>
      </c>
      <c r="AG58" s="28">
        <f t="shared" si="12"/>
        <v>0</v>
      </c>
    </row>
    <row r="59" spans="1:33" s="12" customFormat="1" ht="23.25" hidden="1" customHeight="1" x14ac:dyDescent="0.2">
      <c r="A59" s="64">
        <v>43658</v>
      </c>
      <c r="B59" s="31"/>
      <c r="C59" s="25" t="s">
        <v>38</v>
      </c>
      <c r="D59" s="25" t="s">
        <v>39</v>
      </c>
      <c r="E59" s="25" t="s">
        <v>40</v>
      </c>
      <c r="F59" s="26">
        <v>179321</v>
      </c>
      <c r="G59" s="29" t="s">
        <v>192</v>
      </c>
      <c r="H59" s="71"/>
      <c r="I59" s="71"/>
      <c r="J59" s="71"/>
      <c r="K59" s="71">
        <v>3563.9</v>
      </c>
      <c r="L59" s="33"/>
      <c r="M59" s="27">
        <f t="shared" si="0"/>
        <v>3182.0535714285711</v>
      </c>
      <c r="N59" s="27">
        <f t="shared" si="1"/>
        <v>381.84642857142853</v>
      </c>
      <c r="O59" s="27">
        <f t="shared" si="2"/>
        <v>0</v>
      </c>
      <c r="P59" s="27">
        <v>3182.05</v>
      </c>
      <c r="Q59" s="34"/>
      <c r="R59" s="34"/>
      <c r="S59" s="35"/>
      <c r="T59" s="35"/>
      <c r="U59" s="35"/>
      <c r="V59" s="35"/>
      <c r="W59" s="35"/>
      <c r="X59" s="34"/>
      <c r="Y59" s="34"/>
      <c r="Z59" s="34"/>
      <c r="AA59" s="34"/>
      <c r="AB59" s="35"/>
      <c r="AC59" s="35"/>
      <c r="AD59" s="34"/>
      <c r="AE59" s="34"/>
      <c r="AF59" s="27">
        <f t="shared" si="11"/>
        <v>-3563.8964285714287</v>
      </c>
      <c r="AG59" s="28">
        <f t="shared" si="12"/>
        <v>3.5714285713766003E-3</v>
      </c>
    </row>
    <row r="60" spans="1:33" s="12" customFormat="1" ht="24.75" hidden="1" customHeight="1" x14ac:dyDescent="0.2">
      <c r="A60" s="64">
        <v>43658</v>
      </c>
      <c r="B60" s="31"/>
      <c r="C60" s="25" t="s">
        <v>68</v>
      </c>
      <c r="D60" s="25" t="s">
        <v>69</v>
      </c>
      <c r="E60" s="25" t="s">
        <v>193</v>
      </c>
      <c r="F60" s="26">
        <v>5690</v>
      </c>
      <c r="G60" s="29" t="s">
        <v>71</v>
      </c>
      <c r="H60" s="71"/>
      <c r="I60" s="71"/>
      <c r="J60" s="71"/>
      <c r="K60" s="71">
        <v>2600</v>
      </c>
      <c r="L60" s="33"/>
      <c r="M60" s="27">
        <f t="shared" si="0"/>
        <v>2321.4285714285711</v>
      </c>
      <c r="N60" s="27">
        <f t="shared" si="1"/>
        <v>278.5714285714285</v>
      </c>
      <c r="O60" s="27">
        <f t="shared" si="2"/>
        <v>0</v>
      </c>
      <c r="P60" s="27"/>
      <c r="Q60" s="34">
        <v>2321.4299999999998</v>
      </c>
      <c r="R60" s="34"/>
      <c r="S60" s="35"/>
      <c r="T60" s="35"/>
      <c r="U60" s="35"/>
      <c r="V60" s="35"/>
      <c r="W60" s="35"/>
      <c r="X60" s="34"/>
      <c r="Y60" s="34"/>
      <c r="Z60" s="34"/>
      <c r="AA60" s="34"/>
      <c r="AB60" s="35"/>
      <c r="AC60" s="35"/>
      <c r="AD60" s="34"/>
      <c r="AE60" s="34"/>
      <c r="AF60" s="27">
        <f t="shared" si="11"/>
        <v>-2600.0014285714283</v>
      </c>
      <c r="AG60" s="28">
        <f t="shared" si="12"/>
        <v>-1.4285714282777917E-3</v>
      </c>
    </row>
    <row r="61" spans="1:33" s="12" customFormat="1" ht="23.25" hidden="1" customHeight="1" x14ac:dyDescent="0.2">
      <c r="A61" s="64">
        <v>43659</v>
      </c>
      <c r="B61" s="31"/>
      <c r="C61" s="25" t="s">
        <v>46</v>
      </c>
      <c r="D61" s="25" t="s">
        <v>47</v>
      </c>
      <c r="E61" s="25" t="s">
        <v>37</v>
      </c>
      <c r="F61" s="26">
        <v>36397</v>
      </c>
      <c r="G61" s="29" t="s">
        <v>194</v>
      </c>
      <c r="H61" s="71"/>
      <c r="I61" s="71"/>
      <c r="J61" s="71"/>
      <c r="K61" s="71">
        <v>482</v>
      </c>
      <c r="L61" s="33"/>
      <c r="M61" s="27">
        <f t="shared" si="0"/>
        <v>430.35714285714283</v>
      </c>
      <c r="N61" s="27">
        <f t="shared" si="1"/>
        <v>51.642857142857139</v>
      </c>
      <c r="O61" s="27">
        <f t="shared" si="2"/>
        <v>0</v>
      </c>
      <c r="P61" s="27">
        <v>430.36</v>
      </c>
      <c r="Q61" s="34"/>
      <c r="R61" s="34"/>
      <c r="S61" s="35"/>
      <c r="T61" s="35"/>
      <c r="U61" s="35"/>
      <c r="V61" s="35"/>
      <c r="W61" s="35"/>
      <c r="X61" s="34"/>
      <c r="Y61" s="34"/>
      <c r="Z61" s="34"/>
      <c r="AA61" s="34"/>
      <c r="AB61" s="35"/>
      <c r="AC61" s="35"/>
      <c r="AD61" s="34"/>
      <c r="AE61" s="34"/>
      <c r="AF61" s="27">
        <f t="shared" si="11"/>
        <v>-482.00285714285712</v>
      </c>
      <c r="AG61" s="28">
        <f t="shared" si="12"/>
        <v>-2.8571428571240176E-3</v>
      </c>
    </row>
    <row r="62" spans="1:33" s="12" customFormat="1" ht="24.75" hidden="1" customHeight="1" x14ac:dyDescent="0.2">
      <c r="A62" s="64">
        <v>43659</v>
      </c>
      <c r="B62" s="31"/>
      <c r="C62" s="25" t="s">
        <v>50</v>
      </c>
      <c r="D62" s="25" t="s">
        <v>51</v>
      </c>
      <c r="E62" s="25" t="s">
        <v>40</v>
      </c>
      <c r="F62" s="26">
        <v>981</v>
      </c>
      <c r="G62" s="29" t="s">
        <v>45</v>
      </c>
      <c r="H62" s="71"/>
      <c r="I62" s="71"/>
      <c r="J62" s="71"/>
      <c r="K62" s="71">
        <v>28</v>
      </c>
      <c r="L62" s="33"/>
      <c r="M62" s="27">
        <f t="shared" si="0"/>
        <v>24.999999999999996</v>
      </c>
      <c r="N62" s="27">
        <f t="shared" si="1"/>
        <v>2.9999999999999996</v>
      </c>
      <c r="O62" s="27">
        <f t="shared" si="2"/>
        <v>0</v>
      </c>
      <c r="P62" s="27"/>
      <c r="Q62" s="34">
        <v>25</v>
      </c>
      <c r="R62" s="34"/>
      <c r="S62" s="35"/>
      <c r="T62" s="35"/>
      <c r="U62" s="35"/>
      <c r="V62" s="35"/>
      <c r="W62" s="35"/>
      <c r="X62" s="34"/>
      <c r="Y62" s="34"/>
      <c r="Z62" s="34"/>
      <c r="AA62" s="34"/>
      <c r="AB62" s="35"/>
      <c r="AC62" s="35"/>
      <c r="AD62" s="34"/>
      <c r="AE62" s="34"/>
      <c r="AF62" s="27">
        <f t="shared" si="11"/>
        <v>-28</v>
      </c>
      <c r="AG62" s="28">
        <f t="shared" si="12"/>
        <v>0</v>
      </c>
    </row>
    <row r="63" spans="1:33" s="12" customFormat="1" ht="24.75" hidden="1" customHeight="1" x14ac:dyDescent="0.2">
      <c r="A63" s="64">
        <v>43661</v>
      </c>
      <c r="B63" s="31"/>
      <c r="C63" s="25" t="s">
        <v>46</v>
      </c>
      <c r="D63" s="25" t="s">
        <v>47</v>
      </c>
      <c r="E63" s="25" t="s">
        <v>37</v>
      </c>
      <c r="F63" s="26">
        <v>36421</v>
      </c>
      <c r="G63" s="29" t="s">
        <v>174</v>
      </c>
      <c r="H63" s="71"/>
      <c r="I63" s="71"/>
      <c r="J63" s="71"/>
      <c r="K63" s="71">
        <v>207</v>
      </c>
      <c r="L63" s="33"/>
      <c r="M63" s="27">
        <f t="shared" si="0"/>
        <v>184.82142857142856</v>
      </c>
      <c r="N63" s="27">
        <f t="shared" si="1"/>
        <v>22.178571428571427</v>
      </c>
      <c r="O63" s="27">
        <f t="shared" si="2"/>
        <v>0</v>
      </c>
      <c r="P63" s="27"/>
      <c r="Q63" s="34">
        <v>184.82</v>
      </c>
      <c r="R63" s="34"/>
      <c r="S63" s="35"/>
      <c r="T63" s="35"/>
      <c r="U63" s="35"/>
      <c r="V63" s="35"/>
      <c r="W63" s="35"/>
      <c r="X63" s="34"/>
      <c r="Y63" s="34"/>
      <c r="Z63" s="34"/>
      <c r="AA63" s="34"/>
      <c r="AB63" s="35"/>
      <c r="AC63" s="35"/>
      <c r="AD63" s="34"/>
      <c r="AE63" s="34"/>
      <c r="AF63" s="27">
        <f t="shared" si="11"/>
        <v>-206.99857142857141</v>
      </c>
      <c r="AG63" s="28">
        <f t="shared" si="12"/>
        <v>1.4285714285904305E-3</v>
      </c>
    </row>
    <row r="64" spans="1:33" s="12" customFormat="1" ht="24.75" hidden="1" customHeight="1" x14ac:dyDescent="0.2">
      <c r="A64" s="64">
        <v>43661</v>
      </c>
      <c r="B64" s="31"/>
      <c r="C64" s="25" t="s">
        <v>195</v>
      </c>
      <c r="D64" s="25" t="s">
        <v>196</v>
      </c>
      <c r="E64" s="25" t="s">
        <v>197</v>
      </c>
      <c r="F64" s="26">
        <v>191602</v>
      </c>
      <c r="G64" s="29" t="s">
        <v>198</v>
      </c>
      <c r="H64" s="71"/>
      <c r="I64" s="71"/>
      <c r="J64" s="71"/>
      <c r="K64" s="71">
        <v>27</v>
      </c>
      <c r="L64" s="33"/>
      <c r="M64" s="27">
        <f t="shared" si="0"/>
        <v>24.107142857142854</v>
      </c>
      <c r="N64" s="27">
        <f t="shared" si="1"/>
        <v>2.8928571428571423</v>
      </c>
      <c r="O64" s="27">
        <f t="shared" si="2"/>
        <v>0</v>
      </c>
      <c r="P64" s="27"/>
      <c r="Q64" s="34"/>
      <c r="R64" s="34"/>
      <c r="S64" s="35"/>
      <c r="T64" s="35"/>
      <c r="U64" s="35"/>
      <c r="V64" s="35"/>
      <c r="W64" s="35"/>
      <c r="X64" s="34"/>
      <c r="Y64" s="34"/>
      <c r="Z64" s="34">
        <v>24.11</v>
      </c>
      <c r="AA64" s="34"/>
      <c r="AB64" s="35"/>
      <c r="AC64" s="35"/>
      <c r="AD64" s="34"/>
      <c r="AE64" s="34"/>
      <c r="AF64" s="27">
        <f t="shared" si="11"/>
        <v>-27.002857142857142</v>
      </c>
      <c r="AG64" s="28">
        <f t="shared" si="12"/>
        <v>-2.8571428571417812E-3</v>
      </c>
    </row>
    <row r="65" spans="1:33" s="12" customFormat="1" ht="24.75" hidden="1" customHeight="1" x14ac:dyDescent="0.2">
      <c r="A65" s="64">
        <v>43661</v>
      </c>
      <c r="B65" s="31"/>
      <c r="C65" s="25" t="s">
        <v>184</v>
      </c>
      <c r="D65" s="25"/>
      <c r="E65" s="25"/>
      <c r="F65" s="26"/>
      <c r="G65" s="29" t="s">
        <v>185</v>
      </c>
      <c r="H65" s="71">
        <v>80</v>
      </c>
      <c r="I65" s="71"/>
      <c r="J65" s="71"/>
      <c r="K65" s="71"/>
      <c r="L65" s="33"/>
      <c r="M65" s="27">
        <f t="shared" si="0"/>
        <v>80</v>
      </c>
      <c r="N65" s="27">
        <f t="shared" si="1"/>
        <v>0</v>
      </c>
      <c r="O65" s="27">
        <f t="shared" si="2"/>
        <v>0</v>
      </c>
      <c r="P65" s="27"/>
      <c r="Q65" s="34"/>
      <c r="R65" s="34"/>
      <c r="S65" s="35"/>
      <c r="T65" s="35"/>
      <c r="U65" s="35"/>
      <c r="V65" s="35"/>
      <c r="W65" s="35"/>
      <c r="X65" s="34"/>
      <c r="Y65" s="34"/>
      <c r="Z65" s="34"/>
      <c r="AA65" s="34">
        <v>80</v>
      </c>
      <c r="AB65" s="35"/>
      <c r="AC65" s="35"/>
      <c r="AD65" s="34"/>
      <c r="AE65" s="34"/>
      <c r="AF65" s="27">
        <f t="shared" si="11"/>
        <v>-80</v>
      </c>
      <c r="AG65" s="28">
        <f t="shared" si="12"/>
        <v>0</v>
      </c>
    </row>
    <row r="66" spans="1:33" s="12" customFormat="1" ht="23.25" hidden="1" customHeight="1" x14ac:dyDescent="0.2">
      <c r="A66" s="64">
        <v>43661</v>
      </c>
      <c r="B66" s="31"/>
      <c r="C66" s="25" t="s">
        <v>199</v>
      </c>
      <c r="D66" s="25" t="s">
        <v>200</v>
      </c>
      <c r="E66" s="25" t="s">
        <v>40</v>
      </c>
      <c r="F66" s="26">
        <v>14788</v>
      </c>
      <c r="G66" s="29" t="s">
        <v>201</v>
      </c>
      <c r="H66" s="71"/>
      <c r="I66" s="71"/>
      <c r="J66" s="71"/>
      <c r="K66" s="71">
        <v>188</v>
      </c>
      <c r="L66" s="33"/>
      <c r="M66" s="27">
        <f t="shared" si="0"/>
        <v>167.85714285714283</v>
      </c>
      <c r="N66" s="27">
        <f t="shared" si="1"/>
        <v>20.142857142857139</v>
      </c>
      <c r="O66" s="27">
        <f t="shared" si="2"/>
        <v>0</v>
      </c>
      <c r="P66" s="27"/>
      <c r="Q66" s="34"/>
      <c r="R66" s="34"/>
      <c r="S66" s="35"/>
      <c r="T66" s="35"/>
      <c r="U66" s="35"/>
      <c r="V66" s="35"/>
      <c r="W66" s="35"/>
      <c r="X66" s="34"/>
      <c r="Y66" s="34"/>
      <c r="Z66" s="34"/>
      <c r="AA66" s="34"/>
      <c r="AB66" s="35"/>
      <c r="AC66" s="35"/>
      <c r="AD66" s="34">
        <v>167.86</v>
      </c>
      <c r="AE66" s="34"/>
      <c r="AF66" s="27">
        <f t="shared" si="11"/>
        <v>-188.00285714285715</v>
      </c>
      <c r="AG66" s="28">
        <f t="shared" si="12"/>
        <v>-2.8571428571524393E-3</v>
      </c>
    </row>
    <row r="67" spans="1:33" s="12" customFormat="1" ht="23.25" hidden="1" customHeight="1" x14ac:dyDescent="0.2">
      <c r="A67" s="64">
        <v>43661</v>
      </c>
      <c r="B67" s="31"/>
      <c r="C67" s="25" t="s">
        <v>41</v>
      </c>
      <c r="D67" s="25"/>
      <c r="E67" s="25"/>
      <c r="F67" s="26"/>
      <c r="G67" s="29" t="s">
        <v>202</v>
      </c>
      <c r="H67" s="71">
        <v>40</v>
      </c>
      <c r="I67" s="71"/>
      <c r="J67" s="71"/>
      <c r="K67" s="71"/>
      <c r="L67" s="33"/>
      <c r="M67" s="27">
        <f t="shared" si="0"/>
        <v>40</v>
      </c>
      <c r="N67" s="27">
        <f t="shared" si="1"/>
        <v>0</v>
      </c>
      <c r="O67" s="27">
        <f t="shared" si="2"/>
        <v>0</v>
      </c>
      <c r="P67" s="27"/>
      <c r="Q67" s="34"/>
      <c r="R67" s="34"/>
      <c r="S67" s="35"/>
      <c r="T67" s="35"/>
      <c r="U67" s="35"/>
      <c r="V67" s="35"/>
      <c r="W67" s="35"/>
      <c r="X67" s="34"/>
      <c r="Y67" s="34"/>
      <c r="Z67" s="34"/>
      <c r="AA67" s="34">
        <v>40</v>
      </c>
      <c r="AB67" s="35"/>
      <c r="AC67" s="35"/>
      <c r="AD67" s="34"/>
      <c r="AE67" s="34"/>
      <c r="AF67" s="27">
        <f t="shared" si="11"/>
        <v>-40</v>
      </c>
      <c r="AG67" s="28">
        <f t="shared" si="12"/>
        <v>0</v>
      </c>
    </row>
    <row r="68" spans="1:33" s="12" customFormat="1" ht="23.25" hidden="1" customHeight="1" x14ac:dyDescent="0.2">
      <c r="A68" s="64">
        <v>43661</v>
      </c>
      <c r="B68" s="31"/>
      <c r="C68" s="25" t="s">
        <v>84</v>
      </c>
      <c r="D68" s="25"/>
      <c r="E68" s="25"/>
      <c r="F68" s="26"/>
      <c r="G68" s="29" t="s">
        <v>203</v>
      </c>
      <c r="H68" s="71"/>
      <c r="I68" s="71"/>
      <c r="J68" s="71">
        <v>1150</v>
      </c>
      <c r="K68" s="71"/>
      <c r="L68" s="33"/>
      <c r="M68" s="27">
        <f t="shared" si="0"/>
        <v>1150</v>
      </c>
      <c r="N68" s="27">
        <f t="shared" si="1"/>
        <v>0</v>
      </c>
      <c r="O68" s="27">
        <f t="shared" si="2"/>
        <v>0</v>
      </c>
      <c r="P68" s="27">
        <v>1150</v>
      </c>
      <c r="Q68" s="34"/>
      <c r="R68" s="34"/>
      <c r="S68" s="35"/>
      <c r="T68" s="35"/>
      <c r="U68" s="35"/>
      <c r="V68" s="35"/>
      <c r="W68" s="35"/>
      <c r="X68" s="34"/>
      <c r="Y68" s="34"/>
      <c r="Z68" s="34"/>
      <c r="AA68" s="34"/>
      <c r="AB68" s="35"/>
      <c r="AC68" s="35"/>
      <c r="AD68" s="34"/>
      <c r="AE68" s="34"/>
      <c r="AF68" s="27">
        <f t="shared" si="11"/>
        <v>-1150</v>
      </c>
      <c r="AG68" s="28">
        <f t="shared" si="12"/>
        <v>0</v>
      </c>
    </row>
    <row r="69" spans="1:33" s="12" customFormat="1" ht="24.75" hidden="1" customHeight="1" x14ac:dyDescent="0.2">
      <c r="A69" s="64">
        <v>43661</v>
      </c>
      <c r="B69" s="31"/>
      <c r="C69" s="25" t="s">
        <v>42</v>
      </c>
      <c r="D69" s="25" t="s">
        <v>43</v>
      </c>
      <c r="E69" s="25" t="s">
        <v>44</v>
      </c>
      <c r="F69" s="26">
        <v>156013</v>
      </c>
      <c r="G69" s="29" t="s">
        <v>45</v>
      </c>
      <c r="H69" s="71"/>
      <c r="I69" s="71"/>
      <c r="J69" s="71"/>
      <c r="K69" s="71">
        <v>180</v>
      </c>
      <c r="L69" s="33"/>
      <c r="M69" s="27">
        <f t="shared" ref="M69:M132" si="13">SUM(H69:J69,K69/1.12)</f>
        <v>160.71428571428569</v>
      </c>
      <c r="N69" s="27">
        <f t="shared" ref="N69:N132" si="14">K69/1.12*0.12</f>
        <v>19.285714285714281</v>
      </c>
      <c r="O69" s="27">
        <f t="shared" ref="O69:O132" si="15">-SUM(I69:J69,K69/1.12)*L69</f>
        <v>0</v>
      </c>
      <c r="P69" s="27"/>
      <c r="Q69" s="34">
        <v>160.71</v>
      </c>
      <c r="R69" s="34"/>
      <c r="S69" s="35"/>
      <c r="T69" s="35"/>
      <c r="U69" s="35"/>
      <c r="V69" s="35"/>
      <c r="W69" s="35"/>
      <c r="X69" s="34"/>
      <c r="Y69" s="34"/>
      <c r="Z69" s="34"/>
      <c r="AA69" s="34"/>
      <c r="AB69" s="35"/>
      <c r="AC69" s="35"/>
      <c r="AD69" s="34"/>
      <c r="AE69" s="34"/>
      <c r="AF69" s="27">
        <f t="shared" si="11"/>
        <v>-179.99571428571429</v>
      </c>
      <c r="AG69" s="28">
        <f t="shared" si="12"/>
        <v>4.2857142857144481E-3</v>
      </c>
    </row>
    <row r="70" spans="1:33" s="57" customFormat="1" ht="23.25" hidden="1" customHeight="1" x14ac:dyDescent="0.2">
      <c r="A70" s="65">
        <v>43661</v>
      </c>
      <c r="B70" s="58"/>
      <c r="C70" s="50" t="s">
        <v>46</v>
      </c>
      <c r="D70" s="50" t="s">
        <v>47</v>
      </c>
      <c r="E70" s="50" t="s">
        <v>37</v>
      </c>
      <c r="F70" s="51">
        <v>36422</v>
      </c>
      <c r="G70" s="49" t="s">
        <v>203</v>
      </c>
      <c r="H70" s="72"/>
      <c r="I70" s="72"/>
      <c r="J70" s="72"/>
      <c r="K70" s="72">
        <v>315</v>
      </c>
      <c r="L70" s="52"/>
      <c r="M70" s="53">
        <f t="shared" si="13"/>
        <v>281.25</v>
      </c>
      <c r="N70" s="53">
        <f t="shared" si="14"/>
        <v>33.75</v>
      </c>
      <c r="O70" s="53">
        <f t="shared" si="15"/>
        <v>0</v>
      </c>
      <c r="P70" s="53">
        <v>281.25</v>
      </c>
      <c r="Q70" s="54"/>
      <c r="R70" s="54"/>
      <c r="S70" s="55"/>
      <c r="T70" s="55"/>
      <c r="U70" s="55"/>
      <c r="V70" s="55"/>
      <c r="W70" s="55"/>
      <c r="X70" s="54"/>
      <c r="Y70" s="54"/>
      <c r="Z70" s="54"/>
      <c r="AA70" s="54"/>
      <c r="AB70" s="55"/>
      <c r="AC70" s="55"/>
      <c r="AD70" s="54"/>
      <c r="AE70" s="54"/>
      <c r="AF70" s="53">
        <f t="shared" ref="AF70" si="16">-SUM(N70:AE70)</f>
        <v>-315</v>
      </c>
      <c r="AG70" s="56">
        <f t="shared" ref="AG70" si="17">SUM(H70:K70)+AF70+O70</f>
        <v>0</v>
      </c>
    </row>
    <row r="71" spans="1:33" s="12" customFormat="1" ht="23.25" hidden="1" customHeight="1" x14ac:dyDescent="0.2">
      <c r="A71" s="64">
        <v>43662</v>
      </c>
      <c r="B71" s="31"/>
      <c r="C71" s="25" t="s">
        <v>41</v>
      </c>
      <c r="D71" s="25"/>
      <c r="E71" s="25"/>
      <c r="F71" s="26"/>
      <c r="G71" s="59" t="s">
        <v>204</v>
      </c>
      <c r="H71" s="71">
        <v>60</v>
      </c>
      <c r="I71" s="71"/>
      <c r="J71" s="71"/>
      <c r="K71" s="71"/>
      <c r="L71" s="33"/>
      <c r="M71" s="27">
        <f t="shared" si="13"/>
        <v>60</v>
      </c>
      <c r="N71" s="27">
        <f t="shared" si="14"/>
        <v>0</v>
      </c>
      <c r="O71" s="27">
        <f t="shared" si="15"/>
        <v>0</v>
      </c>
      <c r="P71" s="27"/>
      <c r="Q71" s="34"/>
      <c r="R71" s="34"/>
      <c r="S71" s="35"/>
      <c r="T71" s="35"/>
      <c r="U71" s="35"/>
      <c r="V71" s="35"/>
      <c r="W71" s="35"/>
      <c r="X71" s="34"/>
      <c r="Y71" s="34"/>
      <c r="Z71" s="34"/>
      <c r="AA71" s="34">
        <v>60</v>
      </c>
      <c r="AB71" s="35"/>
      <c r="AC71" s="35"/>
      <c r="AD71" s="34"/>
      <c r="AE71" s="34"/>
      <c r="AF71" s="27">
        <f t="shared" ref="AF71:AF87" si="18">-SUM(N71:AE71)</f>
        <v>-60</v>
      </c>
      <c r="AG71" s="28">
        <f t="shared" ref="AG71:AG87" si="19">SUM(H71:K71)+AF71+O71</f>
        <v>0</v>
      </c>
    </row>
    <row r="72" spans="1:33" s="12" customFormat="1" ht="24.75" hidden="1" customHeight="1" x14ac:dyDescent="0.2">
      <c r="A72" s="64">
        <v>43662</v>
      </c>
      <c r="B72" s="31"/>
      <c r="C72" s="25" t="s">
        <v>46</v>
      </c>
      <c r="D72" s="25" t="s">
        <v>47</v>
      </c>
      <c r="E72" s="25" t="s">
        <v>37</v>
      </c>
      <c r="F72" s="26">
        <v>964463</v>
      </c>
      <c r="G72" s="29" t="s">
        <v>73</v>
      </c>
      <c r="H72" s="71"/>
      <c r="I72" s="71"/>
      <c r="J72" s="71"/>
      <c r="K72" s="71">
        <v>106.72</v>
      </c>
      <c r="L72" s="33"/>
      <c r="M72" s="27">
        <f t="shared" si="13"/>
        <v>95.285714285714278</v>
      </c>
      <c r="N72" s="27">
        <f t="shared" si="14"/>
        <v>11.434285714285712</v>
      </c>
      <c r="O72" s="27">
        <f t="shared" si="15"/>
        <v>0</v>
      </c>
      <c r="P72" s="27">
        <v>95.29</v>
      </c>
      <c r="Q72" s="34"/>
      <c r="R72" s="34"/>
      <c r="S72" s="35"/>
      <c r="T72" s="35"/>
      <c r="U72" s="35"/>
      <c r="V72" s="35"/>
      <c r="W72" s="35"/>
      <c r="X72" s="34"/>
      <c r="Y72" s="34"/>
      <c r="Z72" s="34"/>
      <c r="AA72" s="34"/>
      <c r="AB72" s="35"/>
      <c r="AC72" s="35"/>
      <c r="AD72" s="34"/>
      <c r="AE72" s="34"/>
      <c r="AF72" s="27">
        <f t="shared" si="18"/>
        <v>-106.72428571428571</v>
      </c>
      <c r="AG72" s="28">
        <f t="shared" si="19"/>
        <v>-4.2857142857144481E-3</v>
      </c>
    </row>
    <row r="73" spans="1:33" s="12" customFormat="1" ht="23.25" hidden="1" customHeight="1" x14ac:dyDescent="0.2">
      <c r="A73" s="64">
        <v>43662</v>
      </c>
      <c r="B73" s="31"/>
      <c r="C73" s="25" t="s">
        <v>46</v>
      </c>
      <c r="D73" s="25" t="s">
        <v>47</v>
      </c>
      <c r="E73" s="25" t="s">
        <v>37</v>
      </c>
      <c r="F73" s="26">
        <v>36429</v>
      </c>
      <c r="G73" s="59" t="s">
        <v>205</v>
      </c>
      <c r="H73" s="71"/>
      <c r="I73" s="71"/>
      <c r="J73" s="71"/>
      <c r="K73" s="71">
        <v>398</v>
      </c>
      <c r="L73" s="33"/>
      <c r="M73" s="27">
        <f t="shared" si="13"/>
        <v>355.35714285714283</v>
      </c>
      <c r="N73" s="27">
        <f t="shared" si="14"/>
        <v>42.642857142857139</v>
      </c>
      <c r="O73" s="27">
        <f t="shared" si="15"/>
        <v>0</v>
      </c>
      <c r="P73" s="27"/>
      <c r="Q73" s="34">
        <v>355.36</v>
      </c>
      <c r="R73" s="34"/>
      <c r="S73" s="35"/>
      <c r="T73" s="35"/>
      <c r="U73" s="35"/>
      <c r="V73" s="35"/>
      <c r="W73" s="35"/>
      <c r="X73" s="34"/>
      <c r="Y73" s="34"/>
      <c r="Z73" s="34"/>
      <c r="AA73" s="34"/>
      <c r="AB73" s="35"/>
      <c r="AC73" s="35"/>
      <c r="AD73" s="34"/>
      <c r="AE73" s="34"/>
      <c r="AF73" s="27">
        <f t="shared" si="18"/>
        <v>-398.00285714285712</v>
      </c>
      <c r="AG73" s="28">
        <f t="shared" si="19"/>
        <v>-2.8571428571240176E-3</v>
      </c>
    </row>
    <row r="74" spans="1:33" s="12" customFormat="1" ht="24.75" hidden="1" customHeight="1" x14ac:dyDescent="0.2">
      <c r="A74" s="64">
        <v>43662</v>
      </c>
      <c r="B74" s="31"/>
      <c r="C74" s="25" t="s">
        <v>42</v>
      </c>
      <c r="D74" s="25" t="s">
        <v>43</v>
      </c>
      <c r="E74" s="25" t="s">
        <v>44</v>
      </c>
      <c r="F74" s="26">
        <v>155808</v>
      </c>
      <c r="G74" s="29" t="s">
        <v>45</v>
      </c>
      <c r="H74" s="71"/>
      <c r="I74" s="71"/>
      <c r="J74" s="71"/>
      <c r="K74" s="71">
        <v>180</v>
      </c>
      <c r="L74" s="33"/>
      <c r="M74" s="27">
        <f t="shared" si="13"/>
        <v>160.71428571428569</v>
      </c>
      <c r="N74" s="27">
        <f t="shared" si="14"/>
        <v>19.285714285714281</v>
      </c>
      <c r="O74" s="27">
        <f t="shared" si="15"/>
        <v>0</v>
      </c>
      <c r="P74" s="27"/>
      <c r="Q74" s="34">
        <v>160.71</v>
      </c>
      <c r="R74" s="34"/>
      <c r="S74" s="35"/>
      <c r="T74" s="35"/>
      <c r="U74" s="35"/>
      <c r="V74" s="35"/>
      <c r="W74" s="35"/>
      <c r="X74" s="34"/>
      <c r="Y74" s="34"/>
      <c r="Z74" s="34"/>
      <c r="AA74" s="34"/>
      <c r="AB74" s="35"/>
      <c r="AC74" s="35"/>
      <c r="AD74" s="34"/>
      <c r="AE74" s="34"/>
      <c r="AF74" s="27">
        <f t="shared" si="18"/>
        <v>-179.99571428571429</v>
      </c>
      <c r="AG74" s="28">
        <f t="shared" si="19"/>
        <v>4.2857142857144481E-3</v>
      </c>
    </row>
    <row r="75" spans="1:33" s="12" customFormat="1" ht="23.25" hidden="1" customHeight="1" x14ac:dyDescent="0.2">
      <c r="A75" s="64">
        <v>43663</v>
      </c>
      <c r="B75" s="31"/>
      <c r="C75" s="25" t="s">
        <v>56</v>
      </c>
      <c r="D75" s="25"/>
      <c r="E75" s="25"/>
      <c r="F75" s="26"/>
      <c r="G75" s="25" t="s">
        <v>206</v>
      </c>
      <c r="H75" s="71">
        <v>50</v>
      </c>
      <c r="I75" s="71"/>
      <c r="J75" s="71"/>
      <c r="K75" s="71"/>
      <c r="L75" s="33"/>
      <c r="M75" s="27">
        <f t="shared" si="13"/>
        <v>50</v>
      </c>
      <c r="N75" s="27">
        <f t="shared" si="14"/>
        <v>0</v>
      </c>
      <c r="O75" s="27">
        <f t="shared" si="15"/>
        <v>0</v>
      </c>
      <c r="P75" s="27"/>
      <c r="Q75" s="34"/>
      <c r="R75" s="34"/>
      <c r="S75" s="35"/>
      <c r="T75" s="35"/>
      <c r="U75" s="35"/>
      <c r="V75" s="35"/>
      <c r="W75" s="35"/>
      <c r="X75" s="34"/>
      <c r="Y75" s="34"/>
      <c r="Z75" s="34"/>
      <c r="AA75" s="34">
        <v>50</v>
      </c>
      <c r="AB75" s="35"/>
      <c r="AC75" s="35"/>
      <c r="AD75" s="34"/>
      <c r="AE75" s="34"/>
      <c r="AF75" s="27">
        <f t="shared" si="18"/>
        <v>-50</v>
      </c>
      <c r="AG75" s="28">
        <f t="shared" si="19"/>
        <v>0</v>
      </c>
    </row>
    <row r="76" spans="1:33" s="12" customFormat="1" ht="24.75" hidden="1" customHeight="1" x14ac:dyDescent="0.2">
      <c r="A76" s="64">
        <v>43663</v>
      </c>
      <c r="B76" s="31"/>
      <c r="C76" s="25" t="s">
        <v>42</v>
      </c>
      <c r="D76" s="25" t="s">
        <v>43</v>
      </c>
      <c r="E76" s="25" t="s">
        <v>44</v>
      </c>
      <c r="F76" s="26">
        <v>155848</v>
      </c>
      <c r="G76" s="29" t="s">
        <v>45</v>
      </c>
      <c r="H76" s="71"/>
      <c r="I76" s="71"/>
      <c r="J76" s="71"/>
      <c r="K76" s="71">
        <v>180</v>
      </c>
      <c r="L76" s="33"/>
      <c r="M76" s="27">
        <f t="shared" si="13"/>
        <v>160.71428571428569</v>
      </c>
      <c r="N76" s="27">
        <f t="shared" si="14"/>
        <v>19.285714285714281</v>
      </c>
      <c r="O76" s="27">
        <f t="shared" si="15"/>
        <v>0</v>
      </c>
      <c r="P76" s="27"/>
      <c r="Q76" s="34">
        <v>160.71</v>
      </c>
      <c r="R76" s="34"/>
      <c r="S76" s="35"/>
      <c r="T76" s="35"/>
      <c r="U76" s="35"/>
      <c r="V76" s="35"/>
      <c r="W76" s="35"/>
      <c r="X76" s="34"/>
      <c r="Y76" s="34"/>
      <c r="Z76" s="34"/>
      <c r="AA76" s="34"/>
      <c r="AB76" s="35"/>
      <c r="AC76" s="35"/>
      <c r="AD76" s="34"/>
      <c r="AE76" s="34"/>
      <c r="AF76" s="27">
        <f t="shared" si="18"/>
        <v>-179.99571428571429</v>
      </c>
      <c r="AG76" s="28">
        <f t="shared" si="19"/>
        <v>4.2857142857144481E-3</v>
      </c>
    </row>
    <row r="77" spans="1:33" s="12" customFormat="1" ht="24.75" hidden="1" customHeight="1" x14ac:dyDescent="0.2">
      <c r="A77" s="64">
        <v>43663</v>
      </c>
      <c r="B77" s="31"/>
      <c r="C77" s="25" t="s">
        <v>38</v>
      </c>
      <c r="D77" s="25" t="s">
        <v>39</v>
      </c>
      <c r="E77" s="25" t="s">
        <v>40</v>
      </c>
      <c r="F77" s="26">
        <v>133724</v>
      </c>
      <c r="G77" s="29" t="s">
        <v>207</v>
      </c>
      <c r="H77" s="71"/>
      <c r="I77" s="71"/>
      <c r="J77" s="71">
        <v>222.05</v>
      </c>
      <c r="K77" s="71"/>
      <c r="L77" s="33"/>
      <c r="M77" s="27">
        <f t="shared" si="13"/>
        <v>222.05</v>
      </c>
      <c r="N77" s="27">
        <f t="shared" si="14"/>
        <v>0</v>
      </c>
      <c r="O77" s="27">
        <f t="shared" si="15"/>
        <v>0</v>
      </c>
      <c r="P77" s="27">
        <v>222.05</v>
      </c>
      <c r="Q77" s="34"/>
      <c r="R77" s="34"/>
      <c r="S77" s="35"/>
      <c r="T77" s="35"/>
      <c r="U77" s="35"/>
      <c r="V77" s="35"/>
      <c r="W77" s="35"/>
      <c r="X77" s="34"/>
      <c r="Y77" s="34"/>
      <c r="Z77" s="34"/>
      <c r="AA77" s="34"/>
      <c r="AB77" s="35"/>
      <c r="AC77" s="35"/>
      <c r="AD77" s="34"/>
      <c r="AE77" s="34"/>
      <c r="AF77" s="27">
        <f t="shared" si="18"/>
        <v>-222.05</v>
      </c>
      <c r="AG77" s="28">
        <f t="shared" si="19"/>
        <v>0</v>
      </c>
    </row>
    <row r="78" spans="1:33" s="12" customFormat="1" ht="24.75" hidden="1" customHeight="1" x14ac:dyDescent="0.2">
      <c r="A78" s="64">
        <v>43663</v>
      </c>
      <c r="B78" s="31"/>
      <c r="C78" s="25" t="s">
        <v>38</v>
      </c>
      <c r="D78" s="25" t="s">
        <v>39</v>
      </c>
      <c r="E78" s="25" t="s">
        <v>40</v>
      </c>
      <c r="F78" s="26">
        <v>133724</v>
      </c>
      <c r="G78" s="29" t="s">
        <v>208</v>
      </c>
      <c r="H78" s="71"/>
      <c r="I78" s="71"/>
      <c r="J78" s="71"/>
      <c r="K78" s="71">
        <f>1672.9+200.75</f>
        <v>1873.65</v>
      </c>
      <c r="L78" s="33"/>
      <c r="M78" s="27">
        <f t="shared" si="13"/>
        <v>1672.9017857142856</v>
      </c>
      <c r="N78" s="27">
        <f t="shared" si="14"/>
        <v>200.74821428571425</v>
      </c>
      <c r="O78" s="27">
        <f t="shared" si="15"/>
        <v>0</v>
      </c>
      <c r="P78" s="27">
        <v>1672.9</v>
      </c>
      <c r="Q78" s="34"/>
      <c r="R78" s="34"/>
      <c r="S78" s="35"/>
      <c r="T78" s="35"/>
      <c r="U78" s="35"/>
      <c r="V78" s="35"/>
      <c r="W78" s="35"/>
      <c r="X78" s="34"/>
      <c r="Y78" s="34"/>
      <c r="Z78" s="34"/>
      <c r="AA78" s="34"/>
      <c r="AB78" s="35"/>
      <c r="AC78" s="35"/>
      <c r="AD78" s="34"/>
      <c r="AE78" s="34"/>
      <c r="AF78" s="27">
        <f t="shared" si="18"/>
        <v>-1873.6482142857144</v>
      </c>
      <c r="AG78" s="28">
        <f t="shared" si="19"/>
        <v>1.7857142856883002E-3</v>
      </c>
    </row>
    <row r="79" spans="1:33" s="12" customFormat="1" ht="24.75" customHeight="1" x14ac:dyDescent="0.2">
      <c r="A79" s="64">
        <v>43663</v>
      </c>
      <c r="B79" s="31"/>
      <c r="C79" s="25" t="s">
        <v>166</v>
      </c>
      <c r="D79" s="25" t="s">
        <v>167</v>
      </c>
      <c r="E79" s="25" t="s">
        <v>76</v>
      </c>
      <c r="F79" s="26">
        <v>1932</v>
      </c>
      <c r="G79" s="29" t="s">
        <v>209</v>
      </c>
      <c r="H79" s="71"/>
      <c r="I79" s="71"/>
      <c r="J79" s="71"/>
      <c r="K79" s="71">
        <v>218</v>
      </c>
      <c r="L79" s="33">
        <v>0.01</v>
      </c>
      <c r="M79" s="27">
        <f t="shared" si="13"/>
        <v>194.64285714285711</v>
      </c>
      <c r="N79" s="27">
        <f t="shared" si="14"/>
        <v>23.357142857142854</v>
      </c>
      <c r="O79" s="27">
        <f t="shared" si="15"/>
        <v>-1.9464285714285712</v>
      </c>
      <c r="P79" s="27">
        <v>194.64</v>
      </c>
      <c r="Q79" s="34"/>
      <c r="R79" s="34"/>
      <c r="S79" s="35"/>
      <c r="T79" s="35"/>
      <c r="U79" s="35"/>
      <c r="V79" s="35"/>
      <c r="W79" s="35"/>
      <c r="X79" s="34"/>
      <c r="Y79" s="34"/>
      <c r="Z79" s="34"/>
      <c r="AA79" s="34"/>
      <c r="AB79" s="35"/>
      <c r="AC79" s="35"/>
      <c r="AD79" s="34"/>
      <c r="AE79" s="34"/>
      <c r="AF79" s="27">
        <f t="shared" si="18"/>
        <v>-216.05071428571426</v>
      </c>
      <c r="AG79" s="28">
        <f t="shared" si="19"/>
        <v>2.8571428571648738E-3</v>
      </c>
    </row>
    <row r="80" spans="1:33" s="12" customFormat="1" ht="24.75" hidden="1" customHeight="1" x14ac:dyDescent="0.2">
      <c r="A80" s="64">
        <v>43664</v>
      </c>
      <c r="B80" s="31"/>
      <c r="C80" s="25" t="s">
        <v>38</v>
      </c>
      <c r="D80" s="25" t="s">
        <v>39</v>
      </c>
      <c r="E80" s="25" t="s">
        <v>40</v>
      </c>
      <c r="F80" s="26">
        <v>171168</v>
      </c>
      <c r="G80" s="29" t="s">
        <v>210</v>
      </c>
      <c r="H80" s="71"/>
      <c r="I80" s="71"/>
      <c r="J80" s="71"/>
      <c r="K80" s="71">
        <f>1309.51+157.14</f>
        <v>1466.65</v>
      </c>
      <c r="L80" s="33"/>
      <c r="M80" s="27">
        <f t="shared" si="13"/>
        <v>1309.5089285714284</v>
      </c>
      <c r="N80" s="27">
        <f t="shared" si="14"/>
        <v>157.14107142857139</v>
      </c>
      <c r="O80" s="27">
        <f t="shared" si="15"/>
        <v>0</v>
      </c>
      <c r="P80" s="27">
        <v>1309.51</v>
      </c>
      <c r="Q80" s="34"/>
      <c r="R80" s="34"/>
      <c r="S80" s="35"/>
      <c r="T80" s="35"/>
      <c r="U80" s="35"/>
      <c r="V80" s="35"/>
      <c r="W80" s="35"/>
      <c r="X80" s="34"/>
      <c r="Y80" s="34"/>
      <c r="Z80" s="34"/>
      <c r="AA80" s="34"/>
      <c r="AB80" s="35"/>
      <c r="AC80" s="35"/>
      <c r="AD80" s="34"/>
      <c r="AE80" s="34"/>
      <c r="AF80" s="27">
        <f t="shared" si="18"/>
        <v>-1466.6510714285714</v>
      </c>
      <c r="AG80" s="28">
        <f t="shared" si="19"/>
        <v>-1.0714285713220306E-3</v>
      </c>
    </row>
    <row r="81" spans="1:33" s="12" customFormat="1" ht="24.75" hidden="1" customHeight="1" x14ac:dyDescent="0.2">
      <c r="A81" s="64">
        <v>43664</v>
      </c>
      <c r="B81" s="31"/>
      <c r="C81" s="25" t="s">
        <v>38</v>
      </c>
      <c r="D81" s="25" t="s">
        <v>39</v>
      </c>
      <c r="E81" s="25" t="s">
        <v>40</v>
      </c>
      <c r="F81" s="26">
        <v>171168</v>
      </c>
      <c r="G81" s="29" t="s">
        <v>211</v>
      </c>
      <c r="H81" s="71"/>
      <c r="I81" s="71"/>
      <c r="J81" s="71">
        <v>284</v>
      </c>
      <c r="K81" s="71"/>
      <c r="L81" s="33"/>
      <c r="M81" s="27">
        <f t="shared" si="13"/>
        <v>284</v>
      </c>
      <c r="N81" s="27">
        <f t="shared" si="14"/>
        <v>0</v>
      </c>
      <c r="O81" s="27">
        <f t="shared" si="15"/>
        <v>0</v>
      </c>
      <c r="P81" s="27">
        <v>284</v>
      </c>
      <c r="Q81" s="34"/>
      <c r="R81" s="34"/>
      <c r="S81" s="35"/>
      <c r="T81" s="35"/>
      <c r="U81" s="35"/>
      <c r="V81" s="35"/>
      <c r="W81" s="35"/>
      <c r="X81" s="34"/>
      <c r="Y81" s="34"/>
      <c r="Z81" s="34"/>
      <c r="AA81" s="34"/>
      <c r="AB81" s="35"/>
      <c r="AC81" s="35"/>
      <c r="AD81" s="34"/>
      <c r="AE81" s="34"/>
      <c r="AF81" s="27">
        <f t="shared" si="18"/>
        <v>-284</v>
      </c>
      <c r="AG81" s="28">
        <f t="shared" si="19"/>
        <v>0</v>
      </c>
    </row>
    <row r="82" spans="1:33" s="12" customFormat="1" ht="24.75" hidden="1" customHeight="1" x14ac:dyDescent="0.2">
      <c r="A82" s="64">
        <v>43664</v>
      </c>
      <c r="B82" s="31"/>
      <c r="C82" s="25" t="s">
        <v>42</v>
      </c>
      <c r="D82" s="25" t="s">
        <v>43</v>
      </c>
      <c r="E82" s="25" t="s">
        <v>44</v>
      </c>
      <c r="F82" s="26">
        <v>153044</v>
      </c>
      <c r="G82" s="29" t="s">
        <v>45</v>
      </c>
      <c r="H82" s="71"/>
      <c r="I82" s="71"/>
      <c r="J82" s="71"/>
      <c r="K82" s="71">
        <v>180</v>
      </c>
      <c r="L82" s="33"/>
      <c r="M82" s="27">
        <f t="shared" si="13"/>
        <v>160.71428571428569</v>
      </c>
      <c r="N82" s="27">
        <f t="shared" si="14"/>
        <v>19.285714285714281</v>
      </c>
      <c r="O82" s="27">
        <f t="shared" si="15"/>
        <v>0</v>
      </c>
      <c r="P82" s="27"/>
      <c r="Q82" s="34">
        <v>160.71</v>
      </c>
      <c r="R82" s="34"/>
      <c r="S82" s="35"/>
      <c r="T82" s="35"/>
      <c r="U82" s="35"/>
      <c r="V82" s="35"/>
      <c r="W82" s="35"/>
      <c r="X82" s="34"/>
      <c r="Y82" s="34"/>
      <c r="Z82" s="34"/>
      <c r="AA82" s="34"/>
      <c r="AB82" s="35"/>
      <c r="AC82" s="35"/>
      <c r="AD82" s="34"/>
      <c r="AE82" s="34"/>
      <c r="AF82" s="27">
        <f t="shared" si="18"/>
        <v>-179.99571428571429</v>
      </c>
      <c r="AG82" s="28">
        <f t="shared" si="19"/>
        <v>4.2857142857144481E-3</v>
      </c>
    </row>
    <row r="83" spans="1:33" s="12" customFormat="1" ht="24.75" hidden="1" customHeight="1" x14ac:dyDescent="0.2">
      <c r="A83" s="64">
        <v>43664</v>
      </c>
      <c r="B83" s="31"/>
      <c r="C83" s="61" t="s">
        <v>212</v>
      </c>
      <c r="D83" s="25" t="s">
        <v>213</v>
      </c>
      <c r="E83" s="25" t="s">
        <v>37</v>
      </c>
      <c r="F83" s="26">
        <v>70464</v>
      </c>
      <c r="G83" s="29" t="s">
        <v>214</v>
      </c>
      <c r="H83" s="71"/>
      <c r="I83" s="71"/>
      <c r="J83" s="71"/>
      <c r="K83" s="71">
        <v>3000</v>
      </c>
      <c r="L83" s="33"/>
      <c r="M83" s="27">
        <f t="shared" si="13"/>
        <v>2678.5714285714284</v>
      </c>
      <c r="N83" s="27">
        <f t="shared" si="14"/>
        <v>321.42857142857139</v>
      </c>
      <c r="O83" s="27">
        <f t="shared" si="15"/>
        <v>0</v>
      </c>
      <c r="P83" s="27"/>
      <c r="Q83" s="34"/>
      <c r="R83" s="34"/>
      <c r="S83" s="35"/>
      <c r="T83" s="35"/>
      <c r="U83" s="35"/>
      <c r="V83" s="35"/>
      <c r="W83" s="35"/>
      <c r="X83" s="34"/>
      <c r="Y83" s="34">
        <v>2678.57</v>
      </c>
      <c r="Z83" s="34"/>
      <c r="AA83" s="34"/>
      <c r="AB83" s="35"/>
      <c r="AC83" s="35"/>
      <c r="AD83" s="34"/>
      <c r="AE83" s="34"/>
      <c r="AF83" s="27">
        <f t="shared" si="18"/>
        <v>-2999.9985714285717</v>
      </c>
      <c r="AG83" s="28">
        <f t="shared" si="19"/>
        <v>1.4285714282777917E-3</v>
      </c>
    </row>
    <row r="84" spans="1:33" s="12" customFormat="1" ht="23.25" hidden="1" customHeight="1" x14ac:dyDescent="0.2">
      <c r="A84" s="64">
        <v>43664</v>
      </c>
      <c r="B84" s="31"/>
      <c r="C84" s="25" t="s">
        <v>215</v>
      </c>
      <c r="D84" s="25"/>
      <c r="E84" s="25"/>
      <c r="F84" s="26"/>
      <c r="G84" s="29" t="s">
        <v>216</v>
      </c>
      <c r="H84" s="71">
        <v>77</v>
      </c>
      <c r="I84" s="71"/>
      <c r="J84" s="71"/>
      <c r="K84" s="71"/>
      <c r="L84" s="33"/>
      <c r="M84" s="27">
        <f t="shared" si="13"/>
        <v>77</v>
      </c>
      <c r="N84" s="27">
        <f t="shared" si="14"/>
        <v>0</v>
      </c>
      <c r="O84" s="27">
        <f t="shared" si="15"/>
        <v>0</v>
      </c>
      <c r="P84" s="27"/>
      <c r="Q84" s="34"/>
      <c r="R84" s="34"/>
      <c r="S84" s="35"/>
      <c r="T84" s="35"/>
      <c r="U84" s="35"/>
      <c r="V84" s="35"/>
      <c r="W84" s="35"/>
      <c r="X84" s="34"/>
      <c r="Y84" s="34"/>
      <c r="Z84" s="34"/>
      <c r="AA84" s="34">
        <v>77</v>
      </c>
      <c r="AB84" s="35"/>
      <c r="AC84" s="35"/>
      <c r="AD84" s="34"/>
      <c r="AE84" s="34"/>
      <c r="AF84" s="27">
        <f t="shared" si="18"/>
        <v>-77</v>
      </c>
      <c r="AG84" s="28">
        <f t="shared" si="19"/>
        <v>0</v>
      </c>
    </row>
    <row r="85" spans="1:33" s="12" customFormat="1" ht="24.75" hidden="1" customHeight="1" x14ac:dyDescent="0.2">
      <c r="A85" s="64">
        <v>43664</v>
      </c>
      <c r="B85" s="31"/>
      <c r="C85" s="25" t="s">
        <v>46</v>
      </c>
      <c r="D85" s="25" t="s">
        <v>47</v>
      </c>
      <c r="E85" s="25" t="s">
        <v>37</v>
      </c>
      <c r="F85" s="26">
        <v>36474</v>
      </c>
      <c r="G85" s="29" t="s">
        <v>217</v>
      </c>
      <c r="H85" s="71"/>
      <c r="I85" s="71"/>
      <c r="J85" s="71"/>
      <c r="K85" s="71">
        <v>350</v>
      </c>
      <c r="L85" s="33"/>
      <c r="M85" s="27">
        <f t="shared" si="13"/>
        <v>312.49999999999994</v>
      </c>
      <c r="N85" s="27">
        <f t="shared" si="14"/>
        <v>37.499999999999993</v>
      </c>
      <c r="O85" s="27">
        <f t="shared" si="15"/>
        <v>0</v>
      </c>
      <c r="P85" s="27">
        <v>312.5</v>
      </c>
      <c r="Q85" s="34"/>
      <c r="R85" s="34"/>
      <c r="S85" s="35"/>
      <c r="T85" s="35"/>
      <c r="U85" s="35"/>
      <c r="V85" s="35"/>
      <c r="W85" s="35"/>
      <c r="X85" s="34"/>
      <c r="Y85" s="34"/>
      <c r="Z85" s="34"/>
      <c r="AA85" s="34"/>
      <c r="AB85" s="35"/>
      <c r="AC85" s="35"/>
      <c r="AD85" s="34"/>
      <c r="AE85" s="34"/>
      <c r="AF85" s="27">
        <f t="shared" si="18"/>
        <v>-350</v>
      </c>
      <c r="AG85" s="28">
        <f t="shared" si="19"/>
        <v>0</v>
      </c>
    </row>
    <row r="86" spans="1:33" s="12" customFormat="1" ht="23.25" hidden="1" customHeight="1" x14ac:dyDescent="0.2">
      <c r="A86" s="64">
        <v>43665</v>
      </c>
      <c r="B86" s="31"/>
      <c r="C86" s="25" t="s">
        <v>56</v>
      </c>
      <c r="D86" s="25"/>
      <c r="E86" s="25"/>
      <c r="F86" s="26"/>
      <c r="G86" s="25" t="s">
        <v>218</v>
      </c>
      <c r="H86" s="71">
        <v>50</v>
      </c>
      <c r="I86" s="71"/>
      <c r="J86" s="71"/>
      <c r="K86" s="71"/>
      <c r="L86" s="33"/>
      <c r="M86" s="27">
        <f t="shared" si="13"/>
        <v>50</v>
      </c>
      <c r="N86" s="27">
        <f t="shared" si="14"/>
        <v>0</v>
      </c>
      <c r="O86" s="27">
        <f t="shared" si="15"/>
        <v>0</v>
      </c>
      <c r="P86" s="27"/>
      <c r="Q86" s="34"/>
      <c r="R86" s="34"/>
      <c r="S86" s="35"/>
      <c r="T86" s="35"/>
      <c r="U86" s="35"/>
      <c r="V86" s="35"/>
      <c r="W86" s="35"/>
      <c r="X86" s="34"/>
      <c r="Y86" s="34"/>
      <c r="Z86" s="34"/>
      <c r="AA86" s="34">
        <v>50</v>
      </c>
      <c r="AB86" s="35"/>
      <c r="AC86" s="35"/>
      <c r="AD86" s="34"/>
      <c r="AE86" s="34"/>
      <c r="AF86" s="27">
        <f t="shared" si="18"/>
        <v>-50</v>
      </c>
      <c r="AG86" s="28">
        <f t="shared" si="19"/>
        <v>0</v>
      </c>
    </row>
    <row r="87" spans="1:33" s="12" customFormat="1" ht="24.75" hidden="1" customHeight="1" x14ac:dyDescent="0.2">
      <c r="A87" s="64">
        <v>43664</v>
      </c>
      <c r="B87" s="31"/>
      <c r="C87" s="25" t="s">
        <v>42</v>
      </c>
      <c r="D87" s="25" t="s">
        <v>43</v>
      </c>
      <c r="E87" s="25" t="s">
        <v>44</v>
      </c>
      <c r="F87" s="26">
        <v>153044</v>
      </c>
      <c r="G87" s="29" t="s">
        <v>45</v>
      </c>
      <c r="H87" s="71"/>
      <c r="I87" s="71"/>
      <c r="J87" s="71"/>
      <c r="K87" s="71">
        <v>180</v>
      </c>
      <c r="L87" s="33"/>
      <c r="M87" s="27">
        <f t="shared" si="13"/>
        <v>160.71428571428569</v>
      </c>
      <c r="N87" s="27">
        <f t="shared" si="14"/>
        <v>19.285714285714281</v>
      </c>
      <c r="O87" s="27">
        <f t="shared" si="15"/>
        <v>0</v>
      </c>
      <c r="P87" s="27"/>
      <c r="Q87" s="34">
        <v>160.71</v>
      </c>
      <c r="R87" s="34"/>
      <c r="S87" s="35"/>
      <c r="T87" s="35"/>
      <c r="U87" s="35"/>
      <c r="V87" s="35"/>
      <c r="W87" s="35"/>
      <c r="X87" s="34"/>
      <c r="Y87" s="34"/>
      <c r="Z87" s="34"/>
      <c r="AA87" s="34"/>
      <c r="AB87" s="35"/>
      <c r="AC87" s="35"/>
      <c r="AD87" s="34"/>
      <c r="AE87" s="34"/>
      <c r="AF87" s="27">
        <f t="shared" si="18"/>
        <v>-179.99571428571429</v>
      </c>
      <c r="AG87" s="28">
        <f t="shared" si="19"/>
        <v>4.2857142857144481E-3</v>
      </c>
    </row>
    <row r="88" spans="1:33" s="12" customFormat="1" ht="24.75" hidden="1" customHeight="1" x14ac:dyDescent="0.2">
      <c r="A88" s="64">
        <v>43665</v>
      </c>
      <c r="B88" s="31"/>
      <c r="C88" s="25" t="s">
        <v>46</v>
      </c>
      <c r="D88" s="25" t="s">
        <v>47</v>
      </c>
      <c r="E88" s="25" t="s">
        <v>37</v>
      </c>
      <c r="F88" s="26">
        <v>36498</v>
      </c>
      <c r="G88" s="29" t="s">
        <v>219</v>
      </c>
      <c r="H88" s="71"/>
      <c r="I88" s="71"/>
      <c r="J88" s="71"/>
      <c r="K88" s="71">
        <v>296</v>
      </c>
      <c r="L88" s="33"/>
      <c r="M88" s="27">
        <f t="shared" si="13"/>
        <v>264.28571428571428</v>
      </c>
      <c r="N88" s="27">
        <f t="shared" si="14"/>
        <v>31.714285714285712</v>
      </c>
      <c r="O88" s="27">
        <f t="shared" si="15"/>
        <v>0</v>
      </c>
      <c r="P88" s="27">
        <v>264.29000000000002</v>
      </c>
      <c r="Q88" s="34"/>
      <c r="R88" s="34"/>
      <c r="S88" s="35"/>
      <c r="T88" s="35"/>
      <c r="U88" s="35"/>
      <c r="V88" s="35"/>
      <c r="W88" s="35"/>
      <c r="X88" s="34"/>
      <c r="Y88" s="34"/>
      <c r="Z88" s="34"/>
      <c r="AA88" s="34"/>
      <c r="AB88" s="35"/>
      <c r="AC88" s="35"/>
      <c r="AD88" s="34"/>
      <c r="AE88" s="34"/>
      <c r="AF88" s="27">
        <f t="shared" ref="AF88:AF90" si="20">-SUM(N88:AE88)</f>
        <v>-296.00428571428574</v>
      </c>
      <c r="AG88" s="28">
        <f t="shared" ref="AG88:AG90" si="21">SUM(H88:K88)+AF88+O88</f>
        <v>-4.2857142857428698E-3</v>
      </c>
    </row>
    <row r="89" spans="1:33" s="12" customFormat="1" ht="24.75" hidden="1" customHeight="1" x14ac:dyDescent="0.2">
      <c r="A89" s="64">
        <v>43665</v>
      </c>
      <c r="B89" s="31"/>
      <c r="C89" s="25" t="s">
        <v>144</v>
      </c>
      <c r="D89" s="25" t="s">
        <v>145</v>
      </c>
      <c r="E89" s="25" t="s">
        <v>40</v>
      </c>
      <c r="F89" s="26">
        <v>58157</v>
      </c>
      <c r="G89" s="29" t="s">
        <v>220</v>
      </c>
      <c r="H89" s="71"/>
      <c r="I89" s="71"/>
      <c r="J89" s="71"/>
      <c r="K89" s="71">
        <v>446.69</v>
      </c>
      <c r="L89" s="33"/>
      <c r="M89" s="27">
        <f t="shared" si="13"/>
        <v>398.83035714285711</v>
      </c>
      <c r="N89" s="27">
        <f t="shared" si="14"/>
        <v>47.859642857142852</v>
      </c>
      <c r="O89" s="27">
        <f t="shared" si="15"/>
        <v>0</v>
      </c>
      <c r="P89" s="27">
        <v>398.83</v>
      </c>
      <c r="Q89" s="34"/>
      <c r="R89" s="34"/>
      <c r="S89" s="35"/>
      <c r="T89" s="35"/>
      <c r="U89" s="35"/>
      <c r="V89" s="35"/>
      <c r="W89" s="35"/>
      <c r="X89" s="34"/>
      <c r="Y89" s="34"/>
      <c r="Z89" s="34"/>
      <c r="AA89" s="34"/>
      <c r="AB89" s="35"/>
      <c r="AC89" s="35"/>
      <c r="AD89" s="34"/>
      <c r="AE89" s="34"/>
      <c r="AF89" s="27">
        <f t="shared" si="20"/>
        <v>-446.68964285714281</v>
      </c>
      <c r="AG89" s="28">
        <f t="shared" si="21"/>
        <v>3.5714285718313477E-4</v>
      </c>
    </row>
    <row r="90" spans="1:33" s="12" customFormat="1" ht="24.75" hidden="1" customHeight="1" x14ac:dyDescent="0.2">
      <c r="A90" s="64">
        <v>43666</v>
      </c>
      <c r="B90" s="31"/>
      <c r="C90" s="25" t="s">
        <v>38</v>
      </c>
      <c r="D90" s="25" t="s">
        <v>39</v>
      </c>
      <c r="E90" s="25" t="s">
        <v>40</v>
      </c>
      <c r="F90" s="26">
        <v>164437</v>
      </c>
      <c r="G90" s="29" t="s">
        <v>221</v>
      </c>
      <c r="H90" s="71"/>
      <c r="I90" s="71"/>
      <c r="J90" s="71"/>
      <c r="K90" s="71">
        <f>1952.14+234.26</f>
        <v>2186.4</v>
      </c>
      <c r="L90" s="33"/>
      <c r="M90" s="27">
        <f t="shared" si="13"/>
        <v>1952.1428571428571</v>
      </c>
      <c r="N90" s="27">
        <f t="shared" si="14"/>
        <v>234.25714285714284</v>
      </c>
      <c r="O90" s="27">
        <f t="shared" si="15"/>
        <v>0</v>
      </c>
      <c r="P90" s="27">
        <v>1952.14</v>
      </c>
      <c r="Q90" s="34"/>
      <c r="R90" s="34"/>
      <c r="S90" s="35"/>
      <c r="T90" s="35"/>
      <c r="U90" s="35"/>
      <c r="V90" s="35"/>
      <c r="W90" s="35"/>
      <c r="X90" s="34"/>
      <c r="Y90" s="34"/>
      <c r="Z90" s="34"/>
      <c r="AA90" s="34"/>
      <c r="AB90" s="35"/>
      <c r="AC90" s="35"/>
      <c r="AD90" s="34"/>
      <c r="AE90" s="34"/>
      <c r="AF90" s="27">
        <f t="shared" si="20"/>
        <v>-2186.3971428571431</v>
      </c>
      <c r="AG90" s="28">
        <f t="shared" si="21"/>
        <v>2.8571428570103308E-3</v>
      </c>
    </row>
    <row r="91" spans="1:33" s="57" customFormat="1" ht="24.75" hidden="1" customHeight="1" x14ac:dyDescent="0.2">
      <c r="A91" s="65">
        <v>43666</v>
      </c>
      <c r="B91" s="58"/>
      <c r="C91" s="50" t="s">
        <v>38</v>
      </c>
      <c r="D91" s="50" t="s">
        <v>39</v>
      </c>
      <c r="E91" s="50" t="s">
        <v>40</v>
      </c>
      <c r="F91" s="51">
        <v>164437</v>
      </c>
      <c r="G91" s="49" t="s">
        <v>222</v>
      </c>
      <c r="H91" s="72"/>
      <c r="I91" s="72"/>
      <c r="J91" s="72">
        <v>228.05</v>
      </c>
      <c r="K91" s="72"/>
      <c r="L91" s="52"/>
      <c r="M91" s="53">
        <f t="shared" si="13"/>
        <v>228.05</v>
      </c>
      <c r="N91" s="53">
        <f t="shared" si="14"/>
        <v>0</v>
      </c>
      <c r="O91" s="53">
        <f t="shared" si="15"/>
        <v>0</v>
      </c>
      <c r="P91" s="53">
        <v>228.05</v>
      </c>
      <c r="Q91" s="54"/>
      <c r="R91" s="54"/>
      <c r="S91" s="55"/>
      <c r="T91" s="55"/>
      <c r="U91" s="55"/>
      <c r="V91" s="55"/>
      <c r="W91" s="55"/>
      <c r="X91" s="54"/>
      <c r="Y91" s="54"/>
      <c r="Z91" s="54"/>
      <c r="AA91" s="54"/>
      <c r="AB91" s="55"/>
      <c r="AC91" s="55"/>
      <c r="AD91" s="54"/>
      <c r="AE91" s="54"/>
      <c r="AF91" s="53">
        <f t="shared" ref="AF91:AF109" si="22">-SUM(N91:AE91)</f>
        <v>-228.05</v>
      </c>
      <c r="AG91" s="56">
        <f t="shared" ref="AG91:AG109" si="23">SUM(H91:K91)+AF91+O91</f>
        <v>0</v>
      </c>
    </row>
    <row r="92" spans="1:33" s="12" customFormat="1" ht="23.25" hidden="1" customHeight="1" x14ac:dyDescent="0.2">
      <c r="A92" s="64">
        <v>43662</v>
      </c>
      <c r="B92" s="31"/>
      <c r="C92" s="25" t="s">
        <v>223</v>
      </c>
      <c r="D92" s="25"/>
      <c r="E92" s="25"/>
      <c r="F92" s="26"/>
      <c r="G92" s="59" t="s">
        <v>224</v>
      </c>
      <c r="H92" s="71"/>
      <c r="I92" s="71"/>
      <c r="J92" s="71">
        <v>1200</v>
      </c>
      <c r="K92" s="71"/>
      <c r="L92" s="33"/>
      <c r="M92" s="27">
        <f t="shared" si="13"/>
        <v>1200</v>
      </c>
      <c r="N92" s="27">
        <f t="shared" si="14"/>
        <v>0</v>
      </c>
      <c r="O92" s="27">
        <f t="shared" si="15"/>
        <v>0</v>
      </c>
      <c r="P92" s="27">
        <v>1200</v>
      </c>
      <c r="Q92" s="34"/>
      <c r="R92" s="34"/>
      <c r="S92" s="35"/>
      <c r="T92" s="35"/>
      <c r="U92" s="35"/>
      <c r="V92" s="35"/>
      <c r="W92" s="35"/>
      <c r="X92" s="34"/>
      <c r="Y92" s="34"/>
      <c r="Z92" s="34"/>
      <c r="AA92" s="34"/>
      <c r="AB92" s="35"/>
      <c r="AC92" s="35"/>
      <c r="AD92" s="34"/>
      <c r="AE92" s="34"/>
      <c r="AF92" s="27">
        <f t="shared" si="22"/>
        <v>-1200</v>
      </c>
      <c r="AG92" s="28">
        <f t="shared" si="23"/>
        <v>0</v>
      </c>
    </row>
    <row r="93" spans="1:33" s="12" customFormat="1" ht="24.75" hidden="1" customHeight="1" x14ac:dyDescent="0.2">
      <c r="A93" s="64">
        <v>43666</v>
      </c>
      <c r="B93" s="31"/>
      <c r="C93" s="25" t="s">
        <v>52</v>
      </c>
      <c r="D93" s="25"/>
      <c r="E93" s="25"/>
      <c r="F93" s="26"/>
      <c r="G93" s="29" t="s">
        <v>53</v>
      </c>
      <c r="H93" s="71">
        <v>537</v>
      </c>
      <c r="I93" s="71"/>
      <c r="J93" s="71"/>
      <c r="K93" s="71"/>
      <c r="L93" s="33"/>
      <c r="M93" s="27">
        <f t="shared" si="13"/>
        <v>537</v>
      </c>
      <c r="N93" s="27">
        <f t="shared" si="14"/>
        <v>0</v>
      </c>
      <c r="O93" s="27">
        <f t="shared" si="15"/>
        <v>0</v>
      </c>
      <c r="P93" s="27"/>
      <c r="Q93" s="34"/>
      <c r="R93" s="34"/>
      <c r="S93" s="35"/>
      <c r="T93" s="35"/>
      <c r="U93" s="35"/>
      <c r="V93" s="35"/>
      <c r="W93" s="35"/>
      <c r="X93" s="34"/>
      <c r="Y93" s="34"/>
      <c r="Z93" s="34"/>
      <c r="AA93" s="34"/>
      <c r="AB93" s="35">
        <v>537</v>
      </c>
      <c r="AC93" s="35"/>
      <c r="AD93" s="34"/>
      <c r="AE93" s="34"/>
      <c r="AF93" s="27">
        <f t="shared" si="22"/>
        <v>-537</v>
      </c>
      <c r="AG93" s="28">
        <f t="shared" si="23"/>
        <v>0</v>
      </c>
    </row>
    <row r="94" spans="1:33" s="12" customFormat="1" ht="23.25" hidden="1" customHeight="1" x14ac:dyDescent="0.2">
      <c r="A94" s="64">
        <v>43668</v>
      </c>
      <c r="B94" s="31"/>
      <c r="C94" s="25" t="s">
        <v>138</v>
      </c>
      <c r="D94" s="25" t="s">
        <v>225</v>
      </c>
      <c r="E94" s="25" t="s">
        <v>40</v>
      </c>
      <c r="F94" s="26">
        <v>718434</v>
      </c>
      <c r="G94" s="59" t="s">
        <v>226</v>
      </c>
      <c r="H94" s="71"/>
      <c r="I94" s="71"/>
      <c r="J94" s="71"/>
      <c r="K94" s="71">
        <v>950</v>
      </c>
      <c r="L94" s="33"/>
      <c r="M94" s="27">
        <f t="shared" si="13"/>
        <v>848.21428571428567</v>
      </c>
      <c r="N94" s="27">
        <f t="shared" si="14"/>
        <v>101.78571428571428</v>
      </c>
      <c r="O94" s="27">
        <f t="shared" si="15"/>
        <v>0</v>
      </c>
      <c r="P94" s="27"/>
      <c r="Q94" s="34"/>
      <c r="R94" s="34"/>
      <c r="S94" s="35"/>
      <c r="T94" s="35">
        <v>848.21</v>
      </c>
      <c r="U94" s="35"/>
      <c r="V94" s="35"/>
      <c r="W94" s="35"/>
      <c r="X94" s="34"/>
      <c r="Y94" s="34"/>
      <c r="Z94" s="34"/>
      <c r="AA94" s="34"/>
      <c r="AB94" s="35"/>
      <c r="AC94" s="35"/>
      <c r="AD94" s="34"/>
      <c r="AE94" s="34"/>
      <c r="AF94" s="27">
        <f t="shared" si="22"/>
        <v>-949.99571428571426</v>
      </c>
      <c r="AG94" s="28">
        <f t="shared" si="23"/>
        <v>4.2857142857428698E-3</v>
      </c>
    </row>
    <row r="95" spans="1:33" s="12" customFormat="1" ht="24.75" hidden="1" customHeight="1" x14ac:dyDescent="0.2">
      <c r="A95" s="64">
        <v>43668</v>
      </c>
      <c r="B95" s="31"/>
      <c r="C95" s="25" t="s">
        <v>42</v>
      </c>
      <c r="D95" s="25" t="s">
        <v>43</v>
      </c>
      <c r="E95" s="25" t="s">
        <v>44</v>
      </c>
      <c r="F95" s="26">
        <v>174624</v>
      </c>
      <c r="G95" s="29" t="s">
        <v>45</v>
      </c>
      <c r="H95" s="71"/>
      <c r="I95" s="71"/>
      <c r="J95" s="71"/>
      <c r="K95" s="71">
        <v>180</v>
      </c>
      <c r="L95" s="33"/>
      <c r="M95" s="27">
        <f t="shared" si="13"/>
        <v>160.71428571428569</v>
      </c>
      <c r="N95" s="27">
        <f t="shared" si="14"/>
        <v>19.285714285714281</v>
      </c>
      <c r="O95" s="27">
        <f t="shared" si="15"/>
        <v>0</v>
      </c>
      <c r="P95" s="27"/>
      <c r="Q95" s="34">
        <v>160.71</v>
      </c>
      <c r="R95" s="34"/>
      <c r="S95" s="35"/>
      <c r="T95" s="35"/>
      <c r="U95" s="35"/>
      <c r="V95" s="35"/>
      <c r="W95" s="35"/>
      <c r="X95" s="34"/>
      <c r="Y95" s="34"/>
      <c r="Z95" s="34"/>
      <c r="AA95" s="34"/>
      <c r="AB95" s="35"/>
      <c r="AC95" s="35"/>
      <c r="AD95" s="34"/>
      <c r="AE95" s="34"/>
      <c r="AF95" s="27">
        <f t="shared" si="22"/>
        <v>-179.99571428571429</v>
      </c>
      <c r="AG95" s="28">
        <f t="shared" si="23"/>
        <v>4.2857142857144481E-3</v>
      </c>
    </row>
    <row r="96" spans="1:33" s="12" customFormat="1" ht="23.25" hidden="1" customHeight="1" x14ac:dyDescent="0.2">
      <c r="A96" s="64">
        <v>43669</v>
      </c>
      <c r="B96" s="31"/>
      <c r="C96" s="25" t="s">
        <v>38</v>
      </c>
      <c r="D96" s="25" t="s">
        <v>39</v>
      </c>
      <c r="E96" s="25" t="s">
        <v>40</v>
      </c>
      <c r="F96" s="26">
        <v>156051</v>
      </c>
      <c r="G96" s="25" t="s">
        <v>227</v>
      </c>
      <c r="H96" s="71"/>
      <c r="I96" s="71"/>
      <c r="J96" s="71"/>
      <c r="K96" s="71">
        <v>773.65</v>
      </c>
      <c r="L96" s="33"/>
      <c r="M96" s="27">
        <f t="shared" si="13"/>
        <v>690.75892857142844</v>
      </c>
      <c r="N96" s="27">
        <f t="shared" si="14"/>
        <v>82.891071428571408</v>
      </c>
      <c r="O96" s="27">
        <f t="shared" si="15"/>
        <v>0</v>
      </c>
      <c r="P96" s="27">
        <v>690.76</v>
      </c>
      <c r="Q96" s="34"/>
      <c r="R96" s="34"/>
      <c r="S96" s="35"/>
      <c r="T96" s="35"/>
      <c r="U96" s="35"/>
      <c r="V96" s="35"/>
      <c r="W96" s="35"/>
      <c r="X96" s="34"/>
      <c r="Y96" s="34"/>
      <c r="Z96" s="34"/>
      <c r="AA96" s="34"/>
      <c r="AB96" s="35"/>
      <c r="AC96" s="35"/>
      <c r="AD96" s="34"/>
      <c r="AE96" s="34"/>
      <c r="AF96" s="27">
        <f t="shared" si="22"/>
        <v>-773.65107142857141</v>
      </c>
      <c r="AG96" s="28">
        <f t="shared" si="23"/>
        <v>-1.0714285714357175E-3</v>
      </c>
    </row>
    <row r="97" spans="1:33" s="12" customFormat="1" ht="24.75" hidden="1" customHeight="1" x14ac:dyDescent="0.2">
      <c r="A97" s="64">
        <v>43668</v>
      </c>
      <c r="B97" s="31"/>
      <c r="C97" s="25" t="s">
        <v>42</v>
      </c>
      <c r="D97" s="25" t="s">
        <v>43</v>
      </c>
      <c r="E97" s="25" t="s">
        <v>44</v>
      </c>
      <c r="F97" s="26">
        <v>174672</v>
      </c>
      <c r="G97" s="29" t="s">
        <v>45</v>
      </c>
      <c r="H97" s="71"/>
      <c r="I97" s="71"/>
      <c r="J97" s="71"/>
      <c r="K97" s="71">
        <v>180</v>
      </c>
      <c r="L97" s="33"/>
      <c r="M97" s="27">
        <f t="shared" si="13"/>
        <v>160.71428571428569</v>
      </c>
      <c r="N97" s="27">
        <f t="shared" si="14"/>
        <v>19.285714285714281</v>
      </c>
      <c r="O97" s="27">
        <f t="shared" si="15"/>
        <v>0</v>
      </c>
      <c r="P97" s="27"/>
      <c r="Q97" s="34">
        <v>160.71</v>
      </c>
      <c r="R97" s="34"/>
      <c r="S97" s="35"/>
      <c r="T97" s="35"/>
      <c r="U97" s="35"/>
      <c r="V97" s="35"/>
      <c r="W97" s="35"/>
      <c r="X97" s="34"/>
      <c r="Y97" s="34"/>
      <c r="Z97" s="34"/>
      <c r="AA97" s="34"/>
      <c r="AB97" s="35"/>
      <c r="AC97" s="35"/>
      <c r="AD97" s="34"/>
      <c r="AE97" s="34"/>
      <c r="AF97" s="27">
        <f t="shared" si="22"/>
        <v>-179.99571428571429</v>
      </c>
      <c r="AG97" s="28">
        <f t="shared" si="23"/>
        <v>4.2857142857144481E-3</v>
      </c>
    </row>
    <row r="98" spans="1:33" s="12" customFormat="1" ht="24.75" hidden="1" customHeight="1" x14ac:dyDescent="0.2">
      <c r="A98" s="64">
        <v>43669</v>
      </c>
      <c r="B98" s="31"/>
      <c r="C98" s="25" t="s">
        <v>38</v>
      </c>
      <c r="D98" s="25" t="s">
        <v>39</v>
      </c>
      <c r="E98" s="25" t="s">
        <v>40</v>
      </c>
      <c r="F98" s="26">
        <v>185599</v>
      </c>
      <c r="G98" s="29" t="s">
        <v>228</v>
      </c>
      <c r="H98" s="71"/>
      <c r="I98" s="71"/>
      <c r="J98" s="71"/>
      <c r="K98" s="71">
        <f>969.2+116.3</f>
        <v>1085.5</v>
      </c>
      <c r="L98" s="33"/>
      <c r="M98" s="27">
        <f t="shared" si="13"/>
        <v>969.19642857142844</v>
      </c>
      <c r="N98" s="27">
        <f t="shared" si="14"/>
        <v>116.3035714285714</v>
      </c>
      <c r="O98" s="27">
        <f t="shared" si="15"/>
        <v>0</v>
      </c>
      <c r="P98" s="27">
        <v>969.2</v>
      </c>
      <c r="Q98" s="34"/>
      <c r="R98" s="34"/>
      <c r="S98" s="35"/>
      <c r="T98" s="35"/>
      <c r="U98" s="35"/>
      <c r="V98" s="35"/>
      <c r="W98" s="35"/>
      <c r="X98" s="34"/>
      <c r="Y98" s="34"/>
      <c r="Z98" s="34"/>
      <c r="AA98" s="34"/>
      <c r="AB98" s="35"/>
      <c r="AC98" s="35"/>
      <c r="AD98" s="34"/>
      <c r="AE98" s="34"/>
      <c r="AF98" s="27">
        <f t="shared" si="22"/>
        <v>-1085.5035714285714</v>
      </c>
      <c r="AG98" s="28">
        <f t="shared" si="23"/>
        <v>-3.5714285713766003E-3</v>
      </c>
    </row>
    <row r="99" spans="1:33" s="12" customFormat="1" ht="24.75" hidden="1" customHeight="1" x14ac:dyDescent="0.2">
      <c r="A99" s="64">
        <v>43669</v>
      </c>
      <c r="B99" s="31"/>
      <c r="C99" s="25" t="s">
        <v>38</v>
      </c>
      <c r="D99" s="25" t="s">
        <v>39</v>
      </c>
      <c r="E99" s="25" t="s">
        <v>40</v>
      </c>
      <c r="F99" s="26">
        <v>185599</v>
      </c>
      <c r="G99" s="29" t="s">
        <v>229</v>
      </c>
      <c r="H99" s="71"/>
      <c r="I99" s="71"/>
      <c r="J99" s="71">
        <v>261.2</v>
      </c>
      <c r="K99" s="71"/>
      <c r="L99" s="33"/>
      <c r="M99" s="27">
        <f t="shared" si="13"/>
        <v>261.2</v>
      </c>
      <c r="N99" s="27">
        <f t="shared" si="14"/>
        <v>0</v>
      </c>
      <c r="O99" s="27">
        <f t="shared" si="15"/>
        <v>0</v>
      </c>
      <c r="P99" s="27">
        <v>261.2</v>
      </c>
      <c r="Q99" s="34"/>
      <c r="R99" s="34"/>
      <c r="S99" s="35"/>
      <c r="T99" s="35"/>
      <c r="U99" s="35"/>
      <c r="V99" s="35"/>
      <c r="W99" s="35"/>
      <c r="X99" s="34"/>
      <c r="Y99" s="34"/>
      <c r="Z99" s="34"/>
      <c r="AA99" s="34"/>
      <c r="AB99" s="35"/>
      <c r="AC99" s="35"/>
      <c r="AD99" s="34"/>
      <c r="AE99" s="34"/>
      <c r="AF99" s="27">
        <f t="shared" si="22"/>
        <v>-261.2</v>
      </c>
      <c r="AG99" s="28">
        <f t="shared" si="23"/>
        <v>0</v>
      </c>
    </row>
    <row r="100" spans="1:33" s="12" customFormat="1" ht="24.75" hidden="1" customHeight="1" x14ac:dyDescent="0.2">
      <c r="A100" s="64">
        <v>43670</v>
      </c>
      <c r="B100" s="31"/>
      <c r="C100" s="25" t="s">
        <v>46</v>
      </c>
      <c r="D100" s="25" t="s">
        <v>47</v>
      </c>
      <c r="E100" s="25" t="s">
        <v>37</v>
      </c>
      <c r="F100" s="26">
        <v>36529</v>
      </c>
      <c r="G100" s="29" t="s">
        <v>217</v>
      </c>
      <c r="H100" s="71"/>
      <c r="I100" s="71"/>
      <c r="J100" s="71"/>
      <c r="K100" s="71">
        <v>350</v>
      </c>
      <c r="L100" s="33"/>
      <c r="M100" s="27">
        <f t="shared" si="13"/>
        <v>312.49999999999994</v>
      </c>
      <c r="N100" s="27">
        <f t="shared" si="14"/>
        <v>37.499999999999993</v>
      </c>
      <c r="O100" s="27">
        <f t="shared" si="15"/>
        <v>0</v>
      </c>
      <c r="P100" s="27"/>
      <c r="Q100" s="34">
        <v>312.5</v>
      </c>
      <c r="R100" s="34"/>
      <c r="S100" s="35"/>
      <c r="T100" s="35"/>
      <c r="U100" s="35"/>
      <c r="V100" s="35"/>
      <c r="W100" s="35"/>
      <c r="X100" s="34"/>
      <c r="Y100" s="34"/>
      <c r="Z100" s="34"/>
      <c r="AA100" s="34"/>
      <c r="AB100" s="35"/>
      <c r="AC100" s="35"/>
      <c r="AD100" s="34"/>
      <c r="AE100" s="34"/>
      <c r="AF100" s="27">
        <f t="shared" si="22"/>
        <v>-350</v>
      </c>
      <c r="AG100" s="28">
        <f t="shared" si="23"/>
        <v>0</v>
      </c>
    </row>
    <row r="101" spans="1:33" s="12" customFormat="1" ht="24.75" hidden="1" customHeight="1" x14ac:dyDescent="0.2">
      <c r="A101" s="64">
        <v>43670</v>
      </c>
      <c r="B101" s="31"/>
      <c r="C101" s="25" t="s">
        <v>41</v>
      </c>
      <c r="D101" s="25"/>
      <c r="E101" s="25"/>
      <c r="F101" s="26"/>
      <c r="G101" s="29" t="s">
        <v>202</v>
      </c>
      <c r="H101" s="71">
        <v>40</v>
      </c>
      <c r="I101" s="71"/>
      <c r="J101" s="71"/>
      <c r="K101" s="71"/>
      <c r="L101" s="33"/>
      <c r="M101" s="27">
        <f t="shared" si="13"/>
        <v>40</v>
      </c>
      <c r="N101" s="27">
        <f t="shared" si="14"/>
        <v>0</v>
      </c>
      <c r="O101" s="27">
        <f t="shared" si="15"/>
        <v>0</v>
      </c>
      <c r="P101" s="27"/>
      <c r="Q101" s="34"/>
      <c r="R101" s="34"/>
      <c r="S101" s="35"/>
      <c r="T101" s="35"/>
      <c r="U101" s="35"/>
      <c r="V101" s="35"/>
      <c r="W101" s="35"/>
      <c r="X101" s="34"/>
      <c r="Y101" s="34"/>
      <c r="Z101" s="34"/>
      <c r="AA101" s="34">
        <v>40</v>
      </c>
      <c r="AB101" s="35"/>
      <c r="AC101" s="35"/>
      <c r="AD101" s="34"/>
      <c r="AE101" s="34"/>
      <c r="AF101" s="27">
        <f t="shared" si="22"/>
        <v>-40</v>
      </c>
      <c r="AG101" s="28">
        <f t="shared" si="23"/>
        <v>0</v>
      </c>
    </row>
    <row r="102" spans="1:33" s="12" customFormat="1" ht="24.75" hidden="1" customHeight="1" x14ac:dyDescent="0.2">
      <c r="A102" s="64">
        <v>43670</v>
      </c>
      <c r="B102" s="31"/>
      <c r="C102" s="25" t="s">
        <v>84</v>
      </c>
      <c r="D102" s="25"/>
      <c r="E102" s="25"/>
      <c r="F102" s="26"/>
      <c r="G102" s="29" t="s">
        <v>203</v>
      </c>
      <c r="H102" s="71"/>
      <c r="I102" s="71"/>
      <c r="J102" s="71">
        <v>1150</v>
      </c>
      <c r="K102" s="71"/>
      <c r="L102" s="33"/>
      <c r="M102" s="27">
        <f t="shared" si="13"/>
        <v>1150</v>
      </c>
      <c r="N102" s="27">
        <f t="shared" si="14"/>
        <v>0</v>
      </c>
      <c r="O102" s="27">
        <f t="shared" si="15"/>
        <v>0</v>
      </c>
      <c r="P102" s="27">
        <v>1150</v>
      </c>
      <c r="Q102" s="34"/>
      <c r="R102" s="34"/>
      <c r="S102" s="35"/>
      <c r="T102" s="35"/>
      <c r="U102" s="35"/>
      <c r="V102" s="35"/>
      <c r="W102" s="35"/>
      <c r="X102" s="34"/>
      <c r="Y102" s="34"/>
      <c r="Z102" s="34"/>
      <c r="AA102" s="34"/>
      <c r="AB102" s="35"/>
      <c r="AC102" s="35"/>
      <c r="AD102" s="34"/>
      <c r="AE102" s="34"/>
      <c r="AF102" s="27">
        <f t="shared" si="22"/>
        <v>-1150</v>
      </c>
      <c r="AG102" s="28">
        <f t="shared" si="23"/>
        <v>0</v>
      </c>
    </row>
    <row r="103" spans="1:33" s="12" customFormat="1" ht="24.75" hidden="1" customHeight="1" x14ac:dyDescent="0.2">
      <c r="A103" s="64">
        <v>43670</v>
      </c>
      <c r="B103" s="31"/>
      <c r="C103" s="25" t="s">
        <v>42</v>
      </c>
      <c r="D103" s="25" t="s">
        <v>43</v>
      </c>
      <c r="E103" s="25" t="s">
        <v>44</v>
      </c>
      <c r="F103" s="26">
        <v>179719</v>
      </c>
      <c r="G103" s="29" t="s">
        <v>45</v>
      </c>
      <c r="H103" s="71"/>
      <c r="I103" s="71"/>
      <c r="J103" s="71"/>
      <c r="K103" s="71">
        <v>180</v>
      </c>
      <c r="L103" s="33"/>
      <c r="M103" s="27">
        <f t="shared" si="13"/>
        <v>160.71428571428569</v>
      </c>
      <c r="N103" s="27">
        <f t="shared" si="14"/>
        <v>19.285714285714281</v>
      </c>
      <c r="O103" s="27">
        <f t="shared" si="15"/>
        <v>0</v>
      </c>
      <c r="P103" s="27"/>
      <c r="Q103" s="34">
        <v>160.71</v>
      </c>
      <c r="R103" s="34"/>
      <c r="S103" s="35"/>
      <c r="T103" s="35"/>
      <c r="U103" s="35"/>
      <c r="V103" s="35"/>
      <c r="W103" s="35"/>
      <c r="X103" s="34"/>
      <c r="Y103" s="34"/>
      <c r="Z103" s="34"/>
      <c r="AA103" s="34"/>
      <c r="AB103" s="35"/>
      <c r="AC103" s="35"/>
      <c r="AD103" s="34"/>
      <c r="AE103" s="34"/>
      <c r="AF103" s="27">
        <f t="shared" si="22"/>
        <v>-179.99571428571429</v>
      </c>
      <c r="AG103" s="28">
        <f t="shared" si="23"/>
        <v>4.2857142857144481E-3</v>
      </c>
    </row>
    <row r="104" spans="1:33" s="12" customFormat="1" ht="24.75" hidden="1" customHeight="1" x14ac:dyDescent="0.2">
      <c r="A104" s="64">
        <v>43670</v>
      </c>
      <c r="B104" s="31"/>
      <c r="C104" s="25" t="s">
        <v>54</v>
      </c>
      <c r="D104" s="25" t="s">
        <v>55</v>
      </c>
      <c r="E104" s="25" t="s">
        <v>57</v>
      </c>
      <c r="F104" s="26">
        <v>3275</v>
      </c>
      <c r="G104" s="29" t="s">
        <v>230</v>
      </c>
      <c r="H104" s="71"/>
      <c r="I104" s="71"/>
      <c r="J104" s="71">
        <v>900</v>
      </c>
      <c r="K104" s="71"/>
      <c r="L104" s="33"/>
      <c r="M104" s="27">
        <f t="shared" si="13"/>
        <v>900</v>
      </c>
      <c r="N104" s="27">
        <f t="shared" si="14"/>
        <v>0</v>
      </c>
      <c r="O104" s="27">
        <f t="shared" si="15"/>
        <v>0</v>
      </c>
      <c r="P104" s="27">
        <v>900</v>
      </c>
      <c r="Q104" s="34"/>
      <c r="R104" s="34"/>
      <c r="S104" s="35"/>
      <c r="T104" s="35"/>
      <c r="U104" s="35"/>
      <c r="V104" s="35"/>
      <c r="W104" s="35"/>
      <c r="X104" s="34"/>
      <c r="Y104" s="34"/>
      <c r="Z104" s="34"/>
      <c r="AA104" s="34"/>
      <c r="AB104" s="35"/>
      <c r="AC104" s="35"/>
      <c r="AD104" s="34"/>
      <c r="AE104" s="34"/>
      <c r="AF104" s="27">
        <f t="shared" si="22"/>
        <v>-900</v>
      </c>
      <c r="AG104" s="28">
        <f t="shared" si="23"/>
        <v>0</v>
      </c>
    </row>
    <row r="105" spans="1:33" s="12" customFormat="1" ht="23.25" hidden="1" customHeight="1" x14ac:dyDescent="0.2">
      <c r="A105" s="64">
        <v>43670</v>
      </c>
      <c r="B105" s="31"/>
      <c r="C105" s="25" t="s">
        <v>56</v>
      </c>
      <c r="D105" s="25"/>
      <c r="E105" s="25"/>
      <c r="F105" s="26"/>
      <c r="G105" s="29" t="s">
        <v>231</v>
      </c>
      <c r="H105" s="71">
        <v>50</v>
      </c>
      <c r="I105" s="71"/>
      <c r="J105" s="71"/>
      <c r="K105" s="71"/>
      <c r="L105" s="33"/>
      <c r="M105" s="27">
        <f t="shared" si="13"/>
        <v>50</v>
      </c>
      <c r="N105" s="27">
        <f t="shared" si="14"/>
        <v>0</v>
      </c>
      <c r="O105" s="27">
        <f t="shared" si="15"/>
        <v>0</v>
      </c>
      <c r="P105" s="27"/>
      <c r="Q105" s="34"/>
      <c r="R105" s="34"/>
      <c r="S105" s="35"/>
      <c r="T105" s="35"/>
      <c r="U105" s="35"/>
      <c r="V105" s="35"/>
      <c r="W105" s="35"/>
      <c r="X105" s="34"/>
      <c r="Y105" s="34"/>
      <c r="Z105" s="34"/>
      <c r="AA105" s="34">
        <v>50</v>
      </c>
      <c r="AB105" s="35"/>
      <c r="AC105" s="35"/>
      <c r="AD105" s="34"/>
      <c r="AE105" s="34"/>
      <c r="AF105" s="27">
        <f t="shared" si="22"/>
        <v>-50</v>
      </c>
      <c r="AG105" s="28">
        <f t="shared" si="23"/>
        <v>0</v>
      </c>
    </row>
    <row r="106" spans="1:33" s="12" customFormat="1" ht="24.75" hidden="1" customHeight="1" x14ac:dyDescent="0.2">
      <c r="A106" s="64">
        <v>43670</v>
      </c>
      <c r="B106" s="31"/>
      <c r="C106" s="25" t="s">
        <v>232</v>
      </c>
      <c r="D106" s="25" t="s">
        <v>233</v>
      </c>
      <c r="E106" s="25" t="s">
        <v>40</v>
      </c>
      <c r="F106" s="26">
        <v>2652</v>
      </c>
      <c r="G106" s="29" t="s">
        <v>234</v>
      </c>
      <c r="H106" s="71"/>
      <c r="I106" s="71"/>
      <c r="J106" s="71"/>
      <c r="K106" s="71">
        <v>390</v>
      </c>
      <c r="L106" s="33"/>
      <c r="M106" s="27">
        <f t="shared" si="13"/>
        <v>348.21428571428567</v>
      </c>
      <c r="N106" s="27">
        <f t="shared" si="14"/>
        <v>41.785714285714278</v>
      </c>
      <c r="O106" s="27">
        <f t="shared" si="15"/>
        <v>0</v>
      </c>
      <c r="P106" s="27">
        <v>348.21</v>
      </c>
      <c r="Q106" s="34"/>
      <c r="R106" s="34"/>
      <c r="S106" s="35"/>
      <c r="T106" s="35"/>
      <c r="U106" s="35"/>
      <c r="V106" s="35"/>
      <c r="W106" s="35"/>
      <c r="X106" s="34"/>
      <c r="Y106" s="34"/>
      <c r="Z106" s="34"/>
      <c r="AA106" s="34"/>
      <c r="AB106" s="35"/>
      <c r="AC106" s="35"/>
      <c r="AD106" s="34"/>
      <c r="AE106" s="34"/>
      <c r="AF106" s="27">
        <f t="shared" si="22"/>
        <v>-389.99571428571426</v>
      </c>
      <c r="AG106" s="28">
        <f t="shared" si="23"/>
        <v>4.2857142857428698E-3</v>
      </c>
    </row>
    <row r="107" spans="1:33" s="12" customFormat="1" ht="24.75" hidden="1" customHeight="1" x14ac:dyDescent="0.2">
      <c r="A107" s="64">
        <v>43670</v>
      </c>
      <c r="B107" s="31"/>
      <c r="C107" s="25" t="s">
        <v>235</v>
      </c>
      <c r="D107" s="25" t="s">
        <v>236</v>
      </c>
      <c r="E107" s="25" t="s">
        <v>40</v>
      </c>
      <c r="F107" s="26">
        <v>527913</v>
      </c>
      <c r="G107" s="29" t="s">
        <v>237</v>
      </c>
      <c r="H107" s="71"/>
      <c r="I107" s="71"/>
      <c r="J107" s="71"/>
      <c r="K107" s="71">
        <v>669</v>
      </c>
      <c r="L107" s="33"/>
      <c r="M107" s="27">
        <f t="shared" si="13"/>
        <v>597.32142857142856</v>
      </c>
      <c r="N107" s="27">
        <f t="shared" si="14"/>
        <v>71.678571428571431</v>
      </c>
      <c r="O107" s="27">
        <f t="shared" si="15"/>
        <v>0</v>
      </c>
      <c r="P107" s="27"/>
      <c r="Q107" s="34"/>
      <c r="R107" s="34"/>
      <c r="S107" s="35"/>
      <c r="T107" s="35"/>
      <c r="U107" s="35"/>
      <c r="V107" s="35"/>
      <c r="W107" s="35"/>
      <c r="X107" s="34">
        <v>597.32000000000005</v>
      </c>
      <c r="Y107" s="34"/>
      <c r="Z107" s="34"/>
      <c r="AA107" s="34"/>
      <c r="AB107" s="35"/>
      <c r="AC107" s="35"/>
      <c r="AD107" s="34"/>
      <c r="AE107" s="34"/>
      <c r="AF107" s="27">
        <f t="shared" si="22"/>
        <v>-668.99857142857149</v>
      </c>
      <c r="AG107" s="28">
        <f t="shared" si="23"/>
        <v>1.4285714285051654E-3</v>
      </c>
    </row>
    <row r="108" spans="1:33" s="12" customFormat="1" ht="24.75" hidden="1" customHeight="1" x14ac:dyDescent="0.2">
      <c r="A108" s="64">
        <v>43671</v>
      </c>
      <c r="B108" s="31"/>
      <c r="C108" s="25" t="s">
        <v>42</v>
      </c>
      <c r="D108" s="25" t="s">
        <v>43</v>
      </c>
      <c r="E108" s="25" t="s">
        <v>44</v>
      </c>
      <c r="F108" s="26">
        <v>179766</v>
      </c>
      <c r="G108" s="29" t="s">
        <v>45</v>
      </c>
      <c r="H108" s="71"/>
      <c r="I108" s="71"/>
      <c r="J108" s="71"/>
      <c r="K108" s="71">
        <v>180</v>
      </c>
      <c r="L108" s="33"/>
      <c r="M108" s="27">
        <f t="shared" si="13"/>
        <v>160.71428571428569</v>
      </c>
      <c r="N108" s="27">
        <f t="shared" si="14"/>
        <v>19.285714285714281</v>
      </c>
      <c r="O108" s="27">
        <f t="shared" si="15"/>
        <v>0</v>
      </c>
      <c r="P108" s="27"/>
      <c r="Q108" s="34">
        <v>160.71</v>
      </c>
      <c r="R108" s="34"/>
      <c r="S108" s="35"/>
      <c r="T108" s="35"/>
      <c r="U108" s="35"/>
      <c r="V108" s="35"/>
      <c r="W108" s="35"/>
      <c r="X108" s="34"/>
      <c r="Y108" s="34"/>
      <c r="Z108" s="34"/>
      <c r="AA108" s="34"/>
      <c r="AB108" s="35"/>
      <c r="AC108" s="35"/>
      <c r="AD108" s="34"/>
      <c r="AE108" s="34"/>
      <c r="AF108" s="27">
        <f t="shared" si="22"/>
        <v>-179.99571428571429</v>
      </c>
      <c r="AG108" s="28">
        <f t="shared" si="23"/>
        <v>4.2857142857144481E-3</v>
      </c>
    </row>
    <row r="109" spans="1:33" s="12" customFormat="1" ht="24.75" hidden="1" customHeight="1" x14ac:dyDescent="0.2">
      <c r="A109" s="64">
        <v>43671</v>
      </c>
      <c r="B109" s="31"/>
      <c r="C109" s="25" t="s">
        <v>38</v>
      </c>
      <c r="D109" s="25" t="s">
        <v>39</v>
      </c>
      <c r="E109" s="25" t="s">
        <v>40</v>
      </c>
      <c r="F109" s="26">
        <v>180899</v>
      </c>
      <c r="G109" s="29" t="s">
        <v>238</v>
      </c>
      <c r="H109" s="71"/>
      <c r="I109" s="71"/>
      <c r="J109" s="71"/>
      <c r="K109" s="71">
        <f>669.2+80.3</f>
        <v>749.5</v>
      </c>
      <c r="L109" s="33"/>
      <c r="M109" s="27">
        <f t="shared" si="13"/>
        <v>669.19642857142856</v>
      </c>
      <c r="N109" s="27">
        <f t="shared" si="14"/>
        <v>80.303571428571431</v>
      </c>
      <c r="O109" s="27">
        <f t="shared" si="15"/>
        <v>0</v>
      </c>
      <c r="P109" s="27">
        <v>669.2</v>
      </c>
      <c r="Q109" s="34"/>
      <c r="R109" s="34"/>
      <c r="S109" s="35"/>
      <c r="T109" s="35"/>
      <c r="U109" s="35"/>
      <c r="V109" s="35"/>
      <c r="W109" s="35"/>
      <c r="X109" s="34"/>
      <c r="Y109" s="34"/>
      <c r="Z109" s="34"/>
      <c r="AA109" s="34"/>
      <c r="AB109" s="35"/>
      <c r="AC109" s="35"/>
      <c r="AD109" s="34"/>
      <c r="AE109" s="34"/>
      <c r="AF109" s="27">
        <f t="shared" si="22"/>
        <v>-749.50357142857149</v>
      </c>
      <c r="AG109" s="28">
        <f t="shared" si="23"/>
        <v>-3.5714285714902871E-3</v>
      </c>
    </row>
    <row r="110" spans="1:33" s="12" customFormat="1" ht="24.75" hidden="1" customHeight="1" x14ac:dyDescent="0.2">
      <c r="A110" s="64">
        <v>43671</v>
      </c>
      <c r="B110" s="31"/>
      <c r="C110" s="25" t="s">
        <v>239</v>
      </c>
      <c r="D110" s="25" t="s">
        <v>62</v>
      </c>
      <c r="E110" s="25" t="s">
        <v>40</v>
      </c>
      <c r="F110" s="26">
        <v>93529</v>
      </c>
      <c r="G110" s="29" t="s">
        <v>240</v>
      </c>
      <c r="H110" s="71"/>
      <c r="I110" s="71"/>
      <c r="J110" s="71"/>
      <c r="K110" s="71">
        <v>47</v>
      </c>
      <c r="L110" s="33"/>
      <c r="M110" s="27">
        <f t="shared" si="13"/>
        <v>41.964285714285708</v>
      </c>
      <c r="N110" s="27">
        <f t="shared" si="14"/>
        <v>5.0357142857142847</v>
      </c>
      <c r="O110" s="27">
        <f t="shared" si="15"/>
        <v>0</v>
      </c>
      <c r="P110" s="27"/>
      <c r="Q110" s="34"/>
      <c r="R110" s="34"/>
      <c r="S110" s="35">
        <v>41.96</v>
      </c>
      <c r="T110" s="35"/>
      <c r="U110" s="35"/>
      <c r="V110" s="35"/>
      <c r="W110" s="35"/>
      <c r="X110" s="34"/>
      <c r="Y110" s="34"/>
      <c r="Z110" s="34"/>
      <c r="AA110" s="34"/>
      <c r="AB110" s="35"/>
      <c r="AC110" s="35"/>
      <c r="AD110" s="34"/>
      <c r="AE110" s="34"/>
      <c r="AF110" s="27">
        <f t="shared" ref="AF110:AF115" si="24">-SUM(N110:AE110)</f>
        <v>-46.995714285714286</v>
      </c>
      <c r="AG110" s="28">
        <f t="shared" ref="AG110:AG115" si="25">SUM(H110:K110)+AF110+O110</f>
        <v>4.2857142857144481E-3</v>
      </c>
    </row>
    <row r="111" spans="1:33" s="12" customFormat="1" ht="24.75" hidden="1" customHeight="1" x14ac:dyDescent="0.2">
      <c r="A111" s="64">
        <v>43671</v>
      </c>
      <c r="B111" s="31"/>
      <c r="C111" s="25" t="s">
        <v>56</v>
      </c>
      <c r="D111" s="25"/>
      <c r="E111" s="25"/>
      <c r="F111" s="26"/>
      <c r="G111" s="29" t="s">
        <v>231</v>
      </c>
      <c r="H111" s="71">
        <v>100</v>
      </c>
      <c r="I111" s="71"/>
      <c r="J111" s="71"/>
      <c r="K111" s="71"/>
      <c r="L111" s="33"/>
      <c r="M111" s="27">
        <f t="shared" si="13"/>
        <v>100</v>
      </c>
      <c r="N111" s="27">
        <f t="shared" si="14"/>
        <v>0</v>
      </c>
      <c r="O111" s="27">
        <f t="shared" si="15"/>
        <v>0</v>
      </c>
      <c r="P111" s="27"/>
      <c r="Q111" s="34"/>
      <c r="R111" s="34"/>
      <c r="S111" s="35"/>
      <c r="T111" s="35"/>
      <c r="U111" s="35"/>
      <c r="V111" s="35"/>
      <c r="W111" s="35"/>
      <c r="X111" s="34"/>
      <c r="Y111" s="34"/>
      <c r="Z111" s="34"/>
      <c r="AA111" s="34">
        <v>100</v>
      </c>
      <c r="AB111" s="35"/>
      <c r="AC111" s="35"/>
      <c r="AD111" s="34"/>
      <c r="AE111" s="34"/>
      <c r="AF111" s="27">
        <f t="shared" si="24"/>
        <v>-100</v>
      </c>
      <c r="AG111" s="28">
        <f t="shared" si="25"/>
        <v>0</v>
      </c>
    </row>
    <row r="112" spans="1:33" s="12" customFormat="1" ht="24.75" hidden="1" customHeight="1" x14ac:dyDescent="0.2">
      <c r="A112" s="64">
        <v>43671</v>
      </c>
      <c r="B112" s="31"/>
      <c r="C112" s="25" t="s">
        <v>241</v>
      </c>
      <c r="D112" s="25" t="s">
        <v>242</v>
      </c>
      <c r="E112" s="25" t="s">
        <v>57</v>
      </c>
      <c r="F112" s="26">
        <v>115584</v>
      </c>
      <c r="G112" s="29" t="s">
        <v>224</v>
      </c>
      <c r="H112" s="71"/>
      <c r="I112" s="71"/>
      <c r="J112" s="71">
        <v>380</v>
      </c>
      <c r="K112" s="71"/>
      <c r="L112" s="33"/>
      <c r="M112" s="27">
        <f t="shared" si="13"/>
        <v>380</v>
      </c>
      <c r="N112" s="27">
        <f t="shared" si="14"/>
        <v>0</v>
      </c>
      <c r="O112" s="27">
        <f t="shared" si="15"/>
        <v>0</v>
      </c>
      <c r="P112" s="27">
        <v>380</v>
      </c>
      <c r="Q112" s="34"/>
      <c r="R112" s="34"/>
      <c r="S112" s="35"/>
      <c r="T112" s="35"/>
      <c r="U112" s="35"/>
      <c r="V112" s="35"/>
      <c r="W112" s="35"/>
      <c r="X112" s="34"/>
      <c r="Y112" s="34"/>
      <c r="Z112" s="34"/>
      <c r="AA112" s="34"/>
      <c r="AB112" s="35"/>
      <c r="AC112" s="35"/>
      <c r="AD112" s="34"/>
      <c r="AE112" s="34"/>
      <c r="AF112" s="27">
        <f t="shared" si="24"/>
        <v>-380</v>
      </c>
      <c r="AG112" s="28">
        <f t="shared" si="25"/>
        <v>0</v>
      </c>
    </row>
    <row r="113" spans="1:33" s="12" customFormat="1" ht="24.75" customHeight="1" x14ac:dyDescent="0.2">
      <c r="A113" s="64">
        <v>43671</v>
      </c>
      <c r="B113" s="31"/>
      <c r="C113" s="25" t="s">
        <v>166</v>
      </c>
      <c r="D113" s="25" t="s">
        <v>167</v>
      </c>
      <c r="E113" s="25" t="s">
        <v>76</v>
      </c>
      <c r="F113" s="26">
        <v>1953</v>
      </c>
      <c r="G113" s="29" t="s">
        <v>234</v>
      </c>
      <c r="H113" s="71"/>
      <c r="I113" s="71"/>
      <c r="J113" s="71"/>
      <c r="K113" s="71">
        <v>390</v>
      </c>
      <c r="L113" s="33">
        <v>0.01</v>
      </c>
      <c r="M113" s="27">
        <f t="shared" si="13"/>
        <v>348.21428571428567</v>
      </c>
      <c r="N113" s="27">
        <f t="shared" si="14"/>
        <v>41.785714285714278</v>
      </c>
      <c r="O113" s="27">
        <f t="shared" si="15"/>
        <v>-3.4821428571428568</v>
      </c>
      <c r="P113" s="27" t="s">
        <v>270</v>
      </c>
      <c r="Q113" s="34"/>
      <c r="R113" s="34"/>
      <c r="S113" s="35"/>
      <c r="T113" s="35"/>
      <c r="U113" s="35"/>
      <c r="V113" s="35"/>
      <c r="W113" s="35"/>
      <c r="X113" s="34"/>
      <c r="Y113" s="34"/>
      <c r="Z113" s="34"/>
      <c r="AA113" s="34"/>
      <c r="AB113" s="35"/>
      <c r="AC113" s="35"/>
      <c r="AD113" s="34"/>
      <c r="AE113" s="34"/>
      <c r="AF113" s="27">
        <f t="shared" si="24"/>
        <v>-38.303571428571423</v>
      </c>
      <c r="AG113" s="28">
        <f t="shared" si="25"/>
        <v>348.21428571428572</v>
      </c>
    </row>
    <row r="114" spans="1:33" s="12" customFormat="1" ht="24.75" customHeight="1" x14ac:dyDescent="0.2">
      <c r="A114" s="64">
        <v>43671</v>
      </c>
      <c r="B114" s="31"/>
      <c r="C114" s="25" t="s">
        <v>166</v>
      </c>
      <c r="D114" s="25" t="s">
        <v>167</v>
      </c>
      <c r="E114" s="25" t="s">
        <v>76</v>
      </c>
      <c r="F114" s="26">
        <v>1952</v>
      </c>
      <c r="G114" s="29" t="s">
        <v>243</v>
      </c>
      <c r="H114" s="71"/>
      <c r="I114" s="71"/>
      <c r="J114" s="71"/>
      <c r="K114" s="71">
        <v>2000</v>
      </c>
      <c r="L114" s="33">
        <v>0.01</v>
      </c>
      <c r="M114" s="27">
        <f t="shared" si="13"/>
        <v>1785.7142857142856</v>
      </c>
      <c r="N114" s="27">
        <f t="shared" si="14"/>
        <v>214.28571428571425</v>
      </c>
      <c r="O114" s="27">
        <f t="shared" si="15"/>
        <v>-17.857142857142858</v>
      </c>
      <c r="P114" s="27">
        <v>1785.71</v>
      </c>
      <c r="Q114" s="34"/>
      <c r="R114" s="34"/>
      <c r="S114" s="35"/>
      <c r="T114" s="35"/>
      <c r="U114" s="35"/>
      <c r="V114" s="35"/>
      <c r="W114" s="35"/>
      <c r="X114" s="34"/>
      <c r="Y114" s="34"/>
      <c r="Z114" s="34"/>
      <c r="AA114" s="34"/>
      <c r="AB114" s="35"/>
      <c r="AC114" s="35"/>
      <c r="AD114" s="34"/>
      <c r="AE114" s="34"/>
      <c r="AF114" s="27">
        <f t="shared" si="24"/>
        <v>-1982.1385714285714</v>
      </c>
      <c r="AG114" s="28">
        <f t="shared" si="25"/>
        <v>4.2857142857748443E-3</v>
      </c>
    </row>
    <row r="115" spans="1:33" s="57" customFormat="1" ht="24.75" customHeight="1" x14ac:dyDescent="0.2">
      <c r="A115" s="65">
        <v>43671</v>
      </c>
      <c r="B115" s="58"/>
      <c r="C115" s="50" t="s">
        <v>166</v>
      </c>
      <c r="D115" s="50" t="s">
        <v>167</v>
      </c>
      <c r="E115" s="50" t="s">
        <v>76</v>
      </c>
      <c r="F115" s="51">
        <v>1954</v>
      </c>
      <c r="G115" s="49" t="s">
        <v>244</v>
      </c>
      <c r="H115" s="72"/>
      <c r="I115" s="72"/>
      <c r="J115" s="72"/>
      <c r="K115" s="72">
        <v>1444</v>
      </c>
      <c r="L115" s="52">
        <v>0.01</v>
      </c>
      <c r="M115" s="53">
        <f t="shared" si="13"/>
        <v>1289.2857142857142</v>
      </c>
      <c r="N115" s="53">
        <f t="shared" si="14"/>
        <v>154.71428571428569</v>
      </c>
      <c r="O115" s="53">
        <f t="shared" si="15"/>
        <v>-12.892857142857142</v>
      </c>
      <c r="P115" s="53">
        <v>1289.29</v>
      </c>
      <c r="Q115" s="54"/>
      <c r="R115" s="54"/>
      <c r="S115" s="55"/>
      <c r="T115" s="55"/>
      <c r="U115" s="55"/>
      <c r="V115" s="55"/>
      <c r="W115" s="55"/>
      <c r="X115" s="54"/>
      <c r="Y115" s="54"/>
      <c r="Z115" s="54"/>
      <c r="AA115" s="54"/>
      <c r="AB115" s="55"/>
      <c r="AC115" s="55"/>
      <c r="AD115" s="54"/>
      <c r="AE115" s="54"/>
      <c r="AF115" s="53">
        <f t="shared" si="24"/>
        <v>-1431.1114285714284</v>
      </c>
      <c r="AG115" s="56">
        <f t="shared" si="25"/>
        <v>-4.2857142855474706E-3</v>
      </c>
    </row>
    <row r="116" spans="1:33" s="12" customFormat="1" ht="23.25" hidden="1" customHeight="1" x14ac:dyDescent="0.2">
      <c r="A116" s="64">
        <v>43671</v>
      </c>
      <c r="B116" s="31"/>
      <c r="C116" s="25" t="s">
        <v>46</v>
      </c>
      <c r="D116" s="25" t="s">
        <v>47</v>
      </c>
      <c r="E116" s="25" t="s">
        <v>37</v>
      </c>
      <c r="F116" s="26">
        <v>36534</v>
      </c>
      <c r="G116" s="59" t="s">
        <v>245</v>
      </c>
      <c r="H116" s="71"/>
      <c r="I116" s="71"/>
      <c r="J116" s="71"/>
      <c r="K116" s="71">
        <v>417</v>
      </c>
      <c r="L116" s="33"/>
      <c r="M116" s="27">
        <f t="shared" si="13"/>
        <v>372.32142857142856</v>
      </c>
      <c r="N116" s="27">
        <f t="shared" si="14"/>
        <v>44.678571428571423</v>
      </c>
      <c r="O116" s="27">
        <f t="shared" si="15"/>
        <v>0</v>
      </c>
      <c r="P116" s="27">
        <v>372.32</v>
      </c>
      <c r="Q116" s="34"/>
      <c r="R116" s="34"/>
      <c r="S116" s="35"/>
      <c r="T116" s="35"/>
      <c r="U116" s="35"/>
      <c r="V116" s="35"/>
      <c r="W116" s="35"/>
      <c r="X116" s="34"/>
      <c r="Y116" s="34"/>
      <c r="Z116" s="34"/>
      <c r="AA116" s="34"/>
      <c r="AB116" s="35"/>
      <c r="AC116" s="35"/>
      <c r="AD116" s="34"/>
      <c r="AE116" s="34"/>
      <c r="AF116" s="27">
        <f t="shared" ref="AF116:AF143" si="26">-SUM(N116:AE116)</f>
        <v>-416.99857142857144</v>
      </c>
      <c r="AG116" s="28">
        <f t="shared" ref="AG116:AG143" si="27">SUM(H116:K116)+AF116+O116</f>
        <v>1.4285714285620088E-3</v>
      </c>
    </row>
    <row r="117" spans="1:33" s="12" customFormat="1" ht="23.25" hidden="1" customHeight="1" x14ac:dyDescent="0.2">
      <c r="A117" s="64">
        <v>43671</v>
      </c>
      <c r="B117" s="31"/>
      <c r="C117" s="25" t="s">
        <v>184</v>
      </c>
      <c r="D117" s="25"/>
      <c r="E117" s="25"/>
      <c r="F117" s="26"/>
      <c r="G117" s="48" t="s">
        <v>246</v>
      </c>
      <c r="H117" s="71">
        <v>393</v>
      </c>
      <c r="I117" s="71"/>
      <c r="J117" s="71"/>
      <c r="K117" s="71"/>
      <c r="L117" s="33"/>
      <c r="M117" s="27">
        <f t="shared" si="13"/>
        <v>393</v>
      </c>
      <c r="N117" s="27">
        <f t="shared" si="14"/>
        <v>0</v>
      </c>
      <c r="O117" s="27">
        <f t="shared" si="15"/>
        <v>0</v>
      </c>
      <c r="P117" s="27"/>
      <c r="Q117" s="34"/>
      <c r="R117" s="34"/>
      <c r="S117" s="35"/>
      <c r="T117" s="35"/>
      <c r="U117" s="35"/>
      <c r="V117" s="35"/>
      <c r="W117" s="35"/>
      <c r="X117" s="34"/>
      <c r="Y117" s="34"/>
      <c r="Z117" s="34"/>
      <c r="AA117" s="34">
        <v>393</v>
      </c>
      <c r="AB117" s="35"/>
      <c r="AC117" s="35"/>
      <c r="AD117" s="34"/>
      <c r="AE117" s="34"/>
      <c r="AF117" s="27">
        <f t="shared" si="26"/>
        <v>-393</v>
      </c>
      <c r="AG117" s="28">
        <f t="shared" si="27"/>
        <v>0</v>
      </c>
    </row>
    <row r="118" spans="1:33" s="12" customFormat="1" ht="23.25" hidden="1" customHeight="1" x14ac:dyDescent="0.2">
      <c r="A118" s="64">
        <v>43671</v>
      </c>
      <c r="B118" s="31"/>
      <c r="C118" s="25" t="s">
        <v>38</v>
      </c>
      <c r="D118" s="25" t="s">
        <v>39</v>
      </c>
      <c r="E118" s="25" t="s">
        <v>40</v>
      </c>
      <c r="F118" s="26">
        <v>172144</v>
      </c>
      <c r="G118" s="48" t="s">
        <v>247</v>
      </c>
      <c r="H118" s="71"/>
      <c r="I118" s="71"/>
      <c r="J118" s="71"/>
      <c r="K118" s="71">
        <f>2046.16+245.54</f>
        <v>2291.7000000000003</v>
      </c>
      <c r="L118" s="33"/>
      <c r="M118" s="27">
        <f t="shared" si="13"/>
        <v>2046.1607142857144</v>
      </c>
      <c r="N118" s="27">
        <f t="shared" si="14"/>
        <v>245.53928571428571</v>
      </c>
      <c r="O118" s="27">
        <f t="shared" si="15"/>
        <v>0</v>
      </c>
      <c r="P118" s="27">
        <v>2046.16</v>
      </c>
      <c r="Q118" s="34"/>
      <c r="R118" s="34"/>
      <c r="S118" s="35"/>
      <c r="T118" s="35"/>
      <c r="U118" s="35"/>
      <c r="V118" s="35"/>
      <c r="W118" s="35"/>
      <c r="X118" s="34"/>
      <c r="Y118" s="34"/>
      <c r="Z118" s="34"/>
      <c r="AA118" s="34"/>
      <c r="AB118" s="35"/>
      <c r="AC118" s="35"/>
      <c r="AD118" s="34"/>
      <c r="AE118" s="34"/>
      <c r="AF118" s="27">
        <f t="shared" si="26"/>
        <v>-2291.6992857142859</v>
      </c>
      <c r="AG118" s="28">
        <f t="shared" si="27"/>
        <v>7.1428571436626953E-4</v>
      </c>
    </row>
    <row r="119" spans="1:33" s="12" customFormat="1" ht="23.25" hidden="1" customHeight="1" x14ac:dyDescent="0.2">
      <c r="A119" s="64">
        <v>43671</v>
      </c>
      <c r="B119" s="31"/>
      <c r="C119" s="25" t="s">
        <v>38</v>
      </c>
      <c r="D119" s="25" t="s">
        <v>39</v>
      </c>
      <c r="E119" s="25" t="s">
        <v>40</v>
      </c>
      <c r="F119" s="26">
        <v>172144</v>
      </c>
      <c r="G119" s="48" t="s">
        <v>248</v>
      </c>
      <c r="H119" s="71"/>
      <c r="I119" s="71"/>
      <c r="J119" s="71">
        <v>108.5</v>
      </c>
      <c r="K119" s="71"/>
      <c r="L119" s="33"/>
      <c r="M119" s="27">
        <f t="shared" si="13"/>
        <v>108.5</v>
      </c>
      <c r="N119" s="27">
        <f t="shared" si="14"/>
        <v>0</v>
      </c>
      <c r="O119" s="27">
        <f t="shared" si="15"/>
        <v>0</v>
      </c>
      <c r="P119" s="27">
        <v>108.5</v>
      </c>
      <c r="Q119" s="34"/>
      <c r="R119" s="34"/>
      <c r="S119" s="35"/>
      <c r="T119" s="35"/>
      <c r="U119" s="35"/>
      <c r="V119" s="35"/>
      <c r="W119" s="35"/>
      <c r="X119" s="34"/>
      <c r="Y119" s="34"/>
      <c r="Z119" s="34"/>
      <c r="AA119" s="34"/>
      <c r="AB119" s="35"/>
      <c r="AC119" s="35"/>
      <c r="AD119" s="34"/>
      <c r="AE119" s="34"/>
      <c r="AF119" s="27">
        <f t="shared" si="26"/>
        <v>-108.5</v>
      </c>
      <c r="AG119" s="28">
        <f t="shared" si="27"/>
        <v>0</v>
      </c>
    </row>
    <row r="120" spans="1:33" s="12" customFormat="1" ht="23.25" hidden="1" customHeight="1" x14ac:dyDescent="0.2">
      <c r="A120" s="64">
        <v>43672</v>
      </c>
      <c r="B120" s="31"/>
      <c r="C120" s="25" t="s">
        <v>46</v>
      </c>
      <c r="D120" s="25" t="s">
        <v>47</v>
      </c>
      <c r="E120" s="25" t="s">
        <v>37</v>
      </c>
      <c r="F120" s="26">
        <v>36543</v>
      </c>
      <c r="G120" s="48" t="s">
        <v>249</v>
      </c>
      <c r="H120" s="71"/>
      <c r="I120" s="71"/>
      <c r="J120" s="71"/>
      <c r="K120" s="71">
        <v>540</v>
      </c>
      <c r="L120" s="33"/>
      <c r="M120" s="27">
        <f t="shared" si="13"/>
        <v>482.14285714285711</v>
      </c>
      <c r="N120" s="27">
        <f t="shared" si="14"/>
        <v>57.857142857142854</v>
      </c>
      <c r="O120" s="27">
        <f t="shared" si="15"/>
        <v>0</v>
      </c>
      <c r="P120" s="27">
        <v>482.14</v>
      </c>
      <c r="Q120" s="34"/>
      <c r="R120" s="34"/>
      <c r="S120" s="35"/>
      <c r="T120" s="35"/>
      <c r="U120" s="35"/>
      <c r="V120" s="35"/>
      <c r="W120" s="35"/>
      <c r="X120" s="34"/>
      <c r="Y120" s="34"/>
      <c r="Z120" s="34"/>
      <c r="AA120" s="34"/>
      <c r="AB120" s="35"/>
      <c r="AC120" s="35"/>
      <c r="AD120" s="34"/>
      <c r="AE120" s="34"/>
      <c r="AF120" s="27">
        <f t="shared" si="26"/>
        <v>-539.99714285714288</v>
      </c>
      <c r="AG120" s="28">
        <f t="shared" si="27"/>
        <v>2.8571428571240176E-3</v>
      </c>
    </row>
    <row r="121" spans="1:33" s="12" customFormat="1" ht="23.25" hidden="1" customHeight="1" x14ac:dyDescent="0.2">
      <c r="A121" s="64">
        <v>43672</v>
      </c>
      <c r="B121" s="31"/>
      <c r="C121" s="25" t="s">
        <v>42</v>
      </c>
      <c r="D121" s="25" t="s">
        <v>43</v>
      </c>
      <c r="E121" s="25" t="s">
        <v>44</v>
      </c>
      <c r="F121" s="26">
        <v>179812</v>
      </c>
      <c r="G121" s="48" t="s">
        <v>45</v>
      </c>
      <c r="H121" s="71"/>
      <c r="I121" s="71"/>
      <c r="J121" s="71"/>
      <c r="K121" s="71">
        <v>180</v>
      </c>
      <c r="L121" s="33"/>
      <c r="M121" s="27">
        <f t="shared" si="13"/>
        <v>160.71428571428569</v>
      </c>
      <c r="N121" s="27">
        <f t="shared" si="14"/>
        <v>19.285714285714281</v>
      </c>
      <c r="O121" s="27">
        <f t="shared" si="15"/>
        <v>0</v>
      </c>
      <c r="P121" s="27"/>
      <c r="Q121" s="34">
        <v>160.71</v>
      </c>
      <c r="R121" s="34"/>
      <c r="S121" s="35"/>
      <c r="T121" s="35"/>
      <c r="U121" s="35"/>
      <c r="V121" s="35"/>
      <c r="W121" s="35"/>
      <c r="X121" s="34"/>
      <c r="Y121" s="34"/>
      <c r="Z121" s="34"/>
      <c r="AA121" s="34"/>
      <c r="AB121" s="35"/>
      <c r="AC121" s="35"/>
      <c r="AD121" s="34"/>
      <c r="AE121" s="34"/>
      <c r="AF121" s="27">
        <f t="shared" si="26"/>
        <v>-179.99571428571429</v>
      </c>
      <c r="AG121" s="28">
        <f t="shared" si="27"/>
        <v>4.2857142857144481E-3</v>
      </c>
    </row>
    <row r="122" spans="1:33" s="12" customFormat="1" ht="23.25" hidden="1" customHeight="1" x14ac:dyDescent="0.2">
      <c r="A122" s="64">
        <v>43672</v>
      </c>
      <c r="B122" s="31"/>
      <c r="C122" s="25" t="s">
        <v>46</v>
      </c>
      <c r="D122" s="25" t="s">
        <v>47</v>
      </c>
      <c r="E122" s="25" t="s">
        <v>37</v>
      </c>
      <c r="F122" s="26">
        <v>96734</v>
      </c>
      <c r="G122" s="48" t="s">
        <v>58</v>
      </c>
      <c r="H122" s="71"/>
      <c r="I122" s="71"/>
      <c r="J122" s="71"/>
      <c r="K122" s="71">
        <v>108.34</v>
      </c>
      <c r="L122" s="33"/>
      <c r="M122" s="27">
        <f t="shared" si="13"/>
        <v>96.732142857142847</v>
      </c>
      <c r="N122" s="27">
        <f t="shared" si="14"/>
        <v>11.60785714285714</v>
      </c>
      <c r="O122" s="27">
        <f t="shared" si="15"/>
        <v>0</v>
      </c>
      <c r="P122" s="27">
        <v>96.73</v>
      </c>
      <c r="Q122" s="34"/>
      <c r="R122" s="34"/>
      <c r="S122" s="35"/>
      <c r="T122" s="35"/>
      <c r="U122" s="35"/>
      <c r="V122" s="35"/>
      <c r="W122" s="35"/>
      <c r="X122" s="34"/>
      <c r="Y122" s="34"/>
      <c r="Z122" s="34"/>
      <c r="AA122" s="34"/>
      <c r="AB122" s="35"/>
      <c r="AC122" s="35"/>
      <c r="AD122" s="34"/>
      <c r="AE122" s="34"/>
      <c r="AF122" s="27">
        <f t="shared" si="26"/>
        <v>-108.33785714285715</v>
      </c>
      <c r="AG122" s="28">
        <f t="shared" si="27"/>
        <v>2.1428571428572241E-3</v>
      </c>
    </row>
    <row r="123" spans="1:33" s="12" customFormat="1" ht="23.25" hidden="1" customHeight="1" x14ac:dyDescent="0.2">
      <c r="A123" s="64">
        <v>43673</v>
      </c>
      <c r="B123" s="31"/>
      <c r="C123" s="25" t="s">
        <v>117</v>
      </c>
      <c r="D123" s="25" t="s">
        <v>59</v>
      </c>
      <c r="E123" s="25" t="s">
        <v>250</v>
      </c>
      <c r="F123" s="26">
        <v>1047</v>
      </c>
      <c r="G123" s="48" t="s">
        <v>45</v>
      </c>
      <c r="H123" s="71"/>
      <c r="I123" s="71"/>
      <c r="J123" s="71"/>
      <c r="K123" s="71">
        <v>40</v>
      </c>
      <c r="L123" s="33"/>
      <c r="M123" s="27">
        <f t="shared" si="13"/>
        <v>35.714285714285708</v>
      </c>
      <c r="N123" s="27">
        <f t="shared" si="14"/>
        <v>4.2857142857142847</v>
      </c>
      <c r="O123" s="27">
        <f t="shared" si="15"/>
        <v>0</v>
      </c>
      <c r="P123" s="27"/>
      <c r="Q123" s="34">
        <v>35.71</v>
      </c>
      <c r="R123" s="34"/>
      <c r="S123" s="35"/>
      <c r="T123" s="35"/>
      <c r="U123" s="35"/>
      <c r="V123" s="35"/>
      <c r="W123" s="35"/>
      <c r="X123" s="34"/>
      <c r="Y123" s="34"/>
      <c r="Z123" s="34"/>
      <c r="AA123" s="34"/>
      <c r="AB123" s="35"/>
      <c r="AC123" s="35"/>
      <c r="AD123" s="34"/>
      <c r="AE123" s="34"/>
      <c r="AF123" s="27">
        <f t="shared" si="26"/>
        <v>-39.995714285714286</v>
      </c>
      <c r="AG123" s="28">
        <f t="shared" si="27"/>
        <v>4.2857142857144481E-3</v>
      </c>
    </row>
    <row r="124" spans="1:33" s="12" customFormat="1" ht="23.25" hidden="1" customHeight="1" x14ac:dyDescent="0.2">
      <c r="A124" s="64">
        <v>43673</v>
      </c>
      <c r="B124" s="31"/>
      <c r="C124" s="25" t="s">
        <v>46</v>
      </c>
      <c r="D124" s="25" t="s">
        <v>47</v>
      </c>
      <c r="E124" s="25" t="s">
        <v>37</v>
      </c>
      <c r="F124" s="26">
        <v>36609</v>
      </c>
      <c r="G124" s="48" t="s">
        <v>251</v>
      </c>
      <c r="H124" s="71"/>
      <c r="I124" s="71"/>
      <c r="J124" s="71"/>
      <c r="K124" s="71">
        <v>175.75</v>
      </c>
      <c r="L124" s="33"/>
      <c r="M124" s="27">
        <f t="shared" si="13"/>
        <v>156.91964285714283</v>
      </c>
      <c r="N124" s="27">
        <f t="shared" si="14"/>
        <v>18.830357142857139</v>
      </c>
      <c r="O124" s="27">
        <f t="shared" si="15"/>
        <v>0</v>
      </c>
      <c r="P124" s="27">
        <v>156.91999999999999</v>
      </c>
      <c r="Q124" s="34"/>
      <c r="R124" s="34"/>
      <c r="S124" s="35"/>
      <c r="T124" s="35"/>
      <c r="U124" s="35"/>
      <c r="V124" s="35"/>
      <c r="W124" s="35"/>
      <c r="X124" s="34"/>
      <c r="Y124" s="34"/>
      <c r="Z124" s="34"/>
      <c r="AA124" s="34"/>
      <c r="AB124" s="35"/>
      <c r="AC124" s="35"/>
      <c r="AD124" s="34"/>
      <c r="AE124" s="34"/>
      <c r="AF124" s="27">
        <f t="shared" si="26"/>
        <v>-175.75035714285713</v>
      </c>
      <c r="AG124" s="28">
        <f t="shared" si="27"/>
        <v>-3.5714285712629135E-4</v>
      </c>
    </row>
    <row r="125" spans="1:33" s="12" customFormat="1" ht="23.25" hidden="1" customHeight="1" x14ac:dyDescent="0.2">
      <c r="A125" s="64">
        <v>43673</v>
      </c>
      <c r="B125" s="31"/>
      <c r="C125" s="25" t="s">
        <v>38</v>
      </c>
      <c r="D125" s="25" t="s">
        <v>39</v>
      </c>
      <c r="E125" s="25" t="s">
        <v>40</v>
      </c>
      <c r="F125" s="26">
        <v>223762</v>
      </c>
      <c r="G125" s="48" t="s">
        <v>252</v>
      </c>
      <c r="H125" s="71"/>
      <c r="I125" s="71"/>
      <c r="J125" s="71">
        <v>102</v>
      </c>
      <c r="K125" s="71"/>
      <c r="L125" s="33"/>
      <c r="M125" s="27">
        <f t="shared" si="13"/>
        <v>102</v>
      </c>
      <c r="N125" s="27">
        <f t="shared" si="14"/>
        <v>0</v>
      </c>
      <c r="O125" s="27">
        <f t="shared" si="15"/>
        <v>0</v>
      </c>
      <c r="P125" s="27">
        <v>102</v>
      </c>
      <c r="Q125" s="34"/>
      <c r="R125" s="34"/>
      <c r="S125" s="35"/>
      <c r="T125" s="35"/>
      <c r="U125" s="35"/>
      <c r="V125" s="35"/>
      <c r="W125" s="35"/>
      <c r="X125" s="34"/>
      <c r="Y125" s="34"/>
      <c r="Z125" s="34"/>
      <c r="AA125" s="34"/>
      <c r="AB125" s="35"/>
      <c r="AC125" s="35"/>
      <c r="AD125" s="34"/>
      <c r="AE125" s="34"/>
      <c r="AF125" s="27">
        <f t="shared" si="26"/>
        <v>-102</v>
      </c>
      <c r="AG125" s="28">
        <f t="shared" si="27"/>
        <v>0</v>
      </c>
    </row>
    <row r="126" spans="1:33" ht="23.25" hidden="1" customHeight="1" x14ac:dyDescent="0.2">
      <c r="A126" s="77">
        <v>43673</v>
      </c>
      <c r="B126" s="78"/>
      <c r="C126" s="79" t="s">
        <v>54</v>
      </c>
      <c r="D126" s="79" t="s">
        <v>55</v>
      </c>
      <c r="E126" s="79" t="s">
        <v>57</v>
      </c>
      <c r="F126" s="59">
        <v>3279</v>
      </c>
      <c r="G126" s="48" t="s">
        <v>253</v>
      </c>
      <c r="H126" s="80"/>
      <c r="I126" s="80"/>
      <c r="J126" s="80">
        <v>730</v>
      </c>
      <c r="K126" s="80"/>
      <c r="L126" s="81"/>
      <c r="M126" s="82">
        <f t="shared" si="13"/>
        <v>730</v>
      </c>
      <c r="N126" s="82">
        <f t="shared" si="14"/>
        <v>0</v>
      </c>
      <c r="O126" s="82">
        <f t="shared" si="15"/>
        <v>0</v>
      </c>
      <c r="P126" s="82">
        <v>730</v>
      </c>
      <c r="Q126" s="37"/>
      <c r="R126" s="37"/>
      <c r="S126" s="83"/>
      <c r="T126" s="83"/>
      <c r="U126" s="83"/>
      <c r="V126" s="83"/>
      <c r="W126" s="83"/>
      <c r="X126" s="37"/>
      <c r="Y126" s="37"/>
      <c r="Z126" s="37"/>
      <c r="AA126" s="37"/>
      <c r="AB126" s="83"/>
      <c r="AC126" s="83"/>
      <c r="AD126" s="37"/>
      <c r="AE126" s="37"/>
      <c r="AF126" s="82">
        <f t="shared" si="26"/>
        <v>-730</v>
      </c>
      <c r="AG126" s="84">
        <f t="shared" si="27"/>
        <v>0</v>
      </c>
    </row>
    <row r="127" spans="1:33" s="12" customFormat="1" ht="23.25" customHeight="1" x14ac:dyDescent="0.2">
      <c r="A127" s="64">
        <v>43673</v>
      </c>
      <c r="B127" s="31"/>
      <c r="C127" s="25" t="s">
        <v>166</v>
      </c>
      <c r="D127" s="25" t="s">
        <v>167</v>
      </c>
      <c r="E127" s="25" t="s">
        <v>76</v>
      </c>
      <c r="F127" s="26">
        <v>1946</v>
      </c>
      <c r="G127" s="48" t="s">
        <v>254</v>
      </c>
      <c r="H127" s="71"/>
      <c r="I127" s="71"/>
      <c r="J127" s="71"/>
      <c r="K127" s="71">
        <v>1350</v>
      </c>
      <c r="L127" s="33">
        <v>0.01</v>
      </c>
      <c r="M127" s="27">
        <f t="shared" si="13"/>
        <v>1205.3571428571427</v>
      </c>
      <c r="N127" s="27">
        <f t="shared" si="14"/>
        <v>144.64285714285711</v>
      </c>
      <c r="O127" s="27">
        <f t="shared" si="15"/>
        <v>-12.053571428571427</v>
      </c>
      <c r="P127" s="27">
        <v>1205.3599999999999</v>
      </c>
      <c r="Q127" s="34"/>
      <c r="R127" s="34"/>
      <c r="S127" s="35"/>
      <c r="T127" s="35"/>
      <c r="U127" s="35"/>
      <c r="V127" s="35"/>
      <c r="W127" s="35"/>
      <c r="X127" s="34"/>
      <c r="Y127" s="34"/>
      <c r="Z127" s="34"/>
      <c r="AA127" s="34"/>
      <c r="AB127" s="35"/>
      <c r="AC127" s="35"/>
      <c r="AD127" s="34"/>
      <c r="AE127" s="34"/>
      <c r="AF127" s="27">
        <f t="shared" si="26"/>
        <v>-1337.9492857142857</v>
      </c>
      <c r="AG127" s="28">
        <f t="shared" si="27"/>
        <v>-2.857142857106254E-3</v>
      </c>
    </row>
    <row r="128" spans="1:33" s="12" customFormat="1" ht="23.25" hidden="1" customHeight="1" x14ac:dyDescent="0.2">
      <c r="A128" s="64">
        <v>43673</v>
      </c>
      <c r="B128" s="31"/>
      <c r="C128" s="25" t="s">
        <v>241</v>
      </c>
      <c r="D128" s="25" t="s">
        <v>242</v>
      </c>
      <c r="E128" s="25" t="s">
        <v>57</v>
      </c>
      <c r="F128" s="26">
        <v>17448</v>
      </c>
      <c r="G128" s="48" t="s">
        <v>224</v>
      </c>
      <c r="H128" s="71"/>
      <c r="I128" s="71"/>
      <c r="J128" s="71">
        <v>380</v>
      </c>
      <c r="K128" s="71"/>
      <c r="L128" s="33"/>
      <c r="M128" s="27">
        <f t="shared" si="13"/>
        <v>380</v>
      </c>
      <c r="N128" s="27">
        <f t="shared" si="14"/>
        <v>0</v>
      </c>
      <c r="O128" s="27">
        <f t="shared" si="15"/>
        <v>0</v>
      </c>
      <c r="P128" s="27">
        <v>380</v>
      </c>
      <c r="Q128" s="34"/>
      <c r="R128" s="34"/>
      <c r="S128" s="35"/>
      <c r="T128" s="35"/>
      <c r="U128" s="35"/>
      <c r="V128" s="35"/>
      <c r="W128" s="35"/>
      <c r="X128" s="34"/>
      <c r="Y128" s="34"/>
      <c r="Z128" s="34"/>
      <c r="AA128" s="34"/>
      <c r="AB128" s="35"/>
      <c r="AC128" s="35"/>
      <c r="AD128" s="34"/>
      <c r="AE128" s="34"/>
      <c r="AF128" s="27">
        <f t="shared" si="26"/>
        <v>-380</v>
      </c>
      <c r="AG128" s="28">
        <f t="shared" si="27"/>
        <v>0</v>
      </c>
    </row>
    <row r="129" spans="1:33" s="12" customFormat="1" ht="23.25" hidden="1" customHeight="1" x14ac:dyDescent="0.2">
      <c r="A129" s="64">
        <v>43673</v>
      </c>
      <c r="B129" s="31"/>
      <c r="C129" s="25" t="s">
        <v>56</v>
      </c>
      <c r="D129" s="25"/>
      <c r="E129" s="25"/>
      <c r="F129" s="26"/>
      <c r="G129" s="48" t="s">
        <v>255</v>
      </c>
      <c r="H129" s="71">
        <v>50</v>
      </c>
      <c r="I129" s="71"/>
      <c r="J129" s="71"/>
      <c r="K129" s="71"/>
      <c r="L129" s="33"/>
      <c r="M129" s="27">
        <f t="shared" si="13"/>
        <v>50</v>
      </c>
      <c r="N129" s="27">
        <f t="shared" si="14"/>
        <v>0</v>
      </c>
      <c r="O129" s="27">
        <f t="shared" si="15"/>
        <v>0</v>
      </c>
      <c r="P129" s="27"/>
      <c r="Q129" s="34"/>
      <c r="R129" s="34"/>
      <c r="S129" s="35"/>
      <c r="T129" s="35"/>
      <c r="U129" s="35"/>
      <c r="V129" s="35"/>
      <c r="W129" s="35"/>
      <c r="X129" s="34"/>
      <c r="Y129" s="34"/>
      <c r="Z129" s="34"/>
      <c r="AA129" s="34">
        <v>50</v>
      </c>
      <c r="AB129" s="35"/>
      <c r="AC129" s="35"/>
      <c r="AD129" s="34"/>
      <c r="AE129" s="34"/>
      <c r="AF129" s="27">
        <f t="shared" si="26"/>
        <v>-50</v>
      </c>
      <c r="AG129" s="28">
        <f t="shared" si="27"/>
        <v>0</v>
      </c>
    </row>
    <row r="130" spans="1:33" s="12" customFormat="1" ht="23.25" hidden="1" customHeight="1" x14ac:dyDescent="0.2">
      <c r="A130" s="64">
        <v>43675</v>
      </c>
      <c r="B130" s="31"/>
      <c r="C130" s="25" t="s">
        <v>46</v>
      </c>
      <c r="D130" s="25" t="s">
        <v>47</v>
      </c>
      <c r="E130" s="25" t="s">
        <v>37</v>
      </c>
      <c r="F130" s="26">
        <v>68749</v>
      </c>
      <c r="G130" s="48" t="s">
        <v>217</v>
      </c>
      <c r="H130" s="71"/>
      <c r="I130" s="71"/>
      <c r="J130" s="71"/>
      <c r="K130" s="71">
        <v>350</v>
      </c>
      <c r="L130" s="33"/>
      <c r="M130" s="27">
        <f t="shared" si="13"/>
        <v>312.49999999999994</v>
      </c>
      <c r="N130" s="27">
        <f t="shared" si="14"/>
        <v>37.499999999999993</v>
      </c>
      <c r="O130" s="27">
        <f t="shared" si="15"/>
        <v>0</v>
      </c>
      <c r="P130" s="27"/>
      <c r="Q130" s="34">
        <v>312.5</v>
      </c>
      <c r="R130" s="34"/>
      <c r="S130" s="35"/>
      <c r="T130" s="35"/>
      <c r="U130" s="35"/>
      <c r="V130" s="35"/>
      <c r="W130" s="35"/>
      <c r="X130" s="34"/>
      <c r="Y130" s="34"/>
      <c r="Z130" s="34"/>
      <c r="AA130" s="34"/>
      <c r="AB130" s="35"/>
      <c r="AC130" s="35"/>
      <c r="AD130" s="34"/>
      <c r="AE130" s="34"/>
      <c r="AF130" s="27">
        <f t="shared" si="26"/>
        <v>-350</v>
      </c>
      <c r="AG130" s="28">
        <f t="shared" si="27"/>
        <v>0</v>
      </c>
    </row>
    <row r="131" spans="1:33" s="12" customFormat="1" ht="24.75" hidden="1" customHeight="1" x14ac:dyDescent="0.2">
      <c r="A131" s="64">
        <v>43675</v>
      </c>
      <c r="B131" s="31"/>
      <c r="C131" s="25" t="s">
        <v>46</v>
      </c>
      <c r="D131" s="25" t="s">
        <v>47</v>
      </c>
      <c r="E131" s="25" t="s">
        <v>37</v>
      </c>
      <c r="F131" s="26">
        <v>36628</v>
      </c>
      <c r="G131" s="29" t="s">
        <v>256</v>
      </c>
      <c r="H131" s="71"/>
      <c r="I131" s="71"/>
      <c r="J131" s="71"/>
      <c r="K131" s="71">
        <v>249</v>
      </c>
      <c r="L131" s="33"/>
      <c r="M131" s="27">
        <f t="shared" si="13"/>
        <v>222.32142857142856</v>
      </c>
      <c r="N131" s="27">
        <f t="shared" si="14"/>
        <v>26.678571428571427</v>
      </c>
      <c r="O131" s="27">
        <f t="shared" si="15"/>
        <v>0</v>
      </c>
      <c r="P131" s="27">
        <v>222.32</v>
      </c>
      <c r="Q131" s="34"/>
      <c r="R131" s="34"/>
      <c r="S131" s="35"/>
      <c r="T131" s="35"/>
      <c r="U131" s="35"/>
      <c r="V131" s="35"/>
      <c r="W131" s="35"/>
      <c r="X131" s="34"/>
      <c r="Y131" s="34"/>
      <c r="Z131" s="34"/>
      <c r="AA131" s="34"/>
      <c r="AB131" s="35"/>
      <c r="AC131" s="35"/>
      <c r="AD131" s="34"/>
      <c r="AE131" s="34"/>
      <c r="AF131" s="27">
        <f t="shared" si="26"/>
        <v>-248.99857142857141</v>
      </c>
      <c r="AG131" s="28">
        <f t="shared" si="27"/>
        <v>1.4285714285904305E-3</v>
      </c>
    </row>
    <row r="132" spans="1:33" s="12" customFormat="1" ht="23.25" hidden="1" customHeight="1" x14ac:dyDescent="0.2">
      <c r="A132" s="64">
        <v>43675</v>
      </c>
      <c r="B132" s="31"/>
      <c r="C132" s="25" t="s">
        <v>144</v>
      </c>
      <c r="D132" s="25" t="s">
        <v>145</v>
      </c>
      <c r="E132" s="25" t="s">
        <v>40</v>
      </c>
      <c r="F132" s="26">
        <v>58186</v>
      </c>
      <c r="G132" s="59" t="s">
        <v>257</v>
      </c>
      <c r="H132" s="71"/>
      <c r="I132" s="71"/>
      <c r="J132" s="71"/>
      <c r="K132" s="71">
        <v>87.32</v>
      </c>
      <c r="L132" s="33"/>
      <c r="M132" s="27">
        <f t="shared" si="13"/>
        <v>77.964285714285694</v>
      </c>
      <c r="N132" s="27">
        <f t="shared" si="14"/>
        <v>9.3557142857142832</v>
      </c>
      <c r="O132" s="27">
        <f t="shared" si="15"/>
        <v>0</v>
      </c>
      <c r="P132" s="27">
        <v>77.959999999999994</v>
      </c>
      <c r="Q132" s="34"/>
      <c r="R132" s="34"/>
      <c r="S132" s="35"/>
      <c r="T132" s="35"/>
      <c r="U132" s="35"/>
      <c r="V132" s="35"/>
      <c r="W132" s="35"/>
      <c r="X132" s="34"/>
      <c r="Y132" s="34"/>
      <c r="Z132" s="34"/>
      <c r="AA132" s="34"/>
      <c r="AB132" s="35"/>
      <c r="AC132" s="35"/>
      <c r="AD132" s="34"/>
      <c r="AE132" s="34"/>
      <c r="AF132" s="27">
        <f t="shared" si="26"/>
        <v>-87.315714285714279</v>
      </c>
      <c r="AG132" s="28">
        <f t="shared" si="27"/>
        <v>4.2857142857144481E-3</v>
      </c>
    </row>
    <row r="133" spans="1:33" s="12" customFormat="1" ht="24.75" hidden="1" customHeight="1" x14ac:dyDescent="0.2">
      <c r="A133" s="64">
        <v>43675</v>
      </c>
      <c r="B133" s="31"/>
      <c r="C133" s="25" t="s">
        <v>46</v>
      </c>
      <c r="D133" s="25" t="s">
        <v>47</v>
      </c>
      <c r="E133" s="25" t="s">
        <v>37</v>
      </c>
      <c r="F133" s="26">
        <v>366220</v>
      </c>
      <c r="G133" s="29" t="s">
        <v>258</v>
      </c>
      <c r="H133" s="71"/>
      <c r="I133" s="71"/>
      <c r="J133" s="71"/>
      <c r="K133" s="71">
        <v>77.180000000000007</v>
      </c>
      <c r="L133" s="33"/>
      <c r="M133" s="27">
        <f t="shared" ref="M133:M143" si="28">SUM(H133:J133,K133/1.12)</f>
        <v>68.910714285714292</v>
      </c>
      <c r="N133" s="27">
        <f t="shared" ref="N133:N143" si="29">K133/1.12*0.12</f>
        <v>8.269285714285715</v>
      </c>
      <c r="O133" s="27">
        <f t="shared" ref="O133:O143" si="30">-SUM(I133:J133,K133/1.12)*L133</f>
        <v>0</v>
      </c>
      <c r="P133" s="27">
        <v>68.91</v>
      </c>
      <c r="Q133" s="34"/>
      <c r="R133" s="34"/>
      <c r="S133" s="35"/>
      <c r="T133" s="35"/>
      <c r="U133" s="35"/>
      <c r="V133" s="35"/>
      <c r="W133" s="35"/>
      <c r="X133" s="34"/>
      <c r="Y133" s="34"/>
      <c r="Z133" s="34"/>
      <c r="AA133" s="34"/>
      <c r="AB133" s="35"/>
      <c r="AC133" s="35"/>
      <c r="AD133" s="34"/>
      <c r="AE133" s="34"/>
      <c r="AF133" s="27">
        <f t="shared" si="26"/>
        <v>-77.179285714285712</v>
      </c>
      <c r="AG133" s="28">
        <f t="shared" si="27"/>
        <v>7.1428571429521526E-4</v>
      </c>
    </row>
    <row r="134" spans="1:33" s="12" customFormat="1" ht="23.25" hidden="1" customHeight="1" x14ac:dyDescent="0.2">
      <c r="A134" s="64">
        <v>43675</v>
      </c>
      <c r="B134" s="31"/>
      <c r="C134" s="25" t="s">
        <v>38</v>
      </c>
      <c r="D134" s="25" t="s">
        <v>39</v>
      </c>
      <c r="E134" s="25" t="s">
        <v>40</v>
      </c>
      <c r="F134" s="26">
        <v>224192</v>
      </c>
      <c r="G134" s="25" t="s">
        <v>259</v>
      </c>
      <c r="H134" s="71"/>
      <c r="I134" s="71"/>
      <c r="J134" s="71"/>
      <c r="K134" s="71">
        <v>1183.55</v>
      </c>
      <c r="L134" s="33"/>
      <c r="M134" s="27">
        <f t="shared" si="28"/>
        <v>1056.7410714285713</v>
      </c>
      <c r="N134" s="27">
        <f t="shared" si="29"/>
        <v>126.80892857142855</v>
      </c>
      <c r="O134" s="27">
        <f t="shared" si="30"/>
        <v>0</v>
      </c>
      <c r="P134" s="27">
        <v>1056.74</v>
      </c>
      <c r="Q134" s="34"/>
      <c r="R134" s="34"/>
      <c r="S134" s="35"/>
      <c r="T134" s="35"/>
      <c r="U134" s="35"/>
      <c r="V134" s="35"/>
      <c r="W134" s="35"/>
      <c r="X134" s="34"/>
      <c r="Y134" s="34"/>
      <c r="Z134" s="34"/>
      <c r="AA134" s="34"/>
      <c r="AB134" s="35"/>
      <c r="AC134" s="35"/>
      <c r="AD134" s="34"/>
      <c r="AE134" s="34"/>
      <c r="AF134" s="27">
        <f t="shared" si="26"/>
        <v>-1183.5489285714286</v>
      </c>
      <c r="AG134" s="28">
        <f t="shared" si="27"/>
        <v>1.0714285713220306E-3</v>
      </c>
    </row>
    <row r="135" spans="1:33" s="12" customFormat="1" ht="24.75" hidden="1" customHeight="1" x14ac:dyDescent="0.2">
      <c r="A135" s="64">
        <v>43675</v>
      </c>
      <c r="B135" s="31"/>
      <c r="C135" s="25" t="s">
        <v>42</v>
      </c>
      <c r="D135" s="25" t="s">
        <v>43</v>
      </c>
      <c r="E135" s="25" t="s">
        <v>44</v>
      </c>
      <c r="F135" s="26">
        <v>181736</v>
      </c>
      <c r="G135" s="29" t="s">
        <v>45</v>
      </c>
      <c r="H135" s="71"/>
      <c r="I135" s="71"/>
      <c r="J135" s="71"/>
      <c r="K135" s="71">
        <v>180</v>
      </c>
      <c r="L135" s="33"/>
      <c r="M135" s="27">
        <f t="shared" si="28"/>
        <v>160.71428571428569</v>
      </c>
      <c r="N135" s="27">
        <f t="shared" si="29"/>
        <v>19.285714285714281</v>
      </c>
      <c r="O135" s="27">
        <f t="shared" si="30"/>
        <v>0</v>
      </c>
      <c r="P135" s="27"/>
      <c r="Q135" s="34">
        <v>160.71</v>
      </c>
      <c r="R135" s="34"/>
      <c r="S135" s="35"/>
      <c r="T135" s="35"/>
      <c r="U135" s="35"/>
      <c r="V135" s="35"/>
      <c r="W135" s="35"/>
      <c r="X135" s="34"/>
      <c r="Y135" s="34"/>
      <c r="Z135" s="34"/>
      <c r="AA135" s="34"/>
      <c r="AB135" s="35"/>
      <c r="AC135" s="35"/>
      <c r="AD135" s="34"/>
      <c r="AE135" s="34"/>
      <c r="AF135" s="27">
        <f t="shared" si="26"/>
        <v>-179.99571428571429</v>
      </c>
      <c r="AG135" s="28">
        <f t="shared" si="27"/>
        <v>4.2857142857144481E-3</v>
      </c>
    </row>
    <row r="136" spans="1:33" s="12" customFormat="1" ht="24.75" hidden="1" customHeight="1" x14ac:dyDescent="0.2">
      <c r="A136" s="64">
        <v>43676</v>
      </c>
      <c r="B136" s="31"/>
      <c r="C136" s="25" t="s">
        <v>46</v>
      </c>
      <c r="D136" s="25" t="s">
        <v>47</v>
      </c>
      <c r="E136" s="25" t="s">
        <v>37</v>
      </c>
      <c r="F136" s="26">
        <v>36638</v>
      </c>
      <c r="G136" s="29" t="s">
        <v>260</v>
      </c>
      <c r="H136" s="71"/>
      <c r="I136" s="71"/>
      <c r="J136" s="71"/>
      <c r="K136" s="71">
        <v>1292.6400000000001</v>
      </c>
      <c r="L136" s="33"/>
      <c r="M136" s="27">
        <f t="shared" si="28"/>
        <v>1154.1428571428571</v>
      </c>
      <c r="N136" s="27">
        <f t="shared" si="29"/>
        <v>138.49714285714285</v>
      </c>
      <c r="O136" s="27">
        <f t="shared" si="30"/>
        <v>0</v>
      </c>
      <c r="P136" s="27">
        <v>1154.1400000000001</v>
      </c>
      <c r="Q136" s="34"/>
      <c r="R136" s="34"/>
      <c r="S136" s="35"/>
      <c r="T136" s="35"/>
      <c r="U136" s="35"/>
      <c r="V136" s="35"/>
      <c r="W136" s="35"/>
      <c r="X136" s="34"/>
      <c r="Y136" s="34"/>
      <c r="Z136" s="34"/>
      <c r="AA136" s="34"/>
      <c r="AB136" s="35"/>
      <c r="AC136" s="35"/>
      <c r="AD136" s="34"/>
      <c r="AE136" s="34"/>
      <c r="AF136" s="27">
        <f t="shared" si="26"/>
        <v>-1292.6371428571429</v>
      </c>
      <c r="AG136" s="28">
        <f t="shared" si="27"/>
        <v>2.8571428572377044E-3</v>
      </c>
    </row>
    <row r="137" spans="1:33" s="12" customFormat="1" ht="24.75" hidden="1" customHeight="1" x14ac:dyDescent="0.2">
      <c r="A137" s="64">
        <v>43676</v>
      </c>
      <c r="B137" s="31"/>
      <c r="C137" s="25" t="s">
        <v>38</v>
      </c>
      <c r="D137" s="25" t="s">
        <v>39</v>
      </c>
      <c r="E137" s="25" t="s">
        <v>40</v>
      </c>
      <c r="F137" s="26">
        <v>179142</v>
      </c>
      <c r="G137" s="29" t="s">
        <v>261</v>
      </c>
      <c r="H137" s="71"/>
      <c r="I137" s="71"/>
      <c r="J137" s="71"/>
      <c r="K137" s="71">
        <f>2264.46+271.74</f>
        <v>2536.1999999999998</v>
      </c>
      <c r="L137" s="33"/>
      <c r="M137" s="27">
        <f t="shared" si="28"/>
        <v>2264.4642857142853</v>
      </c>
      <c r="N137" s="27">
        <f t="shared" si="29"/>
        <v>271.73571428571421</v>
      </c>
      <c r="O137" s="27">
        <f t="shared" si="30"/>
        <v>0</v>
      </c>
      <c r="P137" s="27">
        <v>2264.46</v>
      </c>
      <c r="Q137" s="34"/>
      <c r="R137" s="34"/>
      <c r="S137" s="35"/>
      <c r="T137" s="35"/>
      <c r="U137" s="35"/>
      <c r="V137" s="35"/>
      <c r="W137" s="35"/>
      <c r="X137" s="34"/>
      <c r="Y137" s="34"/>
      <c r="Z137" s="34"/>
      <c r="AA137" s="34"/>
      <c r="AB137" s="35"/>
      <c r="AC137" s="35"/>
      <c r="AD137" s="34"/>
      <c r="AE137" s="34"/>
      <c r="AF137" s="27">
        <f t="shared" si="26"/>
        <v>-2536.1957142857141</v>
      </c>
      <c r="AG137" s="28">
        <f t="shared" si="27"/>
        <v>4.2857142857428698E-3</v>
      </c>
    </row>
    <row r="138" spans="1:33" s="12" customFormat="1" ht="24.75" hidden="1" customHeight="1" x14ac:dyDescent="0.2">
      <c r="A138" s="64">
        <v>43676</v>
      </c>
      <c r="B138" s="31"/>
      <c r="C138" s="25" t="s">
        <v>38</v>
      </c>
      <c r="D138" s="25" t="s">
        <v>39</v>
      </c>
      <c r="E138" s="25" t="s">
        <v>40</v>
      </c>
      <c r="F138" s="26">
        <v>179142</v>
      </c>
      <c r="G138" s="29" t="s">
        <v>262</v>
      </c>
      <c r="H138" s="71"/>
      <c r="I138" s="71"/>
      <c r="J138" s="71">
        <v>50.6</v>
      </c>
      <c r="K138" s="71"/>
      <c r="L138" s="33"/>
      <c r="M138" s="27">
        <f t="shared" si="28"/>
        <v>50.6</v>
      </c>
      <c r="N138" s="27">
        <f t="shared" si="29"/>
        <v>0</v>
      </c>
      <c r="O138" s="27">
        <f t="shared" si="30"/>
        <v>0</v>
      </c>
      <c r="P138" s="27">
        <v>50.6</v>
      </c>
      <c r="Q138" s="34"/>
      <c r="R138" s="34"/>
      <c r="S138" s="35"/>
      <c r="T138" s="35"/>
      <c r="U138" s="35"/>
      <c r="V138" s="35"/>
      <c r="W138" s="35"/>
      <c r="X138" s="34"/>
      <c r="Y138" s="34"/>
      <c r="Z138" s="34"/>
      <c r="AA138" s="34"/>
      <c r="AB138" s="35"/>
      <c r="AC138" s="35"/>
      <c r="AD138" s="34"/>
      <c r="AE138" s="34"/>
      <c r="AF138" s="27">
        <f t="shared" si="26"/>
        <v>-50.6</v>
      </c>
      <c r="AG138" s="28">
        <f t="shared" si="27"/>
        <v>0</v>
      </c>
    </row>
    <row r="139" spans="1:33" s="12" customFormat="1" ht="24.75" customHeight="1" x14ac:dyDescent="0.2">
      <c r="A139" s="64">
        <v>43676</v>
      </c>
      <c r="B139" s="31"/>
      <c r="C139" s="25" t="s">
        <v>166</v>
      </c>
      <c r="D139" s="25" t="s">
        <v>167</v>
      </c>
      <c r="E139" s="25" t="s">
        <v>76</v>
      </c>
      <c r="F139" s="26">
        <v>1957</v>
      </c>
      <c r="G139" s="29" t="s">
        <v>263</v>
      </c>
      <c r="H139" s="71"/>
      <c r="I139" s="71"/>
      <c r="J139" s="71"/>
      <c r="K139" s="71">
        <v>443</v>
      </c>
      <c r="L139" s="33">
        <v>0.01</v>
      </c>
      <c r="M139" s="27">
        <f t="shared" si="28"/>
        <v>395.53571428571422</v>
      </c>
      <c r="N139" s="27">
        <f t="shared" si="29"/>
        <v>47.464285714285708</v>
      </c>
      <c r="O139" s="27">
        <f t="shared" si="30"/>
        <v>-3.9553571428571423</v>
      </c>
      <c r="P139" s="27">
        <v>395.54</v>
      </c>
      <c r="Q139" s="34"/>
      <c r="R139" s="34"/>
      <c r="S139" s="35"/>
      <c r="T139" s="35"/>
      <c r="U139" s="35"/>
      <c r="V139" s="35"/>
      <c r="W139" s="35"/>
      <c r="X139" s="34"/>
      <c r="Y139" s="34"/>
      <c r="Z139" s="34"/>
      <c r="AA139" s="34"/>
      <c r="AB139" s="35"/>
      <c r="AC139" s="35"/>
      <c r="AD139" s="34"/>
      <c r="AE139" s="34"/>
      <c r="AF139" s="27">
        <f t="shared" si="26"/>
        <v>-439.04892857142858</v>
      </c>
      <c r="AG139" s="28">
        <f t="shared" si="27"/>
        <v>-4.2857142857180008E-3</v>
      </c>
    </row>
    <row r="140" spans="1:33" s="12" customFormat="1" ht="24.75" hidden="1" customHeight="1" x14ac:dyDescent="0.2">
      <c r="A140" s="64">
        <v>43676</v>
      </c>
      <c r="B140" s="31"/>
      <c r="C140" s="25" t="s">
        <v>42</v>
      </c>
      <c r="D140" s="25" t="s">
        <v>43</v>
      </c>
      <c r="E140" s="25" t="s">
        <v>44</v>
      </c>
      <c r="F140" s="26">
        <v>181784</v>
      </c>
      <c r="G140" s="29" t="s">
        <v>45</v>
      </c>
      <c r="H140" s="71"/>
      <c r="I140" s="71"/>
      <c r="J140" s="71"/>
      <c r="K140" s="71">
        <v>180</v>
      </c>
      <c r="L140" s="33"/>
      <c r="M140" s="27">
        <f t="shared" si="28"/>
        <v>160.71428571428569</v>
      </c>
      <c r="N140" s="27">
        <f t="shared" si="29"/>
        <v>19.285714285714281</v>
      </c>
      <c r="O140" s="27">
        <f t="shared" si="30"/>
        <v>0</v>
      </c>
      <c r="P140" s="27"/>
      <c r="Q140" s="34">
        <v>160.71</v>
      </c>
      <c r="R140" s="34"/>
      <c r="S140" s="35"/>
      <c r="T140" s="35"/>
      <c r="U140" s="35"/>
      <c r="V140" s="35"/>
      <c r="W140" s="35"/>
      <c r="X140" s="34"/>
      <c r="Y140" s="34"/>
      <c r="Z140" s="34"/>
      <c r="AA140" s="34"/>
      <c r="AB140" s="35"/>
      <c r="AC140" s="35"/>
      <c r="AD140" s="34"/>
      <c r="AE140" s="34"/>
      <c r="AF140" s="27">
        <f t="shared" si="26"/>
        <v>-179.99571428571429</v>
      </c>
      <c r="AG140" s="28">
        <f t="shared" si="27"/>
        <v>4.2857142857144481E-3</v>
      </c>
    </row>
    <row r="141" spans="1:33" s="12" customFormat="1" ht="24.75" hidden="1" customHeight="1" x14ac:dyDescent="0.2">
      <c r="A141" s="64">
        <v>43676</v>
      </c>
      <c r="B141" s="31"/>
      <c r="C141" s="25" t="s">
        <v>56</v>
      </c>
      <c r="D141" s="25"/>
      <c r="E141" s="25"/>
      <c r="F141" s="26"/>
      <c r="G141" s="29" t="s">
        <v>264</v>
      </c>
      <c r="H141" s="71">
        <v>50</v>
      </c>
      <c r="I141" s="71"/>
      <c r="J141" s="71"/>
      <c r="K141" s="71"/>
      <c r="L141" s="33"/>
      <c r="M141" s="27">
        <f t="shared" si="28"/>
        <v>50</v>
      </c>
      <c r="N141" s="27">
        <f t="shared" si="29"/>
        <v>0</v>
      </c>
      <c r="O141" s="27">
        <f t="shared" si="30"/>
        <v>0</v>
      </c>
      <c r="P141" s="27"/>
      <c r="Q141" s="34"/>
      <c r="R141" s="34"/>
      <c r="S141" s="35"/>
      <c r="T141" s="35"/>
      <c r="U141" s="35"/>
      <c r="V141" s="35"/>
      <c r="W141" s="35"/>
      <c r="X141" s="34"/>
      <c r="Y141" s="34"/>
      <c r="Z141" s="34"/>
      <c r="AA141" s="34">
        <v>50</v>
      </c>
      <c r="AB141" s="35"/>
      <c r="AC141" s="35"/>
      <c r="AD141" s="34"/>
      <c r="AE141" s="34"/>
      <c r="AF141" s="27">
        <f t="shared" si="26"/>
        <v>-50</v>
      </c>
      <c r="AG141" s="28">
        <f t="shared" si="27"/>
        <v>0</v>
      </c>
    </row>
    <row r="142" spans="1:33" s="12" customFormat="1" ht="24.75" hidden="1" customHeight="1" x14ac:dyDescent="0.2">
      <c r="A142" s="64">
        <v>43676</v>
      </c>
      <c r="B142" s="31"/>
      <c r="C142" s="25" t="s">
        <v>56</v>
      </c>
      <c r="D142" s="25"/>
      <c r="E142" s="25"/>
      <c r="F142" s="26"/>
      <c r="G142" s="29" t="s">
        <v>265</v>
      </c>
      <c r="H142" s="71"/>
      <c r="I142" s="71"/>
      <c r="J142" s="71">
        <v>500</v>
      </c>
      <c r="K142" s="71"/>
      <c r="L142" s="33"/>
      <c r="M142" s="27">
        <f t="shared" si="28"/>
        <v>500</v>
      </c>
      <c r="N142" s="27">
        <f t="shared" si="29"/>
        <v>0</v>
      </c>
      <c r="O142" s="27">
        <f t="shared" si="30"/>
        <v>0</v>
      </c>
      <c r="P142" s="27">
        <v>500</v>
      </c>
      <c r="Q142" s="34"/>
      <c r="R142" s="34"/>
      <c r="S142" s="35"/>
      <c r="T142" s="35"/>
      <c r="U142" s="35"/>
      <c r="V142" s="35"/>
      <c r="W142" s="35"/>
      <c r="X142" s="34"/>
      <c r="Y142" s="34"/>
      <c r="Z142" s="34"/>
      <c r="AA142" s="34"/>
      <c r="AB142" s="35"/>
      <c r="AC142" s="35"/>
      <c r="AD142" s="34"/>
      <c r="AE142" s="34"/>
      <c r="AF142" s="27">
        <f t="shared" si="26"/>
        <v>-500</v>
      </c>
      <c r="AG142" s="28">
        <f t="shared" si="27"/>
        <v>0</v>
      </c>
    </row>
    <row r="143" spans="1:33" s="57" customFormat="1" ht="23.25" hidden="1" customHeight="1" x14ac:dyDescent="0.2">
      <c r="A143" s="65">
        <v>43677</v>
      </c>
      <c r="B143" s="58"/>
      <c r="C143" s="50" t="s">
        <v>42</v>
      </c>
      <c r="D143" s="50" t="s">
        <v>43</v>
      </c>
      <c r="E143" s="50" t="s">
        <v>44</v>
      </c>
      <c r="F143" s="51">
        <v>181828</v>
      </c>
      <c r="G143" s="49" t="s">
        <v>45</v>
      </c>
      <c r="H143" s="72"/>
      <c r="I143" s="72"/>
      <c r="J143" s="72"/>
      <c r="K143" s="72">
        <v>180</v>
      </c>
      <c r="L143" s="52"/>
      <c r="M143" s="53">
        <f t="shared" si="28"/>
        <v>160.71428571428569</v>
      </c>
      <c r="N143" s="53">
        <f t="shared" si="29"/>
        <v>19.285714285714281</v>
      </c>
      <c r="O143" s="53">
        <f t="shared" si="30"/>
        <v>0</v>
      </c>
      <c r="P143" s="53"/>
      <c r="Q143" s="54">
        <v>160.71</v>
      </c>
      <c r="R143" s="54"/>
      <c r="S143" s="55"/>
      <c r="T143" s="55"/>
      <c r="U143" s="55"/>
      <c r="V143" s="55"/>
      <c r="W143" s="55"/>
      <c r="X143" s="54"/>
      <c r="Y143" s="54"/>
      <c r="Z143" s="54"/>
      <c r="AA143" s="54"/>
      <c r="AB143" s="55"/>
      <c r="AC143" s="55"/>
      <c r="AD143" s="54"/>
      <c r="AE143" s="54"/>
      <c r="AF143" s="53">
        <f t="shared" si="26"/>
        <v>-179.99571428571429</v>
      </c>
      <c r="AG143" s="56">
        <f t="shared" si="27"/>
        <v>4.2857142857144481E-3</v>
      </c>
    </row>
    <row r="144" spans="1:33" s="12" customFormat="1" ht="23.25" customHeight="1" x14ac:dyDescent="0.2">
      <c r="A144" s="64">
        <v>43677</v>
      </c>
      <c r="B144" s="31"/>
      <c r="C144" s="25" t="s">
        <v>166</v>
      </c>
      <c r="D144" s="25" t="s">
        <v>167</v>
      </c>
      <c r="E144" s="25" t="s">
        <v>76</v>
      </c>
      <c r="F144" s="26">
        <v>23482</v>
      </c>
      <c r="G144" s="29" t="s">
        <v>166</v>
      </c>
      <c r="H144" s="71"/>
      <c r="I144" s="71"/>
      <c r="J144" s="71"/>
      <c r="K144" s="71">
        <v>274</v>
      </c>
      <c r="L144" s="33">
        <v>0.01</v>
      </c>
      <c r="M144" s="27">
        <f t="shared" ref="M144:M152" si="31">SUM(H144:J144,K144/1.12)</f>
        <v>244.64285714285711</v>
      </c>
      <c r="N144" s="27">
        <f t="shared" ref="N144:N152" si="32">K144/1.12*0.12</f>
        <v>29.357142857142851</v>
      </c>
      <c r="O144" s="27">
        <f t="shared" ref="O144:O152" si="33">-SUM(I144:J144,K144/1.12)*L144</f>
        <v>-2.4464285714285712</v>
      </c>
      <c r="P144" s="27">
        <v>244.64</v>
      </c>
      <c r="Q144" s="34"/>
      <c r="R144" s="34"/>
      <c r="S144" s="35"/>
      <c r="T144" s="35"/>
      <c r="U144" s="35"/>
      <c r="V144" s="35"/>
      <c r="W144" s="35"/>
      <c r="X144" s="34"/>
      <c r="Y144" s="34"/>
      <c r="Z144" s="34"/>
      <c r="AA144" s="34"/>
      <c r="AB144" s="35"/>
      <c r="AC144" s="35"/>
      <c r="AD144" s="34"/>
      <c r="AE144" s="34"/>
      <c r="AF144" s="27">
        <f t="shared" ref="AF144:AF152" si="34">-SUM(N144:AE144)</f>
        <v>-271.55071428571426</v>
      </c>
      <c r="AG144" s="28">
        <f t="shared" ref="AG144:AG152" si="35">SUM(H144:K144)+AF144+O144</f>
        <v>2.8571428571648738E-3</v>
      </c>
    </row>
    <row r="145" spans="1:33" s="12" customFormat="1" ht="23.25" hidden="1" customHeight="1" x14ac:dyDescent="0.2">
      <c r="A145" s="64">
        <v>43677</v>
      </c>
      <c r="B145" s="31"/>
      <c r="C145" s="25" t="s">
        <v>46</v>
      </c>
      <c r="D145" s="25" t="s">
        <v>47</v>
      </c>
      <c r="E145" s="25" t="s">
        <v>37</v>
      </c>
      <c r="F145" s="26">
        <v>36705</v>
      </c>
      <c r="G145" s="29" t="s">
        <v>67</v>
      </c>
      <c r="H145" s="71"/>
      <c r="I145" s="71"/>
      <c r="J145" s="71"/>
      <c r="K145" s="71">
        <v>194</v>
      </c>
      <c r="L145" s="33"/>
      <c r="M145" s="27">
        <f t="shared" ref="M145:M151" si="36">SUM(H145:J145,K145/1.12)</f>
        <v>173.21428571428569</v>
      </c>
      <c r="N145" s="27">
        <f t="shared" ref="N145:N151" si="37">K145/1.12*0.12</f>
        <v>20.785714285714281</v>
      </c>
      <c r="O145" s="27">
        <f t="shared" ref="O145:O151" si="38">-SUM(I145:J145,K145/1.12)*L145</f>
        <v>0</v>
      </c>
      <c r="P145" s="27">
        <v>173.21</v>
      </c>
      <c r="Q145" s="34"/>
      <c r="R145" s="34"/>
      <c r="S145" s="35"/>
      <c r="T145" s="35"/>
      <c r="U145" s="35"/>
      <c r="V145" s="35"/>
      <c r="W145" s="35"/>
      <c r="X145" s="34"/>
      <c r="Y145" s="34"/>
      <c r="Z145" s="34"/>
      <c r="AA145" s="34"/>
      <c r="AB145" s="35"/>
      <c r="AC145" s="35"/>
      <c r="AD145" s="34"/>
      <c r="AE145" s="34"/>
      <c r="AF145" s="27">
        <f t="shared" ref="AF145:AF151" si="39">-SUM(N145:AE145)</f>
        <v>-193.99571428571429</v>
      </c>
      <c r="AG145" s="28">
        <f t="shared" ref="AG145:AG151" si="40">SUM(H145:K145)+AF145+O145</f>
        <v>4.2857142857144481E-3</v>
      </c>
    </row>
    <row r="146" spans="1:33" s="12" customFormat="1" ht="23.25" hidden="1" customHeight="1" x14ac:dyDescent="0.2">
      <c r="A146" s="64">
        <v>43677</v>
      </c>
      <c r="B146" s="31"/>
      <c r="C146" s="25" t="s">
        <v>46</v>
      </c>
      <c r="D146" s="25" t="s">
        <v>47</v>
      </c>
      <c r="E146" s="25" t="s">
        <v>37</v>
      </c>
      <c r="F146" s="26">
        <v>36709</v>
      </c>
      <c r="G146" s="29" t="s">
        <v>266</v>
      </c>
      <c r="H146" s="71"/>
      <c r="I146" s="71"/>
      <c r="J146" s="71"/>
      <c r="K146" s="71">
        <v>350.5</v>
      </c>
      <c r="L146" s="33"/>
      <c r="M146" s="27">
        <f t="shared" si="36"/>
        <v>312.94642857142856</v>
      </c>
      <c r="N146" s="27">
        <f t="shared" si="37"/>
        <v>37.553571428571423</v>
      </c>
      <c r="O146" s="27">
        <f t="shared" si="38"/>
        <v>0</v>
      </c>
      <c r="P146" s="27">
        <v>312.95</v>
      </c>
      <c r="Q146" s="34"/>
      <c r="R146" s="34"/>
      <c r="S146" s="35"/>
      <c r="T146" s="35"/>
      <c r="U146" s="35"/>
      <c r="V146" s="35"/>
      <c r="W146" s="35"/>
      <c r="X146" s="34"/>
      <c r="Y146" s="34"/>
      <c r="Z146" s="34"/>
      <c r="AA146" s="34"/>
      <c r="AB146" s="35"/>
      <c r="AC146" s="35"/>
      <c r="AD146" s="34"/>
      <c r="AE146" s="34"/>
      <c r="AF146" s="27">
        <f t="shared" si="39"/>
        <v>-350.50357142857143</v>
      </c>
      <c r="AG146" s="28">
        <f t="shared" si="40"/>
        <v>-3.5714285714334437E-3</v>
      </c>
    </row>
    <row r="147" spans="1:33" s="12" customFormat="1" ht="23.25" hidden="1" customHeight="1" x14ac:dyDescent="0.2">
      <c r="A147" s="64">
        <v>43677</v>
      </c>
      <c r="B147" s="31"/>
      <c r="C147" s="25" t="s">
        <v>46</v>
      </c>
      <c r="D147" s="25" t="s">
        <v>47</v>
      </c>
      <c r="E147" s="25" t="s">
        <v>37</v>
      </c>
      <c r="F147" s="26">
        <v>69241</v>
      </c>
      <c r="G147" s="29" t="s">
        <v>267</v>
      </c>
      <c r="H147" s="71"/>
      <c r="I147" s="71"/>
      <c r="J147" s="71"/>
      <c r="K147" s="71">
        <v>51.62</v>
      </c>
      <c r="L147" s="33"/>
      <c r="M147" s="27">
        <f t="shared" si="36"/>
        <v>46.089285714285708</v>
      </c>
      <c r="N147" s="27">
        <f t="shared" si="37"/>
        <v>5.5307142857142848</v>
      </c>
      <c r="O147" s="27">
        <f t="shared" si="38"/>
        <v>0</v>
      </c>
      <c r="P147" s="27"/>
      <c r="Q147" s="34"/>
      <c r="R147" s="34"/>
      <c r="S147" s="35"/>
      <c r="T147" s="35"/>
      <c r="U147" s="35"/>
      <c r="V147" s="35"/>
      <c r="W147" s="35"/>
      <c r="X147" s="34"/>
      <c r="Y147" s="34"/>
      <c r="Z147" s="34"/>
      <c r="AA147" s="34"/>
      <c r="AB147" s="35"/>
      <c r="AC147" s="35"/>
      <c r="AD147" s="34"/>
      <c r="AE147" s="34">
        <v>46.09</v>
      </c>
      <c r="AF147" s="27">
        <f t="shared" si="39"/>
        <v>-51.620714285714286</v>
      </c>
      <c r="AG147" s="28">
        <f t="shared" si="40"/>
        <v>-7.1428571428810983E-4</v>
      </c>
    </row>
    <row r="148" spans="1:33" s="12" customFormat="1" ht="23.25" hidden="1" customHeight="1" x14ac:dyDescent="0.2">
      <c r="A148" s="64">
        <v>43677</v>
      </c>
      <c r="B148" s="31"/>
      <c r="C148" s="25" t="s">
        <v>46</v>
      </c>
      <c r="D148" s="25" t="s">
        <v>47</v>
      </c>
      <c r="E148" s="25" t="s">
        <v>37</v>
      </c>
      <c r="F148" s="26">
        <v>36714</v>
      </c>
      <c r="G148" s="29" t="s">
        <v>234</v>
      </c>
      <c r="H148" s="71"/>
      <c r="I148" s="71"/>
      <c r="J148" s="71"/>
      <c r="K148" s="71">
        <v>117</v>
      </c>
      <c r="L148" s="33"/>
      <c r="M148" s="27">
        <f t="shared" si="36"/>
        <v>104.46428571428571</v>
      </c>
      <c r="N148" s="27">
        <f t="shared" si="37"/>
        <v>12.535714285714285</v>
      </c>
      <c r="O148" s="27">
        <f t="shared" si="38"/>
        <v>0</v>
      </c>
      <c r="P148" s="27">
        <v>104.46</v>
      </c>
      <c r="Q148" s="34"/>
      <c r="R148" s="34"/>
      <c r="S148" s="35"/>
      <c r="T148" s="35"/>
      <c r="U148" s="35"/>
      <c r="V148" s="35"/>
      <c r="W148" s="35"/>
      <c r="X148" s="34"/>
      <c r="Y148" s="34"/>
      <c r="Z148" s="34"/>
      <c r="AA148" s="34"/>
      <c r="AB148" s="35"/>
      <c r="AC148" s="35"/>
      <c r="AD148" s="34"/>
      <c r="AE148" s="34"/>
      <c r="AF148" s="27">
        <f t="shared" si="39"/>
        <v>-116.99571428571429</v>
      </c>
      <c r="AG148" s="28">
        <f t="shared" si="40"/>
        <v>4.2857142857144481E-3</v>
      </c>
    </row>
    <row r="149" spans="1:33" s="12" customFormat="1" ht="23.25" hidden="1" customHeight="1" x14ac:dyDescent="0.2">
      <c r="A149" s="64">
        <v>43677</v>
      </c>
      <c r="B149" s="31"/>
      <c r="C149" s="25" t="s">
        <v>38</v>
      </c>
      <c r="D149" s="25" t="s">
        <v>39</v>
      </c>
      <c r="E149" s="25" t="s">
        <v>40</v>
      </c>
      <c r="F149" s="26">
        <v>190564</v>
      </c>
      <c r="G149" s="29" t="s">
        <v>268</v>
      </c>
      <c r="H149" s="71"/>
      <c r="I149" s="71"/>
      <c r="J149" s="71">
        <v>767.3</v>
      </c>
      <c r="K149" s="71"/>
      <c r="L149" s="33"/>
      <c r="M149" s="27">
        <f t="shared" si="36"/>
        <v>767.3</v>
      </c>
      <c r="N149" s="27">
        <f t="shared" si="37"/>
        <v>0</v>
      </c>
      <c r="O149" s="27">
        <f t="shared" si="38"/>
        <v>0</v>
      </c>
      <c r="P149" s="27">
        <v>767.3</v>
      </c>
      <c r="Q149" s="34"/>
      <c r="R149" s="34"/>
      <c r="S149" s="35"/>
      <c r="T149" s="35"/>
      <c r="U149" s="35"/>
      <c r="V149" s="35"/>
      <c r="W149" s="35"/>
      <c r="X149" s="34"/>
      <c r="Y149" s="34"/>
      <c r="Z149" s="34"/>
      <c r="AA149" s="34"/>
      <c r="AB149" s="35"/>
      <c r="AC149" s="35"/>
      <c r="AD149" s="34"/>
      <c r="AE149" s="34"/>
      <c r="AF149" s="27">
        <f t="shared" si="39"/>
        <v>-767.3</v>
      </c>
      <c r="AG149" s="28">
        <f t="shared" si="40"/>
        <v>0</v>
      </c>
    </row>
    <row r="150" spans="1:33" s="12" customFormat="1" ht="23.25" hidden="1" customHeight="1" x14ac:dyDescent="0.2">
      <c r="A150" s="64">
        <v>43677</v>
      </c>
      <c r="B150" s="31"/>
      <c r="C150" s="25" t="s">
        <v>38</v>
      </c>
      <c r="D150" s="25" t="s">
        <v>39</v>
      </c>
      <c r="E150" s="25" t="s">
        <v>40</v>
      </c>
      <c r="F150" s="26">
        <v>190564</v>
      </c>
      <c r="G150" s="29" t="s">
        <v>269</v>
      </c>
      <c r="H150" s="71"/>
      <c r="I150" s="71"/>
      <c r="J150" s="71"/>
      <c r="K150" s="71">
        <f>393.3+47.2</f>
        <v>440.5</v>
      </c>
      <c r="L150" s="33"/>
      <c r="M150" s="27">
        <f t="shared" si="36"/>
        <v>393.30357142857139</v>
      </c>
      <c r="N150" s="27">
        <f t="shared" si="37"/>
        <v>47.196428571428562</v>
      </c>
      <c r="O150" s="27">
        <f t="shared" si="38"/>
        <v>0</v>
      </c>
      <c r="P150" s="27">
        <v>393.3</v>
      </c>
      <c r="Q150" s="34"/>
      <c r="R150" s="34"/>
      <c r="S150" s="35"/>
      <c r="T150" s="35"/>
      <c r="U150" s="35"/>
      <c r="V150" s="35"/>
      <c r="W150" s="35"/>
      <c r="X150" s="34"/>
      <c r="Y150" s="34"/>
      <c r="Z150" s="34"/>
      <c r="AA150" s="34"/>
      <c r="AB150" s="35"/>
      <c r="AC150" s="35"/>
      <c r="AD150" s="34"/>
      <c r="AE150" s="34"/>
      <c r="AF150" s="27">
        <f t="shared" si="39"/>
        <v>-440.49642857142857</v>
      </c>
      <c r="AG150" s="28">
        <f t="shared" si="40"/>
        <v>3.5714285714334437E-3</v>
      </c>
    </row>
    <row r="151" spans="1:33" s="12" customFormat="1" ht="23.25" hidden="1" customHeight="1" x14ac:dyDescent="0.2">
      <c r="A151" s="64">
        <v>43677</v>
      </c>
      <c r="B151" s="31"/>
      <c r="C151" s="25" t="s">
        <v>41</v>
      </c>
      <c r="D151" s="25"/>
      <c r="E151" s="25"/>
      <c r="F151" s="26"/>
      <c r="G151" s="29" t="s">
        <v>186</v>
      </c>
      <c r="H151" s="71">
        <v>60</v>
      </c>
      <c r="I151" s="71"/>
      <c r="J151" s="71"/>
      <c r="K151" s="71"/>
      <c r="L151" s="33"/>
      <c r="M151" s="27">
        <f t="shared" si="36"/>
        <v>60</v>
      </c>
      <c r="N151" s="27">
        <f t="shared" si="37"/>
        <v>0</v>
      </c>
      <c r="O151" s="27">
        <f t="shared" si="38"/>
        <v>0</v>
      </c>
      <c r="P151" s="27"/>
      <c r="Q151" s="34"/>
      <c r="R151" s="34"/>
      <c r="S151" s="35"/>
      <c r="T151" s="35"/>
      <c r="U151" s="35"/>
      <c r="V151" s="35"/>
      <c r="W151" s="35"/>
      <c r="X151" s="34"/>
      <c r="Y151" s="34"/>
      <c r="Z151" s="34"/>
      <c r="AA151" s="34">
        <v>60</v>
      </c>
      <c r="AB151" s="35"/>
      <c r="AC151" s="35"/>
      <c r="AD151" s="34"/>
      <c r="AE151" s="34"/>
      <c r="AF151" s="27">
        <f t="shared" si="39"/>
        <v>-60</v>
      </c>
      <c r="AG151" s="28">
        <f t="shared" si="40"/>
        <v>0</v>
      </c>
    </row>
    <row r="152" spans="1:33" s="12" customFormat="1" ht="23.25" customHeight="1" x14ac:dyDescent="0.2">
      <c r="A152" s="64"/>
      <c r="B152" s="31"/>
      <c r="C152" s="25"/>
      <c r="D152" s="25"/>
      <c r="E152" s="25"/>
      <c r="F152" s="26"/>
      <c r="G152" s="29"/>
      <c r="H152" s="71"/>
      <c r="I152" s="71"/>
      <c r="J152" s="71"/>
      <c r="K152" s="71"/>
      <c r="L152" s="33"/>
      <c r="M152" s="27">
        <f t="shared" si="31"/>
        <v>0</v>
      </c>
      <c r="N152" s="27">
        <f t="shared" si="32"/>
        <v>0</v>
      </c>
      <c r="O152" s="27">
        <f t="shared" si="33"/>
        <v>0</v>
      </c>
      <c r="P152" s="27"/>
      <c r="Q152" s="34"/>
      <c r="R152" s="34"/>
      <c r="S152" s="35"/>
      <c r="T152" s="35"/>
      <c r="U152" s="35"/>
      <c r="V152" s="35"/>
      <c r="W152" s="35"/>
      <c r="X152" s="34"/>
      <c r="Y152" s="34"/>
      <c r="Z152" s="34"/>
      <c r="AA152" s="34"/>
      <c r="AB152" s="35"/>
      <c r="AC152" s="35"/>
      <c r="AD152" s="34"/>
      <c r="AE152" s="34"/>
      <c r="AF152" s="27">
        <f t="shared" si="34"/>
        <v>0</v>
      </c>
      <c r="AG152" s="28">
        <f t="shared" si="35"/>
        <v>0</v>
      </c>
    </row>
    <row r="153" spans="1:33" s="12" customFormat="1" ht="19.5" customHeight="1" x14ac:dyDescent="0.2">
      <c r="A153" s="64"/>
      <c r="B153" s="31"/>
      <c r="C153" s="36"/>
      <c r="D153" s="36"/>
      <c r="E153" s="36"/>
      <c r="F153" s="26"/>
      <c r="G153" s="29"/>
      <c r="H153" s="71"/>
      <c r="I153" s="71"/>
      <c r="J153" s="71"/>
      <c r="K153" s="71"/>
      <c r="L153" s="33"/>
      <c r="M153" s="34">
        <f>SUM(H153:J153,K153/1.12)</f>
        <v>0</v>
      </c>
      <c r="N153" s="34">
        <f>K153/1.12*0.12</f>
        <v>0</v>
      </c>
      <c r="O153" s="34">
        <f>-SUM(I153:J153,K153/1.12)*L153</f>
        <v>0</v>
      </c>
      <c r="P153" s="34"/>
      <c r="Q153" s="34"/>
      <c r="R153" s="34"/>
      <c r="S153" s="34"/>
      <c r="T153" s="35"/>
      <c r="U153" s="35"/>
      <c r="V153" s="35"/>
      <c r="W153" s="35"/>
      <c r="X153" s="35"/>
      <c r="Y153" s="37"/>
      <c r="Z153" s="34"/>
      <c r="AA153" s="34"/>
      <c r="AB153" s="34"/>
      <c r="AC153" s="35"/>
      <c r="AD153" s="35"/>
      <c r="AE153" s="38"/>
      <c r="AF153" s="27">
        <f t="shared" ref="AF153" si="41">-SUM(N153:AE153)</f>
        <v>0</v>
      </c>
      <c r="AG153" s="28">
        <f t="shared" ref="AG153" si="42">SUM(H153:K153)+AF153+O153</f>
        <v>0</v>
      </c>
    </row>
    <row r="154" spans="1:33" s="10" customFormat="1" ht="12" customHeight="1" thickBot="1" x14ac:dyDescent="0.25">
      <c r="A154" s="66"/>
      <c r="B154" s="40"/>
      <c r="C154" s="41"/>
      <c r="D154" s="42"/>
      <c r="E154" s="42"/>
      <c r="F154" s="43"/>
      <c r="G154" s="41"/>
      <c r="H154" s="73">
        <f t="shared" ref="H154:AG154" si="43">SUM(H5:H153)</f>
        <v>4276.3</v>
      </c>
      <c r="I154" s="73">
        <f t="shared" si="43"/>
        <v>0</v>
      </c>
      <c r="J154" s="73">
        <f t="shared" si="43"/>
        <v>13252.050000000001</v>
      </c>
      <c r="K154" s="73">
        <f t="shared" si="43"/>
        <v>59301.30000000001</v>
      </c>
      <c r="L154" s="44">
        <f t="shared" si="43"/>
        <v>0.09</v>
      </c>
      <c r="M154" s="44">
        <f t="shared" si="43"/>
        <v>70475.939285714267</v>
      </c>
      <c r="N154" s="44">
        <f t="shared" si="43"/>
        <v>6353.7107142857194</v>
      </c>
      <c r="O154" s="44">
        <f t="shared" si="43"/>
        <v>-101.90178571428569</v>
      </c>
      <c r="P154" s="44">
        <f t="shared" si="43"/>
        <v>52033.88</v>
      </c>
      <c r="Q154" s="44">
        <f t="shared" si="43"/>
        <v>8289.4199999999983</v>
      </c>
      <c r="R154" s="44">
        <f t="shared" si="43"/>
        <v>0</v>
      </c>
      <c r="S154" s="44">
        <f t="shared" si="43"/>
        <v>41.96</v>
      </c>
      <c r="T154" s="44">
        <f t="shared" si="43"/>
        <v>1550.22</v>
      </c>
      <c r="U154" s="44">
        <f t="shared" si="43"/>
        <v>0</v>
      </c>
      <c r="V154" s="44">
        <f t="shared" si="43"/>
        <v>0</v>
      </c>
      <c r="W154" s="44">
        <f t="shared" si="43"/>
        <v>0</v>
      </c>
      <c r="X154" s="44">
        <f t="shared" si="43"/>
        <v>597.32000000000005</v>
      </c>
      <c r="Y154" s="44">
        <f t="shared" si="43"/>
        <v>3047.76</v>
      </c>
      <c r="Z154" s="44">
        <f t="shared" si="43"/>
        <v>76.789999999999992</v>
      </c>
      <c r="AA154" s="44">
        <f t="shared" si="43"/>
        <v>1580</v>
      </c>
      <c r="AB154" s="44">
        <f t="shared" si="43"/>
        <v>2685</v>
      </c>
      <c r="AC154" s="44">
        <f t="shared" si="43"/>
        <v>0</v>
      </c>
      <c r="AD154" s="44">
        <f t="shared" si="43"/>
        <v>179.16000000000003</v>
      </c>
      <c r="AE154" s="44">
        <f t="shared" si="43"/>
        <v>46.09</v>
      </c>
      <c r="AF154" s="44">
        <f t="shared" si="43"/>
        <v>-76379.408928571458</v>
      </c>
      <c r="AG154" s="44">
        <f t="shared" si="43"/>
        <v>348.33928571428709</v>
      </c>
    </row>
    <row r="155" spans="1:33" ht="12" customHeight="1" thickTop="1" x14ac:dyDescent="0.2"/>
    <row r="156" spans="1:33" ht="12" x14ac:dyDescent="0.2">
      <c r="K156" s="74">
        <f>H154+I154+J154+K154</f>
        <v>76829.650000000009</v>
      </c>
      <c r="L156" s="9"/>
      <c r="M156" s="8"/>
      <c r="AF156" s="46">
        <f>+AF154</f>
        <v>-76379.408928571458</v>
      </c>
    </row>
    <row r="157" spans="1:33" x14ac:dyDescent="0.2">
      <c r="K157" s="75"/>
      <c r="L157" s="9"/>
      <c r="M157" s="8">
        <f>+M33+M47+M79+M113+M114+M115+M127+M139+M144</f>
        <v>10190.178571428569</v>
      </c>
      <c r="O157" s="2">
        <f>M157*0.01</f>
        <v>101.90178571428569</v>
      </c>
    </row>
    <row r="158" spans="1:33" ht="12" x14ac:dyDescent="0.2">
      <c r="C158" s="47" t="s">
        <v>33</v>
      </c>
      <c r="G158" s="10"/>
      <c r="K158" s="85"/>
      <c r="L158" s="85"/>
      <c r="M158" s="85"/>
    </row>
    <row r="159" spans="1:33" x14ac:dyDescent="0.2">
      <c r="K159" s="75"/>
      <c r="L159" s="9"/>
      <c r="M159" s="8"/>
    </row>
    <row r="160" spans="1:33" x14ac:dyDescent="0.2">
      <c r="K160" s="75"/>
      <c r="L160" s="9"/>
      <c r="M160" s="8"/>
    </row>
    <row r="161" spans="1:32" x14ac:dyDescent="0.2">
      <c r="A161" s="68"/>
      <c r="B161" s="1"/>
      <c r="D161" s="1"/>
      <c r="E161" s="1"/>
      <c r="F161" s="1"/>
      <c r="H161" s="76"/>
      <c r="I161" s="76"/>
      <c r="J161" s="76"/>
      <c r="K161" s="75"/>
      <c r="L161" s="9"/>
      <c r="M161" s="8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Z161" s="1"/>
      <c r="AA161" s="1"/>
      <c r="AB161" s="1"/>
      <c r="AC161" s="1"/>
      <c r="AD161" s="1"/>
      <c r="AE161" s="1"/>
      <c r="AF161" s="1"/>
    </row>
    <row r="168" spans="1:32" x14ac:dyDescent="0.2">
      <c r="Q168" s="2">
        <v>0</v>
      </c>
    </row>
    <row r="169" spans="1:32" x14ac:dyDescent="0.2">
      <c r="A169" s="68"/>
      <c r="B169" s="1"/>
      <c r="D169" s="1"/>
      <c r="E169" s="1"/>
      <c r="F169" s="1"/>
      <c r="H169" s="76"/>
      <c r="I169" s="76"/>
      <c r="J169" s="76"/>
      <c r="K169" s="76"/>
      <c r="L169" s="1"/>
      <c r="M169" s="1"/>
      <c r="N169" s="1"/>
      <c r="O169" s="1"/>
      <c r="P169" s="1"/>
      <c r="Q169" s="1"/>
      <c r="R169" s="1"/>
      <c r="S169" s="1"/>
      <c r="Z169" s="1"/>
      <c r="AA169" s="1"/>
      <c r="AB169" s="1"/>
      <c r="AC169" s="1"/>
      <c r="AD169" s="1"/>
      <c r="AE169" s="1"/>
      <c r="AF169" s="1"/>
    </row>
  </sheetData>
  <mergeCells count="1">
    <mergeCell ref="K158:M158"/>
  </mergeCells>
  <pageMargins left="0.7" right="0.7" top="0.75" bottom="0.75" header="0.3" footer="0.3"/>
  <pageSetup paperSize="5" scale="75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9"/>
  <sheetViews>
    <sheetView workbookViewId="0">
      <selection activeCell="A5" sqref="A5:XFD21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30.7109375" style="1" customWidth="1"/>
    <col min="8" max="8" width="7.85546875" style="2" customWidth="1"/>
    <col min="9" max="9" width="8.42578125" style="2" customWidth="1"/>
    <col min="10" max="10" width="9.7109375" style="2" customWidth="1"/>
    <col min="11" max="11" width="10" style="2" bestFit="1" customWidth="1"/>
    <col min="12" max="12" width="5.140625" style="3" bestFit="1" customWidth="1"/>
    <col min="13" max="13" width="9.28515625" style="2" bestFit="1" customWidth="1"/>
    <col min="14" max="14" width="8.140625" style="2" bestFit="1" customWidth="1"/>
    <col min="15" max="15" width="6.5703125" style="2" bestFit="1" customWidth="1"/>
    <col min="16" max="16" width="8.140625" style="2" bestFit="1" customWidth="1"/>
    <col min="17" max="17" width="10" style="2" bestFit="1" customWidth="1"/>
    <col min="18" max="18" width="9.140625" style="2" bestFit="1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7.140625" style="2" bestFit="1" customWidth="1"/>
    <col min="28" max="28" width="9" style="2" bestFit="1" customWidth="1"/>
    <col min="29" max="30" width="8" style="2" customWidth="1"/>
    <col min="31" max="31" width="10.140625" style="2" customWidth="1"/>
    <col min="32" max="32" width="10.5703125" style="2" bestFit="1" customWidth="1"/>
    <col min="33" max="33" width="5.5703125" style="1" bestFit="1" customWidth="1"/>
    <col min="34" max="16384" width="9.140625" style="1"/>
  </cols>
  <sheetData>
    <row r="1" spans="1:33" ht="12" customHeight="1" x14ac:dyDescent="0.2">
      <c r="A1" s="13" t="s">
        <v>30</v>
      </c>
      <c r="C1" s="14"/>
    </row>
    <row r="2" spans="1:33" ht="12" customHeight="1" x14ac:dyDescent="0.2">
      <c r="A2" s="13" t="s">
        <v>26</v>
      </c>
    </row>
    <row r="3" spans="1:33" ht="12" customHeight="1" x14ac:dyDescent="0.2">
      <c r="A3" s="13" t="s">
        <v>63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3.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 x14ac:dyDescent="0.2">
      <c r="A5" s="30">
        <v>43622</v>
      </c>
      <c r="B5" s="31"/>
      <c r="C5" s="60" t="s">
        <v>64</v>
      </c>
      <c r="D5" s="25" t="s">
        <v>48</v>
      </c>
      <c r="E5" s="25" t="s">
        <v>49</v>
      </c>
      <c r="F5" s="26">
        <v>114147</v>
      </c>
      <c r="G5" s="48" t="s">
        <v>65</v>
      </c>
      <c r="H5" s="32"/>
      <c r="I5" s="32"/>
      <c r="J5" s="32"/>
      <c r="K5" s="32">
        <v>1770</v>
      </c>
      <c r="L5" s="33"/>
      <c r="M5" s="27">
        <f t="shared" ref="M5:M23" si="0">SUM(H5:J5,K5/1.12)</f>
        <v>1580.3571428571427</v>
      </c>
      <c r="N5" s="27">
        <f t="shared" ref="N5:N23" si="1">K5/1.12*0.12</f>
        <v>189.64285714285711</v>
      </c>
      <c r="O5" s="27"/>
      <c r="P5" s="27"/>
      <c r="Q5" s="34">
        <v>1580.36</v>
      </c>
      <c r="R5" s="34"/>
      <c r="S5" s="35"/>
      <c r="T5" s="35"/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:AF20" si="2">-SUM(N5:AE5)</f>
        <v>-1770.002857142857</v>
      </c>
      <c r="AG5" s="28">
        <f t="shared" ref="AG5:AG20" si="3">SUM(H5:K5)+AF5+O5</f>
        <v>-2.8571428570103308E-3</v>
      </c>
    </row>
    <row r="6" spans="1:33" s="12" customFormat="1" ht="23.25" customHeight="1" x14ac:dyDescent="0.2">
      <c r="A6" s="30">
        <v>43622</v>
      </c>
      <c r="B6" s="31"/>
      <c r="C6" s="25" t="s">
        <v>41</v>
      </c>
      <c r="D6" s="25"/>
      <c r="E6" s="25"/>
      <c r="F6" s="26"/>
      <c r="G6" s="48" t="s">
        <v>66</v>
      </c>
      <c r="H6" s="32">
        <v>30</v>
      </c>
      <c r="I6" s="32"/>
      <c r="J6" s="32"/>
      <c r="K6" s="32"/>
      <c r="L6" s="33"/>
      <c r="M6" s="27">
        <f t="shared" si="0"/>
        <v>30</v>
      </c>
      <c r="N6" s="27">
        <f t="shared" si="1"/>
        <v>0</v>
      </c>
      <c r="O6" s="27"/>
      <c r="P6" s="27"/>
      <c r="Q6" s="34"/>
      <c r="R6" s="34"/>
      <c r="S6" s="35"/>
      <c r="T6" s="35"/>
      <c r="U6" s="35"/>
      <c r="V6" s="35"/>
      <c r="W6" s="35"/>
      <c r="X6" s="34"/>
      <c r="Y6" s="34"/>
      <c r="Z6" s="34"/>
      <c r="AA6" s="34">
        <v>30</v>
      </c>
      <c r="AB6" s="35"/>
      <c r="AC6" s="35"/>
      <c r="AD6" s="34"/>
      <c r="AE6" s="34"/>
      <c r="AF6" s="27">
        <f t="shared" si="2"/>
        <v>-30</v>
      </c>
      <c r="AG6" s="28">
        <f t="shared" si="3"/>
        <v>0</v>
      </c>
    </row>
    <row r="7" spans="1:33" s="12" customFormat="1" ht="23.25" customHeight="1" x14ac:dyDescent="0.2">
      <c r="A7" s="30">
        <v>43622</v>
      </c>
      <c r="B7" s="31"/>
      <c r="C7" s="25" t="s">
        <v>42</v>
      </c>
      <c r="D7" s="25" t="s">
        <v>43</v>
      </c>
      <c r="E7" s="25" t="s">
        <v>44</v>
      </c>
      <c r="F7" s="26">
        <v>197229</v>
      </c>
      <c r="G7" s="29" t="s">
        <v>45</v>
      </c>
      <c r="H7" s="32"/>
      <c r="I7" s="32"/>
      <c r="J7" s="32"/>
      <c r="K7" s="32">
        <v>180</v>
      </c>
      <c r="L7" s="33"/>
      <c r="M7" s="27">
        <f t="shared" si="0"/>
        <v>160.71428571428569</v>
      </c>
      <c r="N7" s="27">
        <f t="shared" si="1"/>
        <v>19.285714285714281</v>
      </c>
      <c r="O7" s="27">
        <f t="shared" ref="O7" si="4">-SUM(I7:J7,K7/1.12)*L7</f>
        <v>0</v>
      </c>
      <c r="P7" s="27"/>
      <c r="Q7" s="34">
        <v>160.71</v>
      </c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ref="AF7" si="5">-SUM(N7:AE7)</f>
        <v>-179.99571428571429</v>
      </c>
      <c r="AG7" s="28">
        <f t="shared" ref="AG7" si="6">SUM(H7:K7)+AF7+O7</f>
        <v>4.2857142857144481E-3</v>
      </c>
    </row>
    <row r="8" spans="1:33" s="12" customFormat="1" ht="23.25" customHeight="1" x14ac:dyDescent="0.2">
      <c r="A8" s="30">
        <v>43622</v>
      </c>
      <c r="B8" s="31"/>
      <c r="C8" s="25" t="s">
        <v>38</v>
      </c>
      <c r="D8" s="25" t="s">
        <v>39</v>
      </c>
      <c r="E8" s="25" t="s">
        <v>40</v>
      </c>
      <c r="F8" s="26">
        <v>155704</v>
      </c>
      <c r="G8" s="48" t="s">
        <v>67</v>
      </c>
      <c r="H8" s="32"/>
      <c r="I8" s="32"/>
      <c r="J8" s="32"/>
      <c r="K8" s="32">
        <v>183</v>
      </c>
      <c r="L8" s="33"/>
      <c r="M8" s="27">
        <f t="shared" si="0"/>
        <v>163.39285714285714</v>
      </c>
      <c r="N8" s="27">
        <f t="shared" si="1"/>
        <v>19.607142857142858</v>
      </c>
      <c r="O8" s="27"/>
      <c r="P8" s="27">
        <v>163.38999999999999</v>
      </c>
      <c r="Q8" s="34"/>
      <c r="R8" s="34"/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si="2"/>
        <v>-182.99714285714285</v>
      </c>
      <c r="AG8" s="28">
        <f t="shared" si="3"/>
        <v>2.8571428571524393E-3</v>
      </c>
    </row>
    <row r="9" spans="1:33" s="12" customFormat="1" ht="23.25" customHeight="1" x14ac:dyDescent="0.2">
      <c r="A9" s="30">
        <v>43623</v>
      </c>
      <c r="B9" s="31"/>
      <c r="C9" s="25" t="s">
        <v>42</v>
      </c>
      <c r="D9" s="25" t="s">
        <v>43</v>
      </c>
      <c r="E9" s="25" t="s">
        <v>44</v>
      </c>
      <c r="F9" s="26">
        <v>192528</v>
      </c>
      <c r="G9" s="29" t="s">
        <v>45</v>
      </c>
      <c r="H9" s="32"/>
      <c r="I9" s="32"/>
      <c r="J9" s="32"/>
      <c r="K9" s="32">
        <v>180</v>
      </c>
      <c r="L9" s="33"/>
      <c r="M9" s="27">
        <f t="shared" si="0"/>
        <v>160.71428571428569</v>
      </c>
      <c r="N9" s="27">
        <f t="shared" si="1"/>
        <v>19.285714285714281</v>
      </c>
      <c r="O9" s="27">
        <f t="shared" ref="O9" si="7">-SUM(I9:J9,K9/1.12)*L9</f>
        <v>0</v>
      </c>
      <c r="P9" s="27"/>
      <c r="Q9" s="34">
        <v>160.71</v>
      </c>
      <c r="R9" s="34"/>
      <c r="S9" s="35"/>
      <c r="T9" s="35"/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ref="AF9" si="8">-SUM(N9:AE9)</f>
        <v>-179.99571428571429</v>
      </c>
      <c r="AG9" s="28">
        <f t="shared" ref="AG9" si="9">SUM(H9:K9)+AF9+O9</f>
        <v>4.2857142857144481E-3</v>
      </c>
    </row>
    <row r="10" spans="1:33" s="12" customFormat="1" ht="23.25" customHeight="1" x14ac:dyDescent="0.2">
      <c r="A10" s="30">
        <v>43623</v>
      </c>
      <c r="B10" s="31"/>
      <c r="C10" s="25" t="s">
        <v>68</v>
      </c>
      <c r="D10" s="25" t="s">
        <v>69</v>
      </c>
      <c r="E10" s="25" t="s">
        <v>70</v>
      </c>
      <c r="F10" s="26">
        <v>4659</v>
      </c>
      <c r="G10" s="48" t="s">
        <v>71</v>
      </c>
      <c r="H10" s="32"/>
      <c r="I10" s="32"/>
      <c r="J10" s="32"/>
      <c r="K10" s="32">
        <v>2600</v>
      </c>
      <c r="L10" s="33"/>
      <c r="M10" s="27">
        <f t="shared" si="0"/>
        <v>2321.4285714285711</v>
      </c>
      <c r="N10" s="27">
        <f t="shared" si="1"/>
        <v>278.5714285714285</v>
      </c>
      <c r="O10" s="27"/>
      <c r="P10" s="27"/>
      <c r="Q10" s="34">
        <v>2321.4299999999998</v>
      </c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si="2"/>
        <v>-2600.0014285714283</v>
      </c>
      <c r="AG10" s="28">
        <f t="shared" si="3"/>
        <v>-1.4285714282777917E-3</v>
      </c>
    </row>
    <row r="11" spans="1:33" s="12" customFormat="1" ht="23.25" customHeight="1" x14ac:dyDescent="0.2">
      <c r="A11" s="30">
        <v>43623</v>
      </c>
      <c r="B11" s="31"/>
      <c r="C11" s="25" t="s">
        <v>38</v>
      </c>
      <c r="D11" s="25" t="s">
        <v>39</v>
      </c>
      <c r="E11" s="25" t="s">
        <v>40</v>
      </c>
      <c r="F11" s="26">
        <v>157416</v>
      </c>
      <c r="G11" s="48" t="s">
        <v>72</v>
      </c>
      <c r="H11" s="32"/>
      <c r="I11" s="32"/>
      <c r="J11" s="32"/>
      <c r="K11" s="32">
        <v>1381.8</v>
      </c>
      <c r="L11" s="33"/>
      <c r="M11" s="27">
        <f t="shared" si="0"/>
        <v>1233.7499999999998</v>
      </c>
      <c r="N11" s="27">
        <f t="shared" si="1"/>
        <v>148.04999999999995</v>
      </c>
      <c r="O11" s="27">
        <f t="shared" ref="O11" si="10">-SUM(I11:J11,K11/1.12)*L11</f>
        <v>0</v>
      </c>
      <c r="P11" s="27">
        <v>1233.75</v>
      </c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si="2"/>
        <v>-1381.8</v>
      </c>
      <c r="AG11" s="28">
        <f t="shared" si="3"/>
        <v>0</v>
      </c>
    </row>
    <row r="12" spans="1:33" s="12" customFormat="1" ht="23.25" customHeight="1" x14ac:dyDescent="0.2">
      <c r="A12" s="30">
        <v>43623</v>
      </c>
      <c r="B12" s="31"/>
      <c r="C12" s="25" t="s">
        <v>46</v>
      </c>
      <c r="D12" s="25" t="s">
        <v>47</v>
      </c>
      <c r="E12" s="25" t="s">
        <v>37</v>
      </c>
      <c r="F12" s="26">
        <v>95756</v>
      </c>
      <c r="G12" s="48" t="s">
        <v>73</v>
      </c>
      <c r="H12" s="32"/>
      <c r="I12" s="32"/>
      <c r="J12" s="32"/>
      <c r="K12" s="32">
        <v>107.64</v>
      </c>
      <c r="L12" s="33"/>
      <c r="M12" s="27">
        <f t="shared" si="0"/>
        <v>96.107142857142847</v>
      </c>
      <c r="N12" s="27">
        <f t="shared" si="1"/>
        <v>11.532857142857141</v>
      </c>
      <c r="O12" s="27"/>
      <c r="P12" s="27">
        <v>96.11</v>
      </c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2"/>
        <v>-107.64285714285714</v>
      </c>
      <c r="AG12" s="28">
        <f t="shared" si="3"/>
        <v>-2.8571428571382285E-3</v>
      </c>
    </row>
    <row r="13" spans="1:33" s="12" customFormat="1" ht="23.25" customHeight="1" x14ac:dyDescent="0.2">
      <c r="A13" s="30">
        <v>43623</v>
      </c>
      <c r="B13" s="31"/>
      <c r="C13" s="25" t="s">
        <v>74</v>
      </c>
      <c r="D13" s="25" t="s">
        <v>75</v>
      </c>
      <c r="E13" s="25" t="s">
        <v>76</v>
      </c>
      <c r="F13" s="26">
        <v>2351</v>
      </c>
      <c r="G13" s="48" t="s">
        <v>77</v>
      </c>
      <c r="H13" s="32"/>
      <c r="I13" s="32"/>
      <c r="J13" s="32"/>
      <c r="K13" s="32">
        <v>1320</v>
      </c>
      <c r="L13" s="33">
        <v>0.01</v>
      </c>
      <c r="M13" s="27">
        <f t="shared" si="0"/>
        <v>1178.5714285714284</v>
      </c>
      <c r="N13" s="27">
        <f t="shared" si="1"/>
        <v>141.42857142857142</v>
      </c>
      <c r="O13" s="27">
        <f t="shared" ref="O13:O14" si="11">-SUM(I13:J13,K13/1.12)*L13</f>
        <v>-11.785714285714285</v>
      </c>
      <c r="P13" s="27"/>
      <c r="Q13" s="34">
        <v>1178.57</v>
      </c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2"/>
        <v>-1308.212857142857</v>
      </c>
      <c r="AG13" s="28">
        <f t="shared" si="3"/>
        <v>1.4285714286685902E-3</v>
      </c>
    </row>
    <row r="14" spans="1:33" s="12" customFormat="1" ht="23.25" customHeight="1" x14ac:dyDescent="0.2">
      <c r="A14" s="30">
        <v>43623</v>
      </c>
      <c r="B14" s="31"/>
      <c r="C14" s="25" t="s">
        <v>52</v>
      </c>
      <c r="D14" s="25"/>
      <c r="E14" s="25"/>
      <c r="F14" s="26"/>
      <c r="G14" s="48" t="s">
        <v>53</v>
      </c>
      <c r="H14" s="32">
        <v>537</v>
      </c>
      <c r="I14" s="32"/>
      <c r="J14" s="32"/>
      <c r="K14" s="32"/>
      <c r="L14" s="33"/>
      <c r="M14" s="27">
        <f t="shared" si="0"/>
        <v>537</v>
      </c>
      <c r="N14" s="27">
        <f t="shared" si="1"/>
        <v>0</v>
      </c>
      <c r="O14" s="27">
        <f t="shared" si="11"/>
        <v>0</v>
      </c>
      <c r="P14" s="27"/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>
        <v>537</v>
      </c>
      <c r="AC14" s="35"/>
      <c r="AD14" s="34"/>
      <c r="AE14" s="34"/>
      <c r="AF14" s="27">
        <f t="shared" ref="AF14" si="12">-SUM(N14:AE14)</f>
        <v>-537</v>
      </c>
      <c r="AG14" s="28">
        <f t="shared" ref="AG14" si="13">SUM(H14:K14)+AF14+O14</f>
        <v>0</v>
      </c>
    </row>
    <row r="15" spans="1:33" s="12" customFormat="1" ht="23.25" customHeight="1" x14ac:dyDescent="0.2">
      <c r="A15" s="30">
        <v>43624</v>
      </c>
      <c r="B15" s="31"/>
      <c r="C15" s="25" t="s">
        <v>50</v>
      </c>
      <c r="D15" s="25" t="s">
        <v>51</v>
      </c>
      <c r="E15" s="25" t="s">
        <v>40</v>
      </c>
      <c r="F15" s="26">
        <v>772</v>
      </c>
      <c r="G15" s="48" t="s">
        <v>45</v>
      </c>
      <c r="H15" s="32"/>
      <c r="I15" s="32"/>
      <c r="J15" s="32"/>
      <c r="K15" s="32">
        <v>40</v>
      </c>
      <c r="L15" s="33"/>
      <c r="M15" s="27">
        <f t="shared" si="0"/>
        <v>35.714285714285708</v>
      </c>
      <c r="N15" s="27">
        <f t="shared" si="1"/>
        <v>4.2857142857142847</v>
      </c>
      <c r="O15" s="27"/>
      <c r="P15" s="27"/>
      <c r="Q15" s="34">
        <v>35.71</v>
      </c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ref="AF15:AF16" si="14">-SUM(N15:AE15)</f>
        <v>-39.995714285714286</v>
      </c>
      <c r="AG15" s="28">
        <f t="shared" ref="AG15:AG16" si="15">SUM(H15:K15)+AF15+O15</f>
        <v>4.2857142857144481E-3</v>
      </c>
    </row>
    <row r="16" spans="1:33" s="12" customFormat="1" ht="23.25" customHeight="1" x14ac:dyDescent="0.2">
      <c r="A16" s="30">
        <v>43624</v>
      </c>
      <c r="B16" s="31"/>
      <c r="C16" s="25" t="s">
        <v>46</v>
      </c>
      <c r="D16" s="25" t="s">
        <v>47</v>
      </c>
      <c r="E16" s="25" t="s">
        <v>37</v>
      </c>
      <c r="F16" s="26">
        <v>35853</v>
      </c>
      <c r="G16" s="48" t="s">
        <v>78</v>
      </c>
      <c r="H16" s="32"/>
      <c r="I16" s="32"/>
      <c r="J16" s="32"/>
      <c r="K16" s="32">
        <v>139.5</v>
      </c>
      <c r="L16" s="33"/>
      <c r="M16" s="27">
        <f t="shared" si="0"/>
        <v>124.55357142857142</v>
      </c>
      <c r="N16" s="27">
        <f t="shared" si="1"/>
        <v>14.946428571428569</v>
      </c>
      <c r="O16" s="27"/>
      <c r="P16" s="27"/>
      <c r="Q16" s="34"/>
      <c r="R16" s="34">
        <v>124.55</v>
      </c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si="14"/>
        <v>-139.49642857142857</v>
      </c>
      <c r="AG16" s="28">
        <f t="shared" si="15"/>
        <v>3.5714285714334437E-3</v>
      </c>
    </row>
    <row r="17" spans="1:33" s="12" customFormat="1" ht="23.25" customHeight="1" x14ac:dyDescent="0.2">
      <c r="A17" s="30">
        <v>43626</v>
      </c>
      <c r="B17" s="31"/>
      <c r="C17" s="25" t="s">
        <v>42</v>
      </c>
      <c r="D17" s="25" t="s">
        <v>43</v>
      </c>
      <c r="E17" s="25" t="s">
        <v>44</v>
      </c>
      <c r="F17" s="26">
        <v>52423</v>
      </c>
      <c r="G17" s="29" t="s">
        <v>45</v>
      </c>
      <c r="H17" s="32"/>
      <c r="I17" s="32"/>
      <c r="J17" s="32"/>
      <c r="K17" s="32">
        <v>180</v>
      </c>
      <c r="L17" s="33"/>
      <c r="M17" s="27">
        <f t="shared" si="0"/>
        <v>160.71428571428569</v>
      </c>
      <c r="N17" s="27">
        <f t="shared" si="1"/>
        <v>19.285714285714281</v>
      </c>
      <c r="O17" s="27">
        <f t="shared" ref="O17" si="16">-SUM(I17:J17,K17/1.12)*L17</f>
        <v>0</v>
      </c>
      <c r="P17" s="27"/>
      <c r="Q17" s="34">
        <v>160.71</v>
      </c>
      <c r="R17" s="34"/>
      <c r="S17" s="35"/>
      <c r="T17" s="35"/>
      <c r="U17" s="35"/>
      <c r="V17" s="35"/>
      <c r="W17" s="35"/>
      <c r="X17" s="34"/>
      <c r="Y17" s="34"/>
      <c r="Z17" s="34"/>
      <c r="AA17" s="34"/>
      <c r="AB17" s="35"/>
      <c r="AC17" s="35"/>
      <c r="AD17" s="34"/>
      <c r="AE17" s="34"/>
      <c r="AF17" s="27">
        <f t="shared" ref="AF17" si="17">-SUM(N17:AE17)</f>
        <v>-179.99571428571429</v>
      </c>
      <c r="AG17" s="28">
        <f t="shared" ref="AG17" si="18">SUM(H17:K17)+AF17+O17</f>
        <v>4.2857142857144481E-3</v>
      </c>
    </row>
    <row r="18" spans="1:33" s="12" customFormat="1" ht="23.25" customHeight="1" x14ac:dyDescent="0.2">
      <c r="A18" s="30">
        <v>43626</v>
      </c>
      <c r="B18" s="31"/>
      <c r="C18" s="25" t="s">
        <v>46</v>
      </c>
      <c r="D18" s="25" t="s">
        <v>47</v>
      </c>
      <c r="E18" s="25" t="s">
        <v>37</v>
      </c>
      <c r="F18" s="26">
        <v>358660</v>
      </c>
      <c r="G18" s="48" t="s">
        <v>79</v>
      </c>
      <c r="H18" s="32"/>
      <c r="I18" s="32"/>
      <c r="J18" s="32"/>
      <c r="K18" s="32">
        <v>473.7</v>
      </c>
      <c r="L18" s="33"/>
      <c r="M18" s="27">
        <f t="shared" si="0"/>
        <v>422.9464285714285</v>
      </c>
      <c r="N18" s="27">
        <f t="shared" si="1"/>
        <v>50.753571428571419</v>
      </c>
      <c r="O18" s="27"/>
      <c r="P18" s="27">
        <v>422.95</v>
      </c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si="2"/>
        <v>-473.70357142857142</v>
      </c>
      <c r="AG18" s="28">
        <f t="shared" si="3"/>
        <v>-3.5714285714334437E-3</v>
      </c>
    </row>
    <row r="19" spans="1:33" s="12" customFormat="1" ht="23.25" customHeight="1" x14ac:dyDescent="0.2">
      <c r="A19" s="30">
        <v>43627</v>
      </c>
      <c r="B19" s="31"/>
      <c r="C19" s="25" t="s">
        <v>42</v>
      </c>
      <c r="D19" s="25" t="s">
        <v>43</v>
      </c>
      <c r="E19" s="25" t="s">
        <v>44</v>
      </c>
      <c r="F19" s="26">
        <v>55827</v>
      </c>
      <c r="G19" s="29" t="s">
        <v>45</v>
      </c>
      <c r="H19" s="32"/>
      <c r="I19" s="32"/>
      <c r="J19" s="32"/>
      <c r="K19" s="32">
        <v>180</v>
      </c>
      <c r="L19" s="33"/>
      <c r="M19" s="27">
        <f t="shared" si="0"/>
        <v>160.71428571428569</v>
      </c>
      <c r="N19" s="27">
        <f t="shared" si="1"/>
        <v>19.285714285714281</v>
      </c>
      <c r="O19" s="27">
        <f t="shared" ref="O19" si="19">-SUM(I19:J19,K19/1.12)*L19</f>
        <v>0</v>
      </c>
      <c r="P19" s="27"/>
      <c r="Q19" s="34">
        <v>160.71</v>
      </c>
      <c r="R19" s="34"/>
      <c r="S19" s="35"/>
      <c r="T19" s="35"/>
      <c r="U19" s="35"/>
      <c r="V19" s="35"/>
      <c r="W19" s="35"/>
      <c r="X19" s="34"/>
      <c r="Y19" s="34"/>
      <c r="Z19" s="34"/>
      <c r="AA19" s="34"/>
      <c r="AB19" s="35"/>
      <c r="AC19" s="35"/>
      <c r="AD19" s="34"/>
      <c r="AE19" s="34"/>
      <c r="AF19" s="27">
        <f t="shared" ref="AF19" si="20">-SUM(N19:AE19)</f>
        <v>-179.99571428571429</v>
      </c>
      <c r="AG19" s="28">
        <f t="shared" ref="AG19" si="21">SUM(H19:K19)+AF19+O19</f>
        <v>4.2857142857144481E-3</v>
      </c>
    </row>
    <row r="20" spans="1:33" s="12" customFormat="1" ht="23.25" customHeight="1" x14ac:dyDescent="0.2">
      <c r="A20" s="30">
        <v>43627</v>
      </c>
      <c r="B20" s="31"/>
      <c r="C20" s="25" t="s">
        <v>38</v>
      </c>
      <c r="D20" s="25" t="s">
        <v>39</v>
      </c>
      <c r="E20" s="25" t="s">
        <v>40</v>
      </c>
      <c r="F20" s="26">
        <v>181493</v>
      </c>
      <c r="G20" s="48" t="s">
        <v>80</v>
      </c>
      <c r="H20" s="32"/>
      <c r="I20" s="32"/>
      <c r="J20" s="32"/>
      <c r="K20" s="32">
        <v>574.04999999999995</v>
      </c>
      <c r="L20" s="33"/>
      <c r="M20" s="27">
        <f t="shared" si="0"/>
        <v>512.54464285714278</v>
      </c>
      <c r="N20" s="27">
        <f t="shared" si="1"/>
        <v>61.505357142857129</v>
      </c>
      <c r="O20" s="27"/>
      <c r="P20" s="27">
        <v>512.54</v>
      </c>
      <c r="Q20" s="34"/>
      <c r="R20" s="34"/>
      <c r="S20" s="35"/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si="2"/>
        <v>-574.04535714285714</v>
      </c>
      <c r="AG20" s="28">
        <f t="shared" si="3"/>
        <v>4.6428571428123178E-3</v>
      </c>
    </row>
    <row r="21" spans="1:33" s="12" customFormat="1" ht="23.25" customHeight="1" x14ac:dyDescent="0.2">
      <c r="A21" s="30">
        <v>43629</v>
      </c>
      <c r="B21" s="31"/>
      <c r="C21" s="25" t="s">
        <v>42</v>
      </c>
      <c r="D21" s="25" t="s">
        <v>43</v>
      </c>
      <c r="E21" s="25" t="s">
        <v>44</v>
      </c>
      <c r="F21" s="26">
        <v>60557</v>
      </c>
      <c r="G21" s="29" t="s">
        <v>45</v>
      </c>
      <c r="H21" s="32"/>
      <c r="I21" s="32"/>
      <c r="J21" s="32"/>
      <c r="K21" s="32">
        <v>180</v>
      </c>
      <c r="L21" s="33"/>
      <c r="M21" s="27">
        <f t="shared" si="0"/>
        <v>160.71428571428569</v>
      </c>
      <c r="N21" s="27">
        <f t="shared" si="1"/>
        <v>19.285714285714281</v>
      </c>
      <c r="O21" s="27">
        <f t="shared" ref="O21:O22" si="22">-SUM(I21:J21,K21/1.12)*L21</f>
        <v>0</v>
      </c>
      <c r="P21" s="27"/>
      <c r="Q21" s="34">
        <v>160.71</v>
      </c>
      <c r="R21" s="34"/>
      <c r="S21" s="35"/>
      <c r="T21" s="35"/>
      <c r="U21" s="35"/>
      <c r="V21" s="35"/>
      <c r="W21" s="35"/>
      <c r="X21" s="34"/>
      <c r="Y21" s="34"/>
      <c r="Z21" s="34"/>
      <c r="AA21" s="34"/>
      <c r="AB21" s="35"/>
      <c r="AC21" s="35"/>
      <c r="AD21" s="34"/>
      <c r="AE21" s="34"/>
      <c r="AF21" s="27">
        <f t="shared" ref="AF21" si="23">-SUM(N21:AE21)</f>
        <v>-179.99571428571429</v>
      </c>
      <c r="AG21" s="28">
        <f t="shared" ref="AG21" si="24">SUM(H21:K21)+AF21+O21</f>
        <v>4.2857142857144481E-3</v>
      </c>
    </row>
    <row r="22" spans="1:33" s="12" customFormat="1" ht="23.25" customHeight="1" x14ac:dyDescent="0.2">
      <c r="A22" s="30"/>
      <c r="B22" s="31"/>
      <c r="C22" s="25"/>
      <c r="D22" s="25"/>
      <c r="E22" s="25"/>
      <c r="F22" s="26"/>
      <c r="G22" s="48"/>
      <c r="H22" s="32"/>
      <c r="I22" s="32"/>
      <c r="J22" s="32"/>
      <c r="K22" s="32"/>
      <c r="L22" s="33"/>
      <c r="M22" s="27">
        <f t="shared" si="0"/>
        <v>0</v>
      </c>
      <c r="N22" s="27">
        <f t="shared" si="1"/>
        <v>0</v>
      </c>
      <c r="O22" s="27">
        <f t="shared" si="22"/>
        <v>0</v>
      </c>
      <c r="P22" s="27"/>
      <c r="Q22" s="34"/>
      <c r="R22" s="34"/>
      <c r="S22" s="35"/>
      <c r="T22" s="35"/>
      <c r="U22" s="35"/>
      <c r="V22" s="35"/>
      <c r="W22" s="35"/>
      <c r="X22" s="34"/>
      <c r="Y22" s="34"/>
      <c r="Z22" s="34"/>
      <c r="AA22" s="34"/>
      <c r="AB22" s="35"/>
      <c r="AC22" s="35"/>
      <c r="AD22" s="34"/>
      <c r="AE22" s="34"/>
      <c r="AF22" s="27">
        <f t="shared" ref="AF22" si="25">-SUM(N22:AE22)</f>
        <v>0</v>
      </c>
      <c r="AG22" s="28">
        <f t="shared" ref="AG22" si="26">SUM(H22:K22)+AF22+O22</f>
        <v>0</v>
      </c>
    </row>
    <row r="23" spans="1:33" s="12" customFormat="1" ht="19.5" customHeight="1" x14ac:dyDescent="0.2">
      <c r="A23" s="30"/>
      <c r="B23" s="31"/>
      <c r="C23" s="36"/>
      <c r="D23" s="36"/>
      <c r="E23" s="36"/>
      <c r="F23" s="26"/>
      <c r="G23" s="29"/>
      <c r="H23" s="32"/>
      <c r="I23" s="32"/>
      <c r="J23" s="32"/>
      <c r="K23" s="32"/>
      <c r="L23" s="33"/>
      <c r="M23" s="27">
        <f t="shared" si="0"/>
        <v>0</v>
      </c>
      <c r="N23" s="27">
        <f t="shared" si="1"/>
        <v>0</v>
      </c>
      <c r="O23" s="34">
        <f>-SUM(I23:J23,K23/1.12)*L23</f>
        <v>0</v>
      </c>
      <c r="P23" s="34"/>
      <c r="Q23" s="34"/>
      <c r="R23" s="34"/>
      <c r="S23" s="34"/>
      <c r="T23" s="35"/>
      <c r="U23" s="35"/>
      <c r="V23" s="35"/>
      <c r="W23" s="35"/>
      <c r="X23" s="35"/>
      <c r="Y23" s="37"/>
      <c r="Z23" s="34"/>
      <c r="AA23" s="34"/>
      <c r="AB23" s="34"/>
      <c r="AC23" s="35"/>
      <c r="AD23" s="35"/>
      <c r="AE23" s="38"/>
      <c r="AF23" s="27">
        <f t="shared" ref="AF23" si="27">-SUM(N23:AE23)</f>
        <v>0</v>
      </c>
      <c r="AG23" s="28">
        <f t="shared" ref="AG23" si="28">SUM(H23:K23)+AF23+O23</f>
        <v>0</v>
      </c>
    </row>
    <row r="24" spans="1:33" s="10" customFormat="1" ht="12" customHeight="1" thickBot="1" x14ac:dyDescent="0.25">
      <c r="A24" s="39"/>
      <c r="B24" s="40"/>
      <c r="C24" s="41"/>
      <c r="D24" s="42"/>
      <c r="E24" s="42"/>
      <c r="F24" s="43"/>
      <c r="G24" s="41"/>
      <c r="H24" s="44">
        <f t="shared" ref="H24:AG24" si="29">SUM(H5:H23)</f>
        <v>567</v>
      </c>
      <c r="I24" s="44">
        <f t="shared" si="29"/>
        <v>0</v>
      </c>
      <c r="J24" s="44">
        <f t="shared" si="29"/>
        <v>0</v>
      </c>
      <c r="K24" s="44">
        <f t="shared" si="29"/>
        <v>9489.69</v>
      </c>
      <c r="L24" s="44">
        <f t="shared" si="29"/>
        <v>0.01</v>
      </c>
      <c r="M24" s="44">
        <f t="shared" si="29"/>
        <v>9039.9375</v>
      </c>
      <c r="N24" s="44">
        <f t="shared" si="29"/>
        <v>1016.7524999999999</v>
      </c>
      <c r="O24" s="44">
        <f t="shared" si="29"/>
        <v>-11.785714285714285</v>
      </c>
      <c r="P24" s="44">
        <f t="shared" si="29"/>
        <v>2428.7399999999998</v>
      </c>
      <c r="Q24" s="44">
        <f t="shared" si="29"/>
        <v>5919.62</v>
      </c>
      <c r="R24" s="44">
        <f t="shared" si="29"/>
        <v>124.55</v>
      </c>
      <c r="S24" s="44">
        <f t="shared" si="29"/>
        <v>0</v>
      </c>
      <c r="T24" s="44">
        <f t="shared" si="29"/>
        <v>0</v>
      </c>
      <c r="U24" s="44">
        <f t="shared" si="29"/>
        <v>0</v>
      </c>
      <c r="V24" s="44">
        <f t="shared" si="29"/>
        <v>0</v>
      </c>
      <c r="W24" s="44">
        <f t="shared" si="29"/>
        <v>0</v>
      </c>
      <c r="X24" s="44">
        <f t="shared" si="29"/>
        <v>0</v>
      </c>
      <c r="Y24" s="44">
        <f t="shared" si="29"/>
        <v>0</v>
      </c>
      <c r="Z24" s="44">
        <f t="shared" si="29"/>
        <v>0</v>
      </c>
      <c r="AA24" s="44">
        <f t="shared" si="29"/>
        <v>30</v>
      </c>
      <c r="AB24" s="44">
        <f t="shared" si="29"/>
        <v>537</v>
      </c>
      <c r="AC24" s="44">
        <f t="shared" si="29"/>
        <v>0</v>
      </c>
      <c r="AD24" s="44">
        <f t="shared" si="29"/>
        <v>0</v>
      </c>
      <c r="AE24" s="44">
        <f t="shared" si="29"/>
        <v>0</v>
      </c>
      <c r="AF24" s="44">
        <f t="shared" si="29"/>
        <v>-10044.876785714288</v>
      </c>
      <c r="AG24" s="44">
        <f t="shared" si="29"/>
        <v>2.7500000000493685E-2</v>
      </c>
    </row>
    <row r="25" spans="1:33" ht="12" customHeight="1" thickTop="1" x14ac:dyDescent="0.2"/>
    <row r="26" spans="1:33" ht="12" x14ac:dyDescent="0.2">
      <c r="K26" s="45">
        <f>H24+I24+J24+K24</f>
        <v>10056.69</v>
      </c>
      <c r="L26" s="9"/>
      <c r="M26" s="8"/>
      <c r="AF26" s="46">
        <f>+AF24</f>
        <v>-10044.876785714288</v>
      </c>
    </row>
    <row r="27" spans="1:33" x14ac:dyDescent="0.2">
      <c r="K27" s="8"/>
      <c r="L27" s="9"/>
      <c r="M27" s="8"/>
    </row>
    <row r="28" spans="1:33" ht="12" x14ac:dyDescent="0.2">
      <c r="C28" s="47" t="s">
        <v>33</v>
      </c>
      <c r="G28" s="10"/>
      <c r="K28" s="85"/>
      <c r="L28" s="85"/>
      <c r="M28" s="85"/>
    </row>
    <row r="29" spans="1:33" x14ac:dyDescent="0.2">
      <c r="K29" s="8"/>
      <c r="L29" s="9"/>
      <c r="M29" s="8"/>
    </row>
    <row r="30" spans="1:33" x14ac:dyDescent="0.2">
      <c r="K30" s="8"/>
      <c r="L30" s="9"/>
      <c r="M30" s="8"/>
    </row>
    <row r="31" spans="1:33" x14ac:dyDescent="0.2">
      <c r="A31" s="1"/>
      <c r="B31" s="1"/>
      <c r="D31" s="1"/>
      <c r="E31" s="1"/>
      <c r="F31" s="1"/>
      <c r="H31" s="1"/>
      <c r="I31" s="1"/>
      <c r="J31" s="1"/>
      <c r="K31" s="8"/>
      <c r="L31" s="9"/>
      <c r="M31" s="8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Z31" s="1"/>
      <c r="AA31" s="1"/>
      <c r="AB31" s="1"/>
      <c r="AC31" s="1"/>
      <c r="AD31" s="1"/>
      <c r="AE31" s="1"/>
      <c r="AF31" s="1"/>
    </row>
    <row r="38" spans="1:32" x14ac:dyDescent="0.2">
      <c r="Q38" s="2">
        <v>0</v>
      </c>
    </row>
    <row r="39" spans="1:32" x14ac:dyDescent="0.2">
      <c r="A39" s="1"/>
      <c r="B39" s="1"/>
      <c r="D39" s="1"/>
      <c r="E39" s="1"/>
      <c r="F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Z39" s="1"/>
      <c r="AA39" s="1"/>
      <c r="AB39" s="1"/>
      <c r="AC39" s="1"/>
      <c r="AD39" s="1"/>
      <c r="AE39" s="1"/>
      <c r="AF39" s="1"/>
    </row>
  </sheetData>
  <mergeCells count="1">
    <mergeCell ref="K28:M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44"/>
  <sheetViews>
    <sheetView topLeftCell="A19" workbookViewId="0">
      <selection activeCell="A5" sqref="A5:XFD26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4" style="1" customWidth="1"/>
    <col min="4" max="4" width="14" style="5" hidden="1" customWidth="1"/>
    <col min="5" max="5" width="28" style="5" hidden="1" customWidth="1"/>
    <col min="6" max="6" width="7.85546875" style="4" customWidth="1"/>
    <col min="7" max="7" width="26.7109375" style="1" customWidth="1"/>
    <col min="8" max="8" width="7.85546875" style="2" customWidth="1"/>
    <col min="9" max="9" width="8.42578125" style="2" hidden="1" customWidth="1"/>
    <col min="10" max="10" width="9.7109375" style="2" customWidth="1"/>
    <col min="11" max="11" width="10" style="2" bestFit="1" customWidth="1"/>
    <col min="12" max="12" width="5.140625" style="3" hidden="1" customWidth="1"/>
    <col min="13" max="13" width="9.28515625" style="2" bestFit="1" customWidth="1"/>
    <col min="14" max="14" width="8.140625" style="2" bestFit="1" customWidth="1"/>
    <col min="15" max="15" width="6.5703125" style="2" hidden="1" customWidth="1"/>
    <col min="16" max="16" width="8.140625" style="2" bestFit="1" customWidth="1"/>
    <col min="17" max="17" width="10" style="2" bestFit="1" customWidth="1"/>
    <col min="18" max="18" width="9.140625" style="2" bestFit="1" customWidth="1"/>
    <col min="19" max="19" width="8.140625" style="2" customWidth="1"/>
    <col min="20" max="20" width="9.140625" style="2" customWidth="1"/>
    <col min="21" max="21" width="9.140625" style="2" hidden="1" customWidth="1"/>
    <col min="22" max="22" width="10.5703125" style="2" hidden="1" customWidth="1"/>
    <col min="23" max="23" width="8.140625" style="2" hidden="1" customWidth="1"/>
    <col min="24" max="24" width="9.85546875" style="2" hidden="1" customWidth="1"/>
    <col min="25" max="25" width="9.28515625" style="2" hidden="1" customWidth="1"/>
    <col min="26" max="26" width="8.28515625" style="2" hidden="1" customWidth="1"/>
    <col min="27" max="27" width="7.140625" style="2" bestFit="1" customWidth="1"/>
    <col min="28" max="28" width="9" style="2" bestFit="1" customWidth="1"/>
    <col min="29" max="29" width="8" style="2" hidden="1" customWidth="1"/>
    <col min="30" max="30" width="8" style="2" customWidth="1"/>
    <col min="31" max="31" width="10.140625" style="2" hidden="1" customWidth="1"/>
    <col min="32" max="32" width="10.5703125" style="2" bestFit="1" customWidth="1"/>
    <col min="33" max="33" width="6.85546875" style="1" customWidth="1"/>
    <col min="34" max="16384" width="9.140625" style="1"/>
  </cols>
  <sheetData>
    <row r="1" spans="1:33" ht="12" customHeight="1" x14ac:dyDescent="0.2">
      <c r="A1" s="13" t="s">
        <v>30</v>
      </c>
      <c r="C1" s="14"/>
    </row>
    <row r="2" spans="1:33" ht="12" customHeight="1" x14ac:dyDescent="0.2">
      <c r="A2" s="13" t="s">
        <v>26</v>
      </c>
    </row>
    <row r="3" spans="1:33" ht="12" customHeight="1" x14ac:dyDescent="0.2">
      <c r="A3" s="13" t="s">
        <v>63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3.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 x14ac:dyDescent="0.2">
      <c r="A5" s="30">
        <v>43623</v>
      </c>
      <c r="B5" s="31"/>
      <c r="C5" s="60" t="s">
        <v>81</v>
      </c>
      <c r="D5" s="25"/>
      <c r="E5" s="25"/>
      <c r="F5" s="26"/>
      <c r="G5" s="48" t="s">
        <v>82</v>
      </c>
      <c r="H5" s="32"/>
      <c r="I5" s="32"/>
      <c r="J5" s="32"/>
      <c r="K5" s="32">
        <v>900</v>
      </c>
      <c r="L5" s="33"/>
      <c r="M5" s="27">
        <f t="shared" ref="M5:M28" si="0">SUM(H5:J5,K5/1.12)</f>
        <v>803.57142857142844</v>
      </c>
      <c r="N5" s="27">
        <f t="shared" ref="N5:N28" si="1">K5/1.12*0.12</f>
        <v>96.428571428571416</v>
      </c>
      <c r="O5" s="27"/>
      <c r="P5" s="27"/>
      <c r="Q5" s="34"/>
      <c r="R5" s="34"/>
      <c r="S5" s="35"/>
      <c r="T5" s="35"/>
      <c r="U5" s="35"/>
      <c r="V5" s="35"/>
      <c r="W5" s="35"/>
      <c r="X5" s="34"/>
      <c r="Y5" s="34"/>
      <c r="Z5" s="34"/>
      <c r="AA5" s="34"/>
      <c r="AB5" s="35"/>
      <c r="AC5" s="35"/>
      <c r="AD5" s="34">
        <v>803.57</v>
      </c>
      <c r="AE5" s="34"/>
      <c r="AF5" s="27">
        <f t="shared" ref="AF5:AF20" si="2">-SUM(N5:AE5)</f>
        <v>-899.99857142857149</v>
      </c>
      <c r="AG5" s="28">
        <f t="shared" ref="AG5:AG20" si="3">SUM(H5:K5)+AF5+O5</f>
        <v>1.4285714285051654E-3</v>
      </c>
    </row>
    <row r="6" spans="1:33" s="12" customFormat="1" ht="23.25" customHeight="1" x14ac:dyDescent="0.2">
      <c r="A6" s="30">
        <v>43629</v>
      </c>
      <c r="B6" s="31"/>
      <c r="C6" s="25" t="s">
        <v>41</v>
      </c>
      <c r="D6" s="25"/>
      <c r="E6" s="25"/>
      <c r="F6" s="26"/>
      <c r="G6" s="48" t="s">
        <v>83</v>
      </c>
      <c r="H6" s="32">
        <v>120</v>
      </c>
      <c r="I6" s="32"/>
      <c r="J6" s="32"/>
      <c r="K6" s="32"/>
      <c r="L6" s="33"/>
      <c r="M6" s="27">
        <f t="shared" si="0"/>
        <v>120</v>
      </c>
      <c r="N6" s="27">
        <f t="shared" si="1"/>
        <v>0</v>
      </c>
      <c r="O6" s="27"/>
      <c r="P6" s="27"/>
      <c r="Q6" s="34"/>
      <c r="R6" s="34"/>
      <c r="S6" s="35"/>
      <c r="T6" s="35"/>
      <c r="U6" s="35"/>
      <c r="V6" s="35"/>
      <c r="W6" s="35"/>
      <c r="X6" s="34"/>
      <c r="Y6" s="34"/>
      <c r="Z6" s="34"/>
      <c r="AA6" s="34">
        <v>120</v>
      </c>
      <c r="AB6" s="35"/>
      <c r="AC6" s="35"/>
      <c r="AD6" s="34"/>
      <c r="AE6" s="34"/>
      <c r="AF6" s="27">
        <f t="shared" si="2"/>
        <v>-120</v>
      </c>
      <c r="AG6" s="28">
        <f t="shared" si="3"/>
        <v>0</v>
      </c>
    </row>
    <row r="7" spans="1:33" s="12" customFormat="1" ht="23.25" customHeight="1" x14ac:dyDescent="0.2">
      <c r="A7" s="30">
        <v>43629</v>
      </c>
      <c r="B7" s="31"/>
      <c r="C7" s="25" t="s">
        <v>84</v>
      </c>
      <c r="D7" s="25"/>
      <c r="E7" s="25"/>
      <c r="F7" s="26"/>
      <c r="G7" s="29" t="s">
        <v>85</v>
      </c>
      <c r="H7" s="32"/>
      <c r="I7" s="32"/>
      <c r="J7" s="32">
        <v>70</v>
      </c>
      <c r="K7" s="32"/>
      <c r="L7" s="33"/>
      <c r="M7" s="27">
        <f t="shared" si="0"/>
        <v>70</v>
      </c>
      <c r="N7" s="27">
        <f t="shared" si="1"/>
        <v>0</v>
      </c>
      <c r="O7" s="27">
        <f t="shared" ref="O7" si="4">-SUM(I7:J7,K7/1.12)*L7</f>
        <v>0</v>
      </c>
      <c r="P7" s="27"/>
      <c r="Q7" s="34"/>
      <c r="R7" s="34">
        <v>70</v>
      </c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ref="AF7" si="5">-SUM(N7:AE7)</f>
        <v>-70</v>
      </c>
      <c r="AG7" s="28">
        <f t="shared" ref="AG7" si="6">SUM(H7:K7)+AF7+O7</f>
        <v>0</v>
      </c>
    </row>
    <row r="8" spans="1:33" s="12" customFormat="1" ht="23.25" customHeight="1" x14ac:dyDescent="0.2">
      <c r="A8" s="30">
        <v>43629</v>
      </c>
      <c r="B8" s="31"/>
      <c r="C8" s="25" t="s">
        <v>84</v>
      </c>
      <c r="D8" s="25"/>
      <c r="E8" s="25"/>
      <c r="F8" s="26"/>
      <c r="G8" s="48" t="s">
        <v>86</v>
      </c>
      <c r="H8" s="32"/>
      <c r="I8" s="32"/>
      <c r="J8" s="32">
        <v>40</v>
      </c>
      <c r="K8" s="32"/>
      <c r="L8" s="33"/>
      <c r="M8" s="27">
        <f t="shared" si="0"/>
        <v>40</v>
      </c>
      <c r="N8" s="27">
        <f t="shared" si="1"/>
        <v>0</v>
      </c>
      <c r="O8" s="27"/>
      <c r="P8" s="27"/>
      <c r="Q8" s="34"/>
      <c r="R8" s="34"/>
      <c r="S8" s="35"/>
      <c r="T8" s="35">
        <v>40</v>
      </c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si="2"/>
        <v>-40</v>
      </c>
      <c r="AG8" s="28">
        <f t="shared" si="3"/>
        <v>0</v>
      </c>
    </row>
    <row r="9" spans="1:33" s="12" customFormat="1" ht="23.25" customHeight="1" x14ac:dyDescent="0.2">
      <c r="A9" s="30">
        <v>43629</v>
      </c>
      <c r="B9" s="31"/>
      <c r="C9" s="25" t="s">
        <v>87</v>
      </c>
      <c r="D9" s="25" t="s">
        <v>88</v>
      </c>
      <c r="E9" s="25" t="s">
        <v>89</v>
      </c>
      <c r="F9" s="26">
        <v>2101</v>
      </c>
      <c r="G9" s="29" t="s">
        <v>85</v>
      </c>
      <c r="H9" s="32"/>
      <c r="I9" s="32"/>
      <c r="J9" s="32">
        <v>180</v>
      </c>
      <c r="K9" s="32"/>
      <c r="L9" s="33"/>
      <c r="M9" s="27">
        <f t="shared" si="0"/>
        <v>180</v>
      </c>
      <c r="N9" s="27">
        <f t="shared" si="1"/>
        <v>0</v>
      </c>
      <c r="O9" s="27">
        <f t="shared" ref="O9" si="7">-SUM(I9:J9,K9/1.12)*L9</f>
        <v>0</v>
      </c>
      <c r="P9" s="27"/>
      <c r="Q9" s="34"/>
      <c r="R9" s="34">
        <v>180</v>
      </c>
      <c r="S9" s="35"/>
      <c r="T9" s="35"/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ref="AF9" si="8">-SUM(N9:AE9)</f>
        <v>-180</v>
      </c>
      <c r="AG9" s="28">
        <f t="shared" ref="AG9" si="9">SUM(H9:K9)+AF9+O9</f>
        <v>0</v>
      </c>
    </row>
    <row r="10" spans="1:33" s="12" customFormat="1" ht="23.25" customHeight="1" x14ac:dyDescent="0.2">
      <c r="A10" s="30">
        <v>43629</v>
      </c>
      <c r="B10" s="31"/>
      <c r="C10" s="25" t="s">
        <v>90</v>
      </c>
      <c r="D10" s="25" t="s">
        <v>91</v>
      </c>
      <c r="E10" s="25" t="s">
        <v>89</v>
      </c>
      <c r="F10" s="26">
        <v>17242</v>
      </c>
      <c r="G10" s="48" t="s">
        <v>92</v>
      </c>
      <c r="H10" s="32"/>
      <c r="I10" s="32"/>
      <c r="J10" s="32"/>
      <c r="K10" s="32">
        <v>2250</v>
      </c>
      <c r="L10" s="33"/>
      <c r="M10" s="27">
        <f t="shared" si="0"/>
        <v>2008.9285714285713</v>
      </c>
      <c r="N10" s="27">
        <f t="shared" si="1"/>
        <v>241.07142857142856</v>
      </c>
      <c r="O10" s="27"/>
      <c r="P10" s="27"/>
      <c r="Q10" s="34"/>
      <c r="R10" s="34"/>
      <c r="S10" s="35">
        <v>2008.93</v>
      </c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si="2"/>
        <v>-2250.0014285714287</v>
      </c>
      <c r="AG10" s="28">
        <f t="shared" si="3"/>
        <v>-1.4285714287325391E-3</v>
      </c>
    </row>
    <row r="11" spans="1:33" s="12" customFormat="1" ht="23.25" customHeight="1" x14ac:dyDescent="0.2">
      <c r="A11" s="30">
        <v>43629</v>
      </c>
      <c r="B11" s="31"/>
      <c r="C11" s="25" t="s">
        <v>46</v>
      </c>
      <c r="D11" s="25" t="s">
        <v>47</v>
      </c>
      <c r="E11" s="25" t="s">
        <v>37</v>
      </c>
      <c r="F11" s="26">
        <v>95851</v>
      </c>
      <c r="G11" s="48" t="s">
        <v>58</v>
      </c>
      <c r="H11" s="32"/>
      <c r="I11" s="32"/>
      <c r="J11" s="32"/>
      <c r="K11" s="32">
        <v>115</v>
      </c>
      <c r="L11" s="33"/>
      <c r="M11" s="27">
        <f t="shared" si="0"/>
        <v>102.67857142857142</v>
      </c>
      <c r="N11" s="27">
        <f t="shared" si="1"/>
        <v>12.321428571428569</v>
      </c>
      <c r="O11" s="27">
        <f t="shared" ref="O11" si="10">-SUM(I11:J11,K11/1.12)*L11</f>
        <v>0</v>
      </c>
      <c r="P11" s="27">
        <v>102.68</v>
      </c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si="2"/>
        <v>-115.00142857142858</v>
      </c>
      <c r="AG11" s="28">
        <f t="shared" si="3"/>
        <v>-1.4285714285762197E-3</v>
      </c>
    </row>
    <row r="12" spans="1:33" s="12" customFormat="1" ht="23.25" customHeight="1" x14ac:dyDescent="0.2">
      <c r="A12" s="30">
        <v>43629</v>
      </c>
      <c r="B12" s="31"/>
      <c r="C12" s="25" t="s">
        <v>38</v>
      </c>
      <c r="D12" s="25" t="s">
        <v>39</v>
      </c>
      <c r="E12" s="25" t="s">
        <v>40</v>
      </c>
      <c r="F12" s="26">
        <v>164850</v>
      </c>
      <c r="G12" s="48" t="s">
        <v>98</v>
      </c>
      <c r="H12" s="32"/>
      <c r="I12" s="32"/>
      <c r="J12" s="32">
        <v>37.21</v>
      </c>
      <c r="K12" s="32"/>
      <c r="L12" s="33"/>
      <c r="M12" s="27">
        <f t="shared" si="0"/>
        <v>37.21</v>
      </c>
      <c r="N12" s="27">
        <f t="shared" si="1"/>
        <v>0</v>
      </c>
      <c r="O12" s="27"/>
      <c r="P12" s="27">
        <v>37.21</v>
      </c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2"/>
        <v>-37.21</v>
      </c>
      <c r="AG12" s="28">
        <f t="shared" si="3"/>
        <v>0</v>
      </c>
    </row>
    <row r="13" spans="1:33" s="12" customFormat="1" ht="23.25" customHeight="1" x14ac:dyDescent="0.2">
      <c r="A13" s="30">
        <v>43629</v>
      </c>
      <c r="B13" s="31"/>
      <c r="C13" s="25" t="s">
        <v>38</v>
      </c>
      <c r="D13" s="25" t="s">
        <v>39</v>
      </c>
      <c r="E13" s="25" t="s">
        <v>40</v>
      </c>
      <c r="F13" s="26">
        <v>164850</v>
      </c>
      <c r="G13" s="48" t="s">
        <v>93</v>
      </c>
      <c r="H13" s="32"/>
      <c r="I13" s="32"/>
      <c r="J13" s="32"/>
      <c r="K13" s="32">
        <f>310.04+152.6</f>
        <v>462.64</v>
      </c>
      <c r="L13" s="33"/>
      <c r="M13" s="27">
        <f t="shared" si="0"/>
        <v>413.0714285714285</v>
      </c>
      <c r="N13" s="27">
        <f t="shared" si="1"/>
        <v>49.568571428571417</v>
      </c>
      <c r="O13" s="27">
        <f t="shared" ref="O13:O14" si="11">-SUM(I13:J13,K13/1.12)*L13</f>
        <v>0</v>
      </c>
      <c r="P13" s="27">
        <v>413.07</v>
      </c>
      <c r="Q13" s="34"/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2"/>
        <v>-462.63857142857142</v>
      </c>
      <c r="AG13" s="28">
        <f t="shared" si="3"/>
        <v>1.4285714285620088E-3</v>
      </c>
    </row>
    <row r="14" spans="1:33" s="12" customFormat="1" ht="23.25" customHeight="1" x14ac:dyDescent="0.2">
      <c r="A14" s="30">
        <v>43630</v>
      </c>
      <c r="B14" s="31"/>
      <c r="C14" s="25" t="s">
        <v>52</v>
      </c>
      <c r="D14" s="25"/>
      <c r="E14" s="25"/>
      <c r="F14" s="26"/>
      <c r="G14" s="48" t="s">
        <v>94</v>
      </c>
      <c r="H14" s="32">
        <v>537</v>
      </c>
      <c r="I14" s="32"/>
      <c r="J14" s="32"/>
      <c r="K14" s="32"/>
      <c r="L14" s="33"/>
      <c r="M14" s="27">
        <f t="shared" si="0"/>
        <v>537</v>
      </c>
      <c r="N14" s="27">
        <f t="shared" si="1"/>
        <v>0</v>
      </c>
      <c r="O14" s="27">
        <f t="shared" si="11"/>
        <v>0</v>
      </c>
      <c r="P14" s="27"/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>
        <v>537</v>
      </c>
      <c r="AC14" s="35"/>
      <c r="AD14" s="34"/>
      <c r="AE14" s="34"/>
      <c r="AF14" s="27">
        <f t="shared" ref="AF14" si="12">-SUM(N14:AE14)</f>
        <v>-537</v>
      </c>
      <c r="AG14" s="28">
        <f t="shared" ref="AG14" si="13">SUM(H14:K14)+AF14+O14</f>
        <v>0</v>
      </c>
    </row>
    <row r="15" spans="1:33" s="12" customFormat="1" ht="23.25" customHeight="1" x14ac:dyDescent="0.2">
      <c r="A15" s="30">
        <v>43630</v>
      </c>
      <c r="B15" s="31"/>
      <c r="C15" s="25" t="s">
        <v>38</v>
      </c>
      <c r="D15" s="25" t="s">
        <v>39</v>
      </c>
      <c r="E15" s="25" t="s">
        <v>40</v>
      </c>
      <c r="F15" s="26">
        <v>196216</v>
      </c>
      <c r="G15" s="48" t="s">
        <v>99</v>
      </c>
      <c r="H15" s="32"/>
      <c r="I15" s="32"/>
      <c r="J15" s="32"/>
      <c r="K15" s="32">
        <v>253</v>
      </c>
      <c r="L15" s="33"/>
      <c r="M15" s="27">
        <f t="shared" si="0"/>
        <v>225.89285714285711</v>
      </c>
      <c r="N15" s="27">
        <f t="shared" si="1"/>
        <v>27.107142857142851</v>
      </c>
      <c r="O15" s="27"/>
      <c r="P15" s="27"/>
      <c r="Q15" s="34">
        <v>225.89</v>
      </c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ref="AF15:AF16" si="14">-SUM(N15:AE15)</f>
        <v>-252.99714285714285</v>
      </c>
      <c r="AG15" s="28">
        <f t="shared" ref="AG15:AG16" si="15">SUM(H15:K15)+AF15+O15</f>
        <v>2.8571428571524393E-3</v>
      </c>
    </row>
    <row r="16" spans="1:33" s="12" customFormat="1" ht="23.25" customHeight="1" x14ac:dyDescent="0.2">
      <c r="A16" s="30">
        <v>43630</v>
      </c>
      <c r="B16" s="31"/>
      <c r="C16" s="25" t="s">
        <v>38</v>
      </c>
      <c r="D16" s="25" t="s">
        <v>39</v>
      </c>
      <c r="E16" s="25" t="s">
        <v>40</v>
      </c>
      <c r="F16" s="26">
        <v>196216</v>
      </c>
      <c r="G16" s="48" t="s">
        <v>95</v>
      </c>
      <c r="H16" s="32"/>
      <c r="I16" s="32"/>
      <c r="J16" s="32"/>
      <c r="K16" s="32">
        <v>444.1</v>
      </c>
      <c r="L16" s="33"/>
      <c r="M16" s="27">
        <f t="shared" si="0"/>
        <v>396.51785714285711</v>
      </c>
      <c r="N16" s="27">
        <f t="shared" si="1"/>
        <v>47.582142857142848</v>
      </c>
      <c r="O16" s="27"/>
      <c r="P16" s="27"/>
      <c r="Q16" s="34"/>
      <c r="R16" s="34">
        <v>396.52</v>
      </c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si="14"/>
        <v>-444.10214285714284</v>
      </c>
      <c r="AG16" s="28">
        <f t="shared" si="15"/>
        <v>-2.1428571428145915E-3</v>
      </c>
    </row>
    <row r="17" spans="1:33" s="12" customFormat="1" ht="24.75" customHeight="1" x14ac:dyDescent="0.2">
      <c r="A17" s="30">
        <v>43630</v>
      </c>
      <c r="B17" s="31"/>
      <c r="C17" s="25" t="s">
        <v>42</v>
      </c>
      <c r="D17" s="25" t="s">
        <v>43</v>
      </c>
      <c r="E17" s="25" t="s">
        <v>44</v>
      </c>
      <c r="F17" s="26">
        <v>60514</v>
      </c>
      <c r="G17" s="29" t="s">
        <v>45</v>
      </c>
      <c r="H17" s="32"/>
      <c r="I17" s="32"/>
      <c r="J17" s="32"/>
      <c r="K17" s="32">
        <v>180</v>
      </c>
      <c r="L17" s="33"/>
      <c r="M17" s="27">
        <f t="shared" si="0"/>
        <v>160.71428571428569</v>
      </c>
      <c r="N17" s="27">
        <f t="shared" si="1"/>
        <v>19.285714285714281</v>
      </c>
      <c r="O17" s="27">
        <f t="shared" ref="O17" si="16">-SUM(I17:J17,K17/1.12)*L17</f>
        <v>0</v>
      </c>
      <c r="P17" s="27"/>
      <c r="Q17" s="34">
        <v>160.71</v>
      </c>
      <c r="R17" s="34"/>
      <c r="S17" s="35"/>
      <c r="T17" s="35"/>
      <c r="U17" s="35"/>
      <c r="V17" s="35"/>
      <c r="W17" s="35"/>
      <c r="X17" s="34"/>
      <c r="Y17" s="34"/>
      <c r="Z17" s="34"/>
      <c r="AA17" s="34"/>
      <c r="AB17" s="35"/>
      <c r="AC17" s="35"/>
      <c r="AD17" s="34"/>
      <c r="AE17" s="34"/>
      <c r="AF17" s="27">
        <f t="shared" ref="AF17" si="17">-SUM(N17:AE17)</f>
        <v>-179.99571428571429</v>
      </c>
      <c r="AG17" s="28">
        <f t="shared" ref="AG17" si="18">SUM(H17:K17)+AF17+O17</f>
        <v>4.2857142857144481E-3</v>
      </c>
    </row>
    <row r="18" spans="1:33" s="12" customFormat="1" ht="23.25" customHeight="1" x14ac:dyDescent="0.2">
      <c r="A18" s="30">
        <v>43630</v>
      </c>
      <c r="B18" s="31"/>
      <c r="C18" s="25" t="s">
        <v>38</v>
      </c>
      <c r="D18" s="25" t="s">
        <v>39</v>
      </c>
      <c r="E18" s="25" t="s">
        <v>40</v>
      </c>
      <c r="F18" s="26">
        <v>173877</v>
      </c>
      <c r="G18" s="48" t="s">
        <v>100</v>
      </c>
      <c r="H18" s="32"/>
      <c r="I18" s="32"/>
      <c r="J18" s="32"/>
      <c r="K18" s="32">
        <f>52.25*2</f>
        <v>104.5</v>
      </c>
      <c r="L18" s="33"/>
      <c r="M18" s="27">
        <f t="shared" si="0"/>
        <v>93.303571428571416</v>
      </c>
      <c r="N18" s="27">
        <f t="shared" si="1"/>
        <v>11.196428571428569</v>
      </c>
      <c r="O18" s="27"/>
      <c r="P18" s="27">
        <v>93.3</v>
      </c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si="2"/>
        <v>-104.49642857142857</v>
      </c>
      <c r="AG18" s="28">
        <f t="shared" si="3"/>
        <v>3.5714285714334437E-3</v>
      </c>
    </row>
    <row r="19" spans="1:33" s="12" customFormat="1" ht="23.25" customHeight="1" x14ac:dyDescent="0.2">
      <c r="A19" s="30">
        <v>43630</v>
      </c>
      <c r="B19" s="31"/>
      <c r="C19" s="25" t="s">
        <v>38</v>
      </c>
      <c r="D19" s="25" t="s">
        <v>39</v>
      </c>
      <c r="E19" s="25" t="s">
        <v>40</v>
      </c>
      <c r="F19" s="26">
        <v>173877</v>
      </c>
      <c r="G19" s="29" t="s">
        <v>96</v>
      </c>
      <c r="H19" s="32"/>
      <c r="I19" s="32"/>
      <c r="J19" s="32"/>
      <c r="K19" s="32">
        <v>281.75</v>
      </c>
      <c r="L19" s="33"/>
      <c r="M19" s="27">
        <f t="shared" si="0"/>
        <v>251.56249999999997</v>
      </c>
      <c r="N19" s="27">
        <f t="shared" si="1"/>
        <v>30.187499999999996</v>
      </c>
      <c r="O19" s="27">
        <f t="shared" ref="O19:O27" si="19">-SUM(I19:J19,K19/1.12)*L19</f>
        <v>0</v>
      </c>
      <c r="P19" s="27"/>
      <c r="Q19" s="34"/>
      <c r="R19" s="34"/>
      <c r="S19" s="35">
        <v>251.56</v>
      </c>
      <c r="T19" s="35"/>
      <c r="U19" s="35"/>
      <c r="V19" s="35"/>
      <c r="W19" s="35"/>
      <c r="X19" s="34"/>
      <c r="Y19" s="34"/>
      <c r="Z19" s="34"/>
      <c r="AA19" s="34"/>
      <c r="AB19" s="35"/>
      <c r="AC19" s="35"/>
      <c r="AD19" s="34"/>
      <c r="AE19" s="34"/>
      <c r="AF19" s="27">
        <f t="shared" ref="AF19" si="20">-SUM(N19:AE19)</f>
        <v>-281.7475</v>
      </c>
      <c r="AG19" s="28">
        <f t="shared" ref="AG19" si="21">SUM(H19:K19)+AF19+O19</f>
        <v>2.4999999999977263E-3</v>
      </c>
    </row>
    <row r="20" spans="1:33" s="12" customFormat="1" ht="23.25" customHeight="1" x14ac:dyDescent="0.2">
      <c r="A20" s="30">
        <v>43631</v>
      </c>
      <c r="B20" s="31"/>
      <c r="C20" s="25" t="s">
        <v>50</v>
      </c>
      <c r="D20" s="25" t="s">
        <v>51</v>
      </c>
      <c r="E20" s="25" t="s">
        <v>40</v>
      </c>
      <c r="F20" s="26">
        <v>796</v>
      </c>
      <c r="G20" s="48" t="s">
        <v>45</v>
      </c>
      <c r="H20" s="32"/>
      <c r="I20" s="32"/>
      <c r="J20" s="32"/>
      <c r="K20" s="32">
        <v>80</v>
      </c>
      <c r="L20" s="33"/>
      <c r="M20" s="27">
        <f t="shared" si="0"/>
        <v>71.428571428571416</v>
      </c>
      <c r="N20" s="27">
        <f t="shared" si="1"/>
        <v>8.5714285714285694</v>
      </c>
      <c r="O20" s="27">
        <f t="shared" si="19"/>
        <v>0</v>
      </c>
      <c r="P20" s="27"/>
      <c r="Q20" s="34">
        <v>71.430000000000007</v>
      </c>
      <c r="R20" s="34"/>
      <c r="S20" s="35"/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si="2"/>
        <v>-80.001428571428576</v>
      </c>
      <c r="AG20" s="28">
        <f t="shared" si="3"/>
        <v>-1.4285714285762197E-3</v>
      </c>
    </row>
    <row r="21" spans="1:33" s="12" customFormat="1" ht="23.25" customHeight="1" x14ac:dyDescent="0.2">
      <c r="A21" s="30">
        <v>43631</v>
      </c>
      <c r="B21" s="31"/>
      <c r="C21" s="25" t="s">
        <v>54</v>
      </c>
      <c r="D21" s="25" t="s">
        <v>55</v>
      </c>
      <c r="E21" s="25" t="s">
        <v>57</v>
      </c>
      <c r="F21" s="26">
        <v>3205</v>
      </c>
      <c r="G21" s="48" t="s">
        <v>101</v>
      </c>
      <c r="H21" s="32"/>
      <c r="I21" s="32"/>
      <c r="J21" s="32">
        <v>1900</v>
      </c>
      <c r="K21" s="32"/>
      <c r="L21" s="33"/>
      <c r="M21" s="27">
        <f t="shared" si="0"/>
        <v>1900</v>
      </c>
      <c r="N21" s="27">
        <f t="shared" si="1"/>
        <v>0</v>
      </c>
      <c r="O21" s="27">
        <f t="shared" si="19"/>
        <v>0</v>
      </c>
      <c r="P21" s="27">
        <v>1900</v>
      </c>
      <c r="Q21" s="34"/>
      <c r="R21" s="34"/>
      <c r="S21" s="35"/>
      <c r="T21" s="35"/>
      <c r="U21" s="35"/>
      <c r="V21" s="35"/>
      <c r="W21" s="35"/>
      <c r="X21" s="34"/>
      <c r="Y21" s="34"/>
      <c r="Z21" s="34"/>
      <c r="AA21" s="34"/>
      <c r="AB21" s="35"/>
      <c r="AC21" s="35"/>
      <c r="AD21" s="34"/>
      <c r="AE21" s="34"/>
      <c r="AF21" s="27">
        <f t="shared" ref="AF21:AF24" si="22">-SUM(N21:AE21)</f>
        <v>-1900</v>
      </c>
      <c r="AG21" s="28">
        <f t="shared" ref="AG21:AG24" si="23">SUM(H21:K21)+AF21+O21</f>
        <v>0</v>
      </c>
    </row>
    <row r="22" spans="1:33" s="12" customFormat="1" ht="23.25" customHeight="1" x14ac:dyDescent="0.2">
      <c r="A22" s="30">
        <v>43631</v>
      </c>
      <c r="B22" s="31"/>
      <c r="C22" s="25" t="s">
        <v>56</v>
      </c>
      <c r="D22" s="25"/>
      <c r="E22" s="25"/>
      <c r="F22" s="26"/>
      <c r="G22" s="48" t="s">
        <v>97</v>
      </c>
      <c r="H22" s="32">
        <v>100</v>
      </c>
      <c r="I22" s="32"/>
      <c r="J22" s="32"/>
      <c r="K22" s="32"/>
      <c r="L22" s="33"/>
      <c r="M22" s="27">
        <f t="shared" si="0"/>
        <v>100</v>
      </c>
      <c r="N22" s="27">
        <f t="shared" si="1"/>
        <v>0</v>
      </c>
      <c r="O22" s="27">
        <f t="shared" si="19"/>
        <v>0</v>
      </c>
      <c r="P22" s="27"/>
      <c r="Q22" s="34"/>
      <c r="R22" s="34"/>
      <c r="S22" s="35"/>
      <c r="T22" s="35"/>
      <c r="U22" s="35"/>
      <c r="V22" s="35"/>
      <c r="W22" s="35"/>
      <c r="X22" s="34"/>
      <c r="Y22" s="34"/>
      <c r="Z22" s="34"/>
      <c r="AA22" s="34">
        <v>100</v>
      </c>
      <c r="AB22" s="35"/>
      <c r="AC22" s="35"/>
      <c r="AD22" s="34"/>
      <c r="AE22" s="34"/>
      <c r="AF22" s="27">
        <f t="shared" si="22"/>
        <v>-100</v>
      </c>
      <c r="AG22" s="28">
        <f t="shared" si="23"/>
        <v>0</v>
      </c>
    </row>
    <row r="23" spans="1:33" s="12" customFormat="1" ht="23.25" customHeight="1" x14ac:dyDescent="0.2">
      <c r="A23" s="30">
        <v>43631</v>
      </c>
      <c r="B23" s="31"/>
      <c r="C23" s="25" t="s">
        <v>38</v>
      </c>
      <c r="D23" s="25" t="s">
        <v>39</v>
      </c>
      <c r="E23" s="25" t="s">
        <v>40</v>
      </c>
      <c r="F23" s="26">
        <v>194762</v>
      </c>
      <c r="G23" s="48" t="s">
        <v>102</v>
      </c>
      <c r="H23" s="32"/>
      <c r="I23" s="32"/>
      <c r="J23" s="32"/>
      <c r="K23" s="32">
        <f>800.27+96.03</f>
        <v>896.3</v>
      </c>
      <c r="L23" s="33"/>
      <c r="M23" s="27">
        <f t="shared" si="0"/>
        <v>800.267857142857</v>
      </c>
      <c r="N23" s="27">
        <f t="shared" si="1"/>
        <v>96.03214285714283</v>
      </c>
      <c r="O23" s="27">
        <f t="shared" si="19"/>
        <v>0</v>
      </c>
      <c r="P23" s="27">
        <v>800.27</v>
      </c>
      <c r="Q23" s="34"/>
      <c r="R23" s="34"/>
      <c r="S23" s="35"/>
      <c r="T23" s="35"/>
      <c r="U23" s="35"/>
      <c r="V23" s="35"/>
      <c r="W23" s="35"/>
      <c r="X23" s="34"/>
      <c r="Y23" s="34"/>
      <c r="Z23" s="34"/>
      <c r="AA23" s="34"/>
      <c r="AB23" s="35"/>
      <c r="AC23" s="35"/>
      <c r="AD23" s="34"/>
      <c r="AE23" s="34"/>
      <c r="AF23" s="27">
        <f t="shared" si="22"/>
        <v>-896.30214285714283</v>
      </c>
      <c r="AG23" s="28">
        <f t="shared" si="23"/>
        <v>-2.1428571428714349E-3</v>
      </c>
    </row>
    <row r="24" spans="1:33" s="12" customFormat="1" ht="23.25" customHeight="1" x14ac:dyDescent="0.2">
      <c r="A24" s="30">
        <v>43631</v>
      </c>
      <c r="B24" s="31"/>
      <c r="C24" s="25" t="s">
        <v>38</v>
      </c>
      <c r="D24" s="25" t="s">
        <v>39</v>
      </c>
      <c r="E24" s="25" t="s">
        <v>40</v>
      </c>
      <c r="F24" s="26">
        <v>194762</v>
      </c>
      <c r="G24" s="48" t="s">
        <v>103</v>
      </c>
      <c r="H24" s="32"/>
      <c r="I24" s="32"/>
      <c r="J24" s="32">
        <v>79.05</v>
      </c>
      <c r="K24" s="32"/>
      <c r="L24" s="33"/>
      <c r="M24" s="27">
        <f t="shared" si="0"/>
        <v>79.05</v>
      </c>
      <c r="N24" s="27">
        <f t="shared" si="1"/>
        <v>0</v>
      </c>
      <c r="O24" s="27">
        <f t="shared" si="19"/>
        <v>0</v>
      </c>
      <c r="P24" s="27">
        <v>79.05</v>
      </c>
      <c r="Q24" s="34"/>
      <c r="R24" s="34"/>
      <c r="S24" s="35"/>
      <c r="T24" s="35"/>
      <c r="U24" s="35"/>
      <c r="V24" s="35"/>
      <c r="W24" s="35"/>
      <c r="X24" s="34"/>
      <c r="Y24" s="34"/>
      <c r="Z24" s="34"/>
      <c r="AA24" s="34"/>
      <c r="AB24" s="35"/>
      <c r="AC24" s="35"/>
      <c r="AD24" s="34"/>
      <c r="AE24" s="34"/>
      <c r="AF24" s="27">
        <f t="shared" si="22"/>
        <v>-79.05</v>
      </c>
      <c r="AG24" s="28">
        <f t="shared" si="23"/>
        <v>0</v>
      </c>
    </row>
    <row r="25" spans="1:33" s="12" customFormat="1" ht="24.75" customHeight="1" x14ac:dyDescent="0.2">
      <c r="A25" s="30">
        <v>43633</v>
      </c>
      <c r="B25" s="31"/>
      <c r="C25" s="25" t="s">
        <v>42</v>
      </c>
      <c r="D25" s="25" t="s">
        <v>43</v>
      </c>
      <c r="E25" s="25" t="s">
        <v>44</v>
      </c>
      <c r="F25" s="26">
        <v>68103</v>
      </c>
      <c r="G25" s="29" t="s">
        <v>45</v>
      </c>
      <c r="H25" s="32"/>
      <c r="I25" s="32"/>
      <c r="J25" s="32"/>
      <c r="K25" s="32">
        <v>180</v>
      </c>
      <c r="L25" s="33"/>
      <c r="M25" s="27">
        <f t="shared" si="0"/>
        <v>160.71428571428569</v>
      </c>
      <c r="N25" s="27">
        <f t="shared" si="1"/>
        <v>19.285714285714281</v>
      </c>
      <c r="O25" s="27">
        <f t="shared" si="19"/>
        <v>0</v>
      </c>
      <c r="P25" s="27"/>
      <c r="Q25" s="34">
        <v>160.71</v>
      </c>
      <c r="R25" s="34"/>
      <c r="S25" s="35"/>
      <c r="T25" s="35"/>
      <c r="U25" s="35"/>
      <c r="V25" s="35"/>
      <c r="W25" s="35"/>
      <c r="X25" s="34"/>
      <c r="Y25" s="34"/>
      <c r="Z25" s="34"/>
      <c r="AA25" s="34"/>
      <c r="AB25" s="35"/>
      <c r="AC25" s="35"/>
      <c r="AD25" s="34"/>
      <c r="AE25" s="34"/>
      <c r="AF25" s="27">
        <f t="shared" ref="AF25" si="24">-SUM(N25:AE25)</f>
        <v>-179.99571428571429</v>
      </c>
      <c r="AG25" s="28">
        <f t="shared" ref="AG25" si="25">SUM(H25:K25)+AF25+O25</f>
        <v>4.2857142857144481E-3</v>
      </c>
    </row>
    <row r="26" spans="1:33" s="12" customFormat="1" ht="24.75" customHeight="1" x14ac:dyDescent="0.2">
      <c r="A26" s="30">
        <v>43634</v>
      </c>
      <c r="B26" s="31"/>
      <c r="C26" s="25" t="s">
        <v>42</v>
      </c>
      <c r="D26" s="25" t="s">
        <v>43</v>
      </c>
      <c r="E26" s="25" t="s">
        <v>44</v>
      </c>
      <c r="F26" s="26">
        <v>68161</v>
      </c>
      <c r="G26" s="29" t="s">
        <v>45</v>
      </c>
      <c r="H26" s="32"/>
      <c r="I26" s="32"/>
      <c r="J26" s="32"/>
      <c r="K26" s="32">
        <v>180</v>
      </c>
      <c r="L26" s="33"/>
      <c r="M26" s="27">
        <f t="shared" si="0"/>
        <v>160.71428571428569</v>
      </c>
      <c r="N26" s="27">
        <f t="shared" si="1"/>
        <v>19.285714285714281</v>
      </c>
      <c r="O26" s="27">
        <f t="shared" si="19"/>
        <v>0</v>
      </c>
      <c r="P26" s="27"/>
      <c r="Q26" s="34">
        <v>160.71</v>
      </c>
      <c r="R26" s="34"/>
      <c r="S26" s="35"/>
      <c r="T26" s="35"/>
      <c r="U26" s="35"/>
      <c r="V26" s="35"/>
      <c r="W26" s="35"/>
      <c r="X26" s="34"/>
      <c r="Y26" s="34"/>
      <c r="Z26" s="34"/>
      <c r="AA26" s="34"/>
      <c r="AB26" s="35"/>
      <c r="AC26" s="35"/>
      <c r="AD26" s="34"/>
      <c r="AE26" s="34"/>
      <c r="AF26" s="27">
        <f t="shared" ref="AF26:AF28" si="26">-SUM(N26:AE26)</f>
        <v>-179.99571428571429</v>
      </c>
      <c r="AG26" s="28">
        <f t="shared" ref="AG26:AG28" si="27">SUM(H26:K26)+AF26+O26</f>
        <v>4.2857142857144481E-3</v>
      </c>
    </row>
    <row r="27" spans="1:33" s="12" customFormat="1" ht="23.25" customHeight="1" x14ac:dyDescent="0.2">
      <c r="A27" s="30"/>
      <c r="B27" s="31"/>
      <c r="C27" s="25"/>
      <c r="D27" s="25"/>
      <c r="E27" s="25"/>
      <c r="F27" s="26"/>
      <c r="G27" s="48"/>
      <c r="H27" s="32"/>
      <c r="I27" s="32"/>
      <c r="J27" s="32"/>
      <c r="K27" s="32"/>
      <c r="L27" s="33"/>
      <c r="M27" s="27">
        <f t="shared" si="0"/>
        <v>0</v>
      </c>
      <c r="N27" s="27">
        <f t="shared" si="1"/>
        <v>0</v>
      </c>
      <c r="O27" s="27">
        <f t="shared" si="19"/>
        <v>0</v>
      </c>
      <c r="P27" s="27"/>
      <c r="Q27" s="34"/>
      <c r="R27" s="34"/>
      <c r="S27" s="35"/>
      <c r="T27" s="35"/>
      <c r="U27" s="35"/>
      <c r="V27" s="35"/>
      <c r="W27" s="35"/>
      <c r="X27" s="34"/>
      <c r="Y27" s="34"/>
      <c r="Z27" s="34"/>
      <c r="AA27" s="34"/>
      <c r="AB27" s="35"/>
      <c r="AC27" s="35"/>
      <c r="AD27" s="34"/>
      <c r="AE27" s="34"/>
      <c r="AF27" s="27">
        <f t="shared" si="26"/>
        <v>0</v>
      </c>
      <c r="AG27" s="28">
        <f t="shared" si="27"/>
        <v>0</v>
      </c>
    </row>
    <row r="28" spans="1:33" s="12" customFormat="1" ht="19.5" customHeight="1" x14ac:dyDescent="0.2">
      <c r="A28" s="30"/>
      <c r="B28" s="31"/>
      <c r="C28" s="36"/>
      <c r="D28" s="36"/>
      <c r="E28" s="36"/>
      <c r="F28" s="26"/>
      <c r="G28" s="29"/>
      <c r="H28" s="32"/>
      <c r="I28" s="32"/>
      <c r="J28" s="32"/>
      <c r="K28" s="32"/>
      <c r="L28" s="33"/>
      <c r="M28" s="27">
        <f t="shared" si="0"/>
        <v>0</v>
      </c>
      <c r="N28" s="27">
        <f t="shared" si="1"/>
        <v>0</v>
      </c>
      <c r="O28" s="34">
        <f>-SUM(I28:J28,K28/1.12)*L28</f>
        <v>0</v>
      </c>
      <c r="P28" s="34"/>
      <c r="Q28" s="34"/>
      <c r="R28" s="34"/>
      <c r="S28" s="34"/>
      <c r="T28" s="35"/>
      <c r="U28" s="35"/>
      <c r="V28" s="35"/>
      <c r="W28" s="35"/>
      <c r="X28" s="35"/>
      <c r="Y28" s="37"/>
      <c r="Z28" s="34"/>
      <c r="AA28" s="34"/>
      <c r="AB28" s="34"/>
      <c r="AC28" s="35"/>
      <c r="AD28" s="35"/>
      <c r="AE28" s="38"/>
      <c r="AF28" s="27">
        <f t="shared" si="26"/>
        <v>0</v>
      </c>
      <c r="AG28" s="28">
        <f t="shared" si="27"/>
        <v>0</v>
      </c>
    </row>
    <row r="29" spans="1:33" s="10" customFormat="1" ht="12" customHeight="1" thickBot="1" x14ac:dyDescent="0.25">
      <c r="A29" s="39"/>
      <c r="B29" s="40"/>
      <c r="C29" s="41"/>
      <c r="D29" s="42"/>
      <c r="E29" s="42"/>
      <c r="F29" s="43"/>
      <c r="G29" s="41"/>
      <c r="H29" s="44">
        <f t="shared" ref="H29:AG29" si="28">SUM(H5:H28)</f>
        <v>757</v>
      </c>
      <c r="I29" s="44">
        <f t="shared" si="28"/>
        <v>0</v>
      </c>
      <c r="J29" s="44">
        <f t="shared" si="28"/>
        <v>2306.2600000000002</v>
      </c>
      <c r="K29" s="44">
        <f t="shared" si="28"/>
        <v>6327.29</v>
      </c>
      <c r="L29" s="44">
        <f t="shared" si="28"/>
        <v>0</v>
      </c>
      <c r="M29" s="44">
        <f t="shared" si="28"/>
        <v>8712.6260714285709</v>
      </c>
      <c r="N29" s="44">
        <f t="shared" si="28"/>
        <v>677.92392857142852</v>
      </c>
      <c r="O29" s="44">
        <f t="shared" si="28"/>
        <v>0</v>
      </c>
      <c r="P29" s="44">
        <f t="shared" si="28"/>
        <v>3425.5800000000004</v>
      </c>
      <c r="Q29" s="44">
        <f t="shared" si="28"/>
        <v>779.45</v>
      </c>
      <c r="R29" s="44">
        <f t="shared" si="28"/>
        <v>646.52</v>
      </c>
      <c r="S29" s="44">
        <f t="shared" si="28"/>
        <v>2260.4900000000002</v>
      </c>
      <c r="T29" s="44">
        <f t="shared" si="28"/>
        <v>40</v>
      </c>
      <c r="U29" s="44">
        <f t="shared" si="28"/>
        <v>0</v>
      </c>
      <c r="V29" s="44">
        <f t="shared" si="28"/>
        <v>0</v>
      </c>
      <c r="W29" s="44">
        <f t="shared" si="28"/>
        <v>0</v>
      </c>
      <c r="X29" s="44">
        <f t="shared" si="28"/>
        <v>0</v>
      </c>
      <c r="Y29" s="44">
        <f t="shared" si="28"/>
        <v>0</v>
      </c>
      <c r="Z29" s="44">
        <f t="shared" si="28"/>
        <v>0</v>
      </c>
      <c r="AA29" s="44">
        <f t="shared" si="28"/>
        <v>220</v>
      </c>
      <c r="AB29" s="44">
        <f t="shared" si="28"/>
        <v>537</v>
      </c>
      <c r="AC29" s="44">
        <f t="shared" si="28"/>
        <v>0</v>
      </c>
      <c r="AD29" s="44">
        <f t="shared" si="28"/>
        <v>803.57</v>
      </c>
      <c r="AE29" s="44">
        <f t="shared" si="28"/>
        <v>0</v>
      </c>
      <c r="AF29" s="44">
        <f t="shared" si="28"/>
        <v>-9390.533928571429</v>
      </c>
      <c r="AG29" s="44">
        <f t="shared" si="28"/>
        <v>1.6071428571223123E-2</v>
      </c>
    </row>
    <row r="30" spans="1:33" ht="12" customHeight="1" thickTop="1" x14ac:dyDescent="0.2"/>
    <row r="31" spans="1:33" ht="12" x14ac:dyDescent="0.2">
      <c r="K31" s="45">
        <f>H29+I29+J29+K29</f>
        <v>9390.5499999999993</v>
      </c>
      <c r="L31" s="9"/>
      <c r="M31" s="8"/>
      <c r="AF31" s="46">
        <f>+AF29</f>
        <v>-9390.533928571429</v>
      </c>
    </row>
    <row r="32" spans="1:33" x14ac:dyDescent="0.2">
      <c r="K32" s="8"/>
      <c r="L32" s="9"/>
      <c r="M32" s="8"/>
    </row>
    <row r="33" spans="1:32" ht="12" x14ac:dyDescent="0.2">
      <c r="C33" s="47" t="s">
        <v>33</v>
      </c>
      <c r="G33" s="10"/>
      <c r="K33" s="85"/>
      <c r="L33" s="85"/>
      <c r="M33" s="85"/>
    </row>
    <row r="34" spans="1:32" x14ac:dyDescent="0.2">
      <c r="K34" s="8"/>
      <c r="L34" s="9"/>
      <c r="M34" s="8"/>
    </row>
    <row r="35" spans="1:32" x14ac:dyDescent="0.2">
      <c r="K35" s="8"/>
      <c r="L35" s="9"/>
      <c r="M35" s="8"/>
    </row>
    <row r="36" spans="1:32" x14ac:dyDescent="0.2">
      <c r="A36" s="1"/>
      <c r="B36" s="1"/>
      <c r="D36" s="1"/>
      <c r="E36" s="1"/>
      <c r="F36" s="1"/>
      <c r="H36" s="1"/>
      <c r="I36" s="1"/>
      <c r="J36" s="1"/>
      <c r="K36" s="8"/>
      <c r="L36" s="9"/>
      <c r="M36" s="8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Z36" s="1"/>
      <c r="AA36" s="1"/>
      <c r="AB36" s="1"/>
      <c r="AC36" s="1"/>
      <c r="AD36" s="1"/>
      <c r="AE36" s="1"/>
      <c r="AF36" s="1"/>
    </row>
    <row r="43" spans="1:32" x14ac:dyDescent="0.2">
      <c r="Q43" s="2">
        <v>0</v>
      </c>
    </row>
    <row r="44" spans="1:32" x14ac:dyDescent="0.2">
      <c r="A44" s="1"/>
      <c r="B44" s="1"/>
      <c r="D44" s="1"/>
      <c r="E44" s="1"/>
      <c r="F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Z44" s="1"/>
      <c r="AA44" s="1"/>
      <c r="AB44" s="1"/>
      <c r="AC44" s="1"/>
      <c r="AD44" s="1"/>
      <c r="AE44" s="1"/>
      <c r="AF44" s="1"/>
    </row>
  </sheetData>
  <mergeCells count="1">
    <mergeCell ref="K33:M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57"/>
  <sheetViews>
    <sheetView workbookViewId="0">
      <selection activeCell="C7" sqref="C7:E8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26.7109375" style="1" customWidth="1"/>
    <col min="8" max="8" width="7.85546875" style="2" customWidth="1"/>
    <col min="9" max="9" width="8.42578125" style="2" customWidth="1"/>
    <col min="10" max="10" width="9.7109375" style="2" customWidth="1"/>
    <col min="11" max="11" width="10" style="2" bestFit="1" customWidth="1"/>
    <col min="12" max="12" width="5.140625" style="3" customWidth="1"/>
    <col min="13" max="13" width="9.28515625" style="2" bestFit="1" customWidth="1"/>
    <col min="14" max="14" width="8.140625" style="2" bestFit="1" customWidth="1"/>
    <col min="15" max="15" width="6.5703125" style="2" customWidth="1"/>
    <col min="16" max="16" width="8.140625" style="2" bestFit="1" customWidth="1"/>
    <col min="17" max="17" width="10" style="2" bestFit="1" customWidth="1"/>
    <col min="18" max="18" width="9.140625" style="2" bestFit="1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7.140625" style="2" bestFit="1" customWidth="1"/>
    <col min="28" max="28" width="9" style="2" bestFit="1" customWidth="1"/>
    <col min="29" max="30" width="8" style="2" customWidth="1"/>
    <col min="31" max="31" width="10.140625" style="2" customWidth="1"/>
    <col min="32" max="32" width="10.5703125" style="2" bestFit="1" customWidth="1"/>
    <col min="33" max="33" width="6.85546875" style="1" customWidth="1"/>
    <col min="34" max="16384" width="9.140625" style="1"/>
  </cols>
  <sheetData>
    <row r="1" spans="1:33" ht="12" customHeight="1" x14ac:dyDescent="0.2">
      <c r="A1" s="13" t="s">
        <v>30</v>
      </c>
      <c r="C1" s="14"/>
    </row>
    <row r="2" spans="1:33" ht="12" customHeight="1" x14ac:dyDescent="0.2">
      <c r="A2" s="13" t="s">
        <v>26</v>
      </c>
    </row>
    <row r="3" spans="1:33" ht="12" customHeight="1" x14ac:dyDescent="0.2">
      <c r="A3" s="13" t="s">
        <v>63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3.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 x14ac:dyDescent="0.2">
      <c r="A5" s="30">
        <v>43634</v>
      </c>
      <c r="B5" s="31"/>
      <c r="C5" s="25" t="s">
        <v>38</v>
      </c>
      <c r="D5" s="25" t="s">
        <v>39</v>
      </c>
      <c r="E5" s="25" t="s">
        <v>40</v>
      </c>
      <c r="F5" s="26">
        <v>169183</v>
      </c>
      <c r="G5" s="48" t="s">
        <v>104</v>
      </c>
      <c r="H5" s="32"/>
      <c r="I5" s="32"/>
      <c r="J5" s="32"/>
      <c r="K5" s="32">
        <v>1381.8</v>
      </c>
      <c r="L5" s="33"/>
      <c r="M5" s="27">
        <f t="shared" ref="M5:M41" si="0">SUM(H5:J5,K5/1.12)</f>
        <v>1233.7499999999998</v>
      </c>
      <c r="N5" s="27">
        <f t="shared" ref="N5:N41" si="1">K5/1.12*0.12</f>
        <v>148.04999999999995</v>
      </c>
      <c r="O5" s="27"/>
      <c r="P5" s="27">
        <v>1233.75</v>
      </c>
      <c r="Q5" s="34"/>
      <c r="R5" s="34"/>
      <c r="S5" s="35"/>
      <c r="T5" s="35"/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:AF20" si="2">-SUM(N5:AE5)</f>
        <v>-1381.8</v>
      </c>
      <c r="AG5" s="28">
        <f t="shared" ref="AG5:AG20" si="3">SUM(H5:K5)+AF5+O5</f>
        <v>0</v>
      </c>
    </row>
    <row r="6" spans="1:33" s="12" customFormat="1" ht="23.25" customHeight="1" x14ac:dyDescent="0.2">
      <c r="A6" s="30">
        <v>43634</v>
      </c>
      <c r="B6" s="31"/>
      <c r="C6" s="25" t="s">
        <v>46</v>
      </c>
      <c r="D6" s="25" t="s">
        <v>47</v>
      </c>
      <c r="E6" s="25" t="s">
        <v>37</v>
      </c>
      <c r="F6" s="26">
        <v>35994</v>
      </c>
      <c r="G6" s="48" t="s">
        <v>105</v>
      </c>
      <c r="H6" s="32"/>
      <c r="I6" s="32"/>
      <c r="J6" s="32"/>
      <c r="K6" s="32">
        <v>30.46</v>
      </c>
      <c r="L6" s="33"/>
      <c r="M6" s="27">
        <f t="shared" si="0"/>
        <v>27.196428571428569</v>
      </c>
      <c r="N6" s="27">
        <f t="shared" si="1"/>
        <v>3.2635714285714283</v>
      </c>
      <c r="O6" s="27"/>
      <c r="P6" s="27">
        <v>27.2</v>
      </c>
      <c r="Q6" s="34"/>
      <c r="R6" s="34"/>
      <c r="S6" s="35"/>
      <c r="T6" s="35"/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si="2"/>
        <v>-30.463571428571427</v>
      </c>
      <c r="AG6" s="28">
        <f t="shared" si="3"/>
        <v>-3.5714285714263383E-3</v>
      </c>
    </row>
    <row r="7" spans="1:33" s="12" customFormat="1" ht="23.25" customHeight="1" x14ac:dyDescent="0.2">
      <c r="A7" s="30">
        <v>43635</v>
      </c>
      <c r="B7" s="31"/>
      <c r="C7" s="25" t="s">
        <v>38</v>
      </c>
      <c r="D7" s="25" t="s">
        <v>39</v>
      </c>
      <c r="E7" s="25" t="s">
        <v>40</v>
      </c>
      <c r="F7" s="26">
        <v>149747</v>
      </c>
      <c r="G7" s="29" t="s">
        <v>106</v>
      </c>
      <c r="H7" s="32"/>
      <c r="I7" s="32"/>
      <c r="J7" s="32"/>
      <c r="K7" s="32">
        <f>1466.16+175.94</f>
        <v>1642.1000000000001</v>
      </c>
      <c r="L7" s="33"/>
      <c r="M7" s="27">
        <f t="shared" si="0"/>
        <v>1466.1607142857142</v>
      </c>
      <c r="N7" s="27">
        <f t="shared" si="1"/>
        <v>175.93928571428569</v>
      </c>
      <c r="O7" s="27">
        <f t="shared" ref="O7" si="4">-SUM(I7:J7,K7/1.12)*L7</f>
        <v>0</v>
      </c>
      <c r="P7" s="27">
        <v>1466.16</v>
      </c>
      <c r="Q7" s="34"/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ref="AF7" si="5">-SUM(N7:AE7)</f>
        <v>-1642.0992857142858</v>
      </c>
      <c r="AG7" s="28">
        <f t="shared" ref="AG7" si="6">SUM(H7:K7)+AF7+O7</f>
        <v>7.1428571436626953E-4</v>
      </c>
    </row>
    <row r="8" spans="1:33" s="12" customFormat="1" ht="23.25" customHeight="1" x14ac:dyDescent="0.2">
      <c r="A8" s="30">
        <v>43635</v>
      </c>
      <c r="B8" s="31"/>
      <c r="C8" s="25" t="s">
        <v>38</v>
      </c>
      <c r="D8" s="25" t="s">
        <v>39</v>
      </c>
      <c r="E8" s="25" t="s">
        <v>40</v>
      </c>
      <c r="F8" s="26">
        <v>149747</v>
      </c>
      <c r="G8" s="48" t="s">
        <v>107</v>
      </c>
      <c r="H8" s="32"/>
      <c r="I8" s="32"/>
      <c r="J8" s="32">
        <v>130</v>
      </c>
      <c r="K8" s="32"/>
      <c r="L8" s="33"/>
      <c r="M8" s="27">
        <f t="shared" si="0"/>
        <v>130</v>
      </c>
      <c r="N8" s="27">
        <f t="shared" si="1"/>
        <v>0</v>
      </c>
      <c r="O8" s="27"/>
      <c r="P8" s="27">
        <v>130</v>
      </c>
      <c r="Q8" s="34"/>
      <c r="R8" s="34"/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si="2"/>
        <v>-130</v>
      </c>
      <c r="AG8" s="28">
        <f t="shared" si="3"/>
        <v>0</v>
      </c>
    </row>
    <row r="9" spans="1:33" s="12" customFormat="1" ht="23.25" customHeight="1" x14ac:dyDescent="0.2">
      <c r="A9" s="30">
        <v>43635</v>
      </c>
      <c r="B9" s="31"/>
      <c r="C9" s="25" t="s">
        <v>108</v>
      </c>
      <c r="D9" s="25" t="s">
        <v>109</v>
      </c>
      <c r="E9" s="25" t="s">
        <v>40</v>
      </c>
      <c r="F9" s="26">
        <v>43004</v>
      </c>
      <c r="G9" s="29" t="s">
        <v>110</v>
      </c>
      <c r="H9" s="32"/>
      <c r="I9" s="32"/>
      <c r="J9" s="32"/>
      <c r="K9" s="32">
        <v>1300</v>
      </c>
      <c r="L9" s="33"/>
      <c r="M9" s="27">
        <f t="shared" si="0"/>
        <v>1160.7142857142856</v>
      </c>
      <c r="N9" s="27">
        <f t="shared" si="1"/>
        <v>139.28571428571425</v>
      </c>
      <c r="O9" s="27">
        <f t="shared" ref="O9" si="7">-SUM(I9:J9,K9/1.12)*L9</f>
        <v>0</v>
      </c>
      <c r="P9" s="27"/>
      <c r="Q9" s="34"/>
      <c r="R9" s="34">
        <v>1160.71</v>
      </c>
      <c r="S9" s="35"/>
      <c r="T9" s="35"/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ref="AF9" si="8">-SUM(N9:AE9)</f>
        <v>-1299.9957142857143</v>
      </c>
      <c r="AG9" s="28">
        <f t="shared" ref="AG9" si="9">SUM(H9:K9)+AF9+O9</f>
        <v>4.2857142857428698E-3</v>
      </c>
    </row>
    <row r="10" spans="1:33" s="12" customFormat="1" ht="24" customHeight="1" x14ac:dyDescent="0.2">
      <c r="A10" s="30">
        <v>43635</v>
      </c>
      <c r="B10" s="31"/>
      <c r="C10" s="25" t="s">
        <v>61</v>
      </c>
      <c r="D10" s="25" t="s">
        <v>62</v>
      </c>
      <c r="E10" s="25" t="s">
        <v>40</v>
      </c>
      <c r="F10" s="26">
        <v>908</v>
      </c>
      <c r="G10" s="48" t="s">
        <v>111</v>
      </c>
      <c r="H10" s="32"/>
      <c r="I10" s="32"/>
      <c r="J10" s="32"/>
      <c r="K10" s="32">
        <v>235</v>
      </c>
      <c r="L10" s="33"/>
      <c r="M10" s="27">
        <f t="shared" si="0"/>
        <v>209.82142857142856</v>
      </c>
      <c r="N10" s="27">
        <f t="shared" si="1"/>
        <v>25.178571428571427</v>
      </c>
      <c r="O10" s="27"/>
      <c r="P10" s="27"/>
      <c r="Q10" s="34"/>
      <c r="R10" s="34"/>
      <c r="S10" s="35">
        <v>209.82</v>
      </c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si="2"/>
        <v>-234.99857142857141</v>
      </c>
      <c r="AG10" s="28">
        <f t="shared" si="3"/>
        <v>1.4285714285904305E-3</v>
      </c>
    </row>
    <row r="11" spans="1:33" s="12" customFormat="1" ht="24.75" customHeight="1" x14ac:dyDescent="0.2">
      <c r="A11" s="30">
        <v>43635</v>
      </c>
      <c r="B11" s="31"/>
      <c r="C11" s="25" t="s">
        <v>42</v>
      </c>
      <c r="D11" s="25" t="s">
        <v>43</v>
      </c>
      <c r="E11" s="25" t="s">
        <v>44</v>
      </c>
      <c r="F11" s="26">
        <v>68209</v>
      </c>
      <c r="G11" s="29" t="s">
        <v>45</v>
      </c>
      <c r="H11" s="32"/>
      <c r="I11" s="32"/>
      <c r="J11" s="32"/>
      <c r="K11" s="32">
        <v>180</v>
      </c>
      <c r="L11" s="33"/>
      <c r="M11" s="27">
        <f t="shared" si="0"/>
        <v>160.71428571428569</v>
      </c>
      <c r="N11" s="27">
        <f t="shared" si="1"/>
        <v>19.285714285714281</v>
      </c>
      <c r="O11" s="27">
        <f t="shared" ref="O11" si="10">-SUM(I11:J11,K11/1.12)*L11</f>
        <v>0</v>
      </c>
      <c r="P11" s="27"/>
      <c r="Q11" s="34">
        <v>160.71</v>
      </c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ref="AF11" si="11">-SUM(N11:AE11)</f>
        <v>-179.99571428571429</v>
      </c>
      <c r="AG11" s="28">
        <f t="shared" ref="AG11" si="12">SUM(H11:K11)+AF11+O11</f>
        <v>4.2857142857144481E-3</v>
      </c>
    </row>
    <row r="12" spans="1:33" s="12" customFormat="1" ht="23.25" customHeight="1" x14ac:dyDescent="0.2">
      <c r="A12" s="30">
        <v>43636</v>
      </c>
      <c r="B12" s="31"/>
      <c r="C12" s="25" t="s">
        <v>46</v>
      </c>
      <c r="D12" s="25" t="s">
        <v>47</v>
      </c>
      <c r="E12" s="25" t="s">
        <v>37</v>
      </c>
      <c r="F12" s="26">
        <v>96017</v>
      </c>
      <c r="G12" s="48" t="s">
        <v>58</v>
      </c>
      <c r="H12" s="32"/>
      <c r="I12" s="32"/>
      <c r="J12" s="32"/>
      <c r="K12" s="32">
        <v>124.2</v>
      </c>
      <c r="L12" s="33"/>
      <c r="M12" s="27">
        <f t="shared" si="0"/>
        <v>110.89285714285714</v>
      </c>
      <c r="N12" s="27">
        <f t="shared" si="1"/>
        <v>13.307142857142857</v>
      </c>
      <c r="O12" s="27"/>
      <c r="P12" s="27">
        <v>110.89</v>
      </c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2"/>
        <v>-124.19714285714286</v>
      </c>
      <c r="AG12" s="28">
        <f t="shared" si="3"/>
        <v>2.8571428571382285E-3</v>
      </c>
    </row>
    <row r="13" spans="1:33" s="12" customFormat="1" ht="23.25" customHeight="1" x14ac:dyDescent="0.2">
      <c r="A13" s="30">
        <v>43636</v>
      </c>
      <c r="B13" s="31"/>
      <c r="C13" s="25" t="s">
        <v>38</v>
      </c>
      <c r="D13" s="25" t="s">
        <v>39</v>
      </c>
      <c r="E13" s="25" t="s">
        <v>40</v>
      </c>
      <c r="F13" s="26">
        <v>171530</v>
      </c>
      <c r="G13" s="48" t="s">
        <v>112</v>
      </c>
      <c r="H13" s="32"/>
      <c r="I13" s="32"/>
      <c r="J13" s="32"/>
      <c r="K13" s="32">
        <f>247.54+29.71</f>
        <v>277.25</v>
      </c>
      <c r="L13" s="33"/>
      <c r="M13" s="27">
        <f t="shared" si="0"/>
        <v>247.54464285714283</v>
      </c>
      <c r="N13" s="27">
        <f t="shared" si="1"/>
        <v>29.705357142857139</v>
      </c>
      <c r="O13" s="27">
        <f t="shared" ref="O13:O14" si="13">-SUM(I13:J13,K13/1.12)*L13</f>
        <v>0</v>
      </c>
      <c r="P13" s="27">
        <v>247.54</v>
      </c>
      <c r="Q13" s="34"/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2"/>
        <v>-277.24535714285713</v>
      </c>
      <c r="AG13" s="28">
        <f t="shared" si="3"/>
        <v>4.6428571428691612E-3</v>
      </c>
    </row>
    <row r="14" spans="1:33" s="12" customFormat="1" ht="23.25" customHeight="1" x14ac:dyDescent="0.2">
      <c r="A14" s="30">
        <v>43636</v>
      </c>
      <c r="B14" s="31"/>
      <c r="C14" s="25" t="s">
        <v>38</v>
      </c>
      <c r="D14" s="25" t="s">
        <v>39</v>
      </c>
      <c r="E14" s="25" t="s">
        <v>40</v>
      </c>
      <c r="F14" s="26">
        <v>171530</v>
      </c>
      <c r="G14" s="48" t="s">
        <v>113</v>
      </c>
      <c r="H14" s="32"/>
      <c r="I14" s="32"/>
      <c r="J14" s="32">
        <v>52.35</v>
      </c>
      <c r="K14" s="32"/>
      <c r="L14" s="33"/>
      <c r="M14" s="27">
        <f t="shared" si="0"/>
        <v>52.35</v>
      </c>
      <c r="N14" s="27">
        <f t="shared" si="1"/>
        <v>0</v>
      </c>
      <c r="O14" s="27">
        <f t="shared" si="13"/>
        <v>0</v>
      </c>
      <c r="P14" s="27">
        <v>52.35</v>
      </c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ref="AF14" si="14">-SUM(N14:AE14)</f>
        <v>-52.35</v>
      </c>
      <c r="AG14" s="28">
        <f t="shared" ref="AG14" si="15">SUM(H14:K14)+AF14+O14</f>
        <v>0</v>
      </c>
    </row>
    <row r="15" spans="1:33" s="12" customFormat="1" ht="23.25" customHeight="1" x14ac:dyDescent="0.2">
      <c r="A15" s="30">
        <v>43636</v>
      </c>
      <c r="B15" s="31"/>
      <c r="C15" s="25" t="s">
        <v>46</v>
      </c>
      <c r="D15" s="25" t="s">
        <v>47</v>
      </c>
      <c r="E15" s="25" t="s">
        <v>37</v>
      </c>
      <c r="F15" s="26">
        <v>80570</v>
      </c>
      <c r="G15" s="48" t="s">
        <v>114</v>
      </c>
      <c r="H15" s="32"/>
      <c r="I15" s="32"/>
      <c r="J15" s="32"/>
      <c r="K15" s="32">
        <v>199</v>
      </c>
      <c r="L15" s="33"/>
      <c r="M15" s="27">
        <f t="shared" si="0"/>
        <v>177.67857142857142</v>
      </c>
      <c r="N15" s="27">
        <f t="shared" si="1"/>
        <v>21.321428571428569</v>
      </c>
      <c r="O15" s="27"/>
      <c r="P15" s="27"/>
      <c r="Q15" s="34">
        <v>177.68</v>
      </c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ref="AF15:AF16" si="16">-SUM(N15:AE15)</f>
        <v>-199.00142857142856</v>
      </c>
      <c r="AG15" s="28">
        <f t="shared" ref="AG15:AG16" si="17">SUM(H15:K15)+AF15+O15</f>
        <v>-1.4285714285620088E-3</v>
      </c>
    </row>
    <row r="16" spans="1:33" s="12" customFormat="1" ht="23.25" customHeight="1" x14ac:dyDescent="0.2">
      <c r="A16" s="30">
        <v>43636</v>
      </c>
      <c r="B16" s="31"/>
      <c r="C16" s="25" t="s">
        <v>46</v>
      </c>
      <c r="D16" s="25" t="s">
        <v>47</v>
      </c>
      <c r="E16" s="25" t="s">
        <v>37</v>
      </c>
      <c r="F16" s="26">
        <v>96018</v>
      </c>
      <c r="G16" s="48" t="s">
        <v>115</v>
      </c>
      <c r="H16" s="32"/>
      <c r="I16" s="32"/>
      <c r="J16" s="32"/>
      <c r="K16" s="32">
        <v>616</v>
      </c>
      <c r="L16" s="33"/>
      <c r="M16" s="27">
        <f t="shared" si="0"/>
        <v>550</v>
      </c>
      <c r="N16" s="27">
        <f t="shared" si="1"/>
        <v>66</v>
      </c>
      <c r="O16" s="27"/>
      <c r="P16" s="27">
        <v>550</v>
      </c>
      <c r="Q16" s="34"/>
      <c r="R16" s="34"/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si="16"/>
        <v>-616</v>
      </c>
      <c r="AG16" s="28">
        <f t="shared" si="17"/>
        <v>0</v>
      </c>
    </row>
    <row r="17" spans="1:33" s="12" customFormat="1" ht="24.75" customHeight="1" x14ac:dyDescent="0.2">
      <c r="A17" s="30">
        <v>43636</v>
      </c>
      <c r="B17" s="31"/>
      <c r="C17" s="25" t="s">
        <v>42</v>
      </c>
      <c r="D17" s="25" t="s">
        <v>43</v>
      </c>
      <c r="E17" s="25" t="s">
        <v>44</v>
      </c>
      <c r="F17" s="26">
        <v>72512</v>
      </c>
      <c r="G17" s="29" t="s">
        <v>45</v>
      </c>
      <c r="H17" s="32"/>
      <c r="I17" s="32"/>
      <c r="J17" s="32"/>
      <c r="K17" s="32">
        <v>180</v>
      </c>
      <c r="L17" s="33"/>
      <c r="M17" s="27">
        <f t="shared" si="0"/>
        <v>160.71428571428569</v>
      </c>
      <c r="N17" s="27">
        <f t="shared" si="1"/>
        <v>19.285714285714281</v>
      </c>
      <c r="O17" s="27">
        <f t="shared" ref="O17" si="18">-SUM(I17:J17,K17/1.12)*L17</f>
        <v>0</v>
      </c>
      <c r="P17" s="27"/>
      <c r="Q17" s="34">
        <v>160.71</v>
      </c>
      <c r="R17" s="34"/>
      <c r="S17" s="35"/>
      <c r="T17" s="35"/>
      <c r="U17" s="35"/>
      <c r="V17" s="35"/>
      <c r="W17" s="35"/>
      <c r="X17" s="34"/>
      <c r="Y17" s="34"/>
      <c r="Z17" s="34"/>
      <c r="AA17" s="34"/>
      <c r="AB17" s="35"/>
      <c r="AC17" s="35"/>
      <c r="AD17" s="34"/>
      <c r="AE17" s="34"/>
      <c r="AF17" s="27">
        <f t="shared" ref="AF17" si="19">-SUM(N17:AE17)</f>
        <v>-179.99571428571429</v>
      </c>
      <c r="AG17" s="28">
        <f t="shared" ref="AG17" si="20">SUM(H17:K17)+AF17+O17</f>
        <v>4.2857142857144481E-3</v>
      </c>
    </row>
    <row r="18" spans="1:33" s="12" customFormat="1" ht="23.25" customHeight="1" x14ac:dyDescent="0.2">
      <c r="A18" s="30">
        <v>43636</v>
      </c>
      <c r="B18" s="31"/>
      <c r="C18" s="25" t="s">
        <v>52</v>
      </c>
      <c r="D18" s="25"/>
      <c r="E18" s="25"/>
      <c r="F18" s="26"/>
      <c r="G18" s="48" t="s">
        <v>53</v>
      </c>
      <c r="H18" s="32">
        <v>537</v>
      </c>
      <c r="I18" s="32"/>
      <c r="J18" s="32"/>
      <c r="K18" s="32"/>
      <c r="L18" s="33"/>
      <c r="M18" s="27">
        <f t="shared" si="0"/>
        <v>537</v>
      </c>
      <c r="N18" s="27">
        <f t="shared" si="1"/>
        <v>0</v>
      </c>
      <c r="O18" s="27"/>
      <c r="P18" s="27"/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>
        <v>537</v>
      </c>
      <c r="AC18" s="35"/>
      <c r="AD18" s="34"/>
      <c r="AE18" s="34"/>
      <c r="AF18" s="27">
        <f t="shared" si="2"/>
        <v>-537</v>
      </c>
      <c r="AG18" s="28">
        <f t="shared" si="3"/>
        <v>0</v>
      </c>
    </row>
    <row r="19" spans="1:33" s="12" customFormat="1" ht="23.25" customHeight="1" x14ac:dyDescent="0.2">
      <c r="A19" s="30">
        <v>43637</v>
      </c>
      <c r="B19" s="31"/>
      <c r="C19" s="25" t="s">
        <v>68</v>
      </c>
      <c r="D19" s="25" t="s">
        <v>69</v>
      </c>
      <c r="E19" s="25" t="s">
        <v>70</v>
      </c>
      <c r="F19" s="26">
        <v>4673</v>
      </c>
      <c r="G19" s="29" t="s">
        <v>71</v>
      </c>
      <c r="H19" s="32"/>
      <c r="I19" s="32"/>
      <c r="J19" s="32"/>
      <c r="K19" s="32">
        <v>2600</v>
      </c>
      <c r="L19" s="33"/>
      <c r="M19" s="27">
        <f t="shared" si="0"/>
        <v>2321.4285714285711</v>
      </c>
      <c r="N19" s="27">
        <f t="shared" si="1"/>
        <v>278.5714285714285</v>
      </c>
      <c r="O19" s="27">
        <f t="shared" ref="O19:O39" si="21">-SUM(I19:J19,K19/1.12)*L19</f>
        <v>0</v>
      </c>
      <c r="P19" s="27"/>
      <c r="Q19" s="34">
        <v>2321.4299999999998</v>
      </c>
      <c r="R19" s="34"/>
      <c r="S19" s="35"/>
      <c r="T19" s="35"/>
      <c r="U19" s="35"/>
      <c r="V19" s="35"/>
      <c r="W19" s="35"/>
      <c r="X19" s="34"/>
      <c r="Y19" s="34"/>
      <c r="Z19" s="34"/>
      <c r="AA19" s="34"/>
      <c r="AB19" s="35"/>
      <c r="AC19" s="35"/>
      <c r="AD19" s="34"/>
      <c r="AE19" s="34"/>
      <c r="AF19" s="27">
        <f t="shared" ref="AF19" si="22">-SUM(N19:AE19)</f>
        <v>-2600.0014285714283</v>
      </c>
      <c r="AG19" s="28">
        <f t="shared" ref="AG19" si="23">SUM(H19:K19)+AF19+O19</f>
        <v>-1.4285714282777917E-3</v>
      </c>
    </row>
    <row r="20" spans="1:33" s="12" customFormat="1" ht="23.25" customHeight="1" x14ac:dyDescent="0.2">
      <c r="A20" s="30">
        <v>43637</v>
      </c>
      <c r="B20" s="31"/>
      <c r="C20" s="25" t="s">
        <v>38</v>
      </c>
      <c r="D20" s="25" t="s">
        <v>39</v>
      </c>
      <c r="E20" s="25" t="s">
        <v>40</v>
      </c>
      <c r="F20" s="26">
        <v>183277</v>
      </c>
      <c r="G20" s="48" t="s">
        <v>116</v>
      </c>
      <c r="H20" s="32"/>
      <c r="I20" s="32"/>
      <c r="J20" s="32"/>
      <c r="K20" s="32">
        <f>585.4+70.25</f>
        <v>655.65</v>
      </c>
      <c r="L20" s="33"/>
      <c r="M20" s="27">
        <f t="shared" si="0"/>
        <v>585.40178571428567</v>
      </c>
      <c r="N20" s="27">
        <f t="shared" si="1"/>
        <v>70.248214285714283</v>
      </c>
      <c r="O20" s="27">
        <f t="shared" si="21"/>
        <v>0</v>
      </c>
      <c r="P20" s="27">
        <v>585.4</v>
      </c>
      <c r="Q20" s="34"/>
      <c r="R20" s="34"/>
      <c r="S20" s="35"/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si="2"/>
        <v>-655.64821428571429</v>
      </c>
      <c r="AG20" s="28">
        <f t="shared" si="3"/>
        <v>1.7857142856883002E-3</v>
      </c>
    </row>
    <row r="21" spans="1:33" s="12" customFormat="1" ht="23.25" customHeight="1" x14ac:dyDescent="0.2">
      <c r="A21" s="30">
        <v>43637</v>
      </c>
      <c r="B21" s="31"/>
      <c r="C21" s="25" t="s">
        <v>38</v>
      </c>
      <c r="D21" s="25" t="s">
        <v>39</v>
      </c>
      <c r="E21" s="25" t="s">
        <v>40</v>
      </c>
      <c r="F21" s="26">
        <v>183277</v>
      </c>
      <c r="G21" s="48" t="s">
        <v>58</v>
      </c>
      <c r="H21" s="32"/>
      <c r="I21" s="32"/>
      <c r="J21" s="32">
        <v>53.5</v>
      </c>
      <c r="K21" s="32"/>
      <c r="L21" s="33"/>
      <c r="M21" s="27">
        <f t="shared" si="0"/>
        <v>53.5</v>
      </c>
      <c r="N21" s="27">
        <f t="shared" si="1"/>
        <v>0</v>
      </c>
      <c r="O21" s="27">
        <f t="shared" si="21"/>
        <v>0</v>
      </c>
      <c r="P21" s="27">
        <v>53.5</v>
      </c>
      <c r="Q21" s="34"/>
      <c r="R21" s="34"/>
      <c r="S21" s="35"/>
      <c r="T21" s="35"/>
      <c r="U21" s="35"/>
      <c r="V21" s="35"/>
      <c r="W21" s="35"/>
      <c r="X21" s="34"/>
      <c r="Y21" s="34"/>
      <c r="Z21" s="34"/>
      <c r="AA21" s="34"/>
      <c r="AB21" s="35"/>
      <c r="AC21" s="35"/>
      <c r="AD21" s="34"/>
      <c r="AE21" s="34"/>
      <c r="AF21" s="27">
        <f t="shared" ref="AF21:AF39" si="24">-SUM(N21:AE21)</f>
        <v>-53.5</v>
      </c>
      <c r="AG21" s="28">
        <f t="shared" ref="AG21:AG39" si="25">SUM(H21:K21)+AF21+O21</f>
        <v>0</v>
      </c>
    </row>
    <row r="22" spans="1:33" s="12" customFormat="1" ht="24.75" customHeight="1" x14ac:dyDescent="0.2">
      <c r="A22" s="30">
        <v>43637</v>
      </c>
      <c r="B22" s="31"/>
      <c r="C22" s="25" t="s">
        <v>42</v>
      </c>
      <c r="D22" s="25" t="s">
        <v>43</v>
      </c>
      <c r="E22" s="25" t="s">
        <v>44</v>
      </c>
      <c r="F22" s="26">
        <v>72564</v>
      </c>
      <c r="G22" s="29" t="s">
        <v>45</v>
      </c>
      <c r="H22" s="32"/>
      <c r="I22" s="32"/>
      <c r="J22" s="32"/>
      <c r="K22" s="32">
        <v>180</v>
      </c>
      <c r="L22" s="33"/>
      <c r="M22" s="27">
        <f t="shared" si="0"/>
        <v>160.71428571428569</v>
      </c>
      <c r="N22" s="27">
        <f t="shared" si="1"/>
        <v>19.285714285714281</v>
      </c>
      <c r="O22" s="27">
        <f t="shared" si="21"/>
        <v>0</v>
      </c>
      <c r="P22" s="27"/>
      <c r="Q22" s="34">
        <v>160.71</v>
      </c>
      <c r="R22" s="34"/>
      <c r="S22" s="35"/>
      <c r="T22" s="35"/>
      <c r="U22" s="35"/>
      <c r="V22" s="35"/>
      <c r="W22" s="35"/>
      <c r="X22" s="34"/>
      <c r="Y22" s="34"/>
      <c r="Z22" s="34"/>
      <c r="AA22" s="34"/>
      <c r="AB22" s="35"/>
      <c r="AC22" s="35"/>
      <c r="AD22" s="34"/>
      <c r="AE22" s="34"/>
      <c r="AF22" s="27">
        <f t="shared" si="24"/>
        <v>-179.99571428571429</v>
      </c>
      <c r="AG22" s="28">
        <f t="shared" si="25"/>
        <v>4.2857142857144481E-3</v>
      </c>
    </row>
    <row r="23" spans="1:33" s="12" customFormat="1" ht="23.25" customHeight="1" x14ac:dyDescent="0.2">
      <c r="A23" s="30">
        <v>43637</v>
      </c>
      <c r="B23" s="31"/>
      <c r="C23" s="25" t="s">
        <v>52</v>
      </c>
      <c r="D23" s="25"/>
      <c r="E23" s="25"/>
      <c r="F23" s="26"/>
      <c r="G23" s="48" t="s">
        <v>53</v>
      </c>
      <c r="H23" s="32">
        <v>537</v>
      </c>
      <c r="I23" s="32"/>
      <c r="J23" s="32"/>
      <c r="K23" s="32"/>
      <c r="L23" s="33"/>
      <c r="M23" s="27">
        <f t="shared" si="0"/>
        <v>537</v>
      </c>
      <c r="N23" s="27">
        <f t="shared" si="1"/>
        <v>0</v>
      </c>
      <c r="O23" s="27"/>
      <c r="P23" s="27"/>
      <c r="Q23" s="34"/>
      <c r="R23" s="34"/>
      <c r="S23" s="35"/>
      <c r="T23" s="35"/>
      <c r="U23" s="35"/>
      <c r="V23" s="35"/>
      <c r="W23" s="35"/>
      <c r="X23" s="34"/>
      <c r="Y23" s="34"/>
      <c r="Z23" s="34"/>
      <c r="AA23" s="34"/>
      <c r="AB23" s="35">
        <v>537</v>
      </c>
      <c r="AC23" s="35"/>
      <c r="AD23" s="34"/>
      <c r="AE23" s="34"/>
      <c r="AF23" s="27">
        <f t="shared" ref="AF23" si="26">-SUM(N23:AE23)</f>
        <v>-537</v>
      </c>
      <c r="AG23" s="28">
        <f t="shared" ref="AG23" si="27">SUM(H23:K23)+AF23+O23</f>
        <v>0</v>
      </c>
    </row>
    <row r="24" spans="1:33" s="12" customFormat="1" ht="23.25" customHeight="1" x14ac:dyDescent="0.2">
      <c r="A24" s="30">
        <v>43638</v>
      </c>
      <c r="B24" s="31"/>
      <c r="C24" s="25" t="s">
        <v>117</v>
      </c>
      <c r="D24" s="25" t="s">
        <v>59</v>
      </c>
      <c r="E24" s="25" t="s">
        <v>40</v>
      </c>
      <c r="F24" s="26">
        <v>990</v>
      </c>
      <c r="G24" s="48" t="s">
        <v>45</v>
      </c>
      <c r="H24" s="32"/>
      <c r="I24" s="32"/>
      <c r="J24" s="32"/>
      <c r="K24" s="32">
        <v>40</v>
      </c>
      <c r="L24" s="33"/>
      <c r="M24" s="27">
        <f t="shared" si="0"/>
        <v>35.714285714285708</v>
      </c>
      <c r="N24" s="27">
        <f t="shared" si="1"/>
        <v>4.2857142857142847</v>
      </c>
      <c r="O24" s="27">
        <f t="shared" si="21"/>
        <v>0</v>
      </c>
      <c r="P24" s="27">
        <v>35.71</v>
      </c>
      <c r="Q24" s="34"/>
      <c r="R24" s="34"/>
      <c r="S24" s="35"/>
      <c r="T24" s="35"/>
      <c r="U24" s="35"/>
      <c r="V24" s="35"/>
      <c r="W24" s="35"/>
      <c r="X24" s="34"/>
      <c r="Y24" s="34"/>
      <c r="Z24" s="34"/>
      <c r="AA24" s="34"/>
      <c r="AB24" s="35"/>
      <c r="AC24" s="35"/>
      <c r="AD24" s="34"/>
      <c r="AE24" s="34"/>
      <c r="AF24" s="27">
        <f t="shared" si="24"/>
        <v>-39.995714285714286</v>
      </c>
      <c r="AG24" s="28">
        <f t="shared" si="25"/>
        <v>4.2857142857144481E-3</v>
      </c>
    </row>
    <row r="25" spans="1:33" s="12" customFormat="1" ht="24.75" customHeight="1" x14ac:dyDescent="0.2">
      <c r="A25" s="30">
        <v>43641</v>
      </c>
      <c r="B25" s="31"/>
      <c r="C25" s="25" t="s">
        <v>42</v>
      </c>
      <c r="D25" s="25" t="s">
        <v>43</v>
      </c>
      <c r="E25" s="25" t="s">
        <v>44</v>
      </c>
      <c r="F25" s="26">
        <v>75807</v>
      </c>
      <c r="G25" s="29" t="s">
        <v>45</v>
      </c>
      <c r="H25" s="32"/>
      <c r="I25" s="32"/>
      <c r="J25" s="32"/>
      <c r="K25" s="32">
        <v>180</v>
      </c>
      <c r="L25" s="33"/>
      <c r="M25" s="27">
        <f t="shared" si="0"/>
        <v>160.71428571428569</v>
      </c>
      <c r="N25" s="27">
        <f t="shared" si="1"/>
        <v>19.285714285714281</v>
      </c>
      <c r="O25" s="27">
        <f t="shared" si="21"/>
        <v>0</v>
      </c>
      <c r="P25" s="27"/>
      <c r="Q25" s="34">
        <v>160.71</v>
      </c>
      <c r="R25" s="34"/>
      <c r="S25" s="35"/>
      <c r="T25" s="35"/>
      <c r="U25" s="35"/>
      <c r="V25" s="35"/>
      <c r="W25" s="35"/>
      <c r="X25" s="34"/>
      <c r="Y25" s="34"/>
      <c r="Z25" s="34"/>
      <c r="AA25" s="34"/>
      <c r="AB25" s="35"/>
      <c r="AC25" s="35"/>
      <c r="AD25" s="34"/>
      <c r="AE25" s="34"/>
      <c r="AF25" s="27">
        <f t="shared" si="24"/>
        <v>-179.99571428571429</v>
      </c>
      <c r="AG25" s="28">
        <f t="shared" si="25"/>
        <v>4.2857142857144481E-3</v>
      </c>
    </row>
    <row r="26" spans="1:33" s="12" customFormat="1" ht="24.75" customHeight="1" x14ac:dyDescent="0.2">
      <c r="A26" s="30">
        <v>43641</v>
      </c>
      <c r="B26" s="31"/>
      <c r="C26" s="25" t="s">
        <v>46</v>
      </c>
      <c r="D26" s="25" t="s">
        <v>47</v>
      </c>
      <c r="E26" s="25" t="s">
        <v>37</v>
      </c>
      <c r="F26" s="26">
        <v>36005</v>
      </c>
      <c r="G26" s="29" t="s">
        <v>118</v>
      </c>
      <c r="H26" s="32"/>
      <c r="I26" s="32"/>
      <c r="J26" s="32"/>
      <c r="K26" s="32">
        <v>175</v>
      </c>
      <c r="L26" s="33"/>
      <c r="M26" s="27">
        <f t="shared" si="0"/>
        <v>156.24999999999997</v>
      </c>
      <c r="N26" s="27">
        <f t="shared" si="1"/>
        <v>18.749999999999996</v>
      </c>
      <c r="O26" s="27">
        <f t="shared" si="21"/>
        <v>0</v>
      </c>
      <c r="P26" s="27">
        <v>156.25</v>
      </c>
      <c r="Q26" s="34"/>
      <c r="R26" s="34"/>
      <c r="S26" s="35"/>
      <c r="T26" s="35"/>
      <c r="U26" s="35"/>
      <c r="V26" s="35"/>
      <c r="W26" s="35"/>
      <c r="X26" s="34"/>
      <c r="Y26" s="34"/>
      <c r="Z26" s="34"/>
      <c r="AA26" s="34"/>
      <c r="AB26" s="35"/>
      <c r="AC26" s="35"/>
      <c r="AD26" s="34"/>
      <c r="AE26" s="34"/>
      <c r="AF26" s="27">
        <f t="shared" si="24"/>
        <v>-175</v>
      </c>
      <c r="AG26" s="28">
        <f t="shared" si="25"/>
        <v>0</v>
      </c>
    </row>
    <row r="27" spans="1:33" s="12" customFormat="1" ht="23.25" customHeight="1" x14ac:dyDescent="0.2">
      <c r="A27" s="30">
        <v>43641</v>
      </c>
      <c r="B27" s="31"/>
      <c r="C27" s="25" t="s">
        <v>119</v>
      </c>
      <c r="D27" s="25" t="s">
        <v>120</v>
      </c>
      <c r="E27" s="25" t="s">
        <v>40</v>
      </c>
      <c r="F27" s="26">
        <v>179247</v>
      </c>
      <c r="G27" s="48" t="s">
        <v>121</v>
      </c>
      <c r="H27" s="32"/>
      <c r="I27" s="32"/>
      <c r="J27" s="32"/>
      <c r="K27" s="32">
        <v>1385</v>
      </c>
      <c r="L27" s="33"/>
      <c r="M27" s="27">
        <f t="shared" si="0"/>
        <v>1236.6071428571427</v>
      </c>
      <c r="N27" s="27">
        <f t="shared" si="1"/>
        <v>148.39285714285711</v>
      </c>
      <c r="O27" s="27">
        <f t="shared" si="21"/>
        <v>0</v>
      </c>
      <c r="P27" s="27"/>
      <c r="Q27" s="34"/>
      <c r="R27" s="34"/>
      <c r="S27" s="35">
        <v>1236.6099999999999</v>
      </c>
      <c r="T27" s="35"/>
      <c r="U27" s="35"/>
      <c r="V27" s="35"/>
      <c r="W27" s="35"/>
      <c r="X27" s="34"/>
      <c r="Y27" s="34"/>
      <c r="Z27" s="34"/>
      <c r="AA27" s="34"/>
      <c r="AB27" s="35"/>
      <c r="AC27" s="35"/>
      <c r="AD27" s="34"/>
      <c r="AE27" s="34"/>
      <c r="AF27" s="27">
        <f t="shared" si="24"/>
        <v>-1385.002857142857</v>
      </c>
      <c r="AG27" s="28">
        <f t="shared" si="25"/>
        <v>-2.8571428570103308E-3</v>
      </c>
    </row>
    <row r="28" spans="1:33" s="12" customFormat="1" ht="23.25" customHeight="1" x14ac:dyDescent="0.2">
      <c r="A28" s="30">
        <v>43641</v>
      </c>
      <c r="B28" s="31"/>
      <c r="C28" s="25" t="s">
        <v>41</v>
      </c>
      <c r="D28" s="25"/>
      <c r="E28" s="25"/>
      <c r="F28" s="26"/>
      <c r="G28" s="48" t="s">
        <v>122</v>
      </c>
      <c r="H28" s="32">
        <v>65</v>
      </c>
      <c r="I28" s="32"/>
      <c r="J28" s="32"/>
      <c r="K28" s="32"/>
      <c r="L28" s="33"/>
      <c r="M28" s="27">
        <f t="shared" si="0"/>
        <v>65</v>
      </c>
      <c r="N28" s="27">
        <f t="shared" si="1"/>
        <v>0</v>
      </c>
      <c r="O28" s="27">
        <f t="shared" si="21"/>
        <v>0</v>
      </c>
      <c r="P28" s="27"/>
      <c r="Q28" s="34"/>
      <c r="R28" s="34"/>
      <c r="S28" s="35"/>
      <c r="T28" s="35"/>
      <c r="U28" s="35"/>
      <c r="V28" s="35"/>
      <c r="W28" s="35"/>
      <c r="X28" s="35"/>
      <c r="Y28" s="34"/>
      <c r="Z28" s="34"/>
      <c r="AA28" s="34">
        <v>65</v>
      </c>
      <c r="AB28" s="35"/>
      <c r="AC28" s="35"/>
      <c r="AD28" s="35"/>
      <c r="AE28" s="34"/>
      <c r="AF28" s="27">
        <f t="shared" si="24"/>
        <v>-65</v>
      </c>
      <c r="AG28" s="28">
        <f t="shared" si="25"/>
        <v>0</v>
      </c>
    </row>
    <row r="29" spans="1:33" s="12" customFormat="1" ht="24.75" customHeight="1" x14ac:dyDescent="0.2">
      <c r="A29" s="30">
        <v>43641</v>
      </c>
      <c r="B29" s="31"/>
      <c r="C29" s="25" t="s">
        <v>42</v>
      </c>
      <c r="D29" s="25" t="s">
        <v>43</v>
      </c>
      <c r="E29" s="25" t="s">
        <v>44</v>
      </c>
      <c r="F29" s="26">
        <v>75859</v>
      </c>
      <c r="G29" s="29" t="s">
        <v>45</v>
      </c>
      <c r="H29" s="32"/>
      <c r="I29" s="32"/>
      <c r="J29" s="32"/>
      <c r="K29" s="32">
        <v>180</v>
      </c>
      <c r="L29" s="33"/>
      <c r="M29" s="27">
        <f t="shared" si="0"/>
        <v>160.71428571428569</v>
      </c>
      <c r="N29" s="27">
        <f t="shared" si="1"/>
        <v>19.285714285714281</v>
      </c>
      <c r="O29" s="27">
        <f t="shared" si="21"/>
        <v>0</v>
      </c>
      <c r="P29" s="27"/>
      <c r="Q29" s="34">
        <v>160.71</v>
      </c>
      <c r="R29" s="34"/>
      <c r="S29" s="35"/>
      <c r="T29" s="35"/>
      <c r="U29" s="35"/>
      <c r="V29" s="35"/>
      <c r="W29" s="35"/>
      <c r="X29" s="34"/>
      <c r="Y29" s="34"/>
      <c r="Z29" s="34"/>
      <c r="AA29" s="34"/>
      <c r="AB29" s="35"/>
      <c r="AC29" s="35"/>
      <c r="AD29" s="34"/>
      <c r="AE29" s="34"/>
      <c r="AF29" s="27">
        <f t="shared" si="24"/>
        <v>-179.99571428571429</v>
      </c>
      <c r="AG29" s="28">
        <f t="shared" si="25"/>
        <v>4.2857142857144481E-3</v>
      </c>
    </row>
    <row r="30" spans="1:33" s="12" customFormat="1" ht="23.25" customHeight="1" x14ac:dyDescent="0.2">
      <c r="A30" s="30">
        <v>43641</v>
      </c>
      <c r="B30" s="31"/>
      <c r="C30" s="25" t="s">
        <v>54</v>
      </c>
      <c r="D30" s="25" t="s">
        <v>55</v>
      </c>
      <c r="E30" s="25" t="s">
        <v>57</v>
      </c>
      <c r="F30" s="26">
        <v>3226</v>
      </c>
      <c r="G30" s="48" t="s">
        <v>123</v>
      </c>
      <c r="H30" s="32"/>
      <c r="I30" s="32"/>
      <c r="J30" s="32">
        <v>930</v>
      </c>
      <c r="K30" s="32"/>
      <c r="L30" s="33"/>
      <c r="M30" s="27">
        <f t="shared" si="0"/>
        <v>930</v>
      </c>
      <c r="N30" s="27">
        <f t="shared" si="1"/>
        <v>0</v>
      </c>
      <c r="O30" s="27">
        <f t="shared" si="21"/>
        <v>0</v>
      </c>
      <c r="P30" s="27">
        <v>930</v>
      </c>
      <c r="Q30" s="34"/>
      <c r="R30" s="34"/>
      <c r="S30" s="35"/>
      <c r="T30" s="35"/>
      <c r="U30" s="35"/>
      <c r="V30" s="35"/>
      <c r="W30" s="35"/>
      <c r="X30" s="35"/>
      <c r="Y30" s="34"/>
      <c r="Z30" s="34"/>
      <c r="AA30" s="34"/>
      <c r="AB30" s="35"/>
      <c r="AC30" s="35"/>
      <c r="AD30" s="35"/>
      <c r="AE30" s="34"/>
      <c r="AF30" s="27">
        <f t="shared" si="24"/>
        <v>-930</v>
      </c>
      <c r="AG30" s="28">
        <f t="shared" si="25"/>
        <v>0</v>
      </c>
    </row>
    <row r="31" spans="1:33" s="12" customFormat="1" ht="23.25" customHeight="1" x14ac:dyDescent="0.2">
      <c r="A31" s="30">
        <v>43641</v>
      </c>
      <c r="B31" s="31"/>
      <c r="C31" s="25" t="s">
        <v>56</v>
      </c>
      <c r="D31" s="25"/>
      <c r="E31" s="25"/>
      <c r="F31" s="26"/>
      <c r="G31" s="48" t="s">
        <v>124</v>
      </c>
      <c r="H31" s="32">
        <v>100</v>
      </c>
      <c r="I31" s="32"/>
      <c r="J31" s="32"/>
      <c r="K31" s="32"/>
      <c r="L31" s="33"/>
      <c r="M31" s="27">
        <f t="shared" si="0"/>
        <v>100</v>
      </c>
      <c r="N31" s="27">
        <f t="shared" si="1"/>
        <v>0</v>
      </c>
      <c r="O31" s="27">
        <f t="shared" si="21"/>
        <v>0</v>
      </c>
      <c r="P31" s="27"/>
      <c r="Q31" s="34"/>
      <c r="R31" s="34"/>
      <c r="S31" s="35"/>
      <c r="T31" s="35"/>
      <c r="U31" s="35"/>
      <c r="V31" s="35"/>
      <c r="W31" s="35"/>
      <c r="X31" s="35"/>
      <c r="Y31" s="34"/>
      <c r="Z31" s="34"/>
      <c r="AA31" s="34">
        <v>100</v>
      </c>
      <c r="AB31" s="35"/>
      <c r="AC31" s="35"/>
      <c r="AD31" s="35"/>
      <c r="AE31" s="34"/>
      <c r="AF31" s="27">
        <f t="shared" si="24"/>
        <v>-100</v>
      </c>
      <c r="AG31" s="28">
        <f t="shared" si="25"/>
        <v>0</v>
      </c>
    </row>
    <row r="32" spans="1:33" s="12" customFormat="1" ht="23.25" customHeight="1" x14ac:dyDescent="0.2">
      <c r="A32" s="30">
        <v>43641</v>
      </c>
      <c r="B32" s="31"/>
      <c r="C32" s="25" t="s">
        <v>38</v>
      </c>
      <c r="D32" s="25" t="s">
        <v>39</v>
      </c>
      <c r="E32" s="25" t="s">
        <v>40</v>
      </c>
      <c r="F32" s="26">
        <v>175981</v>
      </c>
      <c r="G32" s="48" t="s">
        <v>125</v>
      </c>
      <c r="H32" s="32"/>
      <c r="I32" s="32"/>
      <c r="J32" s="32"/>
      <c r="K32" s="32">
        <v>96.6</v>
      </c>
      <c r="L32" s="33"/>
      <c r="M32" s="27">
        <f t="shared" si="0"/>
        <v>86.249999999999986</v>
      </c>
      <c r="N32" s="27">
        <f t="shared" si="1"/>
        <v>10.349999999999998</v>
      </c>
      <c r="O32" s="27">
        <f t="shared" si="21"/>
        <v>0</v>
      </c>
      <c r="P32" s="27"/>
      <c r="Q32" s="34"/>
      <c r="R32" s="34"/>
      <c r="S32" s="35">
        <v>86.25</v>
      </c>
      <c r="T32" s="35"/>
      <c r="U32" s="35"/>
      <c r="V32" s="35"/>
      <c r="W32" s="35"/>
      <c r="X32" s="35"/>
      <c r="Y32" s="34"/>
      <c r="Z32" s="34"/>
      <c r="AA32" s="34"/>
      <c r="AB32" s="35"/>
      <c r="AC32" s="35"/>
      <c r="AD32" s="35"/>
      <c r="AE32" s="34"/>
      <c r="AF32" s="27">
        <f t="shared" si="24"/>
        <v>-96.6</v>
      </c>
      <c r="AG32" s="28">
        <f t="shared" si="25"/>
        <v>0</v>
      </c>
    </row>
    <row r="33" spans="1:33" s="12" customFormat="1" ht="23.25" customHeight="1" x14ac:dyDescent="0.2">
      <c r="A33" s="30">
        <v>43641</v>
      </c>
      <c r="B33" s="31"/>
      <c r="C33" s="25" t="s">
        <v>46</v>
      </c>
      <c r="D33" s="25" t="s">
        <v>47</v>
      </c>
      <c r="E33" s="25" t="s">
        <v>37</v>
      </c>
      <c r="F33" s="26">
        <v>36128</v>
      </c>
      <c r="G33" s="48" t="s">
        <v>126</v>
      </c>
      <c r="H33" s="32"/>
      <c r="I33" s="32"/>
      <c r="J33" s="32"/>
      <c r="K33" s="32">
        <v>232.48</v>
      </c>
      <c r="L33" s="33"/>
      <c r="M33" s="27">
        <f t="shared" si="0"/>
        <v>207.57142857142856</v>
      </c>
      <c r="N33" s="27">
        <f t="shared" si="1"/>
        <v>24.908571428571427</v>
      </c>
      <c r="O33" s="27">
        <f t="shared" si="21"/>
        <v>0</v>
      </c>
      <c r="P33" s="27">
        <v>207.57</v>
      </c>
      <c r="Q33" s="34"/>
      <c r="R33" s="34"/>
      <c r="S33" s="35"/>
      <c r="T33" s="35"/>
      <c r="U33" s="35"/>
      <c r="V33" s="35"/>
      <c r="W33" s="35"/>
      <c r="X33" s="35"/>
      <c r="Y33" s="34"/>
      <c r="Z33" s="34"/>
      <c r="AA33" s="34"/>
      <c r="AB33" s="35"/>
      <c r="AC33" s="35"/>
      <c r="AD33" s="35"/>
      <c r="AE33" s="34"/>
      <c r="AF33" s="27">
        <f t="shared" si="24"/>
        <v>-232.47857142857143</v>
      </c>
      <c r="AG33" s="28">
        <f t="shared" si="25"/>
        <v>1.4285714285620088E-3</v>
      </c>
    </row>
    <row r="34" spans="1:33" s="12" customFormat="1" ht="24.75" customHeight="1" x14ac:dyDescent="0.2">
      <c r="A34" s="30">
        <v>43642</v>
      </c>
      <c r="B34" s="31"/>
      <c r="C34" s="25" t="s">
        <v>42</v>
      </c>
      <c r="D34" s="25" t="s">
        <v>43</v>
      </c>
      <c r="E34" s="25" t="s">
        <v>44</v>
      </c>
      <c r="F34" s="26">
        <v>180011</v>
      </c>
      <c r="G34" s="29" t="s">
        <v>45</v>
      </c>
      <c r="H34" s="32"/>
      <c r="I34" s="32"/>
      <c r="J34" s="32"/>
      <c r="K34" s="32">
        <v>180</v>
      </c>
      <c r="L34" s="33"/>
      <c r="M34" s="27">
        <f t="shared" si="0"/>
        <v>160.71428571428569</v>
      </c>
      <c r="N34" s="27">
        <f t="shared" si="1"/>
        <v>19.285714285714281</v>
      </c>
      <c r="O34" s="27">
        <f t="shared" si="21"/>
        <v>0</v>
      </c>
      <c r="P34" s="27"/>
      <c r="Q34" s="34">
        <v>160.71</v>
      </c>
      <c r="R34" s="34"/>
      <c r="S34" s="35"/>
      <c r="T34" s="35"/>
      <c r="U34" s="35"/>
      <c r="V34" s="35"/>
      <c r="W34" s="35"/>
      <c r="X34" s="34"/>
      <c r="Y34" s="34"/>
      <c r="Z34" s="34"/>
      <c r="AA34" s="34"/>
      <c r="AB34" s="35"/>
      <c r="AC34" s="35"/>
      <c r="AD34" s="34"/>
      <c r="AE34" s="34"/>
      <c r="AF34" s="27">
        <f t="shared" si="24"/>
        <v>-179.99571428571429</v>
      </c>
      <c r="AG34" s="28">
        <f t="shared" si="25"/>
        <v>4.2857142857144481E-3</v>
      </c>
    </row>
    <row r="35" spans="1:33" s="12" customFormat="1" ht="23.25" customHeight="1" x14ac:dyDescent="0.2">
      <c r="A35" s="30">
        <v>43642</v>
      </c>
      <c r="B35" s="31"/>
      <c r="C35" s="25" t="s">
        <v>38</v>
      </c>
      <c r="D35" s="25" t="s">
        <v>39</v>
      </c>
      <c r="E35" s="25" t="s">
        <v>40</v>
      </c>
      <c r="F35" s="26">
        <v>161480</v>
      </c>
      <c r="G35" s="48" t="s">
        <v>127</v>
      </c>
      <c r="H35" s="32"/>
      <c r="I35" s="32"/>
      <c r="J35" s="32"/>
      <c r="K35" s="32">
        <f>661.38+79.37</f>
        <v>740.75</v>
      </c>
      <c r="L35" s="33"/>
      <c r="M35" s="27">
        <f t="shared" si="0"/>
        <v>661.38392857142856</v>
      </c>
      <c r="N35" s="27">
        <f t="shared" si="1"/>
        <v>79.366071428571431</v>
      </c>
      <c r="O35" s="27">
        <f t="shared" si="21"/>
        <v>0</v>
      </c>
      <c r="P35" s="27">
        <v>661.38</v>
      </c>
      <c r="Q35" s="34"/>
      <c r="R35" s="34"/>
      <c r="S35" s="35"/>
      <c r="T35" s="35"/>
      <c r="U35" s="35"/>
      <c r="V35" s="35"/>
      <c r="W35" s="35"/>
      <c r="X35" s="35"/>
      <c r="Y35" s="34"/>
      <c r="Z35" s="34"/>
      <c r="AA35" s="34"/>
      <c r="AB35" s="35"/>
      <c r="AC35" s="35"/>
      <c r="AD35" s="35"/>
      <c r="AE35" s="34"/>
      <c r="AF35" s="27">
        <f t="shared" si="24"/>
        <v>-740.74607142857144</v>
      </c>
      <c r="AG35" s="28">
        <f t="shared" si="25"/>
        <v>3.9285714285597351E-3</v>
      </c>
    </row>
    <row r="36" spans="1:33" s="12" customFormat="1" ht="23.25" customHeight="1" x14ac:dyDescent="0.2">
      <c r="A36" s="30">
        <v>43642</v>
      </c>
      <c r="B36" s="31"/>
      <c r="C36" s="25" t="s">
        <v>38</v>
      </c>
      <c r="D36" s="25" t="s">
        <v>39</v>
      </c>
      <c r="E36" s="25" t="s">
        <v>40</v>
      </c>
      <c r="F36" s="26">
        <v>161480</v>
      </c>
      <c r="G36" s="48" t="s">
        <v>128</v>
      </c>
      <c r="H36" s="32"/>
      <c r="I36" s="32"/>
      <c r="J36" s="32">
        <v>250</v>
      </c>
      <c r="K36" s="32"/>
      <c r="L36" s="33"/>
      <c r="M36" s="27">
        <f t="shared" si="0"/>
        <v>250</v>
      </c>
      <c r="N36" s="27">
        <f t="shared" si="1"/>
        <v>0</v>
      </c>
      <c r="O36" s="27">
        <f t="shared" si="21"/>
        <v>0</v>
      </c>
      <c r="P36" s="27">
        <v>250</v>
      </c>
      <c r="Q36" s="34"/>
      <c r="R36" s="34"/>
      <c r="S36" s="35"/>
      <c r="T36" s="35"/>
      <c r="U36" s="35"/>
      <c r="V36" s="35"/>
      <c r="W36" s="35"/>
      <c r="X36" s="35"/>
      <c r="Y36" s="34"/>
      <c r="Z36" s="34"/>
      <c r="AA36" s="34"/>
      <c r="AB36" s="35"/>
      <c r="AC36" s="35"/>
      <c r="AD36" s="35"/>
      <c r="AE36" s="34"/>
      <c r="AF36" s="27">
        <f t="shared" si="24"/>
        <v>-250</v>
      </c>
      <c r="AG36" s="28">
        <f t="shared" si="25"/>
        <v>0</v>
      </c>
    </row>
    <row r="37" spans="1:33" s="12" customFormat="1" ht="23.25" customHeight="1" x14ac:dyDescent="0.2">
      <c r="A37" s="30">
        <v>43642</v>
      </c>
      <c r="B37" s="31"/>
      <c r="C37" s="25" t="s">
        <v>46</v>
      </c>
      <c r="D37" s="25" t="s">
        <v>47</v>
      </c>
      <c r="E37" s="25" t="s">
        <v>37</v>
      </c>
      <c r="F37" s="26">
        <v>36144</v>
      </c>
      <c r="G37" s="48" t="s">
        <v>129</v>
      </c>
      <c r="H37" s="32"/>
      <c r="I37" s="32"/>
      <c r="J37" s="32"/>
      <c r="K37" s="32">
        <v>172</v>
      </c>
      <c r="L37" s="33"/>
      <c r="M37" s="27">
        <f t="shared" si="0"/>
        <v>153.57142857142856</v>
      </c>
      <c r="N37" s="27">
        <f t="shared" si="1"/>
        <v>18.428571428571427</v>
      </c>
      <c r="O37" s="27">
        <f t="shared" si="21"/>
        <v>0</v>
      </c>
      <c r="P37" s="27">
        <v>153.57</v>
      </c>
      <c r="Q37" s="34"/>
      <c r="R37" s="34"/>
      <c r="S37" s="35"/>
      <c r="T37" s="35"/>
      <c r="U37" s="35"/>
      <c r="V37" s="35"/>
      <c r="W37" s="35"/>
      <c r="X37" s="35"/>
      <c r="Y37" s="34"/>
      <c r="Z37" s="34"/>
      <c r="AA37" s="34"/>
      <c r="AB37" s="35"/>
      <c r="AC37" s="35"/>
      <c r="AD37" s="35"/>
      <c r="AE37" s="34"/>
      <c r="AF37" s="27">
        <f t="shared" si="24"/>
        <v>-171.99857142857141</v>
      </c>
      <c r="AG37" s="28">
        <f t="shared" si="25"/>
        <v>1.4285714285904305E-3</v>
      </c>
    </row>
    <row r="38" spans="1:33" s="12" customFormat="1" ht="23.25" customHeight="1" x14ac:dyDescent="0.2">
      <c r="A38" s="30">
        <v>43642</v>
      </c>
      <c r="B38" s="31"/>
      <c r="C38" s="25" t="s">
        <v>54</v>
      </c>
      <c r="D38" s="25" t="s">
        <v>55</v>
      </c>
      <c r="E38" s="25" t="s">
        <v>57</v>
      </c>
      <c r="F38" s="26">
        <v>3229</v>
      </c>
      <c r="G38" s="48" t="s">
        <v>60</v>
      </c>
      <c r="H38" s="32"/>
      <c r="I38" s="32"/>
      <c r="J38" s="32">
        <v>880</v>
      </c>
      <c r="K38" s="32"/>
      <c r="L38" s="33"/>
      <c r="M38" s="27">
        <f t="shared" si="0"/>
        <v>880</v>
      </c>
      <c r="N38" s="27">
        <f t="shared" si="1"/>
        <v>0</v>
      </c>
      <c r="O38" s="27">
        <f t="shared" si="21"/>
        <v>0</v>
      </c>
      <c r="P38" s="27">
        <v>880</v>
      </c>
      <c r="Q38" s="34"/>
      <c r="R38" s="34"/>
      <c r="S38" s="35"/>
      <c r="T38" s="35"/>
      <c r="U38" s="35"/>
      <c r="V38" s="35"/>
      <c r="W38" s="35"/>
      <c r="X38" s="35"/>
      <c r="Y38" s="34"/>
      <c r="Z38" s="34"/>
      <c r="AA38" s="34"/>
      <c r="AB38" s="35"/>
      <c r="AC38" s="35"/>
      <c r="AD38" s="35"/>
      <c r="AE38" s="34"/>
      <c r="AF38" s="27">
        <f t="shared" si="24"/>
        <v>-880</v>
      </c>
      <c r="AG38" s="28">
        <f t="shared" si="25"/>
        <v>0</v>
      </c>
    </row>
    <row r="39" spans="1:33" s="12" customFormat="1" ht="23.25" customHeight="1" x14ac:dyDescent="0.2">
      <c r="A39" s="30">
        <v>43642</v>
      </c>
      <c r="B39" s="31"/>
      <c r="C39" s="25" t="s">
        <v>56</v>
      </c>
      <c r="D39" s="25"/>
      <c r="E39" s="25"/>
      <c r="F39" s="26"/>
      <c r="G39" s="48" t="s">
        <v>124</v>
      </c>
      <c r="H39" s="32">
        <v>100</v>
      </c>
      <c r="I39" s="32"/>
      <c r="J39" s="32"/>
      <c r="K39" s="32"/>
      <c r="L39" s="33"/>
      <c r="M39" s="27">
        <f t="shared" si="0"/>
        <v>100</v>
      </c>
      <c r="N39" s="27">
        <f t="shared" si="1"/>
        <v>0</v>
      </c>
      <c r="O39" s="27">
        <f t="shared" si="21"/>
        <v>0</v>
      </c>
      <c r="P39" s="27"/>
      <c r="Q39" s="34"/>
      <c r="R39" s="34"/>
      <c r="S39" s="35"/>
      <c r="T39" s="35"/>
      <c r="U39" s="35"/>
      <c r="V39" s="35"/>
      <c r="W39" s="35"/>
      <c r="X39" s="35"/>
      <c r="Y39" s="34"/>
      <c r="Z39" s="34"/>
      <c r="AA39" s="34">
        <v>100</v>
      </c>
      <c r="AB39" s="35"/>
      <c r="AC39" s="35"/>
      <c r="AD39" s="35"/>
      <c r="AE39" s="34"/>
      <c r="AF39" s="27">
        <f t="shared" si="24"/>
        <v>-100</v>
      </c>
      <c r="AG39" s="28">
        <f t="shared" si="25"/>
        <v>0</v>
      </c>
    </row>
    <row r="40" spans="1:33" s="12" customFormat="1" ht="23.25" customHeight="1" x14ac:dyDescent="0.2">
      <c r="A40" s="30"/>
      <c r="B40" s="31"/>
      <c r="C40" s="25"/>
      <c r="D40" s="25"/>
      <c r="E40" s="25"/>
      <c r="F40" s="26"/>
      <c r="G40" s="48"/>
      <c r="H40" s="32"/>
      <c r="I40" s="32"/>
      <c r="J40" s="32"/>
      <c r="K40" s="32"/>
      <c r="L40" s="33"/>
      <c r="M40" s="27"/>
      <c r="N40" s="27"/>
      <c r="O40" s="27"/>
      <c r="P40" s="27"/>
      <c r="Q40" s="34"/>
      <c r="R40" s="34"/>
      <c r="S40" s="35"/>
      <c r="T40" s="35"/>
      <c r="U40" s="35"/>
      <c r="V40" s="35"/>
      <c r="W40" s="35"/>
      <c r="X40" s="35"/>
      <c r="Y40" s="34"/>
      <c r="Z40" s="34"/>
      <c r="AA40" s="34"/>
      <c r="AB40" s="35"/>
      <c r="AC40" s="35"/>
      <c r="AD40" s="35"/>
      <c r="AE40" s="34"/>
      <c r="AF40" s="27"/>
      <c r="AG40" s="28"/>
    </row>
    <row r="41" spans="1:33" s="12" customFormat="1" ht="19.5" customHeight="1" x14ac:dyDescent="0.2">
      <c r="A41" s="30"/>
      <c r="B41" s="31"/>
      <c r="C41" s="36"/>
      <c r="D41" s="36"/>
      <c r="E41" s="36"/>
      <c r="F41" s="26"/>
      <c r="G41" s="29"/>
      <c r="H41" s="32"/>
      <c r="I41" s="32"/>
      <c r="J41" s="32"/>
      <c r="K41" s="32"/>
      <c r="L41" s="33"/>
      <c r="M41" s="27">
        <f t="shared" si="0"/>
        <v>0</v>
      </c>
      <c r="N41" s="27">
        <f t="shared" si="1"/>
        <v>0</v>
      </c>
      <c r="O41" s="34">
        <f>-SUM(I41:J41,K41/1.12)*L41</f>
        <v>0</v>
      </c>
      <c r="P41" s="34"/>
      <c r="Q41" s="34"/>
      <c r="R41" s="34"/>
      <c r="S41" s="34"/>
      <c r="T41" s="35"/>
      <c r="U41" s="35"/>
      <c r="V41" s="35"/>
      <c r="W41" s="35"/>
      <c r="X41" s="35"/>
      <c r="Y41" s="37"/>
      <c r="Z41" s="34"/>
      <c r="AA41" s="34"/>
      <c r="AB41" s="34"/>
      <c r="AC41" s="35"/>
      <c r="AD41" s="35"/>
      <c r="AE41" s="38"/>
      <c r="AF41" s="27">
        <f t="shared" ref="AF41" si="28">-SUM(N41:AE41)</f>
        <v>0</v>
      </c>
      <c r="AG41" s="28">
        <f t="shared" ref="AG41" si="29">SUM(H41:K41)+AF41+O41</f>
        <v>0</v>
      </c>
    </row>
    <row r="42" spans="1:33" s="10" customFormat="1" ht="12" customHeight="1" thickBot="1" x14ac:dyDescent="0.25">
      <c r="A42" s="39"/>
      <c r="B42" s="40"/>
      <c r="C42" s="41"/>
      <c r="D42" s="42"/>
      <c r="E42" s="42"/>
      <c r="F42" s="43"/>
      <c r="G42" s="41"/>
      <c r="H42" s="44">
        <f t="shared" ref="H42:AG42" si="30">SUM(H5:H41)</f>
        <v>1339</v>
      </c>
      <c r="I42" s="44">
        <f t="shared" si="30"/>
        <v>0</v>
      </c>
      <c r="J42" s="44">
        <f t="shared" si="30"/>
        <v>2295.85</v>
      </c>
      <c r="K42" s="44">
        <f t="shared" si="30"/>
        <v>12983.29</v>
      </c>
      <c r="L42" s="44">
        <f t="shared" si="30"/>
        <v>0</v>
      </c>
      <c r="M42" s="44">
        <f t="shared" si="30"/>
        <v>15227.07321428572</v>
      </c>
      <c r="N42" s="44">
        <f t="shared" si="30"/>
        <v>1391.0667857142848</v>
      </c>
      <c r="O42" s="44">
        <f t="shared" si="30"/>
        <v>0</v>
      </c>
      <c r="P42" s="44">
        <f t="shared" si="30"/>
        <v>7731.2699999999995</v>
      </c>
      <c r="Q42" s="44">
        <f t="shared" si="30"/>
        <v>3463.37</v>
      </c>
      <c r="R42" s="44">
        <f t="shared" si="30"/>
        <v>1160.71</v>
      </c>
      <c r="S42" s="44">
        <f t="shared" si="30"/>
        <v>1532.6799999999998</v>
      </c>
      <c r="T42" s="44">
        <f t="shared" si="30"/>
        <v>0</v>
      </c>
      <c r="U42" s="44">
        <f t="shared" si="30"/>
        <v>0</v>
      </c>
      <c r="V42" s="44">
        <f t="shared" si="30"/>
        <v>0</v>
      </c>
      <c r="W42" s="44">
        <f t="shared" si="30"/>
        <v>0</v>
      </c>
      <c r="X42" s="44">
        <f t="shared" si="30"/>
        <v>0</v>
      </c>
      <c r="Y42" s="44">
        <f t="shared" si="30"/>
        <v>0</v>
      </c>
      <c r="Z42" s="44">
        <f t="shared" si="30"/>
        <v>0</v>
      </c>
      <c r="AA42" s="44">
        <f t="shared" si="30"/>
        <v>265</v>
      </c>
      <c r="AB42" s="44">
        <f t="shared" si="30"/>
        <v>1074</v>
      </c>
      <c r="AC42" s="44">
        <f t="shared" si="30"/>
        <v>0</v>
      </c>
      <c r="AD42" s="44">
        <f t="shared" si="30"/>
        <v>0</v>
      </c>
      <c r="AE42" s="44">
        <f t="shared" si="30"/>
        <v>0</v>
      </c>
      <c r="AF42" s="44">
        <f t="shared" si="30"/>
        <v>-16618.09678571429</v>
      </c>
      <c r="AG42" s="44">
        <f t="shared" si="30"/>
        <v>4.3214285714832101E-2</v>
      </c>
    </row>
    <row r="43" spans="1:33" ht="12" customHeight="1" thickTop="1" x14ac:dyDescent="0.2"/>
    <row r="44" spans="1:33" ht="12" x14ac:dyDescent="0.2">
      <c r="K44" s="45">
        <f>H42+I42+J42+K42</f>
        <v>16618.14</v>
      </c>
      <c r="L44" s="9"/>
      <c r="M44" s="8"/>
      <c r="AF44" s="46">
        <f>+AF42</f>
        <v>-16618.09678571429</v>
      </c>
    </row>
    <row r="45" spans="1:33" x14ac:dyDescent="0.2">
      <c r="K45" s="8"/>
      <c r="L45" s="9"/>
      <c r="M45" s="8"/>
    </row>
    <row r="46" spans="1:33" ht="12" x14ac:dyDescent="0.2">
      <c r="C46" s="47" t="s">
        <v>33</v>
      </c>
      <c r="G46" s="10"/>
      <c r="K46" s="85"/>
      <c r="L46" s="85"/>
      <c r="M46" s="85"/>
    </row>
    <row r="47" spans="1:33" x14ac:dyDescent="0.2">
      <c r="K47" s="8"/>
      <c r="L47" s="9"/>
      <c r="M47" s="8"/>
    </row>
    <row r="48" spans="1:33" x14ac:dyDescent="0.2">
      <c r="K48" s="8"/>
      <c r="L48" s="9"/>
      <c r="M48" s="8"/>
    </row>
    <row r="49" spans="1:32" x14ac:dyDescent="0.2">
      <c r="A49" s="1"/>
      <c r="B49" s="1"/>
      <c r="D49" s="1"/>
      <c r="E49" s="1"/>
      <c r="F49" s="1"/>
      <c r="H49" s="1"/>
      <c r="I49" s="1"/>
      <c r="J49" s="1"/>
      <c r="K49" s="8"/>
      <c r="L49" s="9"/>
      <c r="M49" s="8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Z49" s="1"/>
      <c r="AA49" s="1"/>
      <c r="AB49" s="1"/>
      <c r="AC49" s="1"/>
      <c r="AD49" s="1"/>
      <c r="AE49" s="1"/>
      <c r="AF49" s="1"/>
    </row>
    <row r="56" spans="1:32" x14ac:dyDescent="0.2">
      <c r="Q56" s="2">
        <v>0</v>
      </c>
    </row>
    <row r="57" spans="1:32" x14ac:dyDescent="0.2">
      <c r="A57" s="1"/>
      <c r="B57" s="1"/>
      <c r="D57" s="1"/>
      <c r="E57" s="1"/>
      <c r="F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Z57" s="1"/>
      <c r="AA57" s="1"/>
      <c r="AB57" s="1"/>
      <c r="AC57" s="1"/>
      <c r="AD57" s="1"/>
      <c r="AE57" s="1"/>
      <c r="AF57" s="1"/>
    </row>
  </sheetData>
  <mergeCells count="1">
    <mergeCell ref="K46:M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62"/>
  <sheetViews>
    <sheetView workbookViewId="0">
      <selection activeCell="A5" sqref="A5:XFD11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5.85546875" style="1" customWidth="1"/>
    <col min="4" max="4" width="14" style="5" customWidth="1"/>
    <col min="5" max="5" width="28" style="5" customWidth="1"/>
    <col min="6" max="6" width="7.85546875" style="4" customWidth="1"/>
    <col min="7" max="7" width="32.140625" style="1" customWidth="1"/>
    <col min="8" max="8" width="8.7109375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6.5703125" style="3" customWidth="1"/>
    <col min="13" max="13" width="9.7109375" style="2" customWidth="1"/>
    <col min="14" max="14" width="8.5703125" style="2" customWidth="1"/>
    <col min="15" max="15" width="8" style="2" customWidth="1"/>
    <col min="16" max="16" width="9.85546875" style="2" customWidth="1"/>
    <col min="17" max="17" width="7.85546875" style="2" customWidth="1"/>
    <col min="18" max="18" width="10.710937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7.5703125" style="2" customWidth="1"/>
    <col min="28" max="28" width="8.28515625" style="2" customWidth="1"/>
    <col min="29" max="30" width="8" style="2" customWidth="1"/>
    <col min="31" max="31" width="10.140625" style="2" customWidth="1"/>
    <col min="32" max="32" width="10.28515625" style="2" customWidth="1"/>
    <col min="33" max="33" width="8.85546875" style="1" customWidth="1"/>
    <col min="34" max="16384" width="9.140625" style="1"/>
  </cols>
  <sheetData>
    <row r="1" spans="1:33" ht="12" customHeight="1" x14ac:dyDescent="0.2">
      <c r="A1" s="13" t="s">
        <v>30</v>
      </c>
      <c r="C1" s="14"/>
    </row>
    <row r="2" spans="1:33" ht="12" customHeight="1" x14ac:dyDescent="0.2">
      <c r="A2" s="13" t="s">
        <v>26</v>
      </c>
    </row>
    <row r="3" spans="1:33" ht="12" customHeight="1" x14ac:dyDescent="0.2">
      <c r="A3" s="13" t="s">
        <v>63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3.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 x14ac:dyDescent="0.2">
      <c r="A5" s="30">
        <v>43643</v>
      </c>
      <c r="B5" s="31"/>
      <c r="C5" s="25" t="s">
        <v>46</v>
      </c>
      <c r="D5" s="25" t="s">
        <v>47</v>
      </c>
      <c r="E5" s="25" t="s">
        <v>37</v>
      </c>
      <c r="F5" s="26">
        <v>36049</v>
      </c>
      <c r="G5" s="59" t="s">
        <v>134</v>
      </c>
      <c r="H5" s="32"/>
      <c r="I5" s="32"/>
      <c r="J5" s="32"/>
      <c r="K5" s="32">
        <v>398</v>
      </c>
      <c r="L5" s="33"/>
      <c r="M5" s="27">
        <f t="shared" ref="M5:M46" si="0">SUM(H5:J5,K5/1.12)</f>
        <v>355.35714285714283</v>
      </c>
      <c r="N5" s="27">
        <f t="shared" ref="N5:N46" si="1">K5/1.12*0.12</f>
        <v>42.642857142857139</v>
      </c>
      <c r="O5" s="27">
        <f t="shared" ref="O5:O23" si="2">-SUM(I5:J5,K5/1.12)*L5</f>
        <v>0</v>
      </c>
      <c r="P5" s="27"/>
      <c r="Q5" s="34">
        <v>355.36</v>
      </c>
      <c r="R5" s="34"/>
      <c r="S5" s="35"/>
      <c r="T5" s="35"/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:AF22" si="3">-SUM(N5:AE5)</f>
        <v>-398.00285714285712</v>
      </c>
      <c r="AG5" s="28">
        <f t="shared" ref="AG5:AG22" si="4">SUM(H5:K5)+AF5+O5</f>
        <v>-2.8571428571240176E-3</v>
      </c>
    </row>
    <row r="6" spans="1:33" s="12" customFormat="1" ht="24.75" customHeight="1" x14ac:dyDescent="0.2">
      <c r="A6" s="30">
        <v>43643</v>
      </c>
      <c r="B6" s="31"/>
      <c r="C6" s="25" t="s">
        <v>42</v>
      </c>
      <c r="D6" s="25" t="s">
        <v>43</v>
      </c>
      <c r="E6" s="25" t="s">
        <v>44</v>
      </c>
      <c r="F6" s="26">
        <v>75758</v>
      </c>
      <c r="G6" s="29" t="s">
        <v>45</v>
      </c>
      <c r="H6" s="32"/>
      <c r="I6" s="32"/>
      <c r="J6" s="32"/>
      <c r="K6" s="32">
        <v>180</v>
      </c>
      <c r="L6" s="33"/>
      <c r="M6" s="27">
        <f t="shared" si="0"/>
        <v>160.71428571428569</v>
      </c>
      <c r="N6" s="27">
        <f t="shared" si="1"/>
        <v>19.285714285714281</v>
      </c>
      <c r="O6" s="27">
        <f t="shared" si="2"/>
        <v>0</v>
      </c>
      <c r="P6" s="27"/>
      <c r="Q6" s="34">
        <v>160.71</v>
      </c>
      <c r="R6" s="34"/>
      <c r="S6" s="35"/>
      <c r="T6" s="35"/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si="3"/>
        <v>-179.99571428571429</v>
      </c>
      <c r="AG6" s="28">
        <f t="shared" si="4"/>
        <v>4.2857142857144481E-3</v>
      </c>
    </row>
    <row r="7" spans="1:33" s="12" customFormat="1" ht="23.25" customHeight="1" x14ac:dyDescent="0.2">
      <c r="A7" s="30">
        <v>43644</v>
      </c>
      <c r="B7" s="31"/>
      <c r="C7" s="25" t="s">
        <v>130</v>
      </c>
      <c r="D7" s="25"/>
      <c r="E7" s="25"/>
      <c r="F7" s="26"/>
      <c r="G7" s="59" t="s">
        <v>131</v>
      </c>
      <c r="H7" s="32">
        <v>268.5</v>
      </c>
      <c r="I7" s="32"/>
      <c r="J7" s="32"/>
      <c r="K7" s="32"/>
      <c r="L7" s="33"/>
      <c r="M7" s="27">
        <f t="shared" ref="M7:M8" si="5">SUM(H7:J7,K7/1.12)</f>
        <v>268.5</v>
      </c>
      <c r="N7" s="27">
        <f t="shared" ref="N7:N8" si="6">K7/1.12*0.12</f>
        <v>0</v>
      </c>
      <c r="O7" s="27">
        <f t="shared" ref="O7:O8" si="7">-SUM(I7:J7,K7/1.12)*L7</f>
        <v>0</v>
      </c>
      <c r="P7" s="27"/>
      <c r="Q7" s="34"/>
      <c r="R7" s="34"/>
      <c r="S7" s="35"/>
      <c r="T7" s="35"/>
      <c r="U7" s="35"/>
      <c r="V7" s="35"/>
      <c r="W7" s="35"/>
      <c r="X7" s="34"/>
      <c r="Y7" s="34"/>
      <c r="Z7" s="34"/>
      <c r="AA7" s="34"/>
      <c r="AB7" s="35">
        <v>268.5</v>
      </c>
      <c r="AC7" s="35"/>
      <c r="AD7" s="34"/>
      <c r="AE7" s="34"/>
      <c r="AF7" s="27">
        <f t="shared" ref="AF7:AF8" si="8">-SUM(N7:AE7)</f>
        <v>-268.5</v>
      </c>
      <c r="AG7" s="28">
        <f t="shared" ref="AG7:AG8" si="9">SUM(H7:K7)+AF7+O7</f>
        <v>0</v>
      </c>
    </row>
    <row r="8" spans="1:33" s="12" customFormat="1" ht="23.25" customHeight="1" x14ac:dyDescent="0.2">
      <c r="A8" s="30">
        <v>43644</v>
      </c>
      <c r="B8" s="31"/>
      <c r="C8" s="25" t="s">
        <v>132</v>
      </c>
      <c r="D8" s="25"/>
      <c r="E8" s="25"/>
      <c r="F8" s="26"/>
      <c r="G8" s="48" t="s">
        <v>133</v>
      </c>
      <c r="H8" s="32">
        <v>537</v>
      </c>
      <c r="I8" s="32"/>
      <c r="J8" s="32"/>
      <c r="K8" s="32"/>
      <c r="L8" s="33"/>
      <c r="M8" s="27">
        <f t="shared" si="5"/>
        <v>537</v>
      </c>
      <c r="N8" s="27">
        <f t="shared" si="6"/>
        <v>0</v>
      </c>
      <c r="O8" s="27">
        <f t="shared" si="7"/>
        <v>0</v>
      </c>
      <c r="P8" s="27"/>
      <c r="Q8" s="34"/>
      <c r="R8" s="34"/>
      <c r="S8" s="35"/>
      <c r="T8" s="35"/>
      <c r="U8" s="35"/>
      <c r="V8" s="35"/>
      <c r="W8" s="35"/>
      <c r="X8" s="34"/>
      <c r="Y8" s="34"/>
      <c r="Z8" s="34"/>
      <c r="AA8" s="34"/>
      <c r="AB8" s="35">
        <v>537</v>
      </c>
      <c r="AC8" s="35"/>
      <c r="AD8" s="34"/>
      <c r="AE8" s="34"/>
      <c r="AF8" s="27">
        <f t="shared" si="8"/>
        <v>-537</v>
      </c>
      <c r="AG8" s="28">
        <f t="shared" si="9"/>
        <v>0</v>
      </c>
    </row>
    <row r="9" spans="1:33" s="12" customFormat="1" ht="23.25" customHeight="1" x14ac:dyDescent="0.2">
      <c r="A9" s="30">
        <v>43644</v>
      </c>
      <c r="B9" s="31"/>
      <c r="C9" s="25" t="s">
        <v>38</v>
      </c>
      <c r="D9" s="25" t="s">
        <v>39</v>
      </c>
      <c r="E9" s="25" t="s">
        <v>40</v>
      </c>
      <c r="F9" s="26">
        <v>196404</v>
      </c>
      <c r="G9" s="25" t="s">
        <v>135</v>
      </c>
      <c r="H9" s="32"/>
      <c r="I9" s="32"/>
      <c r="J9" s="32"/>
      <c r="K9" s="32">
        <f>900.18+108.02</f>
        <v>1008.1999999999999</v>
      </c>
      <c r="L9" s="33"/>
      <c r="M9" s="27">
        <f t="shared" si="0"/>
        <v>900.17857142857133</v>
      </c>
      <c r="N9" s="27">
        <f t="shared" si="1"/>
        <v>108.02142857142856</v>
      </c>
      <c r="O9" s="27">
        <f t="shared" si="2"/>
        <v>0</v>
      </c>
      <c r="P9" s="27">
        <v>900.18</v>
      </c>
      <c r="Q9" s="34"/>
      <c r="R9" s="34"/>
      <c r="S9" s="35"/>
      <c r="T9" s="35"/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si="3"/>
        <v>-1008.2014285714286</v>
      </c>
      <c r="AG9" s="28">
        <f t="shared" si="4"/>
        <v>-1.4285714286188522E-3</v>
      </c>
    </row>
    <row r="10" spans="1:33" s="12" customFormat="1" ht="23.25" customHeight="1" x14ac:dyDescent="0.2">
      <c r="A10" s="30">
        <v>43644</v>
      </c>
      <c r="B10" s="31"/>
      <c r="C10" s="25" t="s">
        <v>38</v>
      </c>
      <c r="D10" s="25" t="s">
        <v>39</v>
      </c>
      <c r="E10" s="25" t="s">
        <v>40</v>
      </c>
      <c r="F10" s="26">
        <v>196404</v>
      </c>
      <c r="G10" s="48" t="s">
        <v>136</v>
      </c>
      <c r="H10" s="32"/>
      <c r="I10" s="32"/>
      <c r="J10" s="32">
        <v>183.5</v>
      </c>
      <c r="K10" s="32"/>
      <c r="L10" s="33"/>
      <c r="M10" s="27">
        <f t="shared" si="0"/>
        <v>183.5</v>
      </c>
      <c r="N10" s="27">
        <f t="shared" si="1"/>
        <v>0</v>
      </c>
      <c r="O10" s="27">
        <f t="shared" si="2"/>
        <v>0</v>
      </c>
      <c r="P10" s="27">
        <v>183.5</v>
      </c>
      <c r="Q10" s="34"/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si="3"/>
        <v>-183.5</v>
      </c>
      <c r="AG10" s="28">
        <f t="shared" si="4"/>
        <v>0</v>
      </c>
    </row>
    <row r="11" spans="1:33" s="12" customFormat="1" ht="24.75" customHeight="1" x14ac:dyDescent="0.2">
      <c r="A11" s="30">
        <v>43644</v>
      </c>
      <c r="B11" s="31"/>
      <c r="C11" s="25" t="s">
        <v>42</v>
      </c>
      <c r="D11" s="25" t="s">
        <v>43</v>
      </c>
      <c r="E11" s="25" t="s">
        <v>44</v>
      </c>
      <c r="F11" s="26">
        <v>185715</v>
      </c>
      <c r="G11" s="29" t="s">
        <v>45</v>
      </c>
      <c r="H11" s="32"/>
      <c r="I11" s="32"/>
      <c r="J11" s="32"/>
      <c r="K11" s="32">
        <v>180</v>
      </c>
      <c r="L11" s="33"/>
      <c r="M11" s="27">
        <f t="shared" ref="M11" si="10">SUM(H11:J11,K11/1.12)</f>
        <v>160.71428571428569</v>
      </c>
      <c r="N11" s="27">
        <f t="shared" ref="N11" si="11">K11/1.12*0.12</f>
        <v>19.285714285714281</v>
      </c>
      <c r="O11" s="27">
        <f t="shared" ref="O11" si="12">-SUM(I11:J11,K11/1.12)*L11</f>
        <v>0</v>
      </c>
      <c r="P11" s="27"/>
      <c r="Q11" s="34">
        <v>160.71</v>
      </c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ref="AF11" si="13">-SUM(N11:AE11)</f>
        <v>-179.99571428571429</v>
      </c>
      <c r="AG11" s="28">
        <f t="shared" ref="AG11" si="14">SUM(H11:K11)+AF11+O11</f>
        <v>4.2857142857144481E-3</v>
      </c>
    </row>
    <row r="12" spans="1:33" s="12" customFormat="1" ht="23.25" customHeight="1" x14ac:dyDescent="0.2">
      <c r="A12" s="30"/>
      <c r="B12" s="31"/>
      <c r="C12" s="25"/>
      <c r="D12" s="25"/>
      <c r="E12" s="25"/>
      <c r="F12" s="26"/>
      <c r="G12" s="48"/>
      <c r="H12" s="32"/>
      <c r="I12" s="32"/>
      <c r="J12" s="32"/>
      <c r="K12" s="32"/>
      <c r="L12" s="33"/>
      <c r="M12" s="27">
        <f t="shared" si="0"/>
        <v>0</v>
      </c>
      <c r="N12" s="27">
        <f t="shared" si="1"/>
        <v>0</v>
      </c>
      <c r="O12" s="27">
        <f t="shared" si="2"/>
        <v>0</v>
      </c>
      <c r="P12" s="27"/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ref="AF12" si="15">-SUM(N12:AE12)</f>
        <v>0</v>
      </c>
      <c r="AG12" s="28">
        <f t="shared" ref="AG12" si="16">SUM(H12:K12)+AF12+O12</f>
        <v>0</v>
      </c>
    </row>
    <row r="13" spans="1:33" s="12" customFormat="1" ht="23.25" customHeight="1" x14ac:dyDescent="0.2">
      <c r="A13" s="30"/>
      <c r="B13" s="31"/>
      <c r="C13" s="25"/>
      <c r="D13" s="25"/>
      <c r="E13" s="25"/>
      <c r="F13" s="26"/>
      <c r="G13" s="48"/>
      <c r="H13" s="32"/>
      <c r="I13" s="32"/>
      <c r="J13" s="32"/>
      <c r="K13" s="32"/>
      <c r="L13" s="33"/>
      <c r="M13" s="27">
        <f t="shared" si="0"/>
        <v>0</v>
      </c>
      <c r="N13" s="27">
        <f t="shared" si="1"/>
        <v>0</v>
      </c>
      <c r="O13" s="27">
        <f t="shared" si="2"/>
        <v>0</v>
      </c>
      <c r="P13" s="27"/>
      <c r="Q13" s="34"/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3"/>
        <v>0</v>
      </c>
      <c r="AG13" s="28">
        <f t="shared" si="4"/>
        <v>0</v>
      </c>
    </row>
    <row r="14" spans="1:33" s="12" customFormat="1" ht="23.25" customHeight="1" x14ac:dyDescent="0.2">
      <c r="A14" s="30"/>
      <c r="B14" s="31"/>
      <c r="C14" s="25"/>
      <c r="D14" s="25"/>
      <c r="E14" s="25"/>
      <c r="F14" s="26"/>
      <c r="G14" s="48"/>
      <c r="H14" s="32"/>
      <c r="I14" s="32"/>
      <c r="J14" s="32"/>
      <c r="K14" s="32"/>
      <c r="L14" s="33"/>
      <c r="M14" s="27">
        <f t="shared" si="0"/>
        <v>0</v>
      </c>
      <c r="N14" s="27">
        <f t="shared" si="1"/>
        <v>0</v>
      </c>
      <c r="O14" s="27">
        <f t="shared" si="2"/>
        <v>0</v>
      </c>
      <c r="P14" s="27"/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si="3"/>
        <v>0</v>
      </c>
      <c r="AG14" s="28">
        <f t="shared" si="4"/>
        <v>0</v>
      </c>
    </row>
    <row r="15" spans="1:33" s="12" customFormat="1" ht="23.25" customHeight="1" x14ac:dyDescent="0.2">
      <c r="A15" s="30"/>
      <c r="B15" s="31"/>
      <c r="C15" s="25"/>
      <c r="D15" s="25"/>
      <c r="E15" s="25"/>
      <c r="F15" s="26"/>
      <c r="G15" s="48"/>
      <c r="H15" s="32"/>
      <c r="I15" s="32"/>
      <c r="J15" s="32"/>
      <c r="K15" s="32"/>
      <c r="L15" s="33"/>
      <c r="M15" s="27">
        <f t="shared" si="0"/>
        <v>0</v>
      </c>
      <c r="N15" s="27">
        <f t="shared" si="1"/>
        <v>0</v>
      </c>
      <c r="O15" s="27">
        <f t="shared" si="2"/>
        <v>0</v>
      </c>
      <c r="P15" s="27"/>
      <c r="Q15" s="34"/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si="3"/>
        <v>0</v>
      </c>
      <c r="AG15" s="28">
        <f t="shared" si="4"/>
        <v>0</v>
      </c>
    </row>
    <row r="16" spans="1:33" s="12" customFormat="1" ht="23.25" customHeight="1" x14ac:dyDescent="0.2">
      <c r="A16" s="30"/>
      <c r="B16" s="31"/>
      <c r="C16" s="25"/>
      <c r="D16" s="25"/>
      <c r="E16" s="25"/>
      <c r="F16" s="26"/>
      <c r="G16" s="48"/>
      <c r="H16" s="32"/>
      <c r="I16" s="32"/>
      <c r="J16" s="32"/>
      <c r="K16" s="32"/>
      <c r="L16" s="33"/>
      <c r="M16" s="27">
        <f t="shared" si="0"/>
        <v>0</v>
      </c>
      <c r="N16" s="27">
        <f t="shared" si="1"/>
        <v>0</v>
      </c>
      <c r="O16" s="27">
        <f t="shared" si="2"/>
        <v>0</v>
      </c>
      <c r="P16" s="27"/>
      <c r="Q16" s="34"/>
      <c r="R16" s="34"/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si="3"/>
        <v>0</v>
      </c>
      <c r="AG16" s="28">
        <f t="shared" si="4"/>
        <v>0</v>
      </c>
    </row>
    <row r="17" spans="1:33" s="12" customFormat="1" ht="23.25" customHeight="1" x14ac:dyDescent="0.2">
      <c r="A17" s="30"/>
      <c r="B17" s="31"/>
      <c r="C17" s="25"/>
      <c r="D17" s="25"/>
      <c r="E17" s="25"/>
      <c r="F17" s="26"/>
      <c r="G17" s="48"/>
      <c r="H17" s="32"/>
      <c r="I17" s="32"/>
      <c r="J17" s="32"/>
      <c r="K17" s="32"/>
      <c r="L17" s="33"/>
      <c r="M17" s="27">
        <f t="shared" si="0"/>
        <v>0</v>
      </c>
      <c r="N17" s="27">
        <f t="shared" si="1"/>
        <v>0</v>
      </c>
      <c r="O17" s="27">
        <f t="shared" si="2"/>
        <v>0</v>
      </c>
      <c r="P17" s="27"/>
      <c r="Q17" s="34"/>
      <c r="R17" s="34"/>
      <c r="S17" s="35"/>
      <c r="T17" s="35"/>
      <c r="U17" s="35"/>
      <c r="V17" s="35"/>
      <c r="W17" s="35"/>
      <c r="X17" s="34"/>
      <c r="Y17" s="34"/>
      <c r="Z17" s="34"/>
      <c r="AA17" s="34"/>
      <c r="AB17" s="35"/>
      <c r="AC17" s="35"/>
      <c r="AD17" s="34"/>
      <c r="AE17" s="34"/>
      <c r="AF17" s="27">
        <f t="shared" si="3"/>
        <v>0</v>
      </c>
      <c r="AG17" s="28">
        <f t="shared" si="4"/>
        <v>0</v>
      </c>
    </row>
    <row r="18" spans="1:33" s="12" customFormat="1" ht="23.25" customHeight="1" x14ac:dyDescent="0.2">
      <c r="A18" s="30"/>
      <c r="B18" s="31"/>
      <c r="C18" s="25"/>
      <c r="D18" s="25"/>
      <c r="E18" s="25"/>
      <c r="F18" s="26"/>
      <c r="G18" s="48"/>
      <c r="H18" s="32"/>
      <c r="I18" s="32"/>
      <c r="J18" s="32"/>
      <c r="K18" s="32"/>
      <c r="L18" s="33"/>
      <c r="M18" s="27">
        <f t="shared" si="0"/>
        <v>0</v>
      </c>
      <c r="N18" s="27">
        <f t="shared" si="1"/>
        <v>0</v>
      </c>
      <c r="O18" s="27">
        <f t="shared" si="2"/>
        <v>0</v>
      </c>
      <c r="P18" s="27"/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ref="AF18" si="17">-SUM(N18:AE18)</f>
        <v>0</v>
      </c>
      <c r="AG18" s="28">
        <f t="shared" ref="AG18" si="18">SUM(H18:K18)+AF18+O18</f>
        <v>0</v>
      </c>
    </row>
    <row r="19" spans="1:33" s="12" customFormat="1" ht="23.25" customHeight="1" x14ac:dyDescent="0.2">
      <c r="A19" s="30"/>
      <c r="B19" s="31"/>
      <c r="C19" s="25"/>
      <c r="D19" s="25"/>
      <c r="E19" s="25"/>
      <c r="F19" s="26"/>
      <c r="G19" s="48"/>
      <c r="H19" s="32"/>
      <c r="I19" s="32"/>
      <c r="J19" s="32"/>
      <c r="K19" s="32"/>
      <c r="L19" s="33"/>
      <c r="M19" s="27">
        <f t="shared" si="0"/>
        <v>0</v>
      </c>
      <c r="N19" s="27">
        <f t="shared" si="1"/>
        <v>0</v>
      </c>
      <c r="O19" s="27">
        <f t="shared" si="2"/>
        <v>0</v>
      </c>
      <c r="P19" s="27"/>
      <c r="Q19" s="34"/>
      <c r="R19" s="34"/>
      <c r="S19" s="35"/>
      <c r="T19" s="35"/>
      <c r="U19" s="35"/>
      <c r="V19" s="35"/>
      <c r="W19" s="35"/>
      <c r="X19" s="34"/>
      <c r="Y19" s="34"/>
      <c r="Z19" s="34"/>
      <c r="AA19" s="34"/>
      <c r="AB19" s="35"/>
      <c r="AC19" s="35"/>
      <c r="AD19" s="34"/>
      <c r="AE19" s="34"/>
      <c r="AF19" s="27">
        <f t="shared" si="3"/>
        <v>0</v>
      </c>
      <c r="AG19" s="28">
        <f t="shared" si="4"/>
        <v>0</v>
      </c>
    </row>
    <row r="20" spans="1:33" s="12" customFormat="1" ht="23.25" customHeight="1" x14ac:dyDescent="0.2">
      <c r="A20" s="30"/>
      <c r="B20" s="31"/>
      <c r="C20" s="25"/>
      <c r="D20" s="25"/>
      <c r="E20" s="25"/>
      <c r="F20" s="26"/>
      <c r="G20" s="48"/>
      <c r="H20" s="32"/>
      <c r="I20" s="32"/>
      <c r="J20" s="32"/>
      <c r="K20" s="32"/>
      <c r="L20" s="33"/>
      <c r="M20" s="27">
        <f t="shared" si="0"/>
        <v>0</v>
      </c>
      <c r="N20" s="27">
        <f t="shared" si="1"/>
        <v>0</v>
      </c>
      <c r="O20" s="27">
        <f t="shared" si="2"/>
        <v>0</v>
      </c>
      <c r="P20" s="27"/>
      <c r="Q20" s="34"/>
      <c r="R20" s="34"/>
      <c r="S20" s="35"/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si="3"/>
        <v>0</v>
      </c>
      <c r="AG20" s="28">
        <f t="shared" si="4"/>
        <v>0</v>
      </c>
    </row>
    <row r="21" spans="1:33" s="12" customFormat="1" ht="22.5" customHeight="1" x14ac:dyDescent="0.2">
      <c r="A21" s="30"/>
      <c r="B21" s="31"/>
      <c r="C21" s="25"/>
      <c r="D21" s="25"/>
      <c r="E21" s="25"/>
      <c r="F21" s="26"/>
      <c r="G21" s="48"/>
      <c r="H21" s="32"/>
      <c r="I21" s="32"/>
      <c r="J21" s="32"/>
      <c r="K21" s="32"/>
      <c r="L21" s="33"/>
      <c r="M21" s="27">
        <f t="shared" si="0"/>
        <v>0</v>
      </c>
      <c r="N21" s="27">
        <f t="shared" si="1"/>
        <v>0</v>
      </c>
      <c r="O21" s="27">
        <f t="shared" si="2"/>
        <v>0</v>
      </c>
      <c r="P21" s="27"/>
      <c r="Q21" s="34"/>
      <c r="R21" s="34"/>
      <c r="S21" s="35"/>
      <c r="T21" s="35"/>
      <c r="U21" s="35"/>
      <c r="V21" s="35"/>
      <c r="W21" s="35"/>
      <c r="X21" s="34"/>
      <c r="Y21" s="34"/>
      <c r="Z21" s="34"/>
      <c r="AA21" s="34"/>
      <c r="AB21" s="35"/>
      <c r="AC21" s="35"/>
      <c r="AD21" s="34"/>
      <c r="AE21" s="34"/>
      <c r="AF21" s="27">
        <f t="shared" si="3"/>
        <v>0</v>
      </c>
      <c r="AG21" s="28">
        <f t="shared" si="4"/>
        <v>0</v>
      </c>
    </row>
    <row r="22" spans="1:33" s="12" customFormat="1" ht="22.5" customHeight="1" x14ac:dyDescent="0.2">
      <c r="A22" s="30"/>
      <c r="B22" s="31"/>
      <c r="C22" s="25"/>
      <c r="D22" s="25"/>
      <c r="E22" s="25"/>
      <c r="F22" s="26"/>
      <c r="G22" s="48"/>
      <c r="H22" s="32"/>
      <c r="I22" s="32"/>
      <c r="J22" s="32"/>
      <c r="K22" s="32"/>
      <c r="L22" s="33"/>
      <c r="M22" s="27">
        <f t="shared" si="0"/>
        <v>0</v>
      </c>
      <c r="N22" s="27">
        <f t="shared" si="1"/>
        <v>0</v>
      </c>
      <c r="O22" s="27">
        <f t="shared" si="2"/>
        <v>0</v>
      </c>
      <c r="P22" s="27"/>
      <c r="Q22" s="34"/>
      <c r="R22" s="34"/>
      <c r="S22" s="35"/>
      <c r="T22" s="35"/>
      <c r="U22" s="35"/>
      <c r="V22" s="35"/>
      <c r="W22" s="35"/>
      <c r="X22" s="34"/>
      <c r="Y22" s="34"/>
      <c r="Z22" s="34"/>
      <c r="AA22" s="34"/>
      <c r="AB22" s="35"/>
      <c r="AC22" s="35"/>
      <c r="AD22" s="34"/>
      <c r="AE22" s="34"/>
      <c r="AF22" s="27">
        <f t="shared" si="3"/>
        <v>0</v>
      </c>
      <c r="AG22" s="28">
        <f t="shared" si="4"/>
        <v>0</v>
      </c>
    </row>
    <row r="23" spans="1:33" s="12" customFormat="1" ht="23.25" customHeight="1" x14ac:dyDescent="0.2">
      <c r="A23" s="30"/>
      <c r="B23" s="31"/>
      <c r="C23" s="25"/>
      <c r="D23" s="25"/>
      <c r="E23" s="25"/>
      <c r="F23" s="26"/>
      <c r="G23" s="29"/>
      <c r="H23" s="32"/>
      <c r="I23" s="32"/>
      <c r="J23" s="32"/>
      <c r="K23" s="32"/>
      <c r="L23" s="33"/>
      <c r="M23" s="27">
        <f t="shared" si="0"/>
        <v>0</v>
      </c>
      <c r="N23" s="27">
        <f t="shared" si="1"/>
        <v>0</v>
      </c>
      <c r="O23" s="27">
        <f t="shared" si="2"/>
        <v>0</v>
      </c>
      <c r="P23" s="27"/>
      <c r="Q23" s="34"/>
      <c r="R23" s="34"/>
      <c r="S23" s="35"/>
      <c r="T23" s="35"/>
      <c r="U23" s="35"/>
      <c r="V23" s="35"/>
      <c r="W23" s="35"/>
      <c r="X23" s="34"/>
      <c r="Y23" s="34"/>
      <c r="Z23" s="34"/>
      <c r="AA23" s="34"/>
      <c r="AB23" s="35"/>
      <c r="AC23" s="35"/>
      <c r="AD23" s="34"/>
      <c r="AE23" s="34"/>
      <c r="AF23" s="27">
        <f t="shared" ref="AF23" si="19">-SUM(N23:AE23)</f>
        <v>0</v>
      </c>
      <c r="AG23" s="28">
        <f t="shared" ref="AG23" si="20">SUM(H23:K23)+AF23+O23</f>
        <v>0</v>
      </c>
    </row>
    <row r="24" spans="1:33" s="12" customFormat="1" ht="23.25" customHeight="1" x14ac:dyDescent="0.2">
      <c r="A24" s="30"/>
      <c r="B24" s="31"/>
      <c r="C24" s="25"/>
      <c r="D24" s="25"/>
      <c r="E24" s="25"/>
      <c r="F24" s="26"/>
      <c r="G24" s="48"/>
      <c r="H24" s="32"/>
      <c r="I24" s="32"/>
      <c r="J24" s="32"/>
      <c r="K24" s="32"/>
      <c r="L24" s="33"/>
      <c r="M24" s="27">
        <f t="shared" si="0"/>
        <v>0</v>
      </c>
      <c r="N24" s="27">
        <f t="shared" si="1"/>
        <v>0</v>
      </c>
      <c r="O24" s="27"/>
      <c r="P24" s="27"/>
      <c r="Q24" s="34"/>
      <c r="R24" s="34"/>
      <c r="S24" s="35"/>
      <c r="T24" s="35"/>
      <c r="U24" s="35"/>
      <c r="V24" s="35"/>
      <c r="W24" s="35"/>
      <c r="X24" s="34"/>
      <c r="Y24" s="34"/>
      <c r="Z24" s="34"/>
      <c r="AA24" s="34"/>
      <c r="AB24" s="35"/>
      <c r="AC24" s="35"/>
      <c r="AD24" s="34"/>
      <c r="AE24" s="34"/>
      <c r="AF24" s="27">
        <f t="shared" ref="AF24:AF45" si="21">-SUM(N24:AE24)</f>
        <v>0</v>
      </c>
      <c r="AG24" s="28">
        <f t="shared" ref="AG24:AG45" si="22">SUM(H24:K24)+AF24+O24</f>
        <v>0</v>
      </c>
    </row>
    <row r="25" spans="1:33" s="12" customFormat="1" ht="23.25" customHeight="1" x14ac:dyDescent="0.2">
      <c r="A25" s="30"/>
      <c r="B25" s="31"/>
      <c r="C25" s="25"/>
      <c r="D25" s="25"/>
      <c r="E25" s="25"/>
      <c r="F25" s="26"/>
      <c r="G25" s="48"/>
      <c r="H25" s="32"/>
      <c r="I25" s="32"/>
      <c r="J25" s="32"/>
      <c r="K25" s="32"/>
      <c r="L25" s="33"/>
      <c r="M25" s="27">
        <f t="shared" si="0"/>
        <v>0</v>
      </c>
      <c r="N25" s="27">
        <f t="shared" si="1"/>
        <v>0</v>
      </c>
      <c r="O25" s="27"/>
      <c r="P25" s="27"/>
      <c r="Q25" s="34"/>
      <c r="R25" s="34"/>
      <c r="S25" s="35"/>
      <c r="T25" s="35"/>
      <c r="U25" s="35"/>
      <c r="V25" s="35"/>
      <c r="W25" s="35"/>
      <c r="X25" s="34"/>
      <c r="Y25" s="34"/>
      <c r="Z25" s="34"/>
      <c r="AA25" s="34"/>
      <c r="AB25" s="35"/>
      <c r="AC25" s="35"/>
      <c r="AD25" s="34"/>
      <c r="AE25" s="34"/>
      <c r="AF25" s="27">
        <f t="shared" si="21"/>
        <v>0</v>
      </c>
      <c r="AG25" s="28">
        <f t="shared" si="22"/>
        <v>0</v>
      </c>
    </row>
    <row r="26" spans="1:33" s="12" customFormat="1" ht="23.25" customHeight="1" x14ac:dyDescent="0.2">
      <c r="A26" s="30"/>
      <c r="B26" s="31"/>
      <c r="C26" s="25"/>
      <c r="D26" s="25"/>
      <c r="E26" s="25"/>
      <c r="F26" s="26"/>
      <c r="G26" s="48"/>
      <c r="H26" s="32"/>
      <c r="I26" s="32"/>
      <c r="J26" s="32"/>
      <c r="K26" s="32"/>
      <c r="L26" s="33"/>
      <c r="M26" s="27">
        <f t="shared" si="0"/>
        <v>0</v>
      </c>
      <c r="N26" s="27">
        <f t="shared" si="1"/>
        <v>0</v>
      </c>
      <c r="O26" s="27"/>
      <c r="P26" s="27"/>
      <c r="Q26" s="34"/>
      <c r="R26" s="34"/>
      <c r="S26" s="35"/>
      <c r="T26" s="35"/>
      <c r="U26" s="35"/>
      <c r="V26" s="35"/>
      <c r="W26" s="35"/>
      <c r="X26" s="34"/>
      <c r="Y26" s="34"/>
      <c r="Z26" s="34"/>
      <c r="AA26" s="34"/>
      <c r="AB26" s="35"/>
      <c r="AC26" s="35"/>
      <c r="AD26" s="34"/>
      <c r="AE26" s="34"/>
      <c r="AF26" s="27">
        <f t="shared" si="21"/>
        <v>0</v>
      </c>
      <c r="AG26" s="28">
        <f t="shared" si="22"/>
        <v>0</v>
      </c>
    </row>
    <row r="27" spans="1:33" s="12" customFormat="1" ht="23.25" customHeight="1" x14ac:dyDescent="0.2">
      <c r="A27" s="30"/>
      <c r="B27" s="31"/>
      <c r="C27" s="25"/>
      <c r="D27" s="25"/>
      <c r="E27" s="25"/>
      <c r="F27" s="26"/>
      <c r="G27" s="48"/>
      <c r="H27" s="32"/>
      <c r="I27" s="32"/>
      <c r="J27" s="32"/>
      <c r="K27" s="32"/>
      <c r="L27" s="33"/>
      <c r="M27" s="27">
        <f t="shared" si="0"/>
        <v>0</v>
      </c>
      <c r="N27" s="27">
        <f t="shared" si="1"/>
        <v>0</v>
      </c>
      <c r="O27" s="27"/>
      <c r="P27" s="27"/>
      <c r="Q27" s="34"/>
      <c r="R27" s="34"/>
      <c r="S27" s="35"/>
      <c r="T27" s="35"/>
      <c r="U27" s="35"/>
      <c r="V27" s="35"/>
      <c r="W27" s="35"/>
      <c r="X27" s="34"/>
      <c r="Y27" s="34"/>
      <c r="Z27" s="34"/>
      <c r="AA27" s="34"/>
      <c r="AB27" s="35"/>
      <c r="AC27" s="35"/>
      <c r="AD27" s="34"/>
      <c r="AE27" s="34"/>
      <c r="AF27" s="27">
        <f t="shared" si="21"/>
        <v>0</v>
      </c>
      <c r="AG27" s="28">
        <f t="shared" si="22"/>
        <v>0</v>
      </c>
    </row>
    <row r="28" spans="1:33" s="12" customFormat="1" ht="23.25" customHeight="1" x14ac:dyDescent="0.2">
      <c r="A28" s="30"/>
      <c r="B28" s="31"/>
      <c r="C28" s="25"/>
      <c r="D28" s="25"/>
      <c r="E28" s="25"/>
      <c r="F28" s="26"/>
      <c r="G28" s="48"/>
      <c r="H28" s="32"/>
      <c r="I28" s="32"/>
      <c r="J28" s="32"/>
      <c r="K28" s="32"/>
      <c r="L28" s="33"/>
      <c r="M28" s="27">
        <f t="shared" si="0"/>
        <v>0</v>
      </c>
      <c r="N28" s="27">
        <f t="shared" si="1"/>
        <v>0</v>
      </c>
      <c r="O28" s="27"/>
      <c r="P28" s="27"/>
      <c r="Q28" s="34"/>
      <c r="R28" s="34"/>
      <c r="S28" s="35"/>
      <c r="T28" s="35"/>
      <c r="U28" s="35"/>
      <c r="V28" s="35"/>
      <c r="W28" s="35"/>
      <c r="X28" s="34"/>
      <c r="Y28" s="34"/>
      <c r="Z28" s="34"/>
      <c r="AA28" s="34"/>
      <c r="AB28" s="35"/>
      <c r="AC28" s="35"/>
      <c r="AD28" s="34"/>
      <c r="AE28" s="34"/>
      <c r="AF28" s="27">
        <f t="shared" si="21"/>
        <v>0</v>
      </c>
      <c r="AG28" s="28">
        <f t="shared" si="22"/>
        <v>0</v>
      </c>
    </row>
    <row r="29" spans="1:33" s="12" customFormat="1" ht="23.25" customHeight="1" x14ac:dyDescent="0.2">
      <c r="A29" s="30"/>
      <c r="B29" s="31"/>
      <c r="C29" s="25"/>
      <c r="D29" s="25"/>
      <c r="E29" s="25"/>
      <c r="F29" s="26"/>
      <c r="G29" s="48"/>
      <c r="H29" s="32"/>
      <c r="I29" s="32"/>
      <c r="J29" s="32"/>
      <c r="K29" s="32"/>
      <c r="L29" s="33"/>
      <c r="M29" s="27">
        <f t="shared" si="0"/>
        <v>0</v>
      </c>
      <c r="N29" s="27">
        <f t="shared" si="1"/>
        <v>0</v>
      </c>
      <c r="O29" s="27"/>
      <c r="P29" s="27"/>
      <c r="Q29" s="34"/>
      <c r="R29" s="34"/>
      <c r="S29" s="35"/>
      <c r="T29" s="35"/>
      <c r="U29" s="35"/>
      <c r="V29" s="35"/>
      <c r="W29" s="35"/>
      <c r="X29" s="34"/>
      <c r="Y29" s="34"/>
      <c r="Z29" s="34"/>
      <c r="AA29" s="34"/>
      <c r="AB29" s="35"/>
      <c r="AC29" s="35"/>
      <c r="AD29" s="34"/>
      <c r="AE29" s="34"/>
      <c r="AF29" s="27">
        <f t="shared" si="21"/>
        <v>0</v>
      </c>
      <c r="AG29" s="28">
        <f t="shared" si="22"/>
        <v>0</v>
      </c>
    </row>
    <row r="30" spans="1:33" s="12" customFormat="1" ht="23.25" customHeight="1" x14ac:dyDescent="0.2">
      <c r="A30" s="30"/>
      <c r="B30" s="31"/>
      <c r="C30" s="25"/>
      <c r="D30" s="25"/>
      <c r="E30" s="25"/>
      <c r="F30" s="26"/>
      <c r="G30" s="48"/>
      <c r="H30" s="32"/>
      <c r="I30" s="32"/>
      <c r="J30" s="32"/>
      <c r="K30" s="32"/>
      <c r="L30" s="33"/>
      <c r="M30" s="27">
        <f t="shared" si="0"/>
        <v>0</v>
      </c>
      <c r="N30" s="27">
        <f t="shared" si="1"/>
        <v>0</v>
      </c>
      <c r="O30" s="27">
        <f t="shared" ref="O30" si="23">-SUM(I30:J30,K30/1.12)*L30</f>
        <v>0</v>
      </c>
      <c r="P30" s="27"/>
      <c r="Q30" s="34"/>
      <c r="R30" s="34"/>
      <c r="S30" s="35"/>
      <c r="T30" s="35"/>
      <c r="U30" s="35"/>
      <c r="V30" s="35"/>
      <c r="W30" s="35"/>
      <c r="X30" s="34"/>
      <c r="Y30" s="34"/>
      <c r="Z30" s="34"/>
      <c r="AA30" s="34"/>
      <c r="AB30" s="35"/>
      <c r="AC30" s="35"/>
      <c r="AD30" s="34"/>
      <c r="AE30" s="34"/>
      <c r="AF30" s="27">
        <f t="shared" si="21"/>
        <v>0</v>
      </c>
      <c r="AG30" s="28">
        <f t="shared" si="22"/>
        <v>0</v>
      </c>
    </row>
    <row r="31" spans="1:33" s="12" customFormat="1" ht="23.25" customHeight="1" x14ac:dyDescent="0.2">
      <c r="A31" s="30"/>
      <c r="B31" s="31"/>
      <c r="C31" s="25"/>
      <c r="D31" s="25"/>
      <c r="E31" s="25"/>
      <c r="F31" s="26"/>
      <c r="G31" s="48"/>
      <c r="H31" s="32"/>
      <c r="I31" s="32"/>
      <c r="J31" s="32"/>
      <c r="K31" s="32"/>
      <c r="L31" s="33"/>
      <c r="M31" s="27">
        <f t="shared" si="0"/>
        <v>0</v>
      </c>
      <c r="N31" s="27">
        <f t="shared" si="1"/>
        <v>0</v>
      </c>
      <c r="O31" s="27"/>
      <c r="P31" s="27"/>
      <c r="Q31" s="34"/>
      <c r="R31" s="34"/>
      <c r="S31" s="35"/>
      <c r="T31" s="35"/>
      <c r="U31" s="35"/>
      <c r="V31" s="35"/>
      <c r="W31" s="35"/>
      <c r="X31" s="34"/>
      <c r="Y31" s="34"/>
      <c r="Z31" s="34"/>
      <c r="AA31" s="34"/>
      <c r="AB31" s="35"/>
      <c r="AC31" s="35"/>
      <c r="AD31" s="34"/>
      <c r="AE31" s="34"/>
      <c r="AF31" s="27">
        <f t="shared" si="21"/>
        <v>0</v>
      </c>
      <c r="AG31" s="28">
        <f t="shared" si="22"/>
        <v>0</v>
      </c>
    </row>
    <row r="32" spans="1:33" s="12" customFormat="1" ht="23.25" customHeight="1" x14ac:dyDescent="0.2">
      <c r="A32" s="30"/>
      <c r="B32" s="31"/>
      <c r="C32" s="25"/>
      <c r="D32" s="25"/>
      <c r="E32" s="25"/>
      <c r="F32" s="26"/>
      <c r="G32" s="48"/>
      <c r="H32" s="32"/>
      <c r="I32" s="32"/>
      <c r="J32" s="32"/>
      <c r="K32" s="32"/>
      <c r="L32" s="33"/>
      <c r="M32" s="27">
        <f t="shared" si="0"/>
        <v>0</v>
      </c>
      <c r="N32" s="27">
        <f t="shared" si="1"/>
        <v>0</v>
      </c>
      <c r="O32" s="27"/>
      <c r="P32" s="27"/>
      <c r="Q32" s="34"/>
      <c r="R32" s="34"/>
      <c r="S32" s="35"/>
      <c r="T32" s="35"/>
      <c r="U32" s="35"/>
      <c r="V32" s="35"/>
      <c r="W32" s="35"/>
      <c r="X32" s="34"/>
      <c r="Y32" s="34"/>
      <c r="Z32" s="34"/>
      <c r="AA32" s="34"/>
      <c r="AB32" s="35"/>
      <c r="AC32" s="35"/>
      <c r="AD32" s="34"/>
      <c r="AE32" s="34"/>
      <c r="AF32" s="27">
        <f t="shared" si="21"/>
        <v>0</v>
      </c>
      <c r="AG32" s="28">
        <f t="shared" si="22"/>
        <v>0</v>
      </c>
    </row>
    <row r="33" spans="1:33" s="12" customFormat="1" ht="23.25" customHeight="1" x14ac:dyDescent="0.2">
      <c r="A33" s="30"/>
      <c r="B33" s="31"/>
      <c r="C33" s="25"/>
      <c r="D33" s="25"/>
      <c r="E33" s="25"/>
      <c r="F33" s="26"/>
      <c r="G33" s="48"/>
      <c r="H33" s="32"/>
      <c r="I33" s="32"/>
      <c r="J33" s="32"/>
      <c r="K33" s="32"/>
      <c r="L33" s="33"/>
      <c r="M33" s="27">
        <f t="shared" si="0"/>
        <v>0</v>
      </c>
      <c r="N33" s="27">
        <f t="shared" si="1"/>
        <v>0</v>
      </c>
      <c r="O33" s="27">
        <f t="shared" ref="O33" si="24">-SUM(I33:J33,K33/1.12)*L33</f>
        <v>0</v>
      </c>
      <c r="P33" s="27"/>
      <c r="Q33" s="34"/>
      <c r="R33" s="34"/>
      <c r="S33" s="35"/>
      <c r="T33" s="35"/>
      <c r="U33" s="35"/>
      <c r="V33" s="35"/>
      <c r="W33" s="35"/>
      <c r="X33" s="34"/>
      <c r="Y33" s="34"/>
      <c r="Z33" s="34"/>
      <c r="AA33" s="34"/>
      <c r="AB33" s="35"/>
      <c r="AC33" s="35"/>
      <c r="AD33" s="34"/>
      <c r="AE33" s="34"/>
      <c r="AF33" s="27">
        <f t="shared" ref="AF33" si="25">-SUM(N33:AE33)</f>
        <v>0</v>
      </c>
      <c r="AG33" s="28">
        <f t="shared" ref="AG33" si="26">SUM(H33:K33)+AF33+O33</f>
        <v>0</v>
      </c>
    </row>
    <row r="34" spans="1:33" s="12" customFormat="1" ht="23.25" customHeight="1" x14ac:dyDescent="0.2">
      <c r="A34" s="30"/>
      <c r="B34" s="31"/>
      <c r="C34" s="25"/>
      <c r="D34" s="25"/>
      <c r="E34" s="25"/>
      <c r="F34" s="26"/>
      <c r="G34" s="48"/>
      <c r="H34" s="32"/>
      <c r="I34" s="32"/>
      <c r="J34" s="32"/>
      <c r="K34" s="32"/>
      <c r="L34" s="33"/>
      <c r="M34" s="27">
        <f t="shared" si="0"/>
        <v>0</v>
      </c>
      <c r="N34" s="27">
        <f t="shared" si="1"/>
        <v>0</v>
      </c>
      <c r="O34" s="27"/>
      <c r="P34" s="27"/>
      <c r="Q34" s="34"/>
      <c r="R34" s="34"/>
      <c r="S34" s="35"/>
      <c r="T34" s="35"/>
      <c r="U34" s="35"/>
      <c r="V34" s="35"/>
      <c r="W34" s="35"/>
      <c r="X34" s="34"/>
      <c r="Y34" s="34"/>
      <c r="Z34" s="34"/>
      <c r="AA34" s="34"/>
      <c r="AB34" s="35"/>
      <c r="AC34" s="35"/>
      <c r="AD34" s="34"/>
      <c r="AE34" s="34"/>
      <c r="AF34" s="27">
        <f t="shared" ref="AF34:AF36" si="27">-SUM(N34:AE34)</f>
        <v>0</v>
      </c>
      <c r="AG34" s="28">
        <f t="shared" ref="AG34:AG36" si="28">SUM(H34:K34)+AF34+O34</f>
        <v>0</v>
      </c>
    </row>
    <row r="35" spans="1:33" s="12" customFormat="1" ht="23.25" customHeight="1" x14ac:dyDescent="0.2">
      <c r="A35" s="30"/>
      <c r="B35" s="31"/>
      <c r="C35" s="25"/>
      <c r="D35" s="25"/>
      <c r="E35" s="25"/>
      <c r="F35" s="26"/>
      <c r="G35" s="48"/>
      <c r="H35" s="32"/>
      <c r="I35" s="32"/>
      <c r="J35" s="32"/>
      <c r="K35" s="32"/>
      <c r="L35" s="33"/>
      <c r="M35" s="27">
        <f t="shared" si="0"/>
        <v>0</v>
      </c>
      <c r="N35" s="27">
        <f t="shared" si="1"/>
        <v>0</v>
      </c>
      <c r="O35" s="27"/>
      <c r="P35" s="27"/>
      <c r="Q35" s="34"/>
      <c r="R35" s="34"/>
      <c r="S35" s="35"/>
      <c r="T35" s="35"/>
      <c r="U35" s="35"/>
      <c r="V35" s="35"/>
      <c r="W35" s="35"/>
      <c r="X35" s="34"/>
      <c r="Y35" s="34"/>
      <c r="Z35" s="34"/>
      <c r="AA35" s="34"/>
      <c r="AB35" s="35"/>
      <c r="AC35" s="35"/>
      <c r="AD35" s="34"/>
      <c r="AE35" s="34"/>
      <c r="AF35" s="27">
        <f t="shared" si="27"/>
        <v>0</v>
      </c>
      <c r="AG35" s="28">
        <f t="shared" si="28"/>
        <v>0</v>
      </c>
    </row>
    <row r="36" spans="1:33" s="12" customFormat="1" ht="23.25" customHeight="1" x14ac:dyDescent="0.2">
      <c r="A36" s="30"/>
      <c r="B36" s="31"/>
      <c r="C36" s="25"/>
      <c r="D36" s="25"/>
      <c r="E36" s="25"/>
      <c r="F36" s="26"/>
      <c r="G36" s="48"/>
      <c r="H36" s="32"/>
      <c r="I36" s="32"/>
      <c r="J36" s="32"/>
      <c r="K36" s="32"/>
      <c r="L36" s="33"/>
      <c r="M36" s="27">
        <f t="shared" si="0"/>
        <v>0</v>
      </c>
      <c r="N36" s="27">
        <f t="shared" si="1"/>
        <v>0</v>
      </c>
      <c r="O36" s="27"/>
      <c r="P36" s="27"/>
      <c r="Q36" s="34"/>
      <c r="R36" s="34"/>
      <c r="S36" s="35"/>
      <c r="T36" s="35"/>
      <c r="U36" s="35"/>
      <c r="V36" s="35"/>
      <c r="W36" s="35"/>
      <c r="X36" s="34"/>
      <c r="Y36" s="34"/>
      <c r="Z36" s="34"/>
      <c r="AA36" s="34"/>
      <c r="AB36" s="35"/>
      <c r="AC36" s="35"/>
      <c r="AD36" s="34"/>
      <c r="AE36" s="34"/>
      <c r="AF36" s="27">
        <f t="shared" si="27"/>
        <v>0</v>
      </c>
      <c r="AG36" s="28">
        <f t="shared" si="28"/>
        <v>0</v>
      </c>
    </row>
    <row r="37" spans="1:33" s="12" customFormat="1" ht="23.25" customHeight="1" x14ac:dyDescent="0.2">
      <c r="A37" s="30"/>
      <c r="B37" s="31"/>
      <c r="C37" s="25"/>
      <c r="D37" s="25"/>
      <c r="E37" s="25"/>
      <c r="F37" s="26"/>
      <c r="G37" s="48"/>
      <c r="H37" s="32"/>
      <c r="I37" s="32"/>
      <c r="J37" s="32"/>
      <c r="K37" s="32"/>
      <c r="L37" s="33"/>
      <c r="M37" s="27">
        <f t="shared" si="0"/>
        <v>0</v>
      </c>
      <c r="N37" s="27">
        <f t="shared" si="1"/>
        <v>0</v>
      </c>
      <c r="O37" s="27"/>
      <c r="P37" s="27"/>
      <c r="Q37" s="34"/>
      <c r="R37" s="34"/>
      <c r="S37" s="35"/>
      <c r="T37" s="35"/>
      <c r="U37" s="35"/>
      <c r="V37" s="35"/>
      <c r="W37" s="35"/>
      <c r="X37" s="34"/>
      <c r="Y37" s="34"/>
      <c r="Z37" s="34"/>
      <c r="AA37" s="34"/>
      <c r="AB37" s="35"/>
      <c r="AC37" s="35"/>
      <c r="AD37" s="34"/>
      <c r="AE37" s="34"/>
      <c r="AF37" s="27">
        <f t="shared" si="21"/>
        <v>0</v>
      </c>
      <c r="AG37" s="28">
        <f t="shared" si="22"/>
        <v>0</v>
      </c>
    </row>
    <row r="38" spans="1:33" s="12" customFormat="1" ht="23.25" customHeight="1" x14ac:dyDescent="0.2">
      <c r="A38" s="30"/>
      <c r="B38" s="31"/>
      <c r="C38" s="25"/>
      <c r="D38" s="25"/>
      <c r="E38" s="25"/>
      <c r="F38" s="26"/>
      <c r="G38" s="48"/>
      <c r="H38" s="32"/>
      <c r="I38" s="32"/>
      <c r="J38" s="32"/>
      <c r="K38" s="32"/>
      <c r="L38" s="33"/>
      <c r="M38" s="27">
        <f t="shared" si="0"/>
        <v>0</v>
      </c>
      <c r="N38" s="27">
        <f t="shared" si="1"/>
        <v>0</v>
      </c>
      <c r="O38" s="27">
        <f t="shared" ref="O38" si="29">-SUM(I38:J38,K38/1.12)*L38</f>
        <v>0</v>
      </c>
      <c r="P38" s="27"/>
      <c r="Q38" s="34"/>
      <c r="R38" s="34"/>
      <c r="S38" s="35"/>
      <c r="T38" s="35"/>
      <c r="U38" s="35"/>
      <c r="V38" s="35"/>
      <c r="W38" s="35"/>
      <c r="X38" s="34"/>
      <c r="Y38" s="34"/>
      <c r="Z38" s="34"/>
      <c r="AA38" s="34"/>
      <c r="AB38" s="35"/>
      <c r="AC38" s="35"/>
      <c r="AD38" s="34"/>
      <c r="AE38" s="34"/>
      <c r="AF38" s="27">
        <f t="shared" si="21"/>
        <v>0</v>
      </c>
      <c r="AG38" s="28">
        <f t="shared" si="22"/>
        <v>0</v>
      </c>
    </row>
    <row r="39" spans="1:33" s="12" customFormat="1" ht="23.25" customHeight="1" x14ac:dyDescent="0.2">
      <c r="A39" s="30"/>
      <c r="B39" s="31"/>
      <c r="C39" s="25"/>
      <c r="D39" s="25"/>
      <c r="E39" s="25"/>
      <c r="F39" s="26"/>
      <c r="G39" s="48"/>
      <c r="H39" s="32"/>
      <c r="I39" s="32"/>
      <c r="J39" s="32"/>
      <c r="K39" s="32"/>
      <c r="L39" s="33"/>
      <c r="M39" s="27">
        <f t="shared" si="0"/>
        <v>0</v>
      </c>
      <c r="N39" s="27">
        <f t="shared" si="1"/>
        <v>0</v>
      </c>
      <c r="O39" s="27"/>
      <c r="P39" s="27"/>
      <c r="Q39" s="34"/>
      <c r="R39" s="34"/>
      <c r="S39" s="35"/>
      <c r="T39" s="35"/>
      <c r="U39" s="35"/>
      <c r="V39" s="35"/>
      <c r="W39" s="35"/>
      <c r="X39" s="34"/>
      <c r="Y39" s="34"/>
      <c r="Z39" s="34"/>
      <c r="AA39" s="34"/>
      <c r="AB39" s="35"/>
      <c r="AC39" s="35"/>
      <c r="AD39" s="34"/>
      <c r="AE39" s="34"/>
      <c r="AF39" s="27">
        <f t="shared" si="21"/>
        <v>0</v>
      </c>
      <c r="AG39" s="28">
        <f t="shared" si="22"/>
        <v>0</v>
      </c>
    </row>
    <row r="40" spans="1:33" s="12" customFormat="1" ht="23.25" customHeight="1" x14ac:dyDescent="0.2">
      <c r="A40" s="30"/>
      <c r="B40" s="31"/>
      <c r="C40" s="25"/>
      <c r="D40" s="25"/>
      <c r="E40" s="25"/>
      <c r="F40" s="26"/>
      <c r="G40" s="48"/>
      <c r="H40" s="32"/>
      <c r="I40" s="32"/>
      <c r="J40" s="32"/>
      <c r="K40" s="32"/>
      <c r="L40" s="33"/>
      <c r="M40" s="27">
        <f t="shared" si="0"/>
        <v>0</v>
      </c>
      <c r="N40" s="27">
        <f t="shared" si="1"/>
        <v>0</v>
      </c>
      <c r="O40" s="27"/>
      <c r="P40" s="27"/>
      <c r="Q40" s="34"/>
      <c r="R40" s="34"/>
      <c r="S40" s="35"/>
      <c r="T40" s="35"/>
      <c r="U40" s="35"/>
      <c r="V40" s="35"/>
      <c r="W40" s="35"/>
      <c r="X40" s="34"/>
      <c r="Y40" s="34"/>
      <c r="Z40" s="34"/>
      <c r="AA40" s="34"/>
      <c r="AB40" s="35"/>
      <c r="AC40" s="35"/>
      <c r="AD40" s="34"/>
      <c r="AE40" s="34"/>
      <c r="AF40" s="27">
        <f t="shared" si="21"/>
        <v>0</v>
      </c>
      <c r="AG40" s="28">
        <f t="shared" si="22"/>
        <v>0</v>
      </c>
    </row>
    <row r="41" spans="1:33" s="12" customFormat="1" ht="23.25" customHeight="1" x14ac:dyDescent="0.2">
      <c r="A41" s="30"/>
      <c r="B41" s="31"/>
      <c r="C41" s="25"/>
      <c r="D41" s="25"/>
      <c r="E41" s="25"/>
      <c r="F41" s="26"/>
      <c r="G41" s="48"/>
      <c r="H41" s="32"/>
      <c r="I41" s="32"/>
      <c r="J41" s="32"/>
      <c r="K41" s="32"/>
      <c r="L41" s="33"/>
      <c r="M41" s="27">
        <f t="shared" si="0"/>
        <v>0</v>
      </c>
      <c r="N41" s="27">
        <f t="shared" si="1"/>
        <v>0</v>
      </c>
      <c r="O41" s="27"/>
      <c r="P41" s="27"/>
      <c r="Q41" s="34"/>
      <c r="R41" s="34"/>
      <c r="S41" s="35"/>
      <c r="T41" s="35"/>
      <c r="U41" s="35"/>
      <c r="V41" s="35"/>
      <c r="W41" s="35"/>
      <c r="X41" s="34"/>
      <c r="Y41" s="34"/>
      <c r="Z41" s="34"/>
      <c r="AA41" s="34"/>
      <c r="AB41" s="35"/>
      <c r="AC41" s="35"/>
      <c r="AD41" s="34"/>
      <c r="AE41" s="34"/>
      <c r="AF41" s="27">
        <f t="shared" si="21"/>
        <v>0</v>
      </c>
      <c r="AG41" s="28">
        <f t="shared" si="22"/>
        <v>0</v>
      </c>
    </row>
    <row r="42" spans="1:33" s="12" customFormat="1" ht="23.25" customHeight="1" x14ac:dyDescent="0.2">
      <c r="A42" s="30"/>
      <c r="B42" s="31"/>
      <c r="C42" s="25"/>
      <c r="D42" s="25"/>
      <c r="E42" s="25"/>
      <c r="F42" s="26"/>
      <c r="G42" s="48"/>
      <c r="H42" s="32"/>
      <c r="I42" s="32"/>
      <c r="J42" s="32"/>
      <c r="K42" s="32"/>
      <c r="L42" s="33"/>
      <c r="M42" s="27">
        <f t="shared" si="0"/>
        <v>0</v>
      </c>
      <c r="N42" s="27">
        <f t="shared" si="1"/>
        <v>0</v>
      </c>
      <c r="O42" s="27"/>
      <c r="P42" s="27"/>
      <c r="Q42" s="34"/>
      <c r="R42" s="34"/>
      <c r="S42" s="35"/>
      <c r="T42" s="35"/>
      <c r="U42" s="35"/>
      <c r="V42" s="35"/>
      <c r="W42" s="35"/>
      <c r="X42" s="34"/>
      <c r="Y42" s="34"/>
      <c r="Z42" s="34"/>
      <c r="AA42" s="34"/>
      <c r="AB42" s="35"/>
      <c r="AC42" s="35"/>
      <c r="AD42" s="34"/>
      <c r="AE42" s="34"/>
      <c r="AF42" s="27">
        <f t="shared" si="21"/>
        <v>0</v>
      </c>
      <c r="AG42" s="28">
        <f t="shared" si="22"/>
        <v>0</v>
      </c>
    </row>
    <row r="43" spans="1:33" s="12" customFormat="1" ht="23.25" customHeight="1" x14ac:dyDescent="0.2">
      <c r="A43" s="30"/>
      <c r="B43" s="31"/>
      <c r="C43" s="25"/>
      <c r="D43" s="25"/>
      <c r="E43" s="25"/>
      <c r="F43" s="26"/>
      <c r="G43" s="48"/>
      <c r="H43" s="32"/>
      <c r="I43" s="32"/>
      <c r="J43" s="32"/>
      <c r="K43" s="32"/>
      <c r="L43" s="33"/>
      <c r="M43" s="27">
        <f t="shared" si="0"/>
        <v>0</v>
      </c>
      <c r="N43" s="27">
        <f t="shared" si="1"/>
        <v>0</v>
      </c>
      <c r="O43" s="27"/>
      <c r="P43" s="27"/>
      <c r="Q43" s="34"/>
      <c r="R43" s="34"/>
      <c r="S43" s="35"/>
      <c r="T43" s="35"/>
      <c r="U43" s="35"/>
      <c r="V43" s="35"/>
      <c r="W43" s="35"/>
      <c r="X43" s="34"/>
      <c r="Y43" s="34"/>
      <c r="Z43" s="34"/>
      <c r="AA43" s="34"/>
      <c r="AB43" s="35"/>
      <c r="AC43" s="35"/>
      <c r="AD43" s="34"/>
      <c r="AE43" s="34"/>
      <c r="AF43" s="27">
        <f t="shared" si="21"/>
        <v>0</v>
      </c>
      <c r="AG43" s="28">
        <f t="shared" si="22"/>
        <v>0</v>
      </c>
    </row>
    <row r="44" spans="1:33" s="12" customFormat="1" ht="23.25" customHeight="1" x14ac:dyDescent="0.2">
      <c r="A44" s="30"/>
      <c r="B44" s="31"/>
      <c r="C44" s="25"/>
      <c r="D44" s="25"/>
      <c r="E44" s="25"/>
      <c r="F44" s="26"/>
      <c r="G44" s="48"/>
      <c r="H44" s="32"/>
      <c r="I44" s="32"/>
      <c r="J44" s="32"/>
      <c r="K44" s="32"/>
      <c r="L44" s="33"/>
      <c r="M44" s="27">
        <f t="shared" si="0"/>
        <v>0</v>
      </c>
      <c r="N44" s="27">
        <f t="shared" si="1"/>
        <v>0</v>
      </c>
      <c r="O44" s="27"/>
      <c r="P44" s="27"/>
      <c r="Q44" s="34"/>
      <c r="R44" s="34"/>
      <c r="S44" s="35"/>
      <c r="T44" s="35"/>
      <c r="U44" s="35"/>
      <c r="V44" s="35"/>
      <c r="W44" s="35"/>
      <c r="X44" s="34"/>
      <c r="Y44" s="34"/>
      <c r="Z44" s="34"/>
      <c r="AA44" s="34"/>
      <c r="AB44" s="35"/>
      <c r="AC44" s="35"/>
      <c r="AD44" s="34"/>
      <c r="AE44" s="34"/>
      <c r="AF44" s="27">
        <f t="shared" si="21"/>
        <v>0</v>
      </c>
      <c r="AG44" s="28">
        <f t="shared" si="22"/>
        <v>0</v>
      </c>
    </row>
    <row r="45" spans="1:33" s="12" customFormat="1" ht="23.25" customHeight="1" x14ac:dyDescent="0.2">
      <c r="A45" s="30"/>
      <c r="B45" s="31"/>
      <c r="C45" s="25"/>
      <c r="D45" s="25"/>
      <c r="E45" s="25"/>
      <c r="F45" s="26"/>
      <c r="G45" s="48"/>
      <c r="H45" s="32"/>
      <c r="I45" s="32"/>
      <c r="J45" s="32"/>
      <c r="K45" s="32"/>
      <c r="L45" s="33"/>
      <c r="M45" s="27">
        <f t="shared" si="0"/>
        <v>0</v>
      </c>
      <c r="N45" s="27">
        <f t="shared" si="1"/>
        <v>0</v>
      </c>
      <c r="O45" s="27">
        <f t="shared" ref="O45" si="30">-SUM(I45:J45,K45/1.12)*L45</f>
        <v>0</v>
      </c>
      <c r="P45" s="27"/>
      <c r="Q45" s="34"/>
      <c r="R45" s="34"/>
      <c r="S45" s="35"/>
      <c r="T45" s="35"/>
      <c r="U45" s="35"/>
      <c r="V45" s="35"/>
      <c r="W45" s="35"/>
      <c r="X45" s="34"/>
      <c r="Y45" s="34"/>
      <c r="Z45" s="34"/>
      <c r="AA45" s="34"/>
      <c r="AB45" s="35"/>
      <c r="AC45" s="35"/>
      <c r="AD45" s="34"/>
      <c r="AE45" s="34"/>
      <c r="AF45" s="27">
        <f t="shared" si="21"/>
        <v>0</v>
      </c>
      <c r="AG45" s="28">
        <f t="shared" si="22"/>
        <v>0</v>
      </c>
    </row>
    <row r="46" spans="1:33" s="12" customFormat="1" ht="19.5" customHeight="1" x14ac:dyDescent="0.2">
      <c r="A46" s="30"/>
      <c r="B46" s="31"/>
      <c r="C46" s="36"/>
      <c r="D46" s="36"/>
      <c r="E46" s="36"/>
      <c r="F46" s="26"/>
      <c r="G46" s="29"/>
      <c r="H46" s="32"/>
      <c r="I46" s="32"/>
      <c r="J46" s="32"/>
      <c r="K46" s="32"/>
      <c r="L46" s="33"/>
      <c r="M46" s="27">
        <f t="shared" si="0"/>
        <v>0</v>
      </c>
      <c r="N46" s="27">
        <f t="shared" si="1"/>
        <v>0</v>
      </c>
      <c r="O46" s="34">
        <f>-SUM(I46:J46,K46/1.12)*L46</f>
        <v>0</v>
      </c>
      <c r="P46" s="34"/>
      <c r="Q46" s="34"/>
      <c r="R46" s="34"/>
      <c r="S46" s="34"/>
      <c r="T46" s="35"/>
      <c r="U46" s="35"/>
      <c r="V46" s="35"/>
      <c r="W46" s="35"/>
      <c r="X46" s="35"/>
      <c r="Y46" s="37"/>
      <c r="Z46" s="34"/>
      <c r="AA46" s="34"/>
      <c r="AB46" s="34"/>
      <c r="AC46" s="35"/>
      <c r="AD46" s="35"/>
      <c r="AE46" s="38"/>
      <c r="AF46" s="27">
        <f t="shared" ref="AF46" si="31">-SUM(N46:AE46)</f>
        <v>0</v>
      </c>
      <c r="AG46" s="28">
        <f t="shared" ref="AG46" si="32">SUM(H46:K46)+AF46+O46</f>
        <v>0</v>
      </c>
    </row>
    <row r="47" spans="1:33" s="10" customFormat="1" ht="12" customHeight="1" thickBot="1" x14ac:dyDescent="0.25">
      <c r="A47" s="39"/>
      <c r="B47" s="40"/>
      <c r="C47" s="41"/>
      <c r="D47" s="42"/>
      <c r="E47" s="42"/>
      <c r="F47" s="43"/>
      <c r="G47" s="41"/>
      <c r="H47" s="44">
        <f t="shared" ref="H47:AG47" si="33">SUM(H5:H46)</f>
        <v>805.5</v>
      </c>
      <c r="I47" s="44">
        <f t="shared" si="33"/>
        <v>0</v>
      </c>
      <c r="J47" s="44">
        <f t="shared" si="33"/>
        <v>183.5</v>
      </c>
      <c r="K47" s="44">
        <f t="shared" si="33"/>
        <v>1766.1999999999998</v>
      </c>
      <c r="L47" s="44">
        <f t="shared" si="33"/>
        <v>0</v>
      </c>
      <c r="M47" s="44">
        <f t="shared" si="33"/>
        <v>2565.9642857142858</v>
      </c>
      <c r="N47" s="44">
        <f t="shared" si="33"/>
        <v>189.23571428571427</v>
      </c>
      <c r="O47" s="44">
        <f t="shared" si="33"/>
        <v>0</v>
      </c>
      <c r="P47" s="44">
        <f t="shared" si="33"/>
        <v>1083.6799999999998</v>
      </c>
      <c r="Q47" s="44">
        <f t="shared" si="33"/>
        <v>676.78000000000009</v>
      </c>
      <c r="R47" s="44">
        <f t="shared" si="33"/>
        <v>0</v>
      </c>
      <c r="S47" s="44">
        <f t="shared" si="33"/>
        <v>0</v>
      </c>
      <c r="T47" s="44">
        <f t="shared" si="33"/>
        <v>0</v>
      </c>
      <c r="U47" s="44">
        <f t="shared" si="33"/>
        <v>0</v>
      </c>
      <c r="V47" s="44">
        <f t="shared" si="33"/>
        <v>0</v>
      </c>
      <c r="W47" s="44">
        <f t="shared" si="33"/>
        <v>0</v>
      </c>
      <c r="X47" s="44">
        <f t="shared" si="33"/>
        <v>0</v>
      </c>
      <c r="Y47" s="44">
        <f t="shared" si="33"/>
        <v>0</v>
      </c>
      <c r="Z47" s="44">
        <f t="shared" si="33"/>
        <v>0</v>
      </c>
      <c r="AA47" s="44">
        <f t="shared" si="33"/>
        <v>0</v>
      </c>
      <c r="AB47" s="44">
        <f t="shared" si="33"/>
        <v>805.5</v>
      </c>
      <c r="AC47" s="44">
        <f t="shared" si="33"/>
        <v>0</v>
      </c>
      <c r="AD47" s="44">
        <f t="shared" si="33"/>
        <v>0</v>
      </c>
      <c r="AE47" s="44">
        <f t="shared" si="33"/>
        <v>0</v>
      </c>
      <c r="AF47" s="44">
        <f t="shared" si="33"/>
        <v>-2755.1957142857141</v>
      </c>
      <c r="AG47" s="44">
        <f t="shared" si="33"/>
        <v>4.2857142856860264E-3</v>
      </c>
    </row>
    <row r="48" spans="1:33" ht="12" customHeight="1" thickTop="1" x14ac:dyDescent="0.2"/>
    <row r="49" spans="1:32" ht="12" x14ac:dyDescent="0.2">
      <c r="K49" s="45">
        <f>H47+I47+J47+K47</f>
        <v>2755.2</v>
      </c>
      <c r="L49" s="9"/>
      <c r="M49" s="8"/>
      <c r="AF49" s="46">
        <f>+AF47</f>
        <v>-2755.1957142857141</v>
      </c>
    </row>
    <row r="50" spans="1:32" x14ac:dyDescent="0.2">
      <c r="K50" s="8"/>
      <c r="L50" s="9"/>
      <c r="M50" s="8"/>
    </row>
    <row r="51" spans="1:32" ht="12" x14ac:dyDescent="0.2">
      <c r="C51" s="47" t="s">
        <v>33</v>
      </c>
      <c r="G51" s="10"/>
      <c r="K51" s="85"/>
      <c r="L51" s="85"/>
      <c r="M51" s="85"/>
    </row>
    <row r="52" spans="1:32" x14ac:dyDescent="0.2">
      <c r="K52" s="8"/>
      <c r="L52" s="9"/>
      <c r="M52" s="8"/>
    </row>
    <row r="53" spans="1:32" x14ac:dyDescent="0.2">
      <c r="K53" s="8"/>
      <c r="L53" s="9"/>
      <c r="M53" s="8"/>
    </row>
    <row r="54" spans="1:32" x14ac:dyDescent="0.2">
      <c r="A54" s="1"/>
      <c r="B54" s="1"/>
      <c r="D54" s="1"/>
      <c r="E54" s="1"/>
      <c r="F54" s="1"/>
      <c r="H54" s="1"/>
      <c r="I54" s="1"/>
      <c r="J54" s="1"/>
      <c r="K54" s="8"/>
      <c r="L54" s="9"/>
      <c r="M54" s="8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Z54" s="1"/>
      <c r="AA54" s="1"/>
      <c r="AB54" s="1"/>
      <c r="AC54" s="1"/>
      <c r="AD54" s="1"/>
      <c r="AE54" s="1"/>
      <c r="AF54" s="1"/>
    </row>
    <row r="61" spans="1:32" x14ac:dyDescent="0.2">
      <c r="Q61" s="2">
        <v>0</v>
      </c>
    </row>
    <row r="62" spans="1:32" x14ac:dyDescent="0.2">
      <c r="A62" s="1"/>
      <c r="B62" s="1"/>
      <c r="D62" s="1"/>
      <c r="E62" s="1"/>
      <c r="F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Z62" s="1"/>
      <c r="AA62" s="1"/>
      <c r="AB62" s="1"/>
      <c r="AC62" s="1"/>
      <c r="AD62" s="1"/>
      <c r="AE62" s="1"/>
      <c r="AF62" s="1"/>
    </row>
  </sheetData>
  <mergeCells count="1">
    <mergeCell ref="K51:M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June 6-11</vt:lpstr>
      <vt:lpstr>June 13-18</vt:lpstr>
      <vt:lpstr>June 18-25</vt:lpstr>
      <vt:lpstr>June 25-29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default</cp:lastModifiedBy>
  <cp:lastPrinted>2019-04-10T05:58:22Z</cp:lastPrinted>
  <dcterms:created xsi:type="dcterms:W3CDTF">2014-11-05T03:52:28Z</dcterms:created>
  <dcterms:modified xsi:type="dcterms:W3CDTF">2019-08-06T21:22:35Z</dcterms:modified>
</cp:coreProperties>
</file>