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2\Payroll\Dec 10\"/>
    </mc:Choice>
  </mc:AlternateContent>
  <xr:revisionPtr revIDLastSave="0" documentId="13_ncr:1_{C43947C6-2899-4E65-817F-0E2B188B2E2E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26-10 payroll (2)" sheetId="80" r:id="rId8"/>
    <sheet name="TIME CONVERSION" sheetId="78" r:id="rId9"/>
    <sheet name="Sheet1" sheetId="79" r:id="rId10"/>
  </sheets>
  <externalReferences>
    <externalReference r:id="rId11"/>
    <externalReference r:id="rId12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7">'26-10 payroll (2)'!$A$1:$Y$76</definedName>
    <definedName name="_xlnm.Print_Area" localSheetId="3">'26-10 payslip'!$A$1:$Q$165</definedName>
    <definedName name="_xlnm.Print_Area" localSheetId="9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7" i="80" l="1"/>
  <c r="G67" i="80"/>
  <c r="F67" i="80"/>
  <c r="E67" i="80"/>
  <c r="D67" i="80"/>
  <c r="C64" i="80"/>
  <c r="B63" i="80"/>
  <c r="C62" i="80"/>
  <c r="B62" i="80"/>
  <c r="C61" i="80"/>
  <c r="B61" i="80"/>
  <c r="L60" i="80"/>
  <c r="K60" i="80"/>
  <c r="J60" i="80"/>
  <c r="B60" i="80"/>
  <c r="L59" i="80"/>
  <c r="K59" i="80"/>
  <c r="J59" i="80"/>
  <c r="L58" i="80"/>
  <c r="K58" i="80"/>
  <c r="J58" i="80"/>
  <c r="L57" i="80"/>
  <c r="K57" i="80"/>
  <c r="J57" i="80"/>
  <c r="C57" i="80"/>
  <c r="L56" i="80"/>
  <c r="K56" i="80"/>
  <c r="J56" i="80"/>
  <c r="C56" i="80"/>
  <c r="B56" i="80"/>
  <c r="M43" i="80"/>
  <c r="M41" i="80"/>
  <c r="M39" i="80"/>
  <c r="O38" i="80"/>
  <c r="O37" i="80"/>
  <c r="P36" i="80"/>
  <c r="P35" i="80"/>
  <c r="O35" i="80"/>
  <c r="M35" i="80"/>
  <c r="O33" i="80"/>
  <c r="N33" i="80"/>
  <c r="M33" i="80"/>
  <c r="L33" i="80"/>
  <c r="K33" i="80"/>
  <c r="J33" i="80"/>
  <c r="I33" i="80"/>
  <c r="E33" i="80"/>
  <c r="F31" i="80"/>
  <c r="C31" i="80"/>
  <c r="C65" i="80" s="1"/>
  <c r="B31" i="80"/>
  <c r="B65" i="80" s="1"/>
  <c r="C30" i="80"/>
  <c r="B30" i="80"/>
  <c r="B64" i="80" s="1"/>
  <c r="H29" i="80"/>
  <c r="C29" i="80"/>
  <c r="C63" i="80" s="1"/>
  <c r="B29" i="80"/>
  <c r="M42" i="80" s="1"/>
  <c r="H28" i="80"/>
  <c r="F28" i="80"/>
  <c r="C28" i="80"/>
  <c r="B28" i="80"/>
  <c r="H27" i="80"/>
  <c r="F27" i="80"/>
  <c r="C27" i="80"/>
  <c r="B27" i="80"/>
  <c r="M40" i="80" s="1"/>
  <c r="H26" i="80"/>
  <c r="F26" i="80"/>
  <c r="C26" i="80"/>
  <c r="C60" i="80" s="1"/>
  <c r="B26" i="80"/>
  <c r="H25" i="80"/>
  <c r="F25" i="80"/>
  <c r="C25" i="80"/>
  <c r="C59" i="80" s="1"/>
  <c r="B25" i="80"/>
  <c r="G24" i="80"/>
  <c r="C24" i="80"/>
  <c r="C58" i="80" s="1"/>
  <c r="B24" i="80"/>
  <c r="H23" i="80"/>
  <c r="F23" i="80"/>
  <c r="C23" i="80"/>
  <c r="B23" i="80"/>
  <c r="M36" i="80" s="1"/>
  <c r="H22" i="80"/>
  <c r="F22" i="80"/>
  <c r="C22" i="80"/>
  <c r="B22" i="80"/>
  <c r="R21" i="80"/>
  <c r="I18" i="80"/>
  <c r="X17" i="80"/>
  <c r="V16" i="80"/>
  <c r="P16" i="80"/>
  <c r="H16" i="80"/>
  <c r="G16" i="80"/>
  <c r="E16" i="80"/>
  <c r="T16" i="80" s="1"/>
  <c r="V15" i="80"/>
  <c r="P15" i="80"/>
  <c r="H15" i="80"/>
  <c r="G15" i="80"/>
  <c r="E15" i="80"/>
  <c r="H30" i="80" s="1"/>
  <c r="V14" i="80"/>
  <c r="P14" i="80"/>
  <c r="H14" i="80"/>
  <c r="G14" i="80"/>
  <c r="E14" i="80"/>
  <c r="F29" i="80" s="1"/>
  <c r="V13" i="80"/>
  <c r="T13" i="80"/>
  <c r="R13" i="80"/>
  <c r="P13" i="80"/>
  <c r="X13" i="80" s="1"/>
  <c r="D28" i="80" s="1"/>
  <c r="O13" i="80"/>
  <c r="N13" i="80"/>
  <c r="L13" i="80"/>
  <c r="K13" i="80"/>
  <c r="H13" i="80"/>
  <c r="G13" i="80"/>
  <c r="V12" i="80"/>
  <c r="T12" i="80"/>
  <c r="R12" i="80"/>
  <c r="O12" i="80"/>
  <c r="N12" i="80"/>
  <c r="P12" i="80" s="1"/>
  <c r="L12" i="80"/>
  <c r="K12" i="80"/>
  <c r="H12" i="80"/>
  <c r="G12" i="80"/>
  <c r="V11" i="80"/>
  <c r="T11" i="80"/>
  <c r="R11" i="80"/>
  <c r="O11" i="80"/>
  <c r="N11" i="80"/>
  <c r="P11" i="80" s="1"/>
  <c r="R26" i="80" s="1"/>
  <c r="K11" i="80"/>
  <c r="H11" i="80"/>
  <c r="G11" i="80"/>
  <c r="V10" i="80"/>
  <c r="T10" i="80"/>
  <c r="R10" i="80"/>
  <c r="P10" i="80"/>
  <c r="O10" i="80"/>
  <c r="N10" i="80"/>
  <c r="H10" i="80"/>
  <c r="G10" i="80"/>
  <c r="R25" i="80" s="1"/>
  <c r="S9" i="80"/>
  <c r="O9" i="80"/>
  <c r="N9" i="80"/>
  <c r="H9" i="80"/>
  <c r="D9" i="80"/>
  <c r="V8" i="80"/>
  <c r="T8" i="80"/>
  <c r="R8" i="80"/>
  <c r="P8" i="80"/>
  <c r="O8" i="80"/>
  <c r="L8" i="80"/>
  <c r="K8" i="80"/>
  <c r="H8" i="80"/>
  <c r="X8" i="80" s="1"/>
  <c r="D23" i="80" s="1"/>
  <c r="G8" i="80"/>
  <c r="V7" i="80"/>
  <c r="T7" i="80"/>
  <c r="S7" i="80"/>
  <c r="R7" i="80"/>
  <c r="O7" i="80"/>
  <c r="P7" i="80" s="1"/>
  <c r="N7" i="80"/>
  <c r="M7" i="80"/>
  <c r="K7" i="80"/>
  <c r="H7" i="80"/>
  <c r="G7" i="80"/>
  <c r="I57" i="80" l="1"/>
  <c r="N57" i="80" s="1"/>
  <c r="P23" i="80"/>
  <c r="S36" i="80" s="1"/>
  <c r="I62" i="80"/>
  <c r="N62" i="80" s="1"/>
  <c r="P28" i="80"/>
  <c r="S41" i="80" s="1"/>
  <c r="R22" i="80"/>
  <c r="X10" i="80"/>
  <c r="D25" i="80" s="1"/>
  <c r="H18" i="80"/>
  <c r="X7" i="80"/>
  <c r="D18" i="80"/>
  <c r="G9" i="80"/>
  <c r="E9" i="80"/>
  <c r="X11" i="80"/>
  <c r="D26" i="80" s="1"/>
  <c r="X12" i="80"/>
  <c r="D27" i="80" s="1"/>
  <c r="B58" i="80"/>
  <c r="M37" i="80"/>
  <c r="D37" i="80"/>
  <c r="B59" i="80"/>
  <c r="M38" i="80"/>
  <c r="A37" i="80"/>
  <c r="T9" i="80"/>
  <c r="T18" i="80" s="1"/>
  <c r="R28" i="80"/>
  <c r="R27" i="80"/>
  <c r="B57" i="80"/>
  <c r="R23" i="80"/>
  <c r="R14" i="80"/>
  <c r="X14" i="80" s="1"/>
  <c r="D29" i="80" s="1"/>
  <c r="R15" i="80"/>
  <c r="X15" i="80" s="1"/>
  <c r="D30" i="80" s="1"/>
  <c r="R16" i="80"/>
  <c r="X16" i="80" s="1"/>
  <c r="D31" i="80" s="1"/>
  <c r="F30" i="80"/>
  <c r="H31" i="80"/>
  <c r="M44" i="80"/>
  <c r="T14" i="80"/>
  <c r="T15" i="80"/>
  <c r="P31" i="80" l="1"/>
  <c r="S44" i="80" s="1"/>
  <c r="I65" i="80"/>
  <c r="I63" i="80"/>
  <c r="P29" i="80"/>
  <c r="S42" i="80" s="1"/>
  <c r="I64" i="80"/>
  <c r="P30" i="80"/>
  <c r="S43" i="80" s="1"/>
  <c r="F24" i="80"/>
  <c r="F33" i="80" s="1"/>
  <c r="V9" i="80"/>
  <c r="V18" i="80" s="1"/>
  <c r="P9" i="80"/>
  <c r="P18" i="80" s="1"/>
  <c r="R9" i="80"/>
  <c r="R18" i="80" s="1"/>
  <c r="H24" i="80"/>
  <c r="H33" i="80" s="1"/>
  <c r="E18" i="80"/>
  <c r="D22" i="80"/>
  <c r="R30" i="80"/>
  <c r="G18" i="80"/>
  <c r="R29" i="80"/>
  <c r="P27" i="80"/>
  <c r="S40" i="80" s="1"/>
  <c r="I61" i="80"/>
  <c r="N61" i="80" s="1"/>
  <c r="I59" i="80"/>
  <c r="N59" i="80" s="1"/>
  <c r="P25" i="80"/>
  <c r="S38" i="80" s="1"/>
  <c r="R31" i="80"/>
  <c r="I60" i="80"/>
  <c r="N60" i="80" s="1"/>
  <c r="P26" i="80"/>
  <c r="S39" i="80" s="1"/>
  <c r="R24" i="80" l="1"/>
  <c r="X9" i="80"/>
  <c r="I56" i="80"/>
  <c r="P22" i="80"/>
  <c r="S35" i="80" l="1"/>
  <c r="N56" i="80"/>
  <c r="D24" i="80"/>
  <c r="X18" i="80"/>
  <c r="P24" i="80" l="1"/>
  <c r="I58" i="80"/>
  <c r="D33" i="80"/>
  <c r="N58" i="80" l="1"/>
  <c r="N67" i="80" s="1"/>
  <c r="I67" i="80"/>
  <c r="S37" i="80"/>
  <c r="P33" i="80"/>
  <c r="P46" i="80" s="1"/>
  <c r="G24" i="20" l="1"/>
  <c r="G13" i="20"/>
  <c r="H13" i="20"/>
  <c r="N50" i="79"/>
  <c r="F50" i="79"/>
  <c r="D9" i="79"/>
  <c r="F56" i="79"/>
  <c r="K12" i="20" l="1"/>
  <c r="K13" i="20"/>
  <c r="H27" i="20"/>
  <c r="H26" i="20"/>
  <c r="N26" i="79" l="1"/>
  <c r="N57" i="79"/>
  <c r="N22" i="79" l="1"/>
  <c r="F22" i="79"/>
  <c r="N56" i="79"/>
  <c r="F89" i="79"/>
  <c r="N89" i="79"/>
  <c r="F122" i="79"/>
  <c r="P142" i="79" l="1"/>
  <c r="H142" i="79"/>
  <c r="N82" i="79"/>
  <c r="N49" i="79"/>
  <c r="F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N10" i="20"/>
  <c r="T10" i="20"/>
  <c r="V10" i="20"/>
  <c r="H25" i="20"/>
  <c r="H9" i="20"/>
  <c r="F47" i="79" s="1"/>
  <c r="H23" i="20"/>
  <c r="N25" i="79" s="1"/>
  <c r="V8" i="20"/>
  <c r="N17" i="79" s="1"/>
  <c r="O8" i="20"/>
  <c r="T8" i="20"/>
  <c r="N16" i="21" s="1"/>
  <c r="F23" i="20"/>
  <c r="N13" i="20"/>
  <c r="O13" i="20"/>
  <c r="H109" i="21"/>
  <c r="F113" i="79"/>
  <c r="V13" i="20"/>
  <c r="F116" i="79" s="1"/>
  <c r="H28" i="20"/>
  <c r="F124" i="79" s="1"/>
  <c r="N12" i="20"/>
  <c r="O12" i="20"/>
  <c r="G12" i="20"/>
  <c r="P76" i="21" s="1"/>
  <c r="H12" i="20"/>
  <c r="N80" i="79" s="1"/>
  <c r="V12" i="20"/>
  <c r="N83" i="79" s="1"/>
  <c r="N91" i="79"/>
  <c r="H11" i="20"/>
  <c r="T11" i="20"/>
  <c r="G11" i="20"/>
  <c r="H76" i="21" s="1"/>
  <c r="V11" i="20"/>
  <c r="F83" i="79" s="1"/>
  <c r="F91" i="79"/>
  <c r="M7" i="20"/>
  <c r="S7" i="20"/>
  <c r="T7" i="20" s="1"/>
  <c r="V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H20" i="78"/>
  <c r="C20" i="78"/>
  <c r="H18" i="78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O18" i="5"/>
  <c r="P18" i="5" s="1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O20" i="5"/>
  <c r="P20" i="5" s="1"/>
  <c r="O22" i="5"/>
  <c r="O23" i="5"/>
  <c r="P23" i="5" s="1"/>
  <c r="O24" i="5"/>
  <c r="P24" i="5" s="1"/>
  <c r="O25" i="5"/>
  <c r="O26" i="5"/>
  <c r="O27" i="5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9" i="5"/>
  <c r="P21" i="5"/>
  <c r="P22" i="5"/>
  <c r="P25" i="5"/>
  <c r="P26" i="5"/>
  <c r="P27" i="5"/>
  <c r="N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F145" i="64"/>
  <c r="M143" i="64"/>
  <c r="E143" i="64"/>
  <c r="L142" i="64"/>
  <c r="L141" i="64"/>
  <c r="D141" i="64"/>
  <c r="L140" i="64"/>
  <c r="L139" i="64"/>
  <c r="D139" i="64"/>
  <c r="J135" i="64"/>
  <c r="J134" i="64"/>
  <c r="B134" i="64"/>
  <c r="N120" i="64"/>
  <c r="N119" i="64"/>
  <c r="N122" i="64"/>
  <c r="N123" i="64"/>
  <c r="N125" i="64"/>
  <c r="N126" i="64"/>
  <c r="P109" i="64"/>
  <c r="F119" i="64"/>
  <c r="F122" i="64"/>
  <c r="F123" i="64"/>
  <c r="F125" i="64"/>
  <c r="F126" i="64"/>
  <c r="H109" i="64"/>
  <c r="M110" i="64"/>
  <c r="E110" i="64"/>
  <c r="L108" i="64"/>
  <c r="D108" i="64"/>
  <c r="L106" i="64"/>
  <c r="D106" i="64"/>
  <c r="J101" i="64"/>
  <c r="B101" i="64"/>
  <c r="N88" i="64"/>
  <c r="N86" i="64"/>
  <c r="N89" i="64"/>
  <c r="N90" i="64"/>
  <c r="N92" i="64"/>
  <c r="N93" i="64"/>
  <c r="P76" i="64"/>
  <c r="F86" i="64"/>
  <c r="F87" i="64"/>
  <c r="F89" i="64"/>
  <c r="F90" i="64"/>
  <c r="F92" i="64"/>
  <c r="F93" i="64"/>
  <c r="M77" i="64"/>
  <c r="E77" i="64"/>
  <c r="L75" i="64"/>
  <c r="D75" i="64"/>
  <c r="D74" i="64"/>
  <c r="L73" i="64"/>
  <c r="D73" i="64"/>
  <c r="J68" i="64"/>
  <c r="B68" i="64"/>
  <c r="N53" i="64"/>
  <c r="N54" i="64"/>
  <c r="N56" i="64"/>
  <c r="N57" i="64"/>
  <c r="N59" i="64"/>
  <c r="N60" i="64"/>
  <c r="P43" i="64"/>
  <c r="N47" i="64"/>
  <c r="F53" i="64"/>
  <c r="F54" i="64"/>
  <c r="F55" i="64"/>
  <c r="F57" i="64"/>
  <c r="F59" i="64"/>
  <c r="F60" i="64"/>
  <c r="M44" i="64"/>
  <c r="E44" i="64"/>
  <c r="L42" i="64"/>
  <c r="D42" i="64"/>
  <c r="L41" i="64"/>
  <c r="B24" i="63"/>
  <c r="D40" i="64" s="1"/>
  <c r="J36" i="64"/>
  <c r="J35" i="64"/>
  <c r="B35" i="64"/>
  <c r="N20" i="64"/>
  <c r="N21" i="64"/>
  <c r="N22" i="64"/>
  <c r="N23" i="64"/>
  <c r="N24" i="64"/>
  <c r="N26" i="64"/>
  <c r="N27" i="64"/>
  <c r="F19" i="64"/>
  <c r="F21" i="64"/>
  <c r="F23" i="64"/>
  <c r="F24" i="64"/>
  <c r="F26" i="64"/>
  <c r="F27" i="64"/>
  <c r="F14" i="64"/>
  <c r="M11" i="64"/>
  <c r="E11" i="64"/>
  <c r="L9" i="64"/>
  <c r="D9" i="64"/>
  <c r="L7" i="64"/>
  <c r="J2" i="64"/>
  <c r="B2" i="64"/>
  <c r="I67" i="63"/>
  <c r="G67" i="63"/>
  <c r="F67" i="63"/>
  <c r="E67" i="63"/>
  <c r="C65" i="63"/>
  <c r="B65" i="63"/>
  <c r="C63" i="63"/>
  <c r="B63" i="63"/>
  <c r="B61" i="63"/>
  <c r="M60" i="63"/>
  <c r="K60" i="63"/>
  <c r="B60" i="63"/>
  <c r="M59" i="63"/>
  <c r="L59" i="63"/>
  <c r="H59" i="63"/>
  <c r="H67" i="63" s="1"/>
  <c r="C10" i="63"/>
  <c r="C25" i="63" s="1"/>
  <c r="C59" i="63" s="1"/>
  <c r="M58" i="63"/>
  <c r="K58" i="63"/>
  <c r="H58" i="63"/>
  <c r="S20" i="5" s="1"/>
  <c r="C9" i="63"/>
  <c r="C24" i="63" s="1"/>
  <c r="C58" i="63" s="1"/>
  <c r="B58" i="63"/>
  <c r="M57" i="63"/>
  <c r="K57" i="63"/>
  <c r="C57" i="63"/>
  <c r="B57" i="63"/>
  <c r="M56" i="63"/>
  <c r="L56" i="63"/>
  <c r="K56" i="63"/>
  <c r="H56" i="63"/>
  <c r="C7" i="63"/>
  <c r="C22" i="63" s="1"/>
  <c r="C56" i="63" s="1"/>
  <c r="B22" i="63"/>
  <c r="B56" i="63" s="1"/>
  <c r="M44" i="63"/>
  <c r="M41" i="63"/>
  <c r="M40" i="63"/>
  <c r="P39" i="63"/>
  <c r="L60" i="63" s="1"/>
  <c r="P38" i="63"/>
  <c r="O38" i="63"/>
  <c r="K59" i="63" s="1"/>
  <c r="P37" i="63"/>
  <c r="L58" i="63" s="1"/>
  <c r="O37" i="63"/>
  <c r="D37" i="63"/>
  <c r="P36" i="63"/>
  <c r="L57" i="63" s="1"/>
  <c r="M36" i="63"/>
  <c r="P35" i="63"/>
  <c r="O35" i="63"/>
  <c r="N33" i="63"/>
  <c r="M33" i="63"/>
  <c r="I33" i="63"/>
  <c r="E33" i="63"/>
  <c r="C31" i="63"/>
  <c r="B31" i="63"/>
  <c r="H30" i="63"/>
  <c r="C30" i="63"/>
  <c r="C64" i="63" s="1"/>
  <c r="B30" i="63"/>
  <c r="B64" i="63" s="1"/>
  <c r="C29" i="63"/>
  <c r="B29" i="63"/>
  <c r="M42" i="63" s="1"/>
  <c r="H28" i="63"/>
  <c r="C28" i="63"/>
  <c r="C62" i="63" s="1"/>
  <c r="B28" i="63"/>
  <c r="B62" i="63" s="1"/>
  <c r="C27" i="63"/>
  <c r="C61" i="63" s="1"/>
  <c r="B27" i="63"/>
  <c r="H26" i="63"/>
  <c r="C26" i="63"/>
  <c r="C60" i="63" s="1"/>
  <c r="B26" i="63"/>
  <c r="M39" i="63" s="1"/>
  <c r="C23" i="63"/>
  <c r="B23" i="63"/>
  <c r="K22" i="63"/>
  <c r="R21" i="63"/>
  <c r="X17" i="63"/>
  <c r="H16" i="63"/>
  <c r="G16" i="63"/>
  <c r="E16" i="63"/>
  <c r="V15" i="63"/>
  <c r="F149" i="64" s="1"/>
  <c r="P15" i="63"/>
  <c r="H15" i="63"/>
  <c r="G15" i="63"/>
  <c r="H142" i="64" s="1"/>
  <c r="E15" i="63"/>
  <c r="R14" i="63"/>
  <c r="N114" i="64" s="1"/>
  <c r="H14" i="63"/>
  <c r="G14" i="63"/>
  <c r="E14" i="63"/>
  <c r="V13" i="63"/>
  <c r="F116" i="64" s="1"/>
  <c r="P13" i="63"/>
  <c r="F112" i="64" s="1"/>
  <c r="H13" i="63"/>
  <c r="F113" i="64" s="1"/>
  <c r="G13" i="63"/>
  <c r="E13" i="63"/>
  <c r="R12" i="63"/>
  <c r="N81" i="64" s="1"/>
  <c r="H12" i="63"/>
  <c r="G12" i="63"/>
  <c r="E12" i="63"/>
  <c r="V11" i="63"/>
  <c r="F83" i="64" s="1"/>
  <c r="H11" i="63"/>
  <c r="F80" i="64" s="1"/>
  <c r="E11" i="63"/>
  <c r="P11" i="63" s="1"/>
  <c r="F79" i="64" s="1"/>
  <c r="D11" i="63"/>
  <c r="G11" i="63" s="1"/>
  <c r="H76" i="64" s="1"/>
  <c r="R10" i="63"/>
  <c r="N48" i="64" s="1"/>
  <c r="H10" i="63"/>
  <c r="G10" i="63"/>
  <c r="E10" i="63"/>
  <c r="D10" i="63"/>
  <c r="I9" i="63"/>
  <c r="I18" i="63" s="1"/>
  <c r="H9" i="63"/>
  <c r="F47" i="64" s="1"/>
  <c r="D9" i="63"/>
  <c r="V8" i="63"/>
  <c r="N17" i="64" s="1"/>
  <c r="H8" i="63"/>
  <c r="N14" i="64" s="1"/>
  <c r="E8" i="63"/>
  <c r="P8" i="63" s="1"/>
  <c r="D8" i="63"/>
  <c r="G8" i="63" s="1"/>
  <c r="P10" i="64" s="1"/>
  <c r="H7" i="63"/>
  <c r="E7" i="63"/>
  <c r="R7" i="63" s="1"/>
  <c r="D7" i="63"/>
  <c r="G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H142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L107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2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F14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B65" i="20"/>
  <c r="C64" i="20"/>
  <c r="B63" i="20"/>
  <c r="B61" i="20"/>
  <c r="L60" i="20"/>
  <c r="K60" i="20"/>
  <c r="J60" i="20"/>
  <c r="C60" i="20"/>
  <c r="L59" i="20"/>
  <c r="B59" i="20"/>
  <c r="L58" i="20"/>
  <c r="K58" i="20"/>
  <c r="C58" i="20"/>
  <c r="L57" i="20"/>
  <c r="J57" i="20"/>
  <c r="C57" i="20"/>
  <c r="L56" i="20"/>
  <c r="J56" i="20"/>
  <c r="M44" i="20"/>
  <c r="M43" i="20"/>
  <c r="M40" i="20"/>
  <c r="M39" i="20"/>
  <c r="K59" i="20"/>
  <c r="O38" i="20"/>
  <c r="J59" i="20" s="1"/>
  <c r="M38" i="20"/>
  <c r="O37" i="20"/>
  <c r="A37" i="20"/>
  <c r="O35" i="20"/>
  <c r="M35" i="20"/>
  <c r="O33" i="20"/>
  <c r="N33" i="20"/>
  <c r="M33" i="20"/>
  <c r="L33" i="20"/>
  <c r="K33" i="20"/>
  <c r="J33" i="20"/>
  <c r="I33" i="20"/>
  <c r="E33" i="20"/>
  <c r="F31" i="20"/>
  <c r="C31" i="20"/>
  <c r="C65" i="20" s="1"/>
  <c r="B31" i="20"/>
  <c r="C30" i="20"/>
  <c r="B30" i="20"/>
  <c r="B64" i="20" s="1"/>
  <c r="H29" i="20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F26" i="20"/>
  <c r="C26" i="20"/>
  <c r="B26" i="20"/>
  <c r="B60" i="20" s="1"/>
  <c r="F25" i="20"/>
  <c r="C25" i="20"/>
  <c r="C59" i="20" s="1"/>
  <c r="B25" i="20"/>
  <c r="C24" i="20"/>
  <c r="B24" i="20"/>
  <c r="C23" i="20"/>
  <c r="B23" i="20"/>
  <c r="H22" i="20"/>
  <c r="F25" i="79" s="1"/>
  <c r="C22" i="20"/>
  <c r="C56" i="20" s="1"/>
  <c r="B22" i="20"/>
  <c r="B56" i="20" s="1"/>
  <c r="R21" i="20"/>
  <c r="I18" i="20"/>
  <c r="X17" i="20"/>
  <c r="T16" i="20"/>
  <c r="P16" i="20"/>
  <c r="H16" i="20"/>
  <c r="G16" i="20"/>
  <c r="E16" i="20"/>
  <c r="H31" i="20" s="1"/>
  <c r="H15" i="20"/>
  <c r="F146" i="21" s="1"/>
  <c r="G15" i="20"/>
  <c r="E15" i="20"/>
  <c r="R15" i="20" s="1"/>
  <c r="F147" i="21" s="1"/>
  <c r="V14" i="20"/>
  <c r="N116" i="21" s="1"/>
  <c r="T14" i="20"/>
  <c r="N115" i="21" s="1"/>
  <c r="P14" i="20"/>
  <c r="N112" i="21" s="1"/>
  <c r="H14" i="20"/>
  <c r="N113" i="21" s="1"/>
  <c r="G14" i="20"/>
  <c r="P109" i="21" s="1"/>
  <c r="E14" i="20"/>
  <c r="F29" i="20" s="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G10" i="20"/>
  <c r="B39" i="5" s="1"/>
  <c r="E9" i="20"/>
  <c r="F24" i="20" s="1"/>
  <c r="D9" i="20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48" i="77" s="1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K11" i="20" s="1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10" i="20" s="1"/>
  <c r="P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T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O33" i="63" l="1"/>
  <c r="N55" i="64"/>
  <c r="N13" i="64"/>
  <c r="F15" i="64"/>
  <c r="B58" i="20"/>
  <c r="M37" i="20"/>
  <c r="D37" i="20"/>
  <c r="H30" i="20"/>
  <c r="P34" i="5"/>
  <c r="P36" i="5" s="1"/>
  <c r="J58" i="20"/>
  <c r="B57" i="20"/>
  <c r="M36" i="20"/>
  <c r="M41" i="20"/>
  <c r="D140" i="21"/>
  <c r="M173" i="76"/>
  <c r="D40" i="21"/>
  <c r="B37" i="5"/>
  <c r="H25" i="63"/>
  <c r="V10" i="63"/>
  <c r="N50" i="64" s="1"/>
  <c r="T10" i="63"/>
  <c r="N49" i="64" s="1"/>
  <c r="F25" i="63"/>
  <c r="P10" i="63"/>
  <c r="N80" i="64"/>
  <c r="H29" i="63"/>
  <c r="T14" i="63"/>
  <c r="N115" i="64" s="1"/>
  <c r="V14" i="63"/>
  <c r="N116" i="64" s="1"/>
  <c r="F29" i="63"/>
  <c r="P14" i="63"/>
  <c r="N112" i="64" s="1"/>
  <c r="P116" i="64" s="1"/>
  <c r="L107" i="64"/>
  <c r="H10" i="64"/>
  <c r="V9" i="20"/>
  <c r="R9" i="20"/>
  <c r="H24" i="20"/>
  <c r="F58" i="79" s="1"/>
  <c r="P15" i="20"/>
  <c r="F145" i="21" s="1"/>
  <c r="F30" i="20"/>
  <c r="F157" i="21" s="1"/>
  <c r="H159" i="21" s="1"/>
  <c r="T15" i="20"/>
  <c r="F148" i="21" s="1"/>
  <c r="H149" i="21" s="1"/>
  <c r="V15" i="20"/>
  <c r="F149" i="21" s="1"/>
  <c r="E18" i="20"/>
  <c r="F22" i="63"/>
  <c r="V7" i="63"/>
  <c r="P7" i="63"/>
  <c r="D8" i="64"/>
  <c r="H22" i="63"/>
  <c r="T7" i="63"/>
  <c r="R18" i="5"/>
  <c r="F20" i="64"/>
  <c r="K33" i="63"/>
  <c r="D41" i="21"/>
  <c r="H23" i="63"/>
  <c r="T8" i="63"/>
  <c r="F23" i="63"/>
  <c r="N25" i="64" s="1"/>
  <c r="R8" i="63"/>
  <c r="N15" i="64" s="1"/>
  <c r="E9" i="63"/>
  <c r="G9" i="63"/>
  <c r="T11" i="63"/>
  <c r="F82" i="64" s="1"/>
  <c r="H83" i="64" s="1"/>
  <c r="F26" i="63"/>
  <c r="F91" i="64" s="1"/>
  <c r="R11" i="63"/>
  <c r="F81" i="64" s="1"/>
  <c r="L74" i="64"/>
  <c r="H27" i="63"/>
  <c r="T12" i="63"/>
  <c r="N82" i="64" s="1"/>
  <c r="F27" i="63"/>
  <c r="P12" i="63"/>
  <c r="V12" i="63"/>
  <c r="N83" i="64" s="1"/>
  <c r="H18" i="63"/>
  <c r="R29" i="63"/>
  <c r="H25" i="5" s="1"/>
  <c r="L8" i="64"/>
  <c r="N113" i="64"/>
  <c r="H31" i="63"/>
  <c r="T16" i="63"/>
  <c r="R16" i="63"/>
  <c r="A11" i="5"/>
  <c r="J69" i="64"/>
  <c r="S21" i="5"/>
  <c r="S29" i="5" s="1"/>
  <c r="G9" i="20"/>
  <c r="D18" i="20"/>
  <c r="R14" i="20"/>
  <c r="N114" i="21" s="1"/>
  <c r="P116" i="21" s="1"/>
  <c r="V16" i="20"/>
  <c r="X13" i="63"/>
  <c r="D28" i="63" s="1"/>
  <c r="J62" i="63" s="1"/>
  <c r="D140" i="64"/>
  <c r="T15" i="63"/>
  <c r="F148" i="64" s="1"/>
  <c r="R15" i="63"/>
  <c r="F147" i="64" s="1"/>
  <c r="V16" i="63"/>
  <c r="R28" i="63"/>
  <c r="H24" i="5" s="1"/>
  <c r="F30" i="63"/>
  <c r="F157" i="64" s="1"/>
  <c r="M43" i="63"/>
  <c r="J102" i="64"/>
  <c r="F146" i="64"/>
  <c r="F14" i="79"/>
  <c r="H37" i="5"/>
  <c r="R16" i="20"/>
  <c r="R31" i="20" s="1"/>
  <c r="G27" i="5" s="1"/>
  <c r="I27" i="5" s="1"/>
  <c r="N80" i="21"/>
  <c r="D18" i="63"/>
  <c r="D107" i="64"/>
  <c r="T13" i="63"/>
  <c r="F115" i="64" s="1"/>
  <c r="R13" i="63"/>
  <c r="F114" i="64" s="1"/>
  <c r="X15" i="63"/>
  <c r="D30" i="63" s="1"/>
  <c r="P30" i="63" s="1"/>
  <c r="P16" i="63"/>
  <c r="R31" i="63" s="1"/>
  <c r="H27" i="5" s="1"/>
  <c r="F28" i="63"/>
  <c r="F124" i="64" s="1"/>
  <c r="F31" i="63"/>
  <c r="J3" i="64"/>
  <c r="A18" i="5"/>
  <c r="D7" i="64"/>
  <c r="G34" i="5"/>
  <c r="G36" i="5" s="1"/>
  <c r="M42" i="20"/>
  <c r="F56" i="64"/>
  <c r="N124" i="21"/>
  <c r="F88" i="64"/>
  <c r="N85" i="64"/>
  <c r="F121" i="64"/>
  <c r="F154" i="64"/>
  <c r="N58" i="79"/>
  <c r="F83" i="21"/>
  <c r="P35" i="20"/>
  <c r="P12" i="20"/>
  <c r="X12" i="20" s="1"/>
  <c r="D27" i="20" s="1"/>
  <c r="P13" i="20"/>
  <c r="F112" i="79" s="1"/>
  <c r="H116" i="79" s="1"/>
  <c r="P8" i="20"/>
  <c r="N13" i="79" s="1"/>
  <c r="F113" i="21"/>
  <c r="F124" i="21"/>
  <c r="H126" i="21" s="1"/>
  <c r="F49" i="21"/>
  <c r="N46" i="21"/>
  <c r="O29" i="5"/>
  <c r="H8" i="20"/>
  <c r="N14" i="79" s="1"/>
  <c r="P9" i="20"/>
  <c r="X9" i="20" s="1"/>
  <c r="D24" i="20" s="1"/>
  <c r="N83" i="21"/>
  <c r="F58" i="21"/>
  <c r="H60" i="21" s="1"/>
  <c r="J64" i="63"/>
  <c r="N25" i="21"/>
  <c r="P27" i="21" s="1"/>
  <c r="P39" i="5"/>
  <c r="X13" i="20"/>
  <c r="D28" i="20" s="1"/>
  <c r="P28" i="20" s="1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P60" i="79"/>
  <c r="V18" i="20"/>
  <c r="N50" i="21"/>
  <c r="J33" i="63"/>
  <c r="L33" i="63"/>
  <c r="F22" i="64"/>
  <c r="F118" i="64"/>
  <c r="F151" i="64"/>
  <c r="L39" i="5"/>
  <c r="P29" i="5"/>
  <c r="O31" i="5" s="1"/>
  <c r="R29" i="5"/>
  <c r="N52" i="64"/>
  <c r="F120" i="64"/>
  <c r="F112" i="21"/>
  <c r="F17" i="79"/>
  <c r="H17" i="79" s="1"/>
  <c r="N79" i="21"/>
  <c r="F80" i="21"/>
  <c r="F80" i="79"/>
  <c r="H39" i="5"/>
  <c r="N47" i="21"/>
  <c r="H116" i="64"/>
  <c r="T29" i="5"/>
  <c r="P11" i="20"/>
  <c r="R26" i="20" s="1"/>
  <c r="G22" i="5" s="1"/>
  <c r="F44" i="5"/>
  <c r="P7" i="20"/>
  <c r="F13" i="21" s="1"/>
  <c r="P149" i="79"/>
  <c r="P93" i="21"/>
  <c r="X14" i="20"/>
  <c r="D29" i="20" s="1"/>
  <c r="P29" i="20" s="1"/>
  <c r="P126" i="21"/>
  <c r="P159" i="21"/>
  <c r="H149" i="64"/>
  <c r="P159" i="64"/>
  <c r="U29" i="5"/>
  <c r="G41" i="5"/>
  <c r="D44" i="5"/>
  <c r="P149" i="21"/>
  <c r="P160" i="21" s="1"/>
  <c r="P149" i="64"/>
  <c r="H33" i="20"/>
  <c r="T18" i="20"/>
  <c r="F16" i="21"/>
  <c r="M37" i="63"/>
  <c r="B25" i="63"/>
  <c r="L40" i="64"/>
  <c r="M41" i="5"/>
  <c r="M44" i="5" s="1"/>
  <c r="P36" i="20"/>
  <c r="H60" i="79"/>
  <c r="N19" i="64"/>
  <c r="P27" i="64" s="1"/>
  <c r="F52" i="64"/>
  <c r="F85" i="64"/>
  <c r="N87" i="64"/>
  <c r="N121" i="64"/>
  <c r="N118" i="64"/>
  <c r="P43" i="21"/>
  <c r="G18" i="20"/>
  <c r="B38" i="5"/>
  <c r="B41" i="5" s="1"/>
  <c r="N82" i="21"/>
  <c r="F91" i="21"/>
  <c r="H93" i="21" s="1"/>
  <c r="N48" i="21"/>
  <c r="N58" i="21"/>
  <c r="P60" i="21" s="1"/>
  <c r="J39" i="5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38" i="5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K39" i="5"/>
  <c r="J29" i="5"/>
  <c r="M29" i="5"/>
  <c r="N23" i="5"/>
  <c r="N29" i="5" s="1"/>
  <c r="Q29" i="5"/>
  <c r="F153" i="64"/>
  <c r="H93" i="64" l="1"/>
  <c r="H27" i="64"/>
  <c r="L34" i="5"/>
  <c r="L36" i="5" s="1"/>
  <c r="I18" i="5"/>
  <c r="I21" i="5"/>
  <c r="H94" i="64"/>
  <c r="F16" i="64"/>
  <c r="F17" i="64"/>
  <c r="F48" i="21"/>
  <c r="J34" i="5"/>
  <c r="J36" i="5" s="1"/>
  <c r="N46" i="64"/>
  <c r="P50" i="64" s="1"/>
  <c r="P61" i="64" s="1"/>
  <c r="R25" i="63"/>
  <c r="H21" i="5" s="1"/>
  <c r="X10" i="63"/>
  <c r="D25" i="63" s="1"/>
  <c r="R22" i="63"/>
  <c r="H18" i="5" s="1"/>
  <c r="X16" i="20"/>
  <c r="D31" i="20" s="1"/>
  <c r="F46" i="21"/>
  <c r="L37" i="5"/>
  <c r="L41" i="5" s="1"/>
  <c r="L44" i="5" s="1"/>
  <c r="X11" i="63"/>
  <c r="D26" i="63" s="1"/>
  <c r="N79" i="64"/>
  <c r="P83" i="64" s="1"/>
  <c r="X12" i="63"/>
  <c r="D27" i="63" s="1"/>
  <c r="X9" i="63"/>
  <c r="D24" i="63" s="1"/>
  <c r="H43" i="64"/>
  <c r="K38" i="5"/>
  <c r="N16" i="64"/>
  <c r="P17" i="64" s="1"/>
  <c r="P28" i="64" s="1"/>
  <c r="F25" i="64"/>
  <c r="N58" i="64"/>
  <c r="P60" i="64" s="1"/>
  <c r="X7" i="63"/>
  <c r="R23" i="63"/>
  <c r="H19" i="5" s="1"/>
  <c r="R18" i="20"/>
  <c r="I24" i="5"/>
  <c r="F33" i="20"/>
  <c r="N13" i="21"/>
  <c r="I38" i="5"/>
  <c r="F50" i="21"/>
  <c r="P28" i="63"/>
  <c r="D62" i="63" s="1"/>
  <c r="X15" i="20"/>
  <c r="D30" i="20" s="1"/>
  <c r="X8" i="63"/>
  <c r="D23" i="63" s="1"/>
  <c r="R30" i="63"/>
  <c r="H26" i="5" s="1"/>
  <c r="N91" i="64"/>
  <c r="P93" i="64" s="1"/>
  <c r="D41" i="64"/>
  <c r="H24" i="63"/>
  <c r="H33" i="63" s="1"/>
  <c r="P9" i="63"/>
  <c r="F46" i="64" s="1"/>
  <c r="T9" i="63"/>
  <c r="V9" i="63"/>
  <c r="F50" i="64" s="1"/>
  <c r="F24" i="63"/>
  <c r="R9" i="63"/>
  <c r="N124" i="64"/>
  <c r="R27" i="63"/>
  <c r="H23" i="5" s="1"/>
  <c r="I23" i="5" s="1"/>
  <c r="N37" i="5"/>
  <c r="N41" i="5" s="1"/>
  <c r="N38" i="5"/>
  <c r="R29" i="20"/>
  <c r="G25" i="5" s="1"/>
  <c r="I25" i="5" s="1"/>
  <c r="I22" i="5"/>
  <c r="F46" i="79"/>
  <c r="R30" i="20"/>
  <c r="G26" i="5" s="1"/>
  <c r="I26" i="5" s="1"/>
  <c r="I39" i="5"/>
  <c r="R26" i="63"/>
  <c r="H22" i="5" s="1"/>
  <c r="K37" i="5"/>
  <c r="K41" i="5" s="1"/>
  <c r="N39" i="5"/>
  <c r="B34" i="5"/>
  <c r="B36" i="5" s="1"/>
  <c r="B44" i="5" s="1"/>
  <c r="H43" i="21"/>
  <c r="X14" i="63"/>
  <c r="D29" i="63" s="1"/>
  <c r="E18" i="63"/>
  <c r="F13" i="64"/>
  <c r="H17" i="64" s="1"/>
  <c r="P18" i="63"/>
  <c r="X16" i="63"/>
  <c r="D31" i="63" s="1"/>
  <c r="G18" i="63"/>
  <c r="H127" i="79"/>
  <c r="R24" i="20"/>
  <c r="G20" i="5" s="1"/>
  <c r="H160" i="21"/>
  <c r="N79" i="79"/>
  <c r="P83" i="79" s="1"/>
  <c r="P94" i="79" s="1"/>
  <c r="V94" i="79" s="1"/>
  <c r="I34" i="5"/>
  <c r="I36" i="5" s="1"/>
  <c r="I62" i="20"/>
  <c r="N62" i="20" s="1"/>
  <c r="S41" i="20"/>
  <c r="H18" i="20"/>
  <c r="H126" i="64"/>
  <c r="H127" i="64" s="1"/>
  <c r="R23" i="20"/>
  <c r="G19" i="5" s="1"/>
  <c r="I19" i="5" s="1"/>
  <c r="N14" i="21"/>
  <c r="H38" i="5"/>
  <c r="H41" i="5" s="1"/>
  <c r="H44" i="5" s="1"/>
  <c r="K56" i="20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X7" i="20"/>
  <c r="D22" i="20" s="1"/>
  <c r="H116" i="21"/>
  <c r="H127" i="21" s="1"/>
  <c r="P18" i="20"/>
  <c r="X11" i="20"/>
  <c r="D26" i="20" s="1"/>
  <c r="I58" i="20"/>
  <c r="N58" i="20" s="1"/>
  <c r="P24" i="20"/>
  <c r="S37" i="20" s="1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F79" i="79"/>
  <c r="H83" i="79" s="1"/>
  <c r="H94" i="79" s="1"/>
  <c r="T94" i="79" s="1"/>
  <c r="T127" i="79"/>
  <c r="H160" i="79"/>
  <c r="T160" i="79" s="1"/>
  <c r="P83" i="21"/>
  <c r="P94" i="21" s="1"/>
  <c r="H50" i="21"/>
  <c r="H61" i="21" s="1"/>
  <c r="H50" i="79"/>
  <c r="H61" i="79" s="1"/>
  <c r="T61" i="79" s="1"/>
  <c r="H28" i="79"/>
  <c r="T28" i="79" s="1"/>
  <c r="P127" i="21"/>
  <c r="I59" i="20"/>
  <c r="N59" i="20" s="1"/>
  <c r="P160" i="79"/>
  <c r="V160" i="79" s="1"/>
  <c r="S42" i="20"/>
  <c r="I63" i="20"/>
  <c r="S38" i="20"/>
  <c r="K57" i="20"/>
  <c r="P38" i="5"/>
  <c r="P41" i="5" s="1"/>
  <c r="P44" i="5" s="1"/>
  <c r="N17" i="21"/>
  <c r="A37" i="63"/>
  <c r="B59" i="63"/>
  <c r="M38" i="63"/>
  <c r="S43" i="63"/>
  <c r="D64" i="63"/>
  <c r="J41" i="5"/>
  <c r="J44" i="5" s="1"/>
  <c r="K31" i="5"/>
  <c r="Q31" i="5"/>
  <c r="L54" i="5"/>
  <c r="L56" i="5" s="1"/>
  <c r="M31" i="5"/>
  <c r="S41" i="63" l="1"/>
  <c r="P94" i="64"/>
  <c r="T160" i="64"/>
  <c r="P31" i="63"/>
  <c r="J65" i="63"/>
  <c r="J63" i="63"/>
  <c r="P29" i="63"/>
  <c r="F49" i="64"/>
  <c r="K34" i="5"/>
  <c r="R24" i="63"/>
  <c r="H20" i="5" s="1"/>
  <c r="H29" i="5" s="1"/>
  <c r="P25" i="63"/>
  <c r="J59" i="63"/>
  <c r="O59" i="63" s="1"/>
  <c r="F48" i="64"/>
  <c r="H50" i="64" s="1"/>
  <c r="R18" i="63"/>
  <c r="D22" i="63"/>
  <c r="X18" i="63"/>
  <c r="P26" i="63"/>
  <c r="J60" i="63"/>
  <c r="O60" i="63" s="1"/>
  <c r="V18" i="63"/>
  <c r="I20" i="5"/>
  <c r="I29" i="5" s="1"/>
  <c r="M48" i="5" s="1"/>
  <c r="F58" i="64"/>
  <c r="H60" i="64" s="1"/>
  <c r="N34" i="5"/>
  <c r="N36" i="5" s="1"/>
  <c r="N44" i="5" s="1"/>
  <c r="J57" i="63"/>
  <c r="O57" i="63" s="1"/>
  <c r="P23" i="63"/>
  <c r="J58" i="63"/>
  <c r="O58" i="63" s="1"/>
  <c r="P24" i="63"/>
  <c r="I65" i="20"/>
  <c r="P31" i="20"/>
  <c r="S44" i="20" s="1"/>
  <c r="V160" i="21" s="1"/>
  <c r="I41" i="5"/>
  <c r="I44" i="5" s="1"/>
  <c r="F33" i="63"/>
  <c r="P27" i="63"/>
  <c r="J61" i="63"/>
  <c r="O61" i="63" s="1"/>
  <c r="T18" i="63"/>
  <c r="H28" i="64"/>
  <c r="G29" i="5"/>
  <c r="P17" i="21"/>
  <c r="P28" i="21" s="1"/>
  <c r="T160" i="21"/>
  <c r="I57" i="20"/>
  <c r="N57" i="20" s="1"/>
  <c r="V127" i="21"/>
  <c r="T127" i="21"/>
  <c r="X18" i="20"/>
  <c r="T61" i="21"/>
  <c r="D33" i="20"/>
  <c r="I56" i="20"/>
  <c r="N56" i="20" s="1"/>
  <c r="P22" i="20"/>
  <c r="S35" i="20" s="1"/>
  <c r="T28" i="21" s="1"/>
  <c r="T127" i="64"/>
  <c r="P26" i="20"/>
  <c r="S39" i="20" s="1"/>
  <c r="T94" i="21" s="1"/>
  <c r="I60" i="20"/>
  <c r="N60" i="20" s="1"/>
  <c r="V94" i="21"/>
  <c r="L51" i="5"/>
  <c r="M51" i="5" s="1"/>
  <c r="N51" i="5" s="1"/>
  <c r="S36" i="20"/>
  <c r="V61" i="21"/>
  <c r="L50" i="5"/>
  <c r="L49" i="5" s="1"/>
  <c r="H61" i="64" l="1"/>
  <c r="D57" i="63"/>
  <c r="S36" i="63"/>
  <c r="V28" i="64" s="1"/>
  <c r="D60" i="63"/>
  <c r="S39" i="63"/>
  <c r="T94" i="64" s="1"/>
  <c r="S40" i="63"/>
  <c r="D61" i="63"/>
  <c r="K36" i="5"/>
  <c r="K44" i="5" s="1"/>
  <c r="Q44" i="5" s="1"/>
  <c r="L52" i="5"/>
  <c r="L48" i="5" s="1"/>
  <c r="N48" i="5" s="1"/>
  <c r="V94" i="64"/>
  <c r="D58" i="63"/>
  <c r="S37" i="63"/>
  <c r="T61" i="64" s="1"/>
  <c r="D33" i="63"/>
  <c r="J56" i="63"/>
  <c r="P22" i="63"/>
  <c r="S44" i="63"/>
  <c r="V160" i="64" s="1"/>
  <c r="D65" i="63"/>
  <c r="S38" i="63"/>
  <c r="V61" i="64" s="1"/>
  <c r="D59" i="63"/>
  <c r="D63" i="63"/>
  <c r="S42" i="63"/>
  <c r="V127" i="64" s="1"/>
  <c r="V28" i="21"/>
  <c r="M50" i="5"/>
  <c r="N50" i="5" s="1"/>
  <c r="N67" i="20"/>
  <c r="I67" i="20"/>
  <c r="P33" i="20"/>
  <c r="P46" i="20" s="1"/>
  <c r="M49" i="5"/>
  <c r="N49" i="5" s="1"/>
  <c r="D56" i="63" l="1"/>
  <c r="D67" i="63" s="1"/>
  <c r="P33" i="63"/>
  <c r="P46" i="63" s="1"/>
  <c r="S35" i="63"/>
  <c r="T28" i="64" s="1"/>
  <c r="O56" i="63"/>
  <c r="O67" i="63" s="1"/>
  <c r="J67" i="63"/>
  <c r="M52" i="5"/>
  <c r="N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6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 of 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61" authorId="0" shapeId="0" xr:uid="{F2BE5EF3-009A-4C79-BC69-447FB1ED291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 of 3</t>
        </r>
      </text>
    </comment>
  </commentList>
</comments>
</file>

<file path=xl/sharedStrings.xml><?xml version="1.0" encoding="utf-8"?>
<sst xmlns="http://schemas.openxmlformats.org/spreadsheetml/2006/main" count="2169" uniqueCount="306">
  <si>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</si>
  <si>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</si>
  <si>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</si>
  <si>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</si>
  <si>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</si>
  <si>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</si>
  <si>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</si>
  <si>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</si>
  <si>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</si>
  <si>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</si>
  <si>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</si>
  <si>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</si>
  <si>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</si>
  <si>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</si>
  <si>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</si>
  <si>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</si>
  <si>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</si>
  <si>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</si>
  <si>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</si>
  <si>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</si>
  <si>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</si>
  <si>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</si>
  <si>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</si>
  <si>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</si>
  <si>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</si>
  <si>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</si>
  <si>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</si>
  <si>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</si>
  <si>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</si>
  <si>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</si>
  <si>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</si>
  <si>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</si>
  <si>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</si>
  <si>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</si>
  <si>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</si>
  <si>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</si>
  <si>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</si>
  <si>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</si>
  <si>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</si>
  <si>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</si>
  <si>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</si>
  <si>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</si>
  <si>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</si>
  <si>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</si>
  <si>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</si>
  <si>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</si>
  <si>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</si>
  <si>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</si>
  <si>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</si>
  <si>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</si>
  <si>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</si>
  <si>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</si>
  <si>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</si>
  <si>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</si>
  <si>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</si>
  <si>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</si>
  <si>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</si>
  <si>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</si>
  <si>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</si>
  <si>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</si>
  <si>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</si>
  <si>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</si>
  <si>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</si>
  <si>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</si>
  <si>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</si>
  <si>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</si>
  <si>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</si>
  <si>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</si>
  <si>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</si>
  <si>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</si>
  <si>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</si>
  <si>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</si>
  <si>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</si>
  <si>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</si>
  <si>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</si>
  <si>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</si>
  <si>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</si>
  <si>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</si>
  <si>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</si>
  <si>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</si>
  <si>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</si>
  <si>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</si>
  <si>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</si>
  <si>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</si>
  <si>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</si>
  <si>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</si>
  <si>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</si>
  <si>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</si>
  <si>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</si>
  <si>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</si>
  <si>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</si>
  <si>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</si>
  <si>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</si>
  <si>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</si>
  <si>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</si>
  <si>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</si>
  <si>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</si>
  <si>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</si>
  <si>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</si>
  <si>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</si>
  <si>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</si>
  <si>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</si>
  <si>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</si>
  <si>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</si>
  <si>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</si>
  <si>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</si>
  <si>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</si>
  <si>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</si>
  <si>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</si>
  <si>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</si>
  <si>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</si>
  <si>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</si>
  <si>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</si>
  <si>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</si>
  <si>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</si>
  <si>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</si>
  <si>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</si>
  <si>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</si>
  <si>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</si>
  <si>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</si>
  <si>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</si>
  <si>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</si>
  <si>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</si>
  <si>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</si>
  <si>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</si>
  <si>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</si>
  <si>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</si>
  <si>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</si>
  <si>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</si>
  <si>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</si>
  <si>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</si>
  <si>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</si>
  <si>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</si>
  <si>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</si>
  <si>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</si>
  <si>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</si>
  <si>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</si>
  <si>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</si>
  <si>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</si>
  <si>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</si>
  <si>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</si>
  <si>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</si>
  <si>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</si>
  <si>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</si>
  <si>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</si>
  <si>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</si>
  <si>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</si>
  <si>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</si>
  <si>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</si>
  <si>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</si>
  <si>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</si>
  <si>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</si>
  <si>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</si>
  <si>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</si>
  <si>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</si>
  <si>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</si>
  <si>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</si>
  <si>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</si>
  <si>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</si>
  <si>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</si>
  <si>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</si>
  <si>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</si>
  <si>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</si>
  <si>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</si>
  <si>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</si>
  <si>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</si>
  <si>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</si>
  <si>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</si>
  <si>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</si>
  <si>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</si>
  <si>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</si>
  <si>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</si>
  <si>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</si>
  <si>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</si>
  <si>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</si>
  <si>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</si>
  <si>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</si>
  <si>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</si>
  <si>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</si>
  <si>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</si>
  <si>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</si>
  <si>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</si>
  <si>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</si>
  <si>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</si>
  <si>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</si>
  <si>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</si>
  <si>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</si>
  <si>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</si>
  <si>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</si>
  <si>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</si>
  <si>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</si>
  <si>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</si>
  <si>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</si>
  <si>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</si>
  <si>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</si>
  <si>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</si>
  <si>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</si>
  <si>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</si>
  <si>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</si>
  <si>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</si>
  <si>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</si>
  <si>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</si>
  <si>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</si>
  <si>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</si>
  <si>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</si>
  <si>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</si>
  <si>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</si>
  <si>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</si>
  <si>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</si>
  <si>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</si>
  <si>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</si>
  <si>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</si>
  <si>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</si>
  <si>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</si>
  <si>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</si>
  <si>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</si>
  <si>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</si>
  <si>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</si>
  <si>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</si>
  <si>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</si>
  <si>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</si>
  <si>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</si>
  <si>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</si>
  <si>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</si>
  <si>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</si>
  <si>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</si>
  <si>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</si>
  <si>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</si>
  <si>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</si>
  <si>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</si>
  <si>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</si>
  <si>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</si>
  <si>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</si>
  <si>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</si>
  <si>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</si>
  <si>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</si>
  <si>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</si>
  <si>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</si>
  <si>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</si>
  <si>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</si>
  <si>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</si>
  <si>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</si>
  <si>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</si>
  <si>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</si>
  <si>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</si>
  <si>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</si>
  <si>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</si>
  <si>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</si>
  <si>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</si>
  <si>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</si>
  <si>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</si>
  <si>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</si>
  <si>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</si>
  <si>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</si>
  <si>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</si>
  <si>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</si>
  <si>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</si>
  <si>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</si>
  <si>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</si>
  <si>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</si>
  <si>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</si>
  <si>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</si>
  <si>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</si>
  <si>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</si>
  <si>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</si>
  <si>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</si>
  <si>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</si>
  <si>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</si>
  <si>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</si>
  <si>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</si>
  <si>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</si>
  <si>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</si>
  <si>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</si>
  <si>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</si>
  <si>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</si>
  <si>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</si>
  <si>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</si>
  <si>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</si>
  <si>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</si>
  <si>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</si>
  <si>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</si>
  <si>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</si>
  <si>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</si>
  <si>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</si>
  <si>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</si>
  <si>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</si>
  <si>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</si>
  <si>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</si>
  <si>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</si>
  <si>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</si>
  <si>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</si>
  <si>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</si>
  <si>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</si>
  <si>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</si>
  <si>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</si>
  <si>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</si>
  <si>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</si>
  <si>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</si>
  <si>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</si>
  <si>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</si>
  <si>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</si>
  <si>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VL</t>
  </si>
  <si>
    <t xml:space="preserve"> LOAN</t>
  </si>
  <si>
    <t>Batibot Chair 1 of 3</t>
  </si>
  <si>
    <t>Nov 26-Dec 10,2019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</si>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</sst>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5" fontId="1" fillId="8" borderId="0" xfId="59" applyNumberFormat="1" applyFont="1" applyFill="1" applyProtection="1">
      <protection locked="0"/>
    </xf>
    <xf numFmtId="43" fontId="2" fillId="13" borderId="2" xfId="1" applyFont="1" applyFill="1" applyBorder="1" applyAlignment="1" applyProtection="1">
      <alignment horizontal="center"/>
      <protection locked="0"/>
    </xf>
    <xf numFmtId="43" fontId="2" fillId="13" borderId="2" xfId="1" applyFont="1" applyFill="1" applyBorder="1" applyAlignment="1" applyProtection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35</xdr:row>
      <xdr:rowOff>19050</xdr:rowOff>
    </xdr:from>
    <xdr:to>
      <xdr:col>8</xdr:col>
      <xdr:colOff>202565</xdr:colOff>
      <xdr:row>38</xdr:row>
      <xdr:rowOff>112395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A270A18-0A65-4A18-8387-00D87A9B8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91075" y="57435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17145</xdr:colOff>
      <xdr:row>36</xdr:row>
      <xdr:rowOff>104775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E59F37-A2F2-4ED5-A861-CF494BF49D6A}"/>
            </a:ext>
          </a:extLst>
        </xdr:cNvPr>
        <xdr:cNvSpPr txBox="1"/>
      </xdr:nvSpPr>
      <xdr:spPr>
        <a:xfrm>
          <a:off x="4874895" y="59912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35</xdr:row>
      <xdr:rowOff>19050</xdr:rowOff>
    </xdr:from>
    <xdr:to>
      <xdr:col>8</xdr:col>
      <xdr:colOff>202565</xdr:colOff>
      <xdr:row>38</xdr:row>
      <xdr:rowOff>112395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56B64E8-F59D-4B5C-8006-FB10A254F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91075" y="57435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17145</xdr:colOff>
      <xdr:row>36</xdr:row>
      <xdr:rowOff>104775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BA5E68-3979-4956-9A74-128E3F5538F2}"/>
            </a:ext>
          </a:extLst>
        </xdr:cNvPr>
        <xdr:cNvSpPr txBox="1"/>
      </xdr:nvSpPr>
      <xdr:spPr>
        <a:xfrm>
          <a:off x="4874895" y="59912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4" t="s">
        <v>152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</row>
    <row r="2" spans="1:27" s="277" customFormat="1" ht="26.25" x14ac:dyDescent="0.2">
      <c r="A2" s="384" t="s">
        <v>214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</row>
    <row r="3" spans="1:27" s="277" customFormat="1" ht="26.25" x14ac:dyDescent="0.2">
      <c r="A3" s="384" t="s">
        <v>215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5" t="s">
        <v>153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1" t="s">
        <v>91</v>
      </c>
      <c r="I5" s="382"/>
      <c r="J5" s="382"/>
      <c r="K5" s="383"/>
      <c r="L5" s="374" t="s">
        <v>90</v>
      </c>
      <c r="M5" s="370" t="s">
        <v>157</v>
      </c>
      <c r="N5" s="370" t="s">
        <v>158</v>
      </c>
      <c r="O5" s="376" t="s">
        <v>159</v>
      </c>
      <c r="P5" s="377"/>
      <c r="Q5" s="378"/>
      <c r="R5" s="370" t="s">
        <v>160</v>
      </c>
      <c r="S5" s="376" t="s">
        <v>19</v>
      </c>
      <c r="T5" s="377"/>
      <c r="U5" s="378"/>
      <c r="V5" s="370" t="s">
        <v>124</v>
      </c>
      <c r="W5" s="370" t="s">
        <v>125</v>
      </c>
      <c r="X5" s="372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5"/>
      <c r="M6" s="371"/>
      <c r="N6" s="371"/>
      <c r="O6" s="285" t="s">
        <v>167</v>
      </c>
      <c r="P6" s="285" t="s">
        <v>168</v>
      </c>
      <c r="Q6" s="316" t="s">
        <v>125</v>
      </c>
      <c r="R6" s="371"/>
      <c r="S6" s="285" t="s">
        <v>167</v>
      </c>
      <c r="T6" s="285" t="s">
        <v>168</v>
      </c>
      <c r="U6" s="316" t="s">
        <v>125</v>
      </c>
      <c r="V6" s="371"/>
      <c r="W6" s="371"/>
      <c r="X6" s="373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5" t="s">
        <v>174</v>
      </c>
      <c r="G11" s="365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8" t="s">
        <v>221</v>
      </c>
      <c r="G12" s="368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8" t="s">
        <v>224</v>
      </c>
      <c r="G14" s="36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5" t="s">
        <v>224</v>
      </c>
      <c r="G15" s="365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5" t="s">
        <v>173</v>
      </c>
      <c r="G19" s="365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8" t="s">
        <v>235</v>
      </c>
      <c r="G22" s="368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5" t="s">
        <v>235</v>
      </c>
      <c r="G23" s="365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8" t="s">
        <v>235</v>
      </c>
      <c r="G24" s="368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1" t="s">
        <v>91</v>
      </c>
      <c r="I27" s="382"/>
      <c r="J27" s="382"/>
      <c r="K27" s="383"/>
      <c r="L27" s="374" t="s">
        <v>90</v>
      </c>
      <c r="M27" s="370" t="s">
        <v>157</v>
      </c>
      <c r="N27" s="370" t="s">
        <v>158</v>
      </c>
      <c r="O27" s="376" t="s">
        <v>159</v>
      </c>
      <c r="P27" s="377"/>
      <c r="Q27" s="378"/>
      <c r="R27" s="370" t="s">
        <v>160</v>
      </c>
      <c r="S27" s="376" t="s">
        <v>19</v>
      </c>
      <c r="T27" s="377"/>
      <c r="U27" s="378"/>
      <c r="V27" s="370" t="s">
        <v>124</v>
      </c>
      <c r="W27" s="370" t="s">
        <v>125</v>
      </c>
      <c r="X27" s="372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5"/>
      <c r="M28" s="371"/>
      <c r="N28" s="371"/>
      <c r="O28" s="285" t="s">
        <v>167</v>
      </c>
      <c r="P28" s="285" t="s">
        <v>168</v>
      </c>
      <c r="Q28" s="316" t="s">
        <v>125</v>
      </c>
      <c r="R28" s="371"/>
      <c r="S28" s="285" t="s">
        <v>167</v>
      </c>
      <c r="T28" s="285" t="s">
        <v>168</v>
      </c>
      <c r="U28" s="316" t="s">
        <v>125</v>
      </c>
      <c r="V28" s="371"/>
      <c r="W28" s="371"/>
      <c r="X28" s="373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5" t="s">
        <v>173</v>
      </c>
      <c r="G33" s="365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8" t="s">
        <v>173</v>
      </c>
      <c r="G34" s="368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5" t="s">
        <v>224</v>
      </c>
      <c r="G37" s="365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8" t="s">
        <v>224</v>
      </c>
      <c r="G38" s="368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5" t="s">
        <v>173</v>
      </c>
      <c r="G43" s="365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8" t="s">
        <v>173</v>
      </c>
      <c r="G44" s="368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9" t="s">
        <v>238</v>
      </c>
      <c r="G47" s="369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8" t="s">
        <v>239</v>
      </c>
      <c r="G48" s="368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5" t="s">
        <v>239</v>
      </c>
      <c r="G49" s="365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8" t="s">
        <v>239</v>
      </c>
      <c r="G50" s="368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1" t="s">
        <v>91</v>
      </c>
      <c r="I53" s="382"/>
      <c r="J53" s="382"/>
      <c r="K53" s="383"/>
      <c r="L53" s="374" t="s">
        <v>90</v>
      </c>
      <c r="M53" s="370" t="s">
        <v>157</v>
      </c>
      <c r="N53" s="370" t="s">
        <v>158</v>
      </c>
      <c r="O53" s="376" t="s">
        <v>159</v>
      </c>
      <c r="P53" s="377"/>
      <c r="Q53" s="378"/>
      <c r="R53" s="370" t="s">
        <v>160</v>
      </c>
      <c r="S53" s="376" t="s">
        <v>19</v>
      </c>
      <c r="T53" s="377"/>
      <c r="U53" s="378"/>
      <c r="V53" s="370" t="s">
        <v>124</v>
      </c>
      <c r="W53" s="370" t="s">
        <v>125</v>
      </c>
      <c r="X53" s="372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5"/>
      <c r="M54" s="371"/>
      <c r="N54" s="371"/>
      <c r="O54" s="285" t="s">
        <v>167</v>
      </c>
      <c r="P54" s="285" t="s">
        <v>168</v>
      </c>
      <c r="Q54" s="316" t="s">
        <v>125</v>
      </c>
      <c r="R54" s="371"/>
      <c r="S54" s="285" t="s">
        <v>167</v>
      </c>
      <c r="T54" s="285" t="s">
        <v>168</v>
      </c>
      <c r="U54" s="316" t="s">
        <v>125</v>
      </c>
      <c r="V54" s="371"/>
      <c r="W54" s="371"/>
      <c r="X54" s="373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0" t="s">
        <v>177</v>
      </c>
      <c r="G56" s="368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5" t="s">
        <v>173</v>
      </c>
      <c r="G57" s="365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8" t="s">
        <v>224</v>
      </c>
      <c r="G60" s="368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5" t="s">
        <v>224</v>
      </c>
      <c r="G61" s="365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8" t="s">
        <v>174</v>
      </c>
      <c r="G64" s="368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5" t="s">
        <v>173</v>
      </c>
      <c r="G65" s="365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5" t="s">
        <v>165</v>
      </c>
      <c r="G67" s="365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8" t="s">
        <v>244</v>
      </c>
      <c r="G68" s="368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5" t="s">
        <v>244</v>
      </c>
      <c r="G69" s="365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8" t="s">
        <v>244</v>
      </c>
      <c r="G70" s="368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1" t="s">
        <v>91</v>
      </c>
      <c r="I73" s="382"/>
      <c r="J73" s="382"/>
      <c r="K73" s="383"/>
      <c r="L73" s="374" t="s">
        <v>90</v>
      </c>
      <c r="M73" s="370" t="s">
        <v>157</v>
      </c>
      <c r="N73" s="370" t="s">
        <v>158</v>
      </c>
      <c r="O73" s="376" t="s">
        <v>159</v>
      </c>
      <c r="P73" s="377"/>
      <c r="Q73" s="378"/>
      <c r="R73" s="370" t="s">
        <v>160</v>
      </c>
      <c r="S73" s="376" t="s">
        <v>19</v>
      </c>
      <c r="T73" s="377"/>
      <c r="U73" s="378"/>
      <c r="V73" s="370" t="s">
        <v>124</v>
      </c>
      <c r="W73" s="370" t="s">
        <v>125</v>
      </c>
      <c r="X73" s="372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5"/>
      <c r="M74" s="371"/>
      <c r="N74" s="371"/>
      <c r="O74" s="285" t="s">
        <v>167</v>
      </c>
      <c r="P74" s="285" t="s">
        <v>168</v>
      </c>
      <c r="Q74" s="316" t="s">
        <v>125</v>
      </c>
      <c r="R74" s="371"/>
      <c r="S74" s="285" t="s">
        <v>167</v>
      </c>
      <c r="T74" s="285" t="s">
        <v>168</v>
      </c>
      <c r="U74" s="316" t="s">
        <v>125</v>
      </c>
      <c r="V74" s="371"/>
      <c r="W74" s="371"/>
      <c r="X74" s="373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5" t="s">
        <v>173</v>
      </c>
      <c r="G79" s="365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8" t="s">
        <v>173</v>
      </c>
      <c r="G80" s="368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5" t="s">
        <v>224</v>
      </c>
      <c r="G83" s="365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8" t="s">
        <v>224</v>
      </c>
      <c r="G84" s="368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5"/>
      <c r="G91" s="365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5" t="s">
        <v>239</v>
      </c>
      <c r="G95" s="365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5" t="s">
        <v>239</v>
      </c>
      <c r="G96" s="365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5" t="s">
        <v>239</v>
      </c>
      <c r="G97" s="365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1" t="s">
        <v>91</v>
      </c>
      <c r="I100" s="382"/>
      <c r="J100" s="382"/>
      <c r="K100" s="383"/>
      <c r="L100" s="374" t="s">
        <v>90</v>
      </c>
      <c r="M100" s="370" t="s">
        <v>157</v>
      </c>
      <c r="N100" s="370" t="s">
        <v>158</v>
      </c>
      <c r="O100" s="376" t="s">
        <v>159</v>
      </c>
      <c r="P100" s="377"/>
      <c r="Q100" s="378"/>
      <c r="R100" s="370" t="s">
        <v>160</v>
      </c>
      <c r="S100" s="376" t="s">
        <v>19</v>
      </c>
      <c r="T100" s="377"/>
      <c r="U100" s="378"/>
      <c r="V100" s="370" t="s">
        <v>124</v>
      </c>
      <c r="W100" s="370" t="s">
        <v>125</v>
      </c>
      <c r="X100" s="372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5"/>
      <c r="M101" s="371"/>
      <c r="N101" s="371"/>
      <c r="O101" s="285" t="s">
        <v>167</v>
      </c>
      <c r="P101" s="285" t="s">
        <v>168</v>
      </c>
      <c r="Q101" s="316" t="s">
        <v>125</v>
      </c>
      <c r="R101" s="371"/>
      <c r="S101" s="285" t="s">
        <v>167</v>
      </c>
      <c r="T101" s="285" t="s">
        <v>168</v>
      </c>
      <c r="U101" s="316" t="s">
        <v>125</v>
      </c>
      <c r="V101" s="371"/>
      <c r="W101" s="371"/>
      <c r="X101" s="373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8" t="s">
        <v>173</v>
      </c>
      <c r="G105" s="368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5" t="s">
        <v>173</v>
      </c>
      <c r="G106" s="365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5" t="s">
        <v>224</v>
      </c>
      <c r="G108" s="365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8" t="s">
        <v>224</v>
      </c>
      <c r="G109" s="368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5" t="s">
        <v>173</v>
      </c>
      <c r="G112" s="365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8" t="s">
        <v>173</v>
      </c>
      <c r="G113" s="368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7" t="s">
        <v>235</v>
      </c>
      <c r="G115" s="367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5" t="s">
        <v>248</v>
      </c>
      <c r="G116" s="365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7" t="s">
        <v>235</v>
      </c>
      <c r="G117" s="367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5" t="s">
        <v>248</v>
      </c>
      <c r="G118" s="365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1" t="s">
        <v>91</v>
      </c>
      <c r="I121" s="382"/>
      <c r="J121" s="382"/>
      <c r="K121" s="383"/>
      <c r="L121" s="374" t="s">
        <v>90</v>
      </c>
      <c r="M121" s="370" t="s">
        <v>157</v>
      </c>
      <c r="N121" s="370" t="s">
        <v>158</v>
      </c>
      <c r="O121" s="376" t="s">
        <v>159</v>
      </c>
      <c r="P121" s="377"/>
      <c r="Q121" s="378"/>
      <c r="R121" s="370" t="s">
        <v>160</v>
      </c>
      <c r="S121" s="376" t="s">
        <v>19</v>
      </c>
      <c r="T121" s="377"/>
      <c r="U121" s="378"/>
      <c r="V121" s="370" t="s">
        <v>124</v>
      </c>
      <c r="W121" s="370" t="s">
        <v>125</v>
      </c>
      <c r="X121" s="372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5"/>
      <c r="M122" s="371"/>
      <c r="N122" s="371"/>
      <c r="O122" s="285" t="s">
        <v>167</v>
      </c>
      <c r="P122" s="285" t="s">
        <v>168</v>
      </c>
      <c r="Q122" s="316" t="s">
        <v>125</v>
      </c>
      <c r="R122" s="371"/>
      <c r="S122" s="285" t="s">
        <v>167</v>
      </c>
      <c r="T122" s="285" t="s">
        <v>168</v>
      </c>
      <c r="U122" s="316" t="s">
        <v>125</v>
      </c>
      <c r="V122" s="371"/>
      <c r="W122" s="371"/>
      <c r="X122" s="373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5" t="s">
        <v>173</v>
      </c>
      <c r="G129" s="365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5" t="s">
        <v>224</v>
      </c>
      <c r="G132" s="365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8" t="s">
        <v>224</v>
      </c>
      <c r="G133" s="368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8" t="s">
        <v>173</v>
      </c>
      <c r="G138" s="368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5" t="s">
        <v>173</v>
      </c>
      <c r="G139" s="365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8" t="s">
        <v>239</v>
      </c>
      <c r="G142" s="368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5" t="s">
        <v>249</v>
      </c>
      <c r="G143" s="365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8" t="s">
        <v>239</v>
      </c>
      <c r="G144" s="368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5" t="s">
        <v>249</v>
      </c>
      <c r="G145" s="365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1" t="s">
        <v>91</v>
      </c>
      <c r="I148" s="382"/>
      <c r="J148" s="382"/>
      <c r="K148" s="383"/>
      <c r="L148" s="374" t="s">
        <v>90</v>
      </c>
      <c r="M148" s="370" t="s">
        <v>157</v>
      </c>
      <c r="N148" s="370" t="s">
        <v>158</v>
      </c>
      <c r="O148" s="376" t="s">
        <v>159</v>
      </c>
      <c r="P148" s="377"/>
      <c r="Q148" s="378"/>
      <c r="R148" s="370" t="s">
        <v>160</v>
      </c>
      <c r="S148" s="376" t="s">
        <v>19</v>
      </c>
      <c r="T148" s="377"/>
      <c r="U148" s="378"/>
      <c r="V148" s="370" t="s">
        <v>124</v>
      </c>
      <c r="W148" s="370" t="s">
        <v>125</v>
      </c>
      <c r="X148" s="372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5"/>
      <c r="M149" s="371"/>
      <c r="N149" s="371"/>
      <c r="O149" s="285" t="s">
        <v>167</v>
      </c>
      <c r="P149" s="285" t="s">
        <v>168</v>
      </c>
      <c r="Q149" s="316" t="s">
        <v>125</v>
      </c>
      <c r="R149" s="371"/>
      <c r="S149" s="285" t="s">
        <v>167</v>
      </c>
      <c r="T149" s="285" t="s">
        <v>168</v>
      </c>
      <c r="U149" s="316" t="s">
        <v>125</v>
      </c>
      <c r="V149" s="371"/>
      <c r="W149" s="371"/>
      <c r="X149" s="373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8" t="s">
        <v>173</v>
      </c>
      <c r="G157" s="368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5" t="s">
        <v>224</v>
      </c>
      <c r="G160" s="365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8" t="s">
        <v>224</v>
      </c>
      <c r="G161" s="368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5" t="s">
        <v>22</v>
      </c>
      <c r="G164" s="365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8" t="s">
        <v>173</v>
      </c>
      <c r="G165" s="368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5" t="s">
        <v>173</v>
      </c>
      <c r="G166" s="365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7" t="s">
        <v>239</v>
      </c>
      <c r="G169" s="367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5" t="s">
        <v>239</v>
      </c>
      <c r="G170" s="365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7" t="s">
        <v>239</v>
      </c>
      <c r="G171" s="367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5" t="s">
        <v>239</v>
      </c>
      <c r="G172" s="365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1" t="s">
        <v>91</v>
      </c>
      <c r="I175" s="382"/>
      <c r="J175" s="382"/>
      <c r="K175" s="383"/>
      <c r="L175" s="374" t="s">
        <v>90</v>
      </c>
      <c r="M175" s="370" t="s">
        <v>157</v>
      </c>
      <c r="N175" s="370" t="s">
        <v>158</v>
      </c>
      <c r="O175" s="376" t="s">
        <v>159</v>
      </c>
      <c r="P175" s="377"/>
      <c r="Q175" s="378"/>
      <c r="R175" s="370" t="s">
        <v>160</v>
      </c>
      <c r="S175" s="376" t="s">
        <v>19</v>
      </c>
      <c r="T175" s="377"/>
      <c r="U175" s="378"/>
      <c r="V175" s="370" t="s">
        <v>124</v>
      </c>
      <c r="W175" s="370" t="s">
        <v>125</v>
      </c>
      <c r="X175" s="372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5"/>
      <c r="M176" s="371"/>
      <c r="N176" s="371"/>
      <c r="O176" s="285" t="s">
        <v>167</v>
      </c>
      <c r="P176" s="285" t="s">
        <v>168</v>
      </c>
      <c r="Q176" s="316" t="s">
        <v>125</v>
      </c>
      <c r="R176" s="371"/>
      <c r="S176" s="285" t="s">
        <v>167</v>
      </c>
      <c r="T176" s="285" t="s">
        <v>168</v>
      </c>
      <c r="U176" s="316" t="s">
        <v>125</v>
      </c>
      <c r="V176" s="371"/>
      <c r="W176" s="371"/>
      <c r="X176" s="373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8" t="s">
        <v>173</v>
      </c>
      <c r="G182" s="368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5" t="s">
        <v>224</v>
      </c>
      <c r="G185" s="365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8" t="s">
        <v>224</v>
      </c>
      <c r="G186" s="368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5" t="s">
        <v>173</v>
      </c>
      <c r="G193" s="365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9"/>
      <c r="G196" s="369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6" t="s">
        <v>251</v>
      </c>
      <c r="G197" s="367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0" t="s">
        <v>251</v>
      </c>
      <c r="G198" s="368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4" t="s">
        <v>251</v>
      </c>
      <c r="G199" s="365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0" t="s">
        <v>251</v>
      </c>
      <c r="G200" s="368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1" t="s">
        <v>91</v>
      </c>
      <c r="I203" s="382"/>
      <c r="J203" s="382"/>
      <c r="K203" s="383"/>
      <c r="L203" s="374" t="s">
        <v>90</v>
      </c>
      <c r="M203" s="370" t="s">
        <v>157</v>
      </c>
      <c r="N203" s="370" t="s">
        <v>158</v>
      </c>
      <c r="O203" s="376" t="s">
        <v>159</v>
      </c>
      <c r="P203" s="377"/>
      <c r="Q203" s="378"/>
      <c r="R203" s="370" t="s">
        <v>160</v>
      </c>
      <c r="S203" s="376" t="s">
        <v>19</v>
      </c>
      <c r="T203" s="377"/>
      <c r="U203" s="378"/>
      <c r="V203" s="370" t="s">
        <v>124</v>
      </c>
      <c r="W203" s="370" t="s">
        <v>125</v>
      </c>
      <c r="X203" s="372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5"/>
      <c r="M204" s="371"/>
      <c r="N204" s="371"/>
      <c r="O204" s="285" t="s">
        <v>167</v>
      </c>
      <c r="P204" s="285" t="s">
        <v>168</v>
      </c>
      <c r="Q204" s="316" t="s">
        <v>125</v>
      </c>
      <c r="R204" s="371"/>
      <c r="S204" s="285" t="s">
        <v>167</v>
      </c>
      <c r="T204" s="285" t="s">
        <v>168</v>
      </c>
      <c r="U204" s="316" t="s">
        <v>125</v>
      </c>
      <c r="V204" s="371"/>
      <c r="W204" s="371"/>
      <c r="X204" s="373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8" t="s">
        <v>173</v>
      </c>
      <c r="G210" s="368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5" t="s">
        <v>224</v>
      </c>
      <c r="G213" s="365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8" t="s">
        <v>224</v>
      </c>
      <c r="G214" s="368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5" t="s">
        <v>173</v>
      </c>
      <c r="G221" s="365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9"/>
      <c r="G224" s="369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6" t="s">
        <v>177</v>
      </c>
      <c r="G225" s="367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0" t="s">
        <v>177</v>
      </c>
      <c r="G226" s="368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4" t="s">
        <v>177</v>
      </c>
      <c r="G227" s="365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0" t="s">
        <v>177</v>
      </c>
      <c r="G228" s="368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1" t="s">
        <v>91</v>
      </c>
      <c r="I231" s="382"/>
      <c r="J231" s="382"/>
      <c r="K231" s="383"/>
      <c r="L231" s="374" t="s">
        <v>90</v>
      </c>
      <c r="M231" s="370" t="s">
        <v>157</v>
      </c>
      <c r="N231" s="370" t="s">
        <v>158</v>
      </c>
      <c r="O231" s="376" t="s">
        <v>159</v>
      </c>
      <c r="P231" s="377"/>
      <c r="Q231" s="378"/>
      <c r="R231" s="370" t="s">
        <v>160</v>
      </c>
      <c r="S231" s="376" t="s">
        <v>19</v>
      </c>
      <c r="T231" s="377"/>
      <c r="U231" s="378"/>
      <c r="V231" s="370" t="s">
        <v>124</v>
      </c>
      <c r="W231" s="370" t="s">
        <v>125</v>
      </c>
      <c r="X231" s="372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5"/>
      <c r="M232" s="371"/>
      <c r="N232" s="371"/>
      <c r="O232" s="285" t="s">
        <v>167</v>
      </c>
      <c r="P232" s="285" t="s">
        <v>168</v>
      </c>
      <c r="Q232" s="316" t="s">
        <v>125</v>
      </c>
      <c r="R232" s="371"/>
      <c r="S232" s="285" t="s">
        <v>167</v>
      </c>
      <c r="T232" s="285" t="s">
        <v>168</v>
      </c>
      <c r="U232" s="316" t="s">
        <v>125</v>
      </c>
      <c r="V232" s="371"/>
      <c r="W232" s="371"/>
      <c r="X232" s="373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5" t="s">
        <v>173</v>
      </c>
      <c r="G237" s="365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5" t="s">
        <v>224</v>
      </c>
      <c r="G239" s="365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8" t="s">
        <v>224</v>
      </c>
      <c r="G240" s="368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5" t="s">
        <v>165</v>
      </c>
      <c r="G241" s="365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5" t="s">
        <v>174</v>
      </c>
      <c r="G243" s="365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8" t="s">
        <v>173</v>
      </c>
      <c r="G244" s="368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9" t="s">
        <v>255</v>
      </c>
      <c r="G245" s="369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7" t="s">
        <v>255</v>
      </c>
      <c r="G246" s="367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9" t="s">
        <v>255</v>
      </c>
      <c r="G247" s="369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7" t="s">
        <v>255</v>
      </c>
      <c r="G248" s="367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9" t="s">
        <v>255</v>
      </c>
      <c r="G249" s="369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1" t="s">
        <v>91</v>
      </c>
      <c r="I252" s="382"/>
      <c r="J252" s="382"/>
      <c r="K252" s="383"/>
      <c r="L252" s="374" t="s">
        <v>90</v>
      </c>
      <c r="M252" s="370" t="s">
        <v>157</v>
      </c>
      <c r="N252" s="370" t="s">
        <v>158</v>
      </c>
      <c r="O252" s="376" t="s">
        <v>159</v>
      </c>
      <c r="P252" s="377"/>
      <c r="Q252" s="378"/>
      <c r="R252" s="370" t="s">
        <v>160</v>
      </c>
      <c r="S252" s="376" t="s">
        <v>19</v>
      </c>
      <c r="T252" s="377"/>
      <c r="U252" s="378"/>
      <c r="V252" s="370" t="s">
        <v>124</v>
      </c>
      <c r="W252" s="370" t="s">
        <v>125</v>
      </c>
      <c r="X252" s="372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5"/>
      <c r="M253" s="371"/>
      <c r="N253" s="371"/>
      <c r="O253" s="285" t="s">
        <v>167</v>
      </c>
      <c r="P253" s="285" t="s">
        <v>168</v>
      </c>
      <c r="Q253" s="316" t="s">
        <v>125</v>
      </c>
      <c r="R253" s="371"/>
      <c r="S253" s="285" t="s">
        <v>167</v>
      </c>
      <c r="T253" s="285" t="s">
        <v>168</v>
      </c>
      <c r="U253" s="316" t="s">
        <v>125</v>
      </c>
      <c r="V253" s="371"/>
      <c r="W253" s="371"/>
      <c r="X253" s="373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5" t="s">
        <v>173</v>
      </c>
      <c r="G258" s="365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8" t="s">
        <v>173</v>
      </c>
      <c r="G259" s="368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5" t="s">
        <v>224</v>
      </c>
      <c r="G262" s="365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8" t="s">
        <v>224</v>
      </c>
      <c r="G263" s="368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5" t="s">
        <v>173</v>
      </c>
      <c r="G268" s="365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8" t="s">
        <v>173</v>
      </c>
      <c r="G269" s="368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7"/>
      <c r="G272" s="367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9" t="s">
        <v>177</v>
      </c>
      <c r="G273" s="369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4" t="s">
        <v>177</v>
      </c>
      <c r="G274" s="365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0" t="s">
        <v>177</v>
      </c>
      <c r="G275" s="368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4" t="s">
        <v>177</v>
      </c>
      <c r="G276" s="365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1" t="s">
        <v>91</v>
      </c>
      <c r="I279" s="382"/>
      <c r="J279" s="382"/>
      <c r="K279" s="383"/>
      <c r="L279" s="374" t="s">
        <v>90</v>
      </c>
      <c r="M279" s="370" t="s">
        <v>157</v>
      </c>
      <c r="N279" s="370" t="s">
        <v>158</v>
      </c>
      <c r="O279" s="376" t="s">
        <v>159</v>
      </c>
      <c r="P279" s="377"/>
      <c r="Q279" s="378"/>
      <c r="R279" s="370" t="s">
        <v>160</v>
      </c>
      <c r="S279" s="376" t="s">
        <v>19</v>
      </c>
      <c r="T279" s="377"/>
      <c r="U279" s="378"/>
      <c r="V279" s="370" t="s">
        <v>124</v>
      </c>
      <c r="W279" s="370" t="s">
        <v>125</v>
      </c>
      <c r="X279" s="372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5"/>
      <c r="M280" s="371"/>
      <c r="N280" s="371"/>
      <c r="O280" s="285" t="s">
        <v>167</v>
      </c>
      <c r="P280" s="285" t="s">
        <v>168</v>
      </c>
      <c r="Q280" s="316" t="s">
        <v>125</v>
      </c>
      <c r="R280" s="371"/>
      <c r="S280" s="285" t="s">
        <v>167</v>
      </c>
      <c r="T280" s="285" t="s">
        <v>168</v>
      </c>
      <c r="U280" s="316" t="s">
        <v>125</v>
      </c>
      <c r="V280" s="371"/>
      <c r="W280" s="371"/>
      <c r="X280" s="373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8" t="s">
        <v>173</v>
      </c>
      <c r="G284" s="368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5" t="s">
        <v>173</v>
      </c>
      <c r="G285" s="365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9"/>
      <c r="G288" s="369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5" t="s">
        <v>224</v>
      </c>
      <c r="G289" s="365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8" t="s">
        <v>224</v>
      </c>
      <c r="G290" s="368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5" t="s">
        <v>173</v>
      </c>
      <c r="G297" s="365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9"/>
      <c r="G298" s="369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6" t="s">
        <v>257</v>
      </c>
      <c r="G299" s="367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6" t="s">
        <v>257</v>
      </c>
      <c r="G300" s="367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4" t="s">
        <v>257</v>
      </c>
      <c r="G301" s="365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6" t="s">
        <v>257</v>
      </c>
      <c r="G302" s="367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4" t="s">
        <v>257</v>
      </c>
      <c r="G303" s="365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65"/>
  <sheetViews>
    <sheetView topLeftCell="A53" workbookViewId="0">
      <selection activeCell="A67" sqref="A67:Q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7" t="str">
        <f>'[2]11-25 payroll'!A1</f>
        <v>THE OLD SPAGHETTI HOUSE</v>
      </c>
      <c r="C2" s="438"/>
      <c r="D2" s="438"/>
      <c r="E2" s="438"/>
      <c r="F2" s="438"/>
      <c r="G2" s="438"/>
      <c r="H2" s="439"/>
      <c r="I2" s="178"/>
      <c r="J2" s="437" t="str">
        <f>'[2]11-25 payroll'!A1</f>
        <v>THE OLD SPAGHETTI HOUSE</v>
      </c>
      <c r="K2" s="438"/>
      <c r="L2" s="438"/>
      <c r="M2" s="438"/>
      <c r="N2" s="438"/>
      <c r="O2" s="438"/>
      <c r="P2" s="439"/>
    </row>
    <row r="3" spans="1:22" s="179" customFormat="1" x14ac:dyDescent="0.2">
      <c r="A3" s="170"/>
      <c r="B3" s="440" t="str">
        <f>'[2]11-25 payroll'!D2</f>
        <v>VALERO</v>
      </c>
      <c r="C3" s="441"/>
      <c r="D3" s="441"/>
      <c r="E3" s="441"/>
      <c r="F3" s="441"/>
      <c r="G3" s="441"/>
      <c r="H3" s="442"/>
      <c r="I3" s="178"/>
      <c r="J3" s="440" t="str">
        <f>'[2]11-25 payroll'!D2</f>
        <v>VALERO</v>
      </c>
      <c r="K3" s="441"/>
      <c r="L3" s="441"/>
      <c r="M3" s="441"/>
      <c r="N3" s="441"/>
      <c r="O3" s="441"/>
      <c r="P3" s="442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3" t="s">
        <v>25</v>
      </c>
      <c r="C5" s="444"/>
      <c r="D5" s="444"/>
      <c r="E5" s="444"/>
      <c r="F5" s="444"/>
      <c r="G5" s="444"/>
      <c r="H5" s="445"/>
      <c r="I5" s="178"/>
      <c r="J5" s="443" t="s">
        <v>25</v>
      </c>
      <c r="K5" s="444"/>
      <c r="L5" s="444"/>
      <c r="M5" s="444"/>
      <c r="N5" s="444"/>
      <c r="O5" s="444"/>
      <c r="P5" s="445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'[2]11-25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'[2]11-25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v>527</v>
      </c>
      <c r="E8" s="447"/>
      <c r="F8" s="447"/>
      <c r="G8" s="55"/>
      <c r="H8" s="357"/>
      <c r="I8" s="195"/>
      <c r="J8" s="192" t="s">
        <v>28</v>
      </c>
      <c r="K8" s="193" t="s">
        <v>27</v>
      </c>
      <c r="L8" s="447">
        <v>527</v>
      </c>
      <c r="M8" s="447"/>
      <c r="N8" s="447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'26-10 payroll'!D3</f>
        <v>Nov 26-Dec 10,2019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'26-10 payroll'!D3</f>
        <v>Nov 26-Dec 10,2019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82.34375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payroll'!V8+500</f>
        <v>506.58749999999998</v>
      </c>
      <c r="O17" s="9"/>
      <c r="P17" s="10">
        <f>SUM(N13:N17)</f>
        <v>708.93124999999998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 x14ac:dyDescent="0.2">
      <c r="B23" s="192"/>
      <c r="C23" s="198"/>
      <c r="D23" s="206" t="s">
        <v>299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-1487.96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6536.8024999999998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5674.0212499999998</v>
      </c>
      <c r="R28" s="215"/>
      <c r="T28" s="216">
        <f>+H28-'[2]11-25 payroll'!S35</f>
        <v>769.19735937500081</v>
      </c>
      <c r="U28" s="217"/>
      <c r="V28" s="218">
        <f>+P28-'[2]11-25 payroll'!S36</f>
        <v>-839.47670312500031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7" t="str">
        <f>'[2]11-25 payroll'!A1</f>
        <v>THE OLD SPAGHETTI HOUSE</v>
      </c>
      <c r="C35" s="438"/>
      <c r="D35" s="438"/>
      <c r="E35" s="438"/>
      <c r="F35" s="438"/>
      <c r="G35" s="438"/>
      <c r="H35" s="439"/>
      <c r="I35" s="178"/>
      <c r="J35" s="437" t="str">
        <f>'[2]11-25 payroll'!A1</f>
        <v>THE OLD SPAGHETTI HOUSE</v>
      </c>
      <c r="K35" s="438"/>
      <c r="L35" s="438"/>
      <c r="M35" s="438"/>
      <c r="N35" s="438"/>
      <c r="O35" s="438"/>
      <c r="P35" s="439"/>
    </row>
    <row r="36" spans="2:17" x14ac:dyDescent="0.2">
      <c r="B36" s="440" t="str">
        <f>'[2]11-25 payroll'!D2</f>
        <v>VALERO</v>
      </c>
      <c r="C36" s="441"/>
      <c r="D36" s="441"/>
      <c r="E36" s="441"/>
      <c r="F36" s="441"/>
      <c r="G36" s="441"/>
      <c r="H36" s="442"/>
      <c r="I36" s="178"/>
      <c r="J36" s="440" t="str">
        <f>'[2]11-25 payroll'!D2</f>
        <v>VALERO</v>
      </c>
      <c r="K36" s="441"/>
      <c r="L36" s="441"/>
      <c r="M36" s="441"/>
      <c r="N36" s="441"/>
      <c r="O36" s="441"/>
      <c r="P36" s="442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3" t="s">
        <v>25</v>
      </c>
      <c r="C38" s="444"/>
      <c r="D38" s="444"/>
      <c r="E38" s="444"/>
      <c r="F38" s="444"/>
      <c r="G38" s="444"/>
      <c r="H38" s="445"/>
      <c r="I38" s="178"/>
      <c r="J38" s="443" t="s">
        <v>25</v>
      </c>
      <c r="K38" s="444"/>
      <c r="L38" s="444"/>
      <c r="M38" s="444"/>
      <c r="N38" s="444"/>
      <c r="O38" s="444"/>
      <c r="P38" s="445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'[2]11-25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9" t="str">
        <f>'[2]11-25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'[2]11-25 payroll'!E9</f>
        <v>790.23076923076928</v>
      </c>
      <c r="E41" s="447"/>
      <c r="F41" s="447"/>
      <c r="G41" s="55"/>
      <c r="H41" s="357"/>
      <c r="I41" s="195"/>
      <c r="J41" s="192" t="s">
        <v>28</v>
      </c>
      <c r="K41" s="193" t="s">
        <v>27</v>
      </c>
      <c r="L41" s="447">
        <v>527</v>
      </c>
      <c r="M41" s="447"/>
      <c r="N41" s="447"/>
      <c r="O41" s="9"/>
      <c r="P41" s="357"/>
    </row>
    <row r="42" spans="2:17" x14ac:dyDescent="0.2">
      <c r="B42" s="192" t="s">
        <v>29</v>
      </c>
      <c r="C42" s="193" t="s">
        <v>27</v>
      </c>
      <c r="D42" s="448" t="str">
        <f>'26-10 payroll'!D3</f>
        <v>Nov 26-Dec 10,2019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">
        <v>291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100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250+1000+34.57</f>
        <v>1284.57</v>
      </c>
      <c r="G50" s="55"/>
      <c r="H50" s="56">
        <f>SUM(F46:F50)</f>
        <v>1384.57</v>
      </c>
      <c r="I50" s="195"/>
      <c r="J50" s="192"/>
      <c r="K50" s="193"/>
      <c r="L50" s="204" t="s">
        <v>99</v>
      </c>
      <c r="M50" s="205"/>
      <c r="N50" s="11">
        <f>150+884+26.35</f>
        <v>1060.3499999999999</v>
      </c>
      <c r="O50" s="9"/>
      <c r="P50" s="10">
        <f>SUM(N46:N50)</f>
        <v>1180.3499999999999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299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4500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34.572596153846156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-5796.4225961538468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-1415.5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5861.1474038461529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6615.85</v>
      </c>
      <c r="Q61" s="174"/>
      <c r="T61" s="216">
        <f>+H61-'[2]11-25 payroll'!S37</f>
        <v>-2946.2432899038467</v>
      </c>
      <c r="V61" s="237">
        <f>+P61-'[2]11-25 payroll'!S38</f>
        <v>763.26649895833361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7" t="str">
        <f>'[2]11-25 payroll'!A1</f>
        <v>THE OLD SPAGHETTI HOUSE</v>
      </c>
      <c r="C68" s="438"/>
      <c r="D68" s="438"/>
      <c r="E68" s="438"/>
      <c r="F68" s="438"/>
      <c r="G68" s="438"/>
      <c r="H68" s="439"/>
      <c r="I68" s="178"/>
      <c r="J68" s="437" t="str">
        <f>'[2]11-25 payroll'!A1</f>
        <v>THE OLD SPAGHETTI HOUSE</v>
      </c>
      <c r="K68" s="438"/>
      <c r="L68" s="438"/>
      <c r="M68" s="438"/>
      <c r="N68" s="438"/>
      <c r="O68" s="438"/>
      <c r="P68" s="439"/>
    </row>
    <row r="69" spans="2:17" x14ac:dyDescent="0.2">
      <c r="B69" s="440" t="str">
        <f>'[2]11-25 payroll'!D2</f>
        <v>VALERO</v>
      </c>
      <c r="C69" s="441"/>
      <c r="D69" s="441"/>
      <c r="E69" s="441"/>
      <c r="F69" s="441"/>
      <c r="G69" s="441"/>
      <c r="H69" s="442"/>
      <c r="I69" s="178"/>
      <c r="J69" s="440" t="str">
        <f>'[2]11-25 payroll'!D2</f>
        <v>VALERO</v>
      </c>
      <c r="K69" s="441"/>
      <c r="L69" s="441"/>
      <c r="M69" s="441"/>
      <c r="N69" s="441"/>
      <c r="O69" s="441"/>
      <c r="P69" s="442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3" t="s">
        <v>25</v>
      </c>
      <c r="C71" s="444"/>
      <c r="D71" s="444"/>
      <c r="E71" s="444"/>
      <c r="F71" s="444"/>
      <c r="G71" s="444"/>
      <c r="H71" s="445"/>
      <c r="I71" s="178"/>
      <c r="J71" s="443" t="s">
        <v>25</v>
      </c>
      <c r="K71" s="444"/>
      <c r="L71" s="444"/>
      <c r="M71" s="444"/>
      <c r="N71" s="444"/>
      <c r="O71" s="444"/>
      <c r="P71" s="445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9" t="str">
        <f>'[2]11-25 payroll'!B11</f>
        <v>Briones, Christain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9" t="str">
        <f>'[2]11-25 payroll'!B12</f>
        <v>Cahilig,Benzen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v>527</v>
      </c>
      <c r="E74" s="447"/>
      <c r="F74" s="447"/>
      <c r="G74" s="55"/>
      <c r="H74" s="357"/>
      <c r="I74" s="195"/>
      <c r="J74" s="192" t="s">
        <v>28</v>
      </c>
      <c r="K74" s="193" t="s">
        <v>27</v>
      </c>
      <c r="L74" s="447">
        <v>527</v>
      </c>
      <c r="M74" s="447"/>
      <c r="N74" s="447"/>
      <c r="O74" s="9"/>
      <c r="P74" s="357"/>
    </row>
    <row r="75" spans="2:17" x14ac:dyDescent="0.2">
      <c r="B75" s="192" t="s">
        <v>29</v>
      </c>
      <c r="C75" s="193" t="s">
        <v>27</v>
      </c>
      <c r="D75" s="448" t="str">
        <f>'26-10 payroll'!D3</f>
        <v>Nov 26-Dec 10,2019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'26-10 payroll'!D3</f>
        <v>Nov 26-Dec 10,2019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5797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295</v>
      </c>
      <c r="E82" s="205"/>
      <c r="F82" s="55">
        <v>0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46.112500000000004</v>
      </c>
      <c r="G83" s="55"/>
      <c r="H83" s="56">
        <f>SUM(F79:F83)</f>
        <v>693.11249999999995</v>
      </c>
      <c r="I83" s="195"/>
      <c r="J83" s="192"/>
      <c r="K83" s="193"/>
      <c r="L83" s="204" t="s">
        <v>99</v>
      </c>
      <c r="M83" s="205"/>
      <c r="N83" s="11">
        <f>'26-10 payroll'!V12</f>
        <v>19.762500000000003</v>
      </c>
      <c r="O83" s="9"/>
      <c r="P83" s="56">
        <f>SUM(N79:N83)</f>
        <v>666.76250000000005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299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299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payroll'!E61</f>
        <v>800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96.177499999999995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21.73875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-196.17750000000001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-1922.1487499999998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6293.9350000000004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4541.6137500000004</v>
      </c>
      <c r="Q94" s="174"/>
      <c r="T94" s="216">
        <f>+H94-'[2]11-25 payroll'!S39</f>
        <v>1784.0367557291675</v>
      </c>
      <c r="V94" s="237">
        <f>+P94-'[2]11-25 payroll'!S40</f>
        <v>-284.59624999999869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7" t="str">
        <f>'[2]11-25 payroll'!A1</f>
        <v>THE OLD SPAGHETTI HOUSE</v>
      </c>
      <c r="C101" s="438"/>
      <c r="D101" s="438"/>
      <c r="E101" s="438"/>
      <c r="F101" s="438"/>
      <c r="G101" s="438"/>
      <c r="H101" s="439"/>
      <c r="I101" s="178"/>
      <c r="J101" s="437" t="str">
        <f>'[2]11-25 payroll'!A1</f>
        <v>THE OLD SPAGHETTI HOUSE</v>
      </c>
      <c r="K101" s="438"/>
      <c r="L101" s="438"/>
      <c r="M101" s="438"/>
      <c r="N101" s="438"/>
      <c r="O101" s="438"/>
      <c r="P101" s="439"/>
    </row>
    <row r="102" spans="2:17" x14ac:dyDescent="0.2">
      <c r="B102" s="440" t="str">
        <f>'[2]11-25 payroll'!D2</f>
        <v>VALERO</v>
      </c>
      <c r="C102" s="441"/>
      <c r="D102" s="441"/>
      <c r="E102" s="441"/>
      <c r="F102" s="441"/>
      <c r="G102" s="441"/>
      <c r="H102" s="442"/>
      <c r="I102" s="178"/>
      <c r="J102" s="440" t="str">
        <f>'[2]11-25 payroll'!D2</f>
        <v>VALERO</v>
      </c>
      <c r="K102" s="441"/>
      <c r="L102" s="441"/>
      <c r="M102" s="441"/>
      <c r="N102" s="441"/>
      <c r="O102" s="441"/>
      <c r="P102" s="442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3" t="s">
        <v>25</v>
      </c>
      <c r="C104" s="444"/>
      <c r="D104" s="444"/>
      <c r="E104" s="444"/>
      <c r="F104" s="444"/>
      <c r="G104" s="444"/>
      <c r="H104" s="445"/>
      <c r="I104" s="178"/>
      <c r="J104" s="443" t="s">
        <v>25</v>
      </c>
      <c r="K104" s="444"/>
      <c r="L104" s="444"/>
      <c r="M104" s="444"/>
      <c r="N104" s="444"/>
      <c r="O104" s="444"/>
      <c r="P104" s="445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9" t="str">
        <f>'[2]11-25 payroll'!B13</f>
        <v>Pantoja,Nancy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9">
        <f>'[2]11-25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v>527</v>
      </c>
      <c r="E107" s="447"/>
      <c r="F107" s="447"/>
      <c r="G107" s="55"/>
      <c r="H107" s="357"/>
      <c r="I107" s="195"/>
      <c r="J107" s="192" t="s">
        <v>28</v>
      </c>
      <c r="K107" s="193" t="s">
        <v>27</v>
      </c>
      <c r="L107" s="447">
        <f>'[2]11-25 payroll'!E14</f>
        <v>0</v>
      </c>
      <c r="M107" s="447"/>
      <c r="N107" s="447"/>
      <c r="O107" s="9"/>
      <c r="P107" s="357"/>
    </row>
    <row r="108" spans="2:17" x14ac:dyDescent="0.2">
      <c r="B108" s="192" t="s">
        <v>29</v>
      </c>
      <c r="C108" s="193" t="s">
        <v>27</v>
      </c>
      <c r="D108" s="448" t="str">
        <f>'26-10 payroll'!D3</f>
        <v>Nov 26-Dec 10,2019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'[2]11-25 payroll'!D3</f>
        <v>JULY  11 - 25, 2018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301</v>
      </c>
      <c r="E115" s="205"/>
      <c r="F115" s="55">
        <v>527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52.7</v>
      </c>
      <c r="G116" s="55"/>
      <c r="H116" s="56">
        <f>SUM(F112:F116)</f>
        <v>1226.7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299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157.5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85.637500000000003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-726.13750000000005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6297.5625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1225.0825000000004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7" t="s">
        <v>298</v>
      </c>
      <c r="C134" s="438"/>
      <c r="D134" s="438"/>
      <c r="E134" s="438"/>
      <c r="F134" s="438"/>
      <c r="G134" s="438"/>
      <c r="H134" s="439"/>
      <c r="I134" s="178"/>
      <c r="J134" s="437" t="s">
        <v>298</v>
      </c>
      <c r="K134" s="438"/>
      <c r="L134" s="438"/>
      <c r="M134" s="438"/>
      <c r="N134" s="438"/>
      <c r="O134" s="438"/>
      <c r="P134" s="439"/>
    </row>
    <row r="135" spans="2:17" x14ac:dyDescent="0.2">
      <c r="B135" s="440" t="str">
        <f>'[2]11-25 payroll'!D2</f>
        <v>VALERO</v>
      </c>
      <c r="C135" s="441"/>
      <c r="D135" s="441"/>
      <c r="E135" s="441"/>
      <c r="F135" s="441"/>
      <c r="G135" s="441"/>
      <c r="H135" s="442"/>
      <c r="I135" s="178"/>
      <c r="J135" s="440" t="str">
        <f>'[2]11-25 payroll'!D2</f>
        <v>VALERO</v>
      </c>
      <c r="K135" s="441"/>
      <c r="L135" s="441"/>
      <c r="M135" s="441"/>
      <c r="N135" s="441"/>
      <c r="O135" s="441"/>
      <c r="P135" s="442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3" t="s">
        <v>25</v>
      </c>
      <c r="C137" s="444"/>
      <c r="D137" s="444"/>
      <c r="E137" s="444"/>
      <c r="F137" s="444"/>
      <c r="G137" s="444"/>
      <c r="H137" s="445"/>
      <c r="I137" s="178"/>
      <c r="J137" s="443" t="s">
        <v>25</v>
      </c>
      <c r="K137" s="444"/>
      <c r="L137" s="444"/>
      <c r="M137" s="444"/>
      <c r="N137" s="444"/>
      <c r="O137" s="444"/>
      <c r="P137" s="445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9" t="s">
        <v>296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 t="s">
        <v>296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v>527</v>
      </c>
      <c r="E140" s="447"/>
      <c r="F140" s="447"/>
      <c r="G140" s="55"/>
      <c r="H140" s="357"/>
      <c r="I140" s="195"/>
      <c r="J140" s="192" t="s">
        <v>28</v>
      </c>
      <c r="K140" s="193" t="s">
        <v>27</v>
      </c>
      <c r="L140" s="447">
        <v>527</v>
      </c>
      <c r="M140" s="447"/>
      <c r="N140" s="447"/>
      <c r="O140" s="9"/>
      <c r="P140" s="357"/>
    </row>
    <row r="141" spans="2:17" x14ac:dyDescent="0.2">
      <c r="B141" s="192" t="s">
        <v>29</v>
      </c>
      <c r="C141" s="193" t="s">
        <v>27</v>
      </c>
      <c r="D141" s="448" t="s">
        <v>293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 t="s">
        <v>297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4" t="s">
        <v>258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</row>
    <row r="2" spans="1:27" s="277" customFormat="1" ht="26.25" x14ac:dyDescent="0.2">
      <c r="A2" s="384" t="s">
        <v>214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</row>
    <row r="3" spans="1:27" s="277" customFormat="1" ht="26.25" x14ac:dyDescent="0.2">
      <c r="A3" s="384" t="s">
        <v>215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5" t="s">
        <v>153</v>
      </c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1" t="s">
        <v>91</v>
      </c>
      <c r="I5" s="382"/>
      <c r="J5" s="382"/>
      <c r="K5" s="383"/>
      <c r="L5" s="374" t="s">
        <v>90</v>
      </c>
      <c r="M5" s="370" t="s">
        <v>157</v>
      </c>
      <c r="N5" s="370" t="s">
        <v>158</v>
      </c>
      <c r="O5" s="376" t="s">
        <v>159</v>
      </c>
      <c r="P5" s="377"/>
      <c r="Q5" s="378"/>
      <c r="R5" s="370" t="s">
        <v>160</v>
      </c>
      <c r="S5" s="376" t="s">
        <v>19</v>
      </c>
      <c r="T5" s="377"/>
      <c r="U5" s="378"/>
      <c r="V5" s="370" t="s">
        <v>124</v>
      </c>
      <c r="W5" s="370" t="s">
        <v>125</v>
      </c>
      <c r="X5" s="372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5"/>
      <c r="M6" s="371"/>
      <c r="N6" s="371"/>
      <c r="O6" s="285" t="s">
        <v>167</v>
      </c>
      <c r="P6" s="285" t="s">
        <v>168</v>
      </c>
      <c r="Q6" s="316" t="s">
        <v>125</v>
      </c>
      <c r="R6" s="371"/>
      <c r="S6" s="285" t="s">
        <v>167</v>
      </c>
      <c r="T6" s="285" t="s">
        <v>168</v>
      </c>
      <c r="U6" s="316" t="s">
        <v>125</v>
      </c>
      <c r="V6" s="371"/>
      <c r="W6" s="371"/>
      <c r="X6" s="373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8"/>
      <c r="G14" s="36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8" t="s">
        <v>224</v>
      </c>
      <c r="G16" s="368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5" t="s">
        <v>224</v>
      </c>
      <c r="G17" s="365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8" t="s">
        <v>173</v>
      </c>
      <c r="G22" s="368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5" t="s">
        <v>235</v>
      </c>
      <c r="G25" s="365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8" t="s">
        <v>235</v>
      </c>
      <c r="G26" s="368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5" t="s">
        <v>235</v>
      </c>
      <c r="G27" s="365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1" t="s">
        <v>91</v>
      </c>
      <c r="I30" s="382"/>
      <c r="J30" s="382"/>
      <c r="K30" s="383"/>
      <c r="L30" s="374" t="s">
        <v>90</v>
      </c>
      <c r="M30" s="370" t="s">
        <v>157</v>
      </c>
      <c r="N30" s="370" t="s">
        <v>158</v>
      </c>
      <c r="O30" s="376" t="s">
        <v>159</v>
      </c>
      <c r="P30" s="377"/>
      <c r="Q30" s="378"/>
      <c r="R30" s="370" t="s">
        <v>160</v>
      </c>
      <c r="S30" s="376" t="s">
        <v>19</v>
      </c>
      <c r="T30" s="377"/>
      <c r="U30" s="378"/>
      <c r="V30" s="370" t="s">
        <v>124</v>
      </c>
      <c r="W30" s="370" t="s">
        <v>125</v>
      </c>
      <c r="X30" s="372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5"/>
      <c r="M31" s="371"/>
      <c r="N31" s="371"/>
      <c r="O31" s="285" t="s">
        <v>167</v>
      </c>
      <c r="P31" s="285" t="s">
        <v>168</v>
      </c>
      <c r="Q31" s="316" t="s">
        <v>125</v>
      </c>
      <c r="R31" s="371"/>
      <c r="S31" s="285" t="s">
        <v>167</v>
      </c>
      <c r="T31" s="285" t="s">
        <v>168</v>
      </c>
      <c r="U31" s="316" t="s">
        <v>125</v>
      </c>
      <c r="V31" s="371"/>
      <c r="W31" s="371"/>
      <c r="X31" s="373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5" t="s">
        <v>263</v>
      </c>
      <c r="G32" s="365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0" t="s">
        <v>207</v>
      </c>
      <c r="G33" s="380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5" t="s">
        <v>173</v>
      </c>
      <c r="G34" s="365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8" t="s">
        <v>173</v>
      </c>
      <c r="G35" s="368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4" t="s">
        <v>201</v>
      </c>
      <c r="G36" s="365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8" t="s">
        <v>224</v>
      </c>
      <c r="G37" s="368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8" t="s">
        <v>224</v>
      </c>
      <c r="G38" s="368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0" t="s">
        <v>201</v>
      </c>
      <c r="G39" s="368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4" t="s">
        <v>201</v>
      </c>
      <c r="G40" s="365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8" t="s">
        <v>173</v>
      </c>
      <c r="G41" s="368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5" t="s">
        <v>173</v>
      </c>
      <c r="G42" s="365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0" t="s">
        <v>201</v>
      </c>
      <c r="G43" s="368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4" t="s">
        <v>201</v>
      </c>
      <c r="G44" s="365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0" t="s">
        <v>201</v>
      </c>
      <c r="G45" s="368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4" t="s">
        <v>201</v>
      </c>
      <c r="G46" s="365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0" t="s">
        <v>201</v>
      </c>
      <c r="G47" s="368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1" t="s">
        <v>91</v>
      </c>
      <c r="I50" s="382"/>
      <c r="J50" s="382"/>
      <c r="K50" s="383"/>
      <c r="L50" s="374" t="s">
        <v>90</v>
      </c>
      <c r="M50" s="370" t="s">
        <v>157</v>
      </c>
      <c r="N50" s="370" t="s">
        <v>158</v>
      </c>
      <c r="O50" s="376" t="s">
        <v>159</v>
      </c>
      <c r="P50" s="377"/>
      <c r="Q50" s="378"/>
      <c r="R50" s="370" t="s">
        <v>160</v>
      </c>
      <c r="S50" s="376" t="s">
        <v>19</v>
      </c>
      <c r="T50" s="377"/>
      <c r="U50" s="378"/>
      <c r="V50" s="370" t="s">
        <v>124</v>
      </c>
      <c r="W50" s="370" t="s">
        <v>125</v>
      </c>
      <c r="X50" s="372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5"/>
      <c r="M51" s="371"/>
      <c r="N51" s="371"/>
      <c r="O51" s="285" t="s">
        <v>167</v>
      </c>
      <c r="P51" s="285" t="s">
        <v>168</v>
      </c>
      <c r="Q51" s="316" t="s">
        <v>125</v>
      </c>
      <c r="R51" s="371"/>
      <c r="S51" s="285" t="s">
        <v>167</v>
      </c>
      <c r="T51" s="285" t="s">
        <v>168</v>
      </c>
      <c r="U51" s="316" t="s">
        <v>125</v>
      </c>
      <c r="V51" s="371"/>
      <c r="W51" s="371"/>
      <c r="X51" s="373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4" t="s">
        <v>201</v>
      </c>
      <c r="G52" s="365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0" t="s">
        <v>201</v>
      </c>
      <c r="G53" s="380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5" t="s">
        <v>173</v>
      </c>
      <c r="G54" s="365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8" t="s">
        <v>173</v>
      </c>
      <c r="G55" s="368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4" t="s">
        <v>201</v>
      </c>
      <c r="G56" s="365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8" t="s">
        <v>224</v>
      </c>
      <c r="G57" s="368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5" t="s">
        <v>224</v>
      </c>
      <c r="G58" s="365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0" t="s">
        <v>201</v>
      </c>
      <c r="G59" s="368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4" t="s">
        <v>201</v>
      </c>
      <c r="G60" s="365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8" t="s">
        <v>173</v>
      </c>
      <c r="G61" s="368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5" t="s">
        <v>173</v>
      </c>
      <c r="G62" s="365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0" t="s">
        <v>201</v>
      </c>
      <c r="G63" s="368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4" t="s">
        <v>201</v>
      </c>
      <c r="G64" s="365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0" t="s">
        <v>201</v>
      </c>
      <c r="G65" s="368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4" t="s">
        <v>201</v>
      </c>
      <c r="G66" s="365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0" t="s">
        <v>201</v>
      </c>
      <c r="G67" s="368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topLeftCell="A13" workbookViewId="0">
      <pane xSplit="2" topLeftCell="C1" activePane="topRight" state="frozen"/>
      <selection pane="topRight" activeCell="E42" sqref="E4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0"/>
      <c r="B5" s="392" t="s">
        <v>0</v>
      </c>
      <c r="C5" s="394" t="s">
        <v>1</v>
      </c>
      <c r="D5" s="395" t="s">
        <v>13</v>
      </c>
      <c r="E5" s="394" t="s">
        <v>14</v>
      </c>
      <c r="F5" s="395"/>
      <c r="G5" s="394" t="s">
        <v>16</v>
      </c>
      <c r="H5" s="395" t="s">
        <v>44</v>
      </c>
      <c r="I5" s="428" t="s">
        <v>118</v>
      </c>
      <c r="J5" s="434" t="s">
        <v>91</v>
      </c>
      <c r="K5" s="435"/>
      <c r="L5" s="436"/>
      <c r="M5" s="417" t="s">
        <v>108</v>
      </c>
      <c r="N5" s="418"/>
      <c r="O5" s="418"/>
      <c r="P5" s="394" t="s">
        <v>2</v>
      </c>
      <c r="Q5" s="395" t="s">
        <v>17</v>
      </c>
      <c r="R5" s="394" t="s">
        <v>2</v>
      </c>
      <c r="S5" s="395" t="s">
        <v>18</v>
      </c>
      <c r="T5" s="394" t="s">
        <v>2</v>
      </c>
      <c r="U5" s="395" t="s">
        <v>19</v>
      </c>
      <c r="V5" s="394" t="s">
        <v>2</v>
      </c>
      <c r="W5" s="395" t="s">
        <v>292</v>
      </c>
      <c r="X5" s="422" t="s">
        <v>3</v>
      </c>
    </row>
    <row r="6" spans="1:26" s="138" customFormat="1" ht="27" customHeight="1" thickBot="1" x14ac:dyDescent="0.25">
      <c r="A6" s="391"/>
      <c r="B6" s="393"/>
      <c r="C6" s="393"/>
      <c r="D6" s="396"/>
      <c r="E6" s="397"/>
      <c r="F6" s="396"/>
      <c r="G6" s="397"/>
      <c r="H6" s="421"/>
      <c r="I6" s="429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3"/>
      <c r="Q6" s="396"/>
      <c r="R6" s="393"/>
      <c r="S6" s="396"/>
      <c r="T6" s="393"/>
      <c r="U6" s="396"/>
      <c r="V6" s="393"/>
      <c r="W6" s="421"/>
      <c r="X6" s="42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19.762500000000003</v>
      </c>
      <c r="W7" s="133"/>
      <c r="X7" s="137">
        <f t="shared" ref="X7:X13" si="0">+G7+H7+P7+R7+T7+V7+W7+I7</f>
        <v>6990.7624999999998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11</v>
      </c>
      <c r="G8" s="141">
        <f>+D8</f>
        <v>6851</v>
      </c>
      <c r="H8" s="20">
        <f t="shared" ref="H8:H14" si="1">(F8+J8+K8+L8+Q8)*10</f>
        <v>120</v>
      </c>
      <c r="I8" s="21"/>
      <c r="J8" s="73">
        <v>1</v>
      </c>
      <c r="K8" s="73">
        <f>+'10.26-11.10'!I229</f>
        <v>0</v>
      </c>
      <c r="L8" s="73">
        <f>+'10.26-11.10'!J229</f>
        <v>0</v>
      </c>
      <c r="M8" s="73">
        <v>1</v>
      </c>
      <c r="N8" s="73">
        <v>0</v>
      </c>
      <c r="O8" s="73">
        <f>+'10.26-11.10'!Q229</f>
        <v>0</v>
      </c>
      <c r="P8" s="233">
        <f t="shared" ref="P8:P16" si="2">(((E8/8)*1.25)*M8)+((((E8/8)*N8)*200%)*130%)+((((E8/8)*130%)*130%)*O8)</f>
        <v>82.34375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73">
        <v>1</v>
      </c>
      <c r="V8" s="21">
        <f t="shared" ref="V8:V16" si="5">(E8/8/10)*U8</f>
        <v>6.5875000000000004</v>
      </c>
      <c r="W8" s="73"/>
      <c r="X8" s="137">
        <f t="shared" si="0"/>
        <v>7059.9312499999996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10</v>
      </c>
      <c r="G9" s="141">
        <f>D9</f>
        <v>10273</v>
      </c>
      <c r="H9" s="20">
        <f t="shared" si="1"/>
        <v>100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73">
        <v>5</v>
      </c>
      <c r="V9" s="21">
        <f t="shared" si="5"/>
        <v>49.38942307692308</v>
      </c>
      <c r="W9" s="73"/>
      <c r="X9" s="137">
        <f t="shared" si="0"/>
        <v>10422.389423076924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141">
        <f t="shared" ref="G10:G16" si="6">+D10</f>
        <v>6851</v>
      </c>
      <c r="H10" s="20">
        <f t="shared" si="1"/>
        <v>120</v>
      </c>
      <c r="I10" s="21"/>
      <c r="J10" s="73">
        <v>0</v>
      </c>
      <c r="K10" s="73">
        <v>0</v>
      </c>
      <c r="L10" s="73">
        <v>0</v>
      </c>
      <c r="M10" s="73">
        <v>1</v>
      </c>
      <c r="N10" s="73">
        <f>+'10.26-11.10'!P250</f>
        <v>0</v>
      </c>
      <c r="O10" s="73">
        <f>+'10.26-11.10'!Q250</f>
        <v>0</v>
      </c>
      <c r="P10" s="233">
        <f t="shared" si="2"/>
        <v>82.34375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73">
        <v>3</v>
      </c>
      <c r="V10" s="21">
        <f t="shared" si="5"/>
        <v>19.762500000000003</v>
      </c>
      <c r="W10" s="73"/>
      <c r="X10" s="137">
        <f t="shared" si="0"/>
        <v>7073.1062499999998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120</v>
      </c>
      <c r="I11" s="21"/>
      <c r="J11" s="73">
        <v>0</v>
      </c>
      <c r="K11" s="73">
        <f>+'10.26-11.10(SI)'!I28</f>
        <v>0</v>
      </c>
      <c r="L11" s="73"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73">
        <v>7</v>
      </c>
      <c r="V11" s="21">
        <f t="shared" si="5"/>
        <v>46.112500000000004</v>
      </c>
      <c r="W11" s="353"/>
      <c r="X11" s="137">
        <f t="shared" si="0"/>
        <v>6490.1125000000002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11</v>
      </c>
      <c r="G12" s="141">
        <f t="shared" ref="G12" si="7">E12*F12</f>
        <v>5797</v>
      </c>
      <c r="H12" s="20">
        <f t="shared" ref="H12" si="8">(F12+Q12)*10</f>
        <v>120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73">
        <v>3</v>
      </c>
      <c r="V12" s="21">
        <f>(E12/8/10)*U12</f>
        <v>19.762500000000003</v>
      </c>
      <c r="W12" s="73"/>
      <c r="X12" s="137">
        <f>+G12+H12+P12+R12+T12+V12+W12+I12</f>
        <v>6463.7624999999998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141">
        <f>E13*F13</f>
        <v>5797</v>
      </c>
      <c r="H13" s="20">
        <f>(F13+Q13)*10</f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>
        <v>1</v>
      </c>
      <c r="R13" s="21">
        <f t="shared" si="3"/>
        <v>527</v>
      </c>
      <c r="S13" s="73">
        <v>0</v>
      </c>
      <c r="T13" s="21">
        <f t="shared" si="4"/>
        <v>0</v>
      </c>
      <c r="U13" s="73">
        <v>8</v>
      </c>
      <c r="V13" s="21">
        <f t="shared" si="5"/>
        <v>52.7</v>
      </c>
      <c r="W13" s="73"/>
      <c r="X13" s="137">
        <f t="shared" si="0"/>
        <v>6496.7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48217</v>
      </c>
      <c r="H18" s="3">
        <f>SUM(H7:H16)</f>
        <v>820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164.6875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214.07692307692309</v>
      </c>
      <c r="W18" s="4"/>
      <c r="X18" s="3">
        <f>SUM(X7:X16)</f>
        <v>50996.764423076915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388" t="s">
        <v>3</v>
      </c>
      <c r="E20" s="424" t="s">
        <v>22</v>
      </c>
      <c r="F20" s="430" t="s">
        <v>2</v>
      </c>
      <c r="G20" s="432" t="s">
        <v>21</v>
      </c>
      <c r="H20" s="388" t="s">
        <v>2</v>
      </c>
      <c r="I20" s="426" t="s">
        <v>126</v>
      </c>
      <c r="J20" s="413" t="s">
        <v>4</v>
      </c>
      <c r="K20" s="415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20"/>
      <c r="E21" s="425"/>
      <c r="F21" s="431"/>
      <c r="G21" s="433"/>
      <c r="H21" s="404"/>
      <c r="I21" s="427"/>
      <c r="J21" s="414"/>
      <c r="K21" s="416"/>
      <c r="L21" s="404"/>
      <c r="M21" s="404"/>
      <c r="N21" s="420"/>
      <c r="O21" s="404"/>
      <c r="P21" s="409"/>
      <c r="R21" s="250" t="str">
        <f>D3</f>
        <v>Nov 26-Dec 10,2019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6990.7624999999998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5502.8024999999998</v>
      </c>
      <c r="R22" s="71">
        <f t="shared" ref="R22:R31" si="14">G7+H7+P7+R7+T7+V7+W7-F22-H22</f>
        <v>6990.7624999999998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2"/>
        <v>7059.9312499999996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5174.0212499999998</v>
      </c>
      <c r="R23" s="71">
        <f t="shared" si="14"/>
        <v>7059.9312499999996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10422.389423076924</v>
      </c>
      <c r="E24" s="362">
        <v>2</v>
      </c>
      <c r="F24" s="363">
        <f t="shared" si="15"/>
        <v>1580.4615384615386</v>
      </c>
      <c r="G24" s="353">
        <f>21/60</f>
        <v>0.35</v>
      </c>
      <c r="H24" s="356">
        <f>(+E9/8)*G24</f>
        <v>34.572596153846156</v>
      </c>
      <c r="I24" s="353"/>
      <c r="J24" s="15"/>
      <c r="K24" s="360"/>
      <c r="L24" s="15"/>
      <c r="M24" s="18">
        <v>100</v>
      </c>
      <c r="N24" s="360">
        <v>1161.8499999999999</v>
      </c>
      <c r="O24" s="18"/>
      <c r="P24" s="158">
        <f t="shared" si="13"/>
        <v>7545.5052884615379</v>
      </c>
      <c r="R24" s="71">
        <f t="shared" si="14"/>
        <v>8807.3552884615383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7073.1062499999998</v>
      </c>
      <c r="E25" s="353">
        <v>0</v>
      </c>
      <c r="F25" s="356">
        <f t="shared" si="15"/>
        <v>0</v>
      </c>
      <c r="G25" s="353"/>
      <c r="H25" s="356">
        <f t="shared" ref="H25:H27" si="17">(+E10/8)*G25</f>
        <v>0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3"/>
        <v>5657.6062499999998</v>
      </c>
      <c r="R25" s="71">
        <f t="shared" si="14"/>
        <v>7073.1062499999998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6490.1125000000002</v>
      </c>
      <c r="E26" s="353">
        <v>0</v>
      </c>
      <c r="F26" s="356">
        <f t="shared" si="15"/>
        <v>0</v>
      </c>
      <c r="G26" s="73">
        <v>1.46</v>
      </c>
      <c r="H26" s="356">
        <f t="shared" si="17"/>
        <v>96.177499999999995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6293.9350000000004</v>
      </c>
      <c r="R26" s="71">
        <f t="shared" si="14"/>
        <v>6393.9350000000004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6463.7624999999998</v>
      </c>
      <c r="E27" s="353">
        <v>0</v>
      </c>
      <c r="F27" s="356">
        <f t="shared" si="15"/>
        <v>0</v>
      </c>
      <c r="G27" s="73">
        <v>0.33</v>
      </c>
      <c r="H27" s="356">
        <f t="shared" si="17"/>
        <v>21.73875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5341.6137499999986</v>
      </c>
      <c r="R27" s="71">
        <f>G12+H12+P12+R12+T12+V12+W12-F27-H27</f>
        <v>6442.0237499999994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6496.7</v>
      </c>
      <c r="E28" s="353">
        <v>0</v>
      </c>
      <c r="F28" s="356">
        <f t="shared" si="15"/>
        <v>0</v>
      </c>
      <c r="G28" s="73">
        <v>1.3</v>
      </c>
      <c r="H28" s="356">
        <f>(+E13/8)*G28</f>
        <v>85.637500000000003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5928.0625</v>
      </c>
      <c r="R28" s="71">
        <f t="shared" si="14"/>
        <v>6411.0625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50996.764423076915</v>
      </c>
      <c r="E33" s="4">
        <f>+SUM(E22:E32)</f>
        <v>2</v>
      </c>
      <c r="F33" s="3">
        <f>SUM(F22:F32)</f>
        <v>1580.4615384615386</v>
      </c>
      <c r="G33" s="4"/>
      <c r="H33" s="3">
        <f>SUM(H22:H32)</f>
        <v>238.12634615384616</v>
      </c>
      <c r="I33" s="3">
        <f>+SUM(I22:I32)</f>
        <v>0</v>
      </c>
      <c r="J33" s="3">
        <f t="shared" ref="J33:O33" si="21">+SUM(J22:J32)</f>
        <v>0</v>
      </c>
      <c r="K33" s="3">
        <f t="shared" si="21"/>
        <v>2999.47</v>
      </c>
      <c r="L33" s="3">
        <f t="shared" si="21"/>
        <v>0</v>
      </c>
      <c r="M33" s="3">
        <f t="shared" si="21"/>
        <v>700</v>
      </c>
      <c r="N33" s="3">
        <f t="shared" si="21"/>
        <v>4035.16</v>
      </c>
      <c r="O33" s="3">
        <f t="shared" si="21"/>
        <v>0</v>
      </c>
      <c r="P33" s="5">
        <f>+SUM(P22:P32)</f>
        <v>41443.546538461538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6536.8024999999998</v>
      </c>
    </row>
    <row r="36" spans="1:25" x14ac:dyDescent="0.2">
      <c r="M36" s="16" t="str">
        <f t="shared" si="22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3"/>
        <v>5674.0212499999998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2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3"/>
        <v>8795.5052884615379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6691.6062499999998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 t="shared" si="23"/>
        <v>6293.9350000000004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5341.6137499999986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5928.0625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 x14ac:dyDescent="0.2">
      <c r="P46" s="169">
        <f>+P33+(SUM(O35:Q44))</f>
        <v>45261.546538461538</v>
      </c>
    </row>
    <row r="53" spans="1:16" ht="13.5" thickBot="1" x14ac:dyDescent="0.25"/>
    <row r="54" spans="1:16" ht="13.5" thickBot="1" x14ac:dyDescent="0.25">
      <c r="A54" s="398"/>
      <c r="B54" s="400" t="s">
        <v>0</v>
      </c>
      <c r="C54" s="402" t="s">
        <v>1</v>
      </c>
      <c r="D54" s="388" t="s">
        <v>45</v>
      </c>
      <c r="E54" s="386" t="s">
        <v>151</v>
      </c>
      <c r="F54" s="406" t="s">
        <v>302</v>
      </c>
      <c r="G54" s="407"/>
      <c r="H54" s="411"/>
      <c r="I54" s="408" t="s">
        <v>3</v>
      </c>
      <c r="J54" s="410" t="s">
        <v>114</v>
      </c>
      <c r="K54" s="405" t="s">
        <v>115</v>
      </c>
      <c r="L54" s="405" t="s">
        <v>116</v>
      </c>
      <c r="N54" s="419" t="s">
        <v>102</v>
      </c>
    </row>
    <row r="55" spans="1:16" ht="13.5" thickBot="1" x14ac:dyDescent="0.25">
      <c r="A55" s="399"/>
      <c r="B55" s="401"/>
      <c r="C55" s="403"/>
      <c r="D55" s="389"/>
      <c r="E55" s="387"/>
      <c r="F55" s="245" t="s">
        <v>305</v>
      </c>
      <c r="G55" s="246" t="s">
        <v>148</v>
      </c>
      <c r="H55" s="412"/>
      <c r="I55" s="409"/>
      <c r="J55" s="410"/>
      <c r="K55" s="405"/>
      <c r="L55" s="405"/>
      <c r="N55" s="419"/>
    </row>
    <row r="56" spans="1:16" ht="13.5" thickBot="1" x14ac:dyDescent="0.25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/>
      <c r="E56" s="157"/>
      <c r="F56" s="236"/>
      <c r="G56" s="236">
        <v>0</v>
      </c>
      <c r="H56" s="157">
        <v>0</v>
      </c>
      <c r="I56" s="158">
        <f t="shared" ref="I56:I58" si="26">+D22-F22-H22-D56-J22-K22-L22-M22-N22-O22-E56-H56-F56-G56-I22</f>
        <v>5502.8024999999998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6536.8024999999998</v>
      </c>
    </row>
    <row r="57" spans="1:16" ht="13.5" thickBot="1" x14ac:dyDescent="0.25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122"/>
      <c r="H57" s="157">
        <v>0</v>
      </c>
      <c r="I57" s="158">
        <f>+D23-F23-H23-D57-J23-K23-L23-M23-N23-O23-E57-H57-F57-G57-I23</f>
        <v>5174.0212499999998</v>
      </c>
      <c r="J57" s="274">
        <f>+O36</f>
        <v>0</v>
      </c>
      <c r="K57" s="274">
        <f t="shared" si="27"/>
        <v>500</v>
      </c>
      <c r="L57" s="274">
        <f t="shared" si="27"/>
        <v>0</v>
      </c>
      <c r="N57" s="165">
        <f t="shared" si="28"/>
        <v>5674.0212499999998</v>
      </c>
    </row>
    <row r="58" spans="1:16" ht="13.5" thickBot="1" x14ac:dyDescent="0.25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>
        <v>4500</v>
      </c>
      <c r="G58" s="18">
        <v>0</v>
      </c>
      <c r="H58" s="157">
        <v>0</v>
      </c>
      <c r="I58" s="158">
        <f t="shared" si="26"/>
        <v>3045.5052884615379</v>
      </c>
      <c r="J58" s="274">
        <f>+O37</f>
        <v>250</v>
      </c>
      <c r="K58" s="274">
        <f t="shared" si="27"/>
        <v>1000</v>
      </c>
      <c r="L58" s="274">
        <f t="shared" si="27"/>
        <v>0</v>
      </c>
      <c r="N58" s="165">
        <f>+I58+J58+K58</f>
        <v>4295.5052884615379</v>
      </c>
      <c r="P58" s="165"/>
    </row>
    <row r="59" spans="1:16" ht="13.5" thickBot="1" x14ac:dyDescent="0.25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/>
      <c r="E59" s="122"/>
      <c r="F59" s="122"/>
      <c r="G59" s="122">
        <v>0</v>
      </c>
      <c r="H59" s="157">
        <v>0</v>
      </c>
      <c r="I59" s="158">
        <f>+D25-F25-H25-D59-J25-K25-L25-M25-N25-O25-E59-H59-F59-G59-I25</f>
        <v>5657.6062499999998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6691.6062499999998</v>
      </c>
    </row>
    <row r="60" spans="1:16" ht="13.5" thickBot="1" x14ac:dyDescent="0.25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6293.9350000000004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6293.9350000000004</v>
      </c>
    </row>
    <row r="61" spans="1:16" ht="13.5" thickBot="1" x14ac:dyDescent="0.25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>
        <v>800</v>
      </c>
      <c r="F61" s="122"/>
      <c r="G61" s="122"/>
      <c r="H61" s="157">
        <v>0</v>
      </c>
      <c r="I61" s="158">
        <f>+D27-F27-H27-D61-J27-K27-L27-M27-N27-O27-E61-H61-F61-G61-I27</f>
        <v>4541.6137499999986</v>
      </c>
      <c r="N61" s="165">
        <f>+I61+J61+K61</f>
        <v>4541.6137499999986</v>
      </c>
    </row>
    <row r="62" spans="1:16" x14ac:dyDescent="0.2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>
        <v>157.5</v>
      </c>
      <c r="E62" s="122"/>
      <c r="F62" s="122"/>
      <c r="G62" s="122"/>
      <c r="H62" s="157">
        <v>0</v>
      </c>
      <c r="I62" s="158">
        <f>+D28-F28-H28-D62-J28-K28-L28-M28-N28-O28-E62-H62-F62-G62-I28</f>
        <v>5770.5625</v>
      </c>
      <c r="N62" s="165">
        <f>+I62+J62+K62</f>
        <v>5770.5625</v>
      </c>
    </row>
    <row r="63" spans="1:16" x14ac:dyDescent="0.2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 x14ac:dyDescent="0.2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 x14ac:dyDescent="0.2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157.5</v>
      </c>
      <c r="E67" s="3">
        <f>+SUM(E56:E66)</f>
        <v>800</v>
      </c>
      <c r="F67" s="3">
        <f>+SUM(F56:F66)</f>
        <v>4500</v>
      </c>
      <c r="G67" s="3">
        <f>+SUM(G56:G66)</f>
        <v>0</v>
      </c>
      <c r="H67" s="3">
        <f>+SUM(H56:H66)</f>
        <v>0</v>
      </c>
      <c r="I67" s="5">
        <f>+SUM(I56:I66)</f>
        <v>35986.046538461538</v>
      </c>
      <c r="N67" s="275">
        <f>SUM(N56:N66)</f>
        <v>39804.046538461538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7" t="str">
        <f>'26-10 payroll'!A1</f>
        <v>THE OLD SPAGHETTI HOUSE</v>
      </c>
      <c r="C2" s="438"/>
      <c r="D2" s="438"/>
      <c r="E2" s="438"/>
      <c r="F2" s="438"/>
      <c r="G2" s="438"/>
      <c r="H2" s="439"/>
      <c r="I2" s="178"/>
      <c r="J2" s="437" t="str">
        <f>'26-10 payroll'!A1</f>
        <v>THE OLD SPAGHETTI HOUSE</v>
      </c>
      <c r="K2" s="438"/>
      <c r="L2" s="438"/>
      <c r="M2" s="438"/>
      <c r="N2" s="438"/>
      <c r="O2" s="438"/>
      <c r="P2" s="439"/>
    </row>
    <row r="3" spans="1:22" s="179" customFormat="1" x14ac:dyDescent="0.2">
      <c r="A3" s="170"/>
      <c r="B3" s="440" t="str">
        <f>'26-10 payroll'!D2</f>
        <v>VALERO</v>
      </c>
      <c r="C3" s="441"/>
      <c r="D3" s="441"/>
      <c r="E3" s="441"/>
      <c r="F3" s="441"/>
      <c r="G3" s="441"/>
      <c r="H3" s="442"/>
      <c r="I3" s="178"/>
      <c r="J3" s="440" t="str">
        <f>'26-10 payroll'!D2</f>
        <v>VALERO</v>
      </c>
      <c r="K3" s="441"/>
      <c r="L3" s="441"/>
      <c r="M3" s="441"/>
      <c r="N3" s="441"/>
      <c r="O3" s="441"/>
      <c r="P3" s="442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3" t="s">
        <v>25</v>
      </c>
      <c r="C5" s="444"/>
      <c r="D5" s="444"/>
      <c r="E5" s="444"/>
      <c r="F5" s="444"/>
      <c r="G5" s="444"/>
      <c r="H5" s="445"/>
      <c r="I5" s="178"/>
      <c r="J5" s="443" t="s">
        <v>25</v>
      </c>
      <c r="K5" s="444"/>
      <c r="L5" s="444"/>
      <c r="M5" s="444"/>
      <c r="N5" s="444"/>
      <c r="O5" s="444"/>
      <c r="P5" s="445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'26-10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'26-10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f>'26-10 payroll'!E7</f>
        <v>527</v>
      </c>
      <c r="E8" s="447"/>
      <c r="F8" s="447"/>
      <c r="G8" s="55"/>
      <c r="H8" s="196"/>
      <c r="I8" s="195"/>
      <c r="J8" s="192" t="s">
        <v>28</v>
      </c>
      <c r="K8" s="193" t="s">
        <v>27</v>
      </c>
      <c r="L8" s="447">
        <f>'26-10 payroll'!E8</f>
        <v>527</v>
      </c>
      <c r="M8" s="447"/>
      <c r="N8" s="447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'26-10 payroll'!D3</f>
        <v>Nov 26-Dec 10,2019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'26-10 payroll'!D3</f>
        <v>Nov 26-Dec 10,2019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82.34375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506.58749999999998</v>
      </c>
      <c r="O17" s="9"/>
      <c r="P17" s="10">
        <f>SUM(N13:N17)</f>
        <v>708.93124999999998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-1487.96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6536.8024999999998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5674.0212499999998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7" t="str">
        <f>'26-10 payroll'!A1</f>
        <v>THE OLD SPAGHETTI HOUSE</v>
      </c>
      <c r="C35" s="438"/>
      <c r="D35" s="438"/>
      <c r="E35" s="438"/>
      <c r="F35" s="438"/>
      <c r="G35" s="438"/>
      <c r="H35" s="439"/>
      <c r="I35" s="178"/>
      <c r="J35" s="437" t="str">
        <f>'26-10 payroll'!A1</f>
        <v>THE OLD SPAGHETTI HOUSE</v>
      </c>
      <c r="K35" s="438"/>
      <c r="L35" s="438"/>
      <c r="M35" s="438"/>
      <c r="N35" s="438"/>
      <c r="O35" s="438"/>
      <c r="P35" s="439"/>
    </row>
    <row r="36" spans="2:17" x14ac:dyDescent="0.2">
      <c r="B36" s="440" t="str">
        <f>'26-10 payroll'!D2</f>
        <v>VALERO</v>
      </c>
      <c r="C36" s="441"/>
      <c r="D36" s="441"/>
      <c r="E36" s="441"/>
      <c r="F36" s="441"/>
      <c r="G36" s="441"/>
      <c r="H36" s="442"/>
      <c r="I36" s="178"/>
      <c r="J36" s="440" t="str">
        <f>'26-10 payroll'!D2</f>
        <v>VALERO</v>
      </c>
      <c r="K36" s="441"/>
      <c r="L36" s="441"/>
      <c r="M36" s="441"/>
      <c r="N36" s="441"/>
      <c r="O36" s="441"/>
      <c r="P36" s="442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3" t="s">
        <v>25</v>
      </c>
      <c r="C38" s="444"/>
      <c r="D38" s="444"/>
      <c r="E38" s="444"/>
      <c r="F38" s="444"/>
      <c r="G38" s="444"/>
      <c r="H38" s="445"/>
      <c r="I38" s="178"/>
      <c r="J38" s="443" t="s">
        <v>25</v>
      </c>
      <c r="K38" s="444"/>
      <c r="L38" s="444"/>
      <c r="M38" s="444"/>
      <c r="N38" s="444"/>
      <c r="O38" s="444"/>
      <c r="P38" s="445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'26-10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9" t="str">
        <f>'26-10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'26-10 payroll'!E9</f>
        <v>790.23076923076928</v>
      </c>
      <c r="E41" s="447"/>
      <c r="F41" s="447"/>
      <c r="G41" s="55"/>
      <c r="H41" s="196"/>
      <c r="I41" s="195"/>
      <c r="J41" s="192" t="s">
        <v>28</v>
      </c>
      <c r="K41" s="193" t="s">
        <v>27</v>
      </c>
      <c r="L41" s="447">
        <f>'26-10 payroll'!E10</f>
        <v>527</v>
      </c>
      <c r="M41" s="447"/>
      <c r="N41" s="447"/>
      <c r="O41" s="9"/>
      <c r="P41" s="196"/>
    </row>
    <row r="42" spans="2:17" x14ac:dyDescent="0.2">
      <c r="B42" s="192" t="s">
        <v>29</v>
      </c>
      <c r="C42" s="193" t="s">
        <v>27</v>
      </c>
      <c r="D42" s="448" t="str">
        <f>'26-10 payroll'!D3</f>
        <v>Nov 26-Dec 10,2019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'26-10 payroll'!D3</f>
        <v>Nov 26-Dec 10,2019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82.34375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100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1399.3894230769231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1256.10625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4500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1615.0341346153848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-7376.884134615384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-1415.5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4295.5052884615397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6691.6062499999998</v>
      </c>
      <c r="Q61" s="174"/>
      <c r="T61" s="216">
        <f>+H61-'26-10 payroll'!S37</f>
        <v>-4499.9999999999982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7" t="str">
        <f>'26-10 payroll'!A1</f>
        <v>THE OLD SPAGHETTI HOUSE</v>
      </c>
      <c r="C68" s="438"/>
      <c r="D68" s="438"/>
      <c r="E68" s="438"/>
      <c r="F68" s="438"/>
      <c r="G68" s="438"/>
      <c r="H68" s="439"/>
      <c r="I68" s="178"/>
      <c r="J68" s="437" t="str">
        <f>'26-10 payroll'!A1</f>
        <v>THE OLD SPAGHETTI HOUSE</v>
      </c>
      <c r="K68" s="438"/>
      <c r="L68" s="438"/>
      <c r="M68" s="438"/>
      <c r="N68" s="438"/>
      <c r="O68" s="438"/>
      <c r="P68" s="439"/>
    </row>
    <row r="69" spans="2:17" x14ac:dyDescent="0.2">
      <c r="B69" s="440" t="str">
        <f>'26-10 payroll'!D2</f>
        <v>VALERO</v>
      </c>
      <c r="C69" s="441"/>
      <c r="D69" s="441"/>
      <c r="E69" s="441"/>
      <c r="F69" s="441"/>
      <c r="G69" s="441"/>
      <c r="H69" s="442"/>
      <c r="I69" s="178"/>
      <c r="J69" s="440" t="str">
        <f>'26-10 payroll'!D2</f>
        <v>VALERO</v>
      </c>
      <c r="K69" s="441"/>
      <c r="L69" s="441"/>
      <c r="M69" s="441"/>
      <c r="N69" s="441"/>
      <c r="O69" s="441"/>
      <c r="P69" s="442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3" t="s">
        <v>25</v>
      </c>
      <c r="C71" s="444"/>
      <c r="D71" s="444"/>
      <c r="E71" s="444"/>
      <c r="F71" s="444"/>
      <c r="G71" s="444"/>
      <c r="H71" s="445"/>
      <c r="I71" s="178"/>
      <c r="J71" s="443" t="s">
        <v>25</v>
      </c>
      <c r="K71" s="444"/>
      <c r="L71" s="444"/>
      <c r="M71" s="444"/>
      <c r="N71" s="444"/>
      <c r="O71" s="444"/>
      <c r="P71" s="445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9" t="str">
        <f>'26-10 payroll'!B11</f>
        <v>Briones, Christian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9" t="str">
        <f>'26-10 payroll'!B12</f>
        <v>Cahilig,Benzen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f>'26-10 payroll'!E11</f>
        <v>527</v>
      </c>
      <c r="E74" s="447"/>
      <c r="F74" s="447"/>
      <c r="G74" s="55"/>
      <c r="H74" s="196"/>
      <c r="I74" s="195"/>
      <c r="J74" s="192" t="s">
        <v>28</v>
      </c>
      <c r="K74" s="193" t="s">
        <v>27</v>
      </c>
      <c r="L74" s="447">
        <f>'26-10 payroll'!E12</f>
        <v>527</v>
      </c>
      <c r="M74" s="447"/>
      <c r="N74" s="447"/>
      <c r="O74" s="9"/>
      <c r="P74" s="196"/>
    </row>
    <row r="75" spans="2:17" x14ac:dyDescent="0.2">
      <c r="B75" s="192" t="s">
        <v>29</v>
      </c>
      <c r="C75" s="193" t="s">
        <v>27</v>
      </c>
      <c r="D75" s="448" t="str">
        <f>'26-10 payroll'!D3</f>
        <v>Nov 26-Dec 10,2019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'26-10 payroll'!D3</f>
        <v>Nov 26-Dec 10,2019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46.112500000000004</v>
      </c>
      <c r="G83" s="55"/>
      <c r="H83" s="56">
        <f>SUM(F79:F83)</f>
        <v>693.11249999999995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19.762500000000003</v>
      </c>
      <c r="O83" s="9"/>
      <c r="P83" s="10">
        <f>SUM(N79:N83)</f>
        <v>666.76250000000005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800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96.177499999999995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21.73875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-196.17750000000001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-1922.1487499999998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6293.9350000000004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4541.6137500000004</v>
      </c>
      <c r="Q94" s="174"/>
      <c r="T94" s="216">
        <f>+H94-'26-10 payroll'!S39</f>
        <v>0</v>
      </c>
      <c r="V94" s="237">
        <f>+P94-'26-10 payroll'!S40</f>
        <v>-799.99999999999818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7" t="str">
        <f>'26-10 payroll'!A1</f>
        <v>THE OLD SPAGHETTI HOUSE</v>
      </c>
      <c r="C101" s="438"/>
      <c r="D101" s="438"/>
      <c r="E101" s="438"/>
      <c r="F101" s="438"/>
      <c r="G101" s="438"/>
      <c r="H101" s="439"/>
      <c r="I101" s="178"/>
      <c r="J101" s="437" t="str">
        <f>'26-10 payroll'!A1</f>
        <v>THE OLD SPAGHETTI HOUSE</v>
      </c>
      <c r="K101" s="438"/>
      <c r="L101" s="438"/>
      <c r="M101" s="438"/>
      <c r="N101" s="438"/>
      <c r="O101" s="438"/>
      <c r="P101" s="439"/>
    </row>
    <row r="102" spans="2:17" x14ac:dyDescent="0.2">
      <c r="B102" s="440" t="str">
        <f>'26-10 payroll'!D2</f>
        <v>VALERO</v>
      </c>
      <c r="C102" s="441"/>
      <c r="D102" s="441"/>
      <c r="E102" s="441"/>
      <c r="F102" s="441"/>
      <c r="G102" s="441"/>
      <c r="H102" s="442"/>
      <c r="I102" s="178"/>
      <c r="J102" s="440" t="str">
        <f>'26-10 payroll'!D2</f>
        <v>VALERO</v>
      </c>
      <c r="K102" s="441"/>
      <c r="L102" s="441"/>
      <c r="M102" s="441"/>
      <c r="N102" s="441"/>
      <c r="O102" s="441"/>
      <c r="P102" s="442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3" t="s">
        <v>25</v>
      </c>
      <c r="C104" s="444"/>
      <c r="D104" s="444"/>
      <c r="E104" s="444"/>
      <c r="F104" s="444"/>
      <c r="G104" s="444"/>
      <c r="H104" s="445"/>
      <c r="I104" s="178"/>
      <c r="J104" s="443" t="s">
        <v>25</v>
      </c>
      <c r="K104" s="444"/>
      <c r="L104" s="444"/>
      <c r="M104" s="444"/>
      <c r="N104" s="444"/>
      <c r="O104" s="444"/>
      <c r="P104" s="445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9" t="str">
        <f>'26-10 payroll'!B13</f>
        <v>Pantoja,Nancy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9">
        <f>'26-10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f>'26-10 payroll'!E13</f>
        <v>527</v>
      </c>
      <c r="E107" s="447"/>
      <c r="F107" s="447"/>
      <c r="G107" s="55"/>
      <c r="H107" s="196"/>
      <c r="I107" s="195"/>
      <c r="J107" s="192" t="s">
        <v>28</v>
      </c>
      <c r="K107" s="193" t="s">
        <v>27</v>
      </c>
      <c r="L107" s="447">
        <f>'26-10 payroll'!E14</f>
        <v>0</v>
      </c>
      <c r="M107" s="447"/>
      <c r="N107" s="447"/>
      <c r="O107" s="9"/>
      <c r="P107" s="196"/>
    </row>
    <row r="108" spans="2:17" x14ac:dyDescent="0.2">
      <c r="B108" s="192" t="s">
        <v>29</v>
      </c>
      <c r="C108" s="193" t="s">
        <v>27</v>
      </c>
      <c r="D108" s="448" t="str">
        <f>'26-10 payroll'!D3</f>
        <v>Nov 26-Dec 10,2019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'26-10 payroll'!D3</f>
        <v>Nov 26-Dec 10,2019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52.7</v>
      </c>
      <c r="G116" s="55"/>
      <c r="H116" s="56">
        <f>SUM(F112:F116)</f>
        <v>699.7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157.5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85.637500000000003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-726.13750000000005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5770.5625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-157.5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7" t="str">
        <f>'26-10 payroll'!A1</f>
        <v>THE OLD SPAGHETTI HOUSE</v>
      </c>
      <c r="C134" s="438"/>
      <c r="D134" s="438"/>
      <c r="E134" s="438"/>
      <c r="F134" s="438"/>
      <c r="G134" s="438"/>
      <c r="H134" s="439"/>
      <c r="I134" s="178"/>
      <c r="J134" s="437" t="str">
        <f>'26-10 payroll'!A1</f>
        <v>THE OLD SPAGHETTI HOUSE</v>
      </c>
      <c r="K134" s="438"/>
      <c r="L134" s="438"/>
      <c r="M134" s="438"/>
      <c r="N134" s="438"/>
      <c r="O134" s="438"/>
      <c r="P134" s="439"/>
    </row>
    <row r="135" spans="2:17" x14ac:dyDescent="0.2">
      <c r="B135" s="440" t="str">
        <f>'26-10 payroll'!D2</f>
        <v>VALERO</v>
      </c>
      <c r="C135" s="441"/>
      <c r="D135" s="441"/>
      <c r="E135" s="441"/>
      <c r="F135" s="441"/>
      <c r="G135" s="441"/>
      <c r="H135" s="442"/>
      <c r="I135" s="178"/>
      <c r="J135" s="440" t="str">
        <f>'26-10 payroll'!D2</f>
        <v>VALERO</v>
      </c>
      <c r="K135" s="441"/>
      <c r="L135" s="441"/>
      <c r="M135" s="441"/>
      <c r="N135" s="441"/>
      <c r="O135" s="441"/>
      <c r="P135" s="442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3" t="s">
        <v>25</v>
      </c>
      <c r="C137" s="444"/>
      <c r="D137" s="444"/>
      <c r="E137" s="444"/>
      <c r="F137" s="444"/>
      <c r="G137" s="444"/>
      <c r="H137" s="445"/>
      <c r="I137" s="178"/>
      <c r="J137" s="443" t="s">
        <v>25</v>
      </c>
      <c r="K137" s="444"/>
      <c r="L137" s="444"/>
      <c r="M137" s="444"/>
      <c r="N137" s="444"/>
      <c r="O137" s="444"/>
      <c r="P137" s="445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9">
        <f>'26-10 payroll'!B15</f>
        <v>0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'26-10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'26-10 payroll'!E15</f>
        <v>0</v>
      </c>
      <c r="E140" s="447"/>
      <c r="F140" s="447"/>
      <c r="G140" s="55"/>
      <c r="H140" s="196"/>
      <c r="I140" s="195"/>
      <c r="J140" s="192" t="s">
        <v>28</v>
      </c>
      <c r="K140" s="193" t="s">
        <v>27</v>
      </c>
      <c r="L140" s="447">
        <f>'26-10 payroll'!E112</f>
        <v>0</v>
      </c>
      <c r="M140" s="447"/>
      <c r="N140" s="447"/>
      <c r="O140" s="9"/>
      <c r="P140" s="196"/>
    </row>
    <row r="141" spans="2:17" x14ac:dyDescent="0.2">
      <c r="B141" s="192" t="s">
        <v>29</v>
      </c>
      <c r="C141" s="193" t="s">
        <v>27</v>
      </c>
      <c r="D141" s="448" t="str">
        <f>'26-10 payroll'!D3</f>
        <v>Nov 26-Dec 10,2019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'26-10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0"/>
      <c r="B5" s="392" t="s">
        <v>0</v>
      </c>
      <c r="C5" s="394" t="s">
        <v>1</v>
      </c>
      <c r="D5" s="395" t="s">
        <v>13</v>
      </c>
      <c r="E5" s="394" t="s">
        <v>14</v>
      </c>
      <c r="F5" s="395" t="s">
        <v>15</v>
      </c>
      <c r="G5" s="394" t="s">
        <v>16</v>
      </c>
      <c r="H5" s="395" t="s">
        <v>44</v>
      </c>
      <c r="I5" s="428" t="s">
        <v>118</v>
      </c>
      <c r="J5" s="434" t="s">
        <v>91</v>
      </c>
      <c r="K5" s="435"/>
      <c r="L5" s="436"/>
      <c r="M5" s="417" t="s">
        <v>108</v>
      </c>
      <c r="N5" s="418"/>
      <c r="O5" s="418"/>
      <c r="P5" s="394" t="s">
        <v>2</v>
      </c>
      <c r="Q5" s="395" t="s">
        <v>17</v>
      </c>
      <c r="R5" s="394" t="s">
        <v>2</v>
      </c>
      <c r="S5" s="395" t="s">
        <v>18</v>
      </c>
      <c r="T5" s="394" t="s">
        <v>2</v>
      </c>
      <c r="U5" s="395" t="s">
        <v>19</v>
      </c>
      <c r="V5" s="394" t="s">
        <v>2</v>
      </c>
      <c r="W5" s="395" t="s">
        <v>20</v>
      </c>
      <c r="X5" s="422" t="s">
        <v>3</v>
      </c>
    </row>
    <row r="6" spans="1:26" s="138" customFormat="1" ht="27" customHeight="1" thickBot="1" x14ac:dyDescent="0.25">
      <c r="A6" s="391"/>
      <c r="B6" s="393"/>
      <c r="C6" s="393"/>
      <c r="D6" s="396"/>
      <c r="E6" s="397"/>
      <c r="F6" s="396"/>
      <c r="G6" s="397"/>
      <c r="H6" s="421"/>
      <c r="I6" s="429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3"/>
      <c r="Q6" s="396"/>
      <c r="R6" s="393"/>
      <c r="S6" s="396"/>
      <c r="T6" s="393"/>
      <c r="U6" s="396"/>
      <c r="V6" s="393"/>
      <c r="W6" s="421"/>
      <c r="X6" s="42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388" t="s">
        <v>3</v>
      </c>
      <c r="E20" s="424" t="s">
        <v>22</v>
      </c>
      <c r="F20" s="430" t="s">
        <v>2</v>
      </c>
      <c r="G20" s="402" t="s">
        <v>21</v>
      </c>
      <c r="H20" s="388" t="s">
        <v>2</v>
      </c>
      <c r="I20" s="426" t="s">
        <v>126</v>
      </c>
      <c r="J20" s="413" t="s">
        <v>4</v>
      </c>
      <c r="K20" s="415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20"/>
      <c r="E21" s="425"/>
      <c r="F21" s="431"/>
      <c r="G21" s="450"/>
      <c r="H21" s="404"/>
      <c r="I21" s="427"/>
      <c r="J21" s="414"/>
      <c r="K21" s="416"/>
      <c r="L21" s="404"/>
      <c r="M21" s="404"/>
      <c r="N21" s="420"/>
      <c r="O21" s="404"/>
      <c r="P21" s="40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8"/>
      <c r="B54" s="400" t="s">
        <v>0</v>
      </c>
      <c r="C54" s="402" t="s">
        <v>1</v>
      </c>
      <c r="D54" s="388" t="s">
        <v>3</v>
      </c>
      <c r="E54" s="388" t="s">
        <v>45</v>
      </c>
      <c r="F54" s="386" t="s">
        <v>151</v>
      </c>
      <c r="G54" s="406" t="s">
        <v>112</v>
      </c>
      <c r="H54" s="407"/>
      <c r="I54" s="411"/>
      <c r="J54" s="408" t="s">
        <v>3</v>
      </c>
      <c r="K54" s="410" t="s">
        <v>114</v>
      </c>
      <c r="L54" s="405" t="s">
        <v>115</v>
      </c>
      <c r="M54" s="405" t="s">
        <v>116</v>
      </c>
      <c r="O54" s="419" t="s">
        <v>102</v>
      </c>
    </row>
    <row r="55" spans="1:15" ht="13.5" thickBot="1" x14ac:dyDescent="0.25">
      <c r="A55" s="399"/>
      <c r="B55" s="401"/>
      <c r="C55" s="403"/>
      <c r="D55" s="420"/>
      <c r="E55" s="389"/>
      <c r="F55" s="387"/>
      <c r="G55" s="245" t="s">
        <v>113</v>
      </c>
      <c r="H55" s="246" t="s">
        <v>148</v>
      </c>
      <c r="I55" s="412"/>
      <c r="J55" s="409"/>
      <c r="K55" s="410"/>
      <c r="L55" s="405"/>
      <c r="M55" s="405"/>
      <c r="O55" s="41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7" t="str">
        <f>'11-25 payroll'!A1</f>
        <v>THE OLD SPAGHETTI HOUSE</v>
      </c>
      <c r="C2" s="438"/>
      <c r="D2" s="438"/>
      <c r="E2" s="438"/>
      <c r="F2" s="438"/>
      <c r="G2" s="438"/>
      <c r="H2" s="439"/>
      <c r="I2" s="178"/>
      <c r="J2" s="437" t="str">
        <f>'11-25 payroll'!A1</f>
        <v>THE OLD SPAGHETTI HOUSE</v>
      </c>
      <c r="K2" s="438"/>
      <c r="L2" s="438"/>
      <c r="M2" s="438"/>
      <c r="N2" s="438"/>
      <c r="O2" s="438"/>
      <c r="P2" s="439"/>
    </row>
    <row r="3" spans="1:22" s="179" customFormat="1" x14ac:dyDescent="0.2">
      <c r="A3" s="170"/>
      <c r="B3" s="440" t="str">
        <f>'11-25 payroll'!D2</f>
        <v>VALERO</v>
      </c>
      <c r="C3" s="441"/>
      <c r="D3" s="441"/>
      <c r="E3" s="441"/>
      <c r="F3" s="441"/>
      <c r="G3" s="441"/>
      <c r="H3" s="442"/>
      <c r="I3" s="178"/>
      <c r="J3" s="440" t="str">
        <f>'11-25 payroll'!D2</f>
        <v>VALERO</v>
      </c>
      <c r="K3" s="441"/>
      <c r="L3" s="441"/>
      <c r="M3" s="441"/>
      <c r="N3" s="441"/>
      <c r="O3" s="441"/>
      <c r="P3" s="442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3" t="s">
        <v>25</v>
      </c>
      <c r="C5" s="444"/>
      <c r="D5" s="444"/>
      <c r="E5" s="444"/>
      <c r="F5" s="444"/>
      <c r="G5" s="444"/>
      <c r="H5" s="445"/>
      <c r="I5" s="178"/>
      <c r="J5" s="443" t="s">
        <v>25</v>
      </c>
      <c r="K5" s="444"/>
      <c r="L5" s="444"/>
      <c r="M5" s="444"/>
      <c r="N5" s="444"/>
      <c r="O5" s="444"/>
      <c r="P5" s="445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'11-25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'11-25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f>'11-25 payroll'!E7</f>
        <v>502</v>
      </c>
      <c r="E8" s="447"/>
      <c r="F8" s="447"/>
      <c r="G8" s="55"/>
      <c r="H8" s="235"/>
      <c r="I8" s="195"/>
      <c r="J8" s="192" t="s">
        <v>28</v>
      </c>
      <c r="K8" s="193" t="s">
        <v>27</v>
      </c>
      <c r="L8" s="447">
        <f>'11-25 payroll'!E8</f>
        <v>502</v>
      </c>
      <c r="M8" s="447"/>
      <c r="N8" s="447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'11-25 payroll'!D3</f>
        <v>August 11-25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'11-25 payroll'!D3</f>
        <v>August 11-25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7" t="str">
        <f>'11-25 payroll'!A1</f>
        <v>THE OLD SPAGHETTI HOUSE</v>
      </c>
      <c r="C35" s="438"/>
      <c r="D35" s="438"/>
      <c r="E35" s="438"/>
      <c r="F35" s="438"/>
      <c r="G35" s="438"/>
      <c r="H35" s="439"/>
      <c r="I35" s="178"/>
      <c r="J35" s="437" t="str">
        <f>'11-25 payroll'!A1</f>
        <v>THE OLD SPAGHETTI HOUSE</v>
      </c>
      <c r="K35" s="438"/>
      <c r="L35" s="438"/>
      <c r="M35" s="438"/>
      <c r="N35" s="438"/>
      <c r="O35" s="438"/>
      <c r="P35" s="439"/>
    </row>
    <row r="36" spans="2:17" x14ac:dyDescent="0.2">
      <c r="B36" s="440" t="str">
        <f>'11-25 payroll'!D2</f>
        <v>VALERO</v>
      </c>
      <c r="C36" s="441"/>
      <c r="D36" s="441"/>
      <c r="E36" s="441"/>
      <c r="F36" s="441"/>
      <c r="G36" s="441"/>
      <c r="H36" s="442"/>
      <c r="I36" s="178"/>
      <c r="J36" s="440" t="str">
        <f>'11-25 payroll'!D2</f>
        <v>VALERO</v>
      </c>
      <c r="K36" s="441"/>
      <c r="L36" s="441"/>
      <c r="M36" s="441"/>
      <c r="N36" s="441"/>
      <c r="O36" s="441"/>
      <c r="P36" s="442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3" t="s">
        <v>25</v>
      </c>
      <c r="C38" s="444"/>
      <c r="D38" s="444"/>
      <c r="E38" s="444"/>
      <c r="F38" s="444"/>
      <c r="G38" s="444"/>
      <c r="H38" s="445"/>
      <c r="I38" s="178"/>
      <c r="J38" s="443" t="s">
        <v>25</v>
      </c>
      <c r="K38" s="444"/>
      <c r="L38" s="444"/>
      <c r="M38" s="444"/>
      <c r="N38" s="444"/>
      <c r="O38" s="444"/>
      <c r="P38" s="445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'11-25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9" t="str">
        <f>'11-25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'11-25 payroll'!E9</f>
        <v>790.23076923076928</v>
      </c>
      <c r="E41" s="447"/>
      <c r="F41" s="447"/>
      <c r="G41" s="55"/>
      <c r="H41" s="235"/>
      <c r="I41" s="195"/>
      <c r="J41" s="192" t="s">
        <v>28</v>
      </c>
      <c r="K41" s="193" t="s">
        <v>27</v>
      </c>
      <c r="L41" s="447">
        <f>'11-25 payroll'!E10</f>
        <v>502</v>
      </c>
      <c r="M41" s="447"/>
      <c r="N41" s="447"/>
      <c r="O41" s="9"/>
      <c r="P41" s="235"/>
    </row>
    <row r="42" spans="2:17" x14ac:dyDescent="0.2">
      <c r="B42" s="192" t="s">
        <v>29</v>
      </c>
      <c r="C42" s="193" t="s">
        <v>27</v>
      </c>
      <c r="D42" s="448" t="str">
        <f>'11-25 payroll'!D3</f>
        <v>August 11-25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'11-25 payroll'!D3</f>
        <v>August 11-25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7" t="str">
        <f>'11-25 payroll'!A1</f>
        <v>THE OLD SPAGHETTI HOUSE</v>
      </c>
      <c r="C68" s="438"/>
      <c r="D68" s="438"/>
      <c r="E68" s="438"/>
      <c r="F68" s="438"/>
      <c r="G68" s="438"/>
      <c r="H68" s="439"/>
      <c r="I68" s="178"/>
      <c r="J68" s="437" t="str">
        <f>'11-25 payroll'!A1</f>
        <v>THE OLD SPAGHETTI HOUSE</v>
      </c>
      <c r="K68" s="438"/>
      <c r="L68" s="438"/>
      <c r="M68" s="438"/>
      <c r="N68" s="438"/>
      <c r="O68" s="438"/>
      <c r="P68" s="439"/>
    </row>
    <row r="69" spans="2:17" x14ac:dyDescent="0.2">
      <c r="B69" s="440" t="str">
        <f>'11-25 payroll'!D2</f>
        <v>VALERO</v>
      </c>
      <c r="C69" s="441"/>
      <c r="D69" s="441"/>
      <c r="E69" s="441"/>
      <c r="F69" s="441"/>
      <c r="G69" s="441"/>
      <c r="H69" s="442"/>
      <c r="I69" s="178"/>
      <c r="J69" s="440" t="str">
        <f>'11-25 payroll'!D2</f>
        <v>VALERO</v>
      </c>
      <c r="K69" s="441"/>
      <c r="L69" s="441"/>
      <c r="M69" s="441"/>
      <c r="N69" s="441"/>
      <c r="O69" s="441"/>
      <c r="P69" s="442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3" t="s">
        <v>25</v>
      </c>
      <c r="C71" s="444"/>
      <c r="D71" s="444"/>
      <c r="E71" s="444"/>
      <c r="F71" s="444"/>
      <c r="G71" s="444"/>
      <c r="H71" s="445"/>
      <c r="I71" s="178"/>
      <c r="J71" s="443" t="s">
        <v>25</v>
      </c>
      <c r="K71" s="444"/>
      <c r="L71" s="444"/>
      <c r="M71" s="444"/>
      <c r="N71" s="444"/>
      <c r="O71" s="444"/>
      <c r="P71" s="445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9" t="str">
        <f>'11-25 payroll'!B11</f>
        <v>Briones, Christain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9">
        <f>'11-25 payroll'!B12</f>
        <v>0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f>'11-25 payroll'!E11</f>
        <v>502</v>
      </c>
      <c r="E74" s="447"/>
      <c r="F74" s="447"/>
      <c r="G74" s="55"/>
      <c r="H74" s="235"/>
      <c r="I74" s="195"/>
      <c r="J74" s="192" t="s">
        <v>28</v>
      </c>
      <c r="K74" s="193" t="s">
        <v>27</v>
      </c>
      <c r="L74" s="447">
        <f>'11-25 payroll'!E12</f>
        <v>0</v>
      </c>
      <c r="M74" s="447"/>
      <c r="N74" s="447"/>
      <c r="O74" s="9"/>
      <c r="P74" s="235"/>
    </row>
    <row r="75" spans="2:17" x14ac:dyDescent="0.2">
      <c r="B75" s="192" t="s">
        <v>29</v>
      </c>
      <c r="C75" s="193" t="s">
        <v>27</v>
      </c>
      <c r="D75" s="448" t="str">
        <f>'11-25 payroll'!D3</f>
        <v>August 11-25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'11-25 payroll'!D3</f>
        <v>August 11-25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7" t="str">
        <f>'11-25 payroll'!A1</f>
        <v>THE OLD SPAGHETTI HOUSE</v>
      </c>
      <c r="C101" s="438"/>
      <c r="D101" s="438"/>
      <c r="E101" s="438"/>
      <c r="F101" s="438"/>
      <c r="G101" s="438"/>
      <c r="H101" s="439"/>
      <c r="I101" s="178"/>
      <c r="J101" s="437" t="str">
        <f>'11-25 payroll'!A1</f>
        <v>THE OLD SPAGHETTI HOUSE</v>
      </c>
      <c r="K101" s="438"/>
      <c r="L101" s="438"/>
      <c r="M101" s="438"/>
      <c r="N101" s="438"/>
      <c r="O101" s="438"/>
      <c r="P101" s="439"/>
    </row>
    <row r="102" spans="2:17" x14ac:dyDescent="0.2">
      <c r="B102" s="440" t="str">
        <f>'11-25 payroll'!D2</f>
        <v>VALERO</v>
      </c>
      <c r="C102" s="441"/>
      <c r="D102" s="441"/>
      <c r="E102" s="441"/>
      <c r="F102" s="441"/>
      <c r="G102" s="441"/>
      <c r="H102" s="442"/>
      <c r="I102" s="178"/>
      <c r="J102" s="440" t="str">
        <f>'11-25 payroll'!D2</f>
        <v>VALERO</v>
      </c>
      <c r="K102" s="441"/>
      <c r="L102" s="441"/>
      <c r="M102" s="441"/>
      <c r="N102" s="441"/>
      <c r="O102" s="441"/>
      <c r="P102" s="442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3" t="s">
        <v>25</v>
      </c>
      <c r="C104" s="444"/>
      <c r="D104" s="444"/>
      <c r="E104" s="444"/>
      <c r="F104" s="444"/>
      <c r="G104" s="444"/>
      <c r="H104" s="445"/>
      <c r="I104" s="178"/>
      <c r="J104" s="443" t="s">
        <v>25</v>
      </c>
      <c r="K104" s="444"/>
      <c r="L104" s="444"/>
      <c r="M104" s="444"/>
      <c r="N104" s="444"/>
      <c r="O104" s="444"/>
      <c r="P104" s="445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9">
        <f>'11-25 payroll'!B13</f>
        <v>0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9">
        <f>'11-25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f>'11-25 payroll'!E13</f>
        <v>0</v>
      </c>
      <c r="E107" s="447"/>
      <c r="F107" s="447"/>
      <c r="G107" s="55"/>
      <c r="H107" s="235"/>
      <c r="I107" s="195"/>
      <c r="J107" s="192" t="s">
        <v>28</v>
      </c>
      <c r="K107" s="193" t="s">
        <v>27</v>
      </c>
      <c r="L107" s="447">
        <f>'11-25 payroll'!E14</f>
        <v>0</v>
      </c>
      <c r="M107" s="447"/>
      <c r="N107" s="447"/>
      <c r="O107" s="9"/>
      <c r="P107" s="235"/>
    </row>
    <row r="108" spans="2:17" x14ac:dyDescent="0.2">
      <c r="B108" s="192" t="s">
        <v>29</v>
      </c>
      <c r="C108" s="193" t="s">
        <v>27</v>
      </c>
      <c r="D108" s="448" t="str">
        <f>'11-25 payroll'!D3</f>
        <v>August 11-25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'11-25 payroll'!D3</f>
        <v>August 11-25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7" t="str">
        <f>'11-25 payroll'!A1</f>
        <v>THE OLD SPAGHETTI HOUSE</v>
      </c>
      <c r="C134" s="438"/>
      <c r="D134" s="438"/>
      <c r="E134" s="438"/>
      <c r="F134" s="438"/>
      <c r="G134" s="438"/>
      <c r="H134" s="439"/>
      <c r="I134" s="178"/>
      <c r="J134" s="437" t="str">
        <f>'11-25 payroll'!A1</f>
        <v>THE OLD SPAGHETTI HOUSE</v>
      </c>
      <c r="K134" s="438"/>
      <c r="L134" s="438"/>
      <c r="M134" s="438"/>
      <c r="N134" s="438"/>
      <c r="O134" s="438"/>
      <c r="P134" s="439"/>
    </row>
    <row r="135" spans="2:17" x14ac:dyDescent="0.2">
      <c r="B135" s="440" t="str">
        <f>'11-25 payroll'!D2</f>
        <v>VALERO</v>
      </c>
      <c r="C135" s="441"/>
      <c r="D135" s="441"/>
      <c r="E135" s="441"/>
      <c r="F135" s="441"/>
      <c r="G135" s="441"/>
      <c r="H135" s="442"/>
      <c r="I135" s="178"/>
      <c r="J135" s="440" t="str">
        <f>'11-25 payroll'!D2</f>
        <v>VALERO</v>
      </c>
      <c r="K135" s="441"/>
      <c r="L135" s="441"/>
      <c r="M135" s="441"/>
      <c r="N135" s="441"/>
      <c r="O135" s="441"/>
      <c r="P135" s="442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3" t="s">
        <v>25</v>
      </c>
      <c r="C137" s="444"/>
      <c r="D137" s="444"/>
      <c r="E137" s="444"/>
      <c r="F137" s="444"/>
      <c r="G137" s="444"/>
      <c r="H137" s="445"/>
      <c r="I137" s="178"/>
      <c r="J137" s="443" t="s">
        <v>25</v>
      </c>
      <c r="K137" s="444"/>
      <c r="L137" s="444"/>
      <c r="M137" s="444"/>
      <c r="N137" s="444"/>
      <c r="O137" s="444"/>
      <c r="P137" s="445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9">
        <f>'11-25 payroll'!B15</f>
        <v>0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'11-25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'11-25 payroll'!E15</f>
        <v>0</v>
      </c>
      <c r="E140" s="447"/>
      <c r="F140" s="447"/>
      <c r="G140" s="55"/>
      <c r="H140" s="235"/>
      <c r="I140" s="195"/>
      <c r="J140" s="192" t="s">
        <v>28</v>
      </c>
      <c r="K140" s="193" t="s">
        <v>27</v>
      </c>
      <c r="L140" s="447">
        <f>'11-25 payroll'!E112</f>
        <v>0</v>
      </c>
      <c r="M140" s="447"/>
      <c r="N140" s="447"/>
      <c r="O140" s="9"/>
      <c r="P140" s="235"/>
    </row>
    <row r="141" spans="2:17" x14ac:dyDescent="0.2">
      <c r="B141" s="192" t="s">
        <v>29</v>
      </c>
      <c r="C141" s="193" t="s">
        <v>27</v>
      </c>
      <c r="D141" s="448" t="str">
        <f>'11-25 payroll'!D3</f>
        <v>August 11-25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'11-25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Nov 26-Dec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5" t="s">
        <v>65</v>
      </c>
      <c r="H15" s="455"/>
      <c r="J15" s="456" t="s">
        <v>66</v>
      </c>
      <c r="K15" s="456"/>
      <c r="L15" s="456"/>
      <c r="M15" s="456" t="s">
        <v>67</v>
      </c>
      <c r="N15" s="456"/>
      <c r="O15" s="455" t="s">
        <v>68</v>
      </c>
      <c r="P15" s="45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3" t="s">
        <v>70</v>
      </c>
      <c r="H16" s="453"/>
      <c r="I16" s="70" t="s">
        <v>71</v>
      </c>
      <c r="J16" s="457" t="s">
        <v>72</v>
      </c>
      <c r="K16" s="457"/>
      <c r="L16" s="457"/>
      <c r="M16" s="457" t="s">
        <v>73</v>
      </c>
      <c r="N16" s="457"/>
      <c r="O16" s="453" t="s">
        <v>74</v>
      </c>
      <c r="P16" s="453"/>
      <c r="Q16" s="251" t="s">
        <v>75</v>
      </c>
      <c r="R16" s="452" t="s">
        <v>117</v>
      </c>
      <c r="S16" s="453"/>
      <c r="T16" s="453"/>
      <c r="U16" s="45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6990.7624999999998</v>
      </c>
      <c r="H18" s="80">
        <f>'11-25 payroll'!R22</f>
        <v>6526</v>
      </c>
      <c r="I18" s="81">
        <f>G18+H18</f>
        <v>13516.762500000001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7059.9312499999996</v>
      </c>
      <c r="H19" s="80">
        <f>'11-25 payroll'!R23</f>
        <v>6526</v>
      </c>
      <c r="I19" s="81">
        <f t="shared" ref="I19:I27" si="0">G19+H19</f>
        <v>13585.93125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8807.3552884615383</v>
      </c>
      <c r="H20" s="80">
        <f>'11-25 payroll'!R24</f>
        <v>10273</v>
      </c>
      <c r="I20" s="81">
        <f t="shared" si="0"/>
        <v>19080.355288461538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4500</v>
      </c>
      <c r="U20" s="256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7073.1062499999998</v>
      </c>
      <c r="H21" s="80">
        <f>'11-25 payroll'!R25</f>
        <v>6526</v>
      </c>
      <c r="I21" s="81">
        <f t="shared" si="0"/>
        <v>13599.106250000001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6393.9350000000004</v>
      </c>
      <c r="H22" s="80">
        <f>'11-25 payroll'!R26</f>
        <v>6526</v>
      </c>
      <c r="I22" s="81">
        <f t="shared" si="0"/>
        <v>12919.935000000001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6442.0237499999994</v>
      </c>
      <c r="H23" s="80">
        <f>'11-25 payroll'!R27</f>
        <v>0</v>
      </c>
      <c r="I23" s="93">
        <f t="shared" si="0"/>
        <v>6442.0237499999994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6411.0625</v>
      </c>
      <c r="H24" s="80">
        <f>'11-25 payroll'!R28</f>
        <v>0</v>
      </c>
      <c r="I24" s="81">
        <f t="shared" si="0"/>
        <v>6411.0625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49178.176538461536</v>
      </c>
      <c r="H29" s="103">
        <f t="shared" ref="H29:O29" si="3">SUM(H18:H27)</f>
        <v>36377</v>
      </c>
      <c r="I29" s="103">
        <f t="shared" si="3"/>
        <v>85555.176538461528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4526.2250000000004</v>
      </c>
      <c r="T29" s="103">
        <f t="shared" si="4"/>
        <v>4500</v>
      </c>
      <c r="U29" s="260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100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1615.0341346153848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100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1615.0341346153848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82.34375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6.5875000000000004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82.34375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164.6875</v>
      </c>
      <c r="J41" s="268">
        <f t="shared" si="6"/>
        <v>0</v>
      </c>
      <c r="K41" s="268">
        <f t="shared" si="6"/>
        <v>0</v>
      </c>
      <c r="L41" s="268">
        <f t="shared" si="6"/>
        <v>46.112500000000004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460</v>
      </c>
      <c r="I44" s="263">
        <f t="shared" si="7"/>
        <v>164.6875</v>
      </c>
      <c r="J44" s="263">
        <f t="shared" si="7"/>
        <v>0</v>
      </c>
      <c r="K44" s="263">
        <f t="shared" si="7"/>
        <v>0</v>
      </c>
      <c r="L44" s="263">
        <f t="shared" si="7"/>
        <v>95.501923076923077</v>
      </c>
      <c r="M44" s="263">
        <f t="shared" si="7"/>
        <v>0</v>
      </c>
      <c r="N44" s="263">
        <f t="shared" si="7"/>
        <v>1615.0341346153848</v>
      </c>
      <c r="O44" s="263">
        <f t="shared" si="7"/>
        <v>0</v>
      </c>
      <c r="P44" s="263">
        <f t="shared" si="7"/>
        <v>7636</v>
      </c>
      <c r="Q44" s="263">
        <f>SUM(B44:P44)</f>
        <v>70648.223557692312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1" t="s">
        <v>133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Q46" s="110"/>
      <c r="U46" s="109"/>
    </row>
    <row r="47" spans="1:22" s="105" customFormat="1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68390.455288461555</v>
      </c>
      <c r="M48" s="263">
        <f>+I29+P36+P41-(O36+O41)+G36</f>
        <v>93241.176538461528</v>
      </c>
      <c r="N48" s="109">
        <f>+L48-M48</f>
        <v>-24850.721249999973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37945.9</v>
      </c>
      <c r="M49" s="263">
        <f>+L49</f>
        <v>37945.9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210.8</v>
      </c>
      <c r="M50" s="263">
        <f>+L50</f>
        <v>210.8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12084.7</v>
      </c>
      <c r="M51" s="263">
        <f>+L51</f>
        <v>12084.7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18149.055288461539</v>
      </c>
      <c r="M52" s="263">
        <f>+M48-M49-M50-M51</f>
        <v>42999.77653846152</v>
      </c>
      <c r="N52" s="109">
        <f>+L52-M52</f>
        <v>-24850.721249999981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4BF8-2C84-4F87-8924-BEB0EA333E3E}">
  <sheetPr>
    <tabColor rgb="FF006600"/>
  </sheetPr>
  <dimension ref="A1:Z67"/>
  <sheetViews>
    <sheetView topLeftCell="A10" workbookViewId="0">
      <pane xSplit="2" topLeftCell="C1" activePane="topRight" state="frozen"/>
      <selection pane="topRight" activeCell="I19" sqref="I19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0"/>
      <c r="B5" s="392" t="s">
        <v>0</v>
      </c>
      <c r="C5" s="394" t="s">
        <v>1</v>
      </c>
      <c r="D5" s="395" t="s">
        <v>13</v>
      </c>
      <c r="E5" s="394" t="s">
        <v>14</v>
      </c>
      <c r="F5" s="395"/>
      <c r="G5" s="394" t="s">
        <v>16</v>
      </c>
      <c r="H5" s="395" t="s">
        <v>44</v>
      </c>
      <c r="I5" s="428" t="s">
        <v>118</v>
      </c>
      <c r="J5" s="434" t="s">
        <v>91</v>
      </c>
      <c r="K5" s="435"/>
      <c r="L5" s="436"/>
      <c r="M5" s="417" t="s">
        <v>108</v>
      </c>
      <c r="N5" s="418"/>
      <c r="O5" s="418"/>
      <c r="P5" s="394" t="s">
        <v>2</v>
      </c>
      <c r="Q5" s="395" t="s">
        <v>17</v>
      </c>
      <c r="R5" s="394" t="s">
        <v>2</v>
      </c>
      <c r="S5" s="395" t="s">
        <v>18</v>
      </c>
      <c r="T5" s="394" t="s">
        <v>2</v>
      </c>
      <c r="U5" s="395" t="s">
        <v>19</v>
      </c>
      <c r="V5" s="394" t="s">
        <v>2</v>
      </c>
      <c r="W5" s="395" t="s">
        <v>292</v>
      </c>
      <c r="X5" s="422" t="s">
        <v>3</v>
      </c>
    </row>
    <row r="6" spans="1:26" s="138" customFormat="1" ht="27" customHeight="1" thickBot="1" x14ac:dyDescent="0.25">
      <c r="A6" s="391"/>
      <c r="B6" s="393"/>
      <c r="C6" s="393"/>
      <c r="D6" s="396"/>
      <c r="E6" s="397"/>
      <c r="F6" s="396"/>
      <c r="G6" s="397"/>
      <c r="H6" s="421"/>
      <c r="I6" s="429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3"/>
      <c r="Q6" s="396"/>
      <c r="R6" s="393"/>
      <c r="S6" s="396"/>
      <c r="T6" s="393"/>
      <c r="U6" s="396"/>
      <c r="V6" s="393"/>
      <c r="W6" s="421"/>
      <c r="X6" s="42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19.762500000000003</v>
      </c>
      <c r="W7" s="133"/>
      <c r="X7" s="137">
        <f t="shared" ref="X7:X16" si="0">+G7+H7+P7+R7+T7+V7+W7+I7</f>
        <v>6990.7624999999998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11</v>
      </c>
      <c r="G8" s="141">
        <f>+D8</f>
        <v>6851</v>
      </c>
      <c r="H8" s="20">
        <f t="shared" ref="H8:H16" si="1">(F8+J8+K8+L8+Q8)*10</f>
        <v>120</v>
      </c>
      <c r="I8" s="21"/>
      <c r="J8" s="73">
        <v>1</v>
      </c>
      <c r="K8" s="73">
        <f>+'10.26-11.10'!I229</f>
        <v>0</v>
      </c>
      <c r="L8" s="73">
        <f>+'10.26-11.10'!J229</f>
        <v>0</v>
      </c>
      <c r="M8" s="73">
        <v>1</v>
      </c>
      <c r="N8" s="73">
        <v>0</v>
      </c>
      <c r="O8" s="73">
        <f>+'10.26-11.10'!Q229</f>
        <v>0</v>
      </c>
      <c r="P8" s="233">
        <f t="shared" ref="P8:P16" si="2">(((E8/8)*1.25)*M8)+((((E8/8)*N8)*200%)*130%)+((((E8/8)*130%)*130%)*O8)</f>
        <v>82.34375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73">
        <v>1</v>
      </c>
      <c r="V8" s="21">
        <f t="shared" ref="V8:V16" si="5">(E8/8/10)*U8</f>
        <v>6.5875000000000004</v>
      </c>
      <c r="W8" s="73"/>
      <c r="X8" s="137">
        <f t="shared" si="0"/>
        <v>7059.9312499999996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10</v>
      </c>
      <c r="G9" s="141">
        <f>D9</f>
        <v>10273</v>
      </c>
      <c r="H9" s="20">
        <f t="shared" si="1"/>
        <v>100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73"/>
      <c r="V9" s="21">
        <f t="shared" si="5"/>
        <v>0</v>
      </c>
      <c r="W9" s="73"/>
      <c r="X9" s="137">
        <f t="shared" si="0"/>
        <v>10373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141">
        <f t="shared" ref="G10:G16" si="6">+D10</f>
        <v>6851</v>
      </c>
      <c r="H10" s="20">
        <f t="shared" si="1"/>
        <v>120</v>
      </c>
      <c r="I10" s="21"/>
      <c r="J10" s="73">
        <v>0</v>
      </c>
      <c r="K10" s="73">
        <v>0</v>
      </c>
      <c r="L10" s="73">
        <v>0</v>
      </c>
      <c r="M10" s="73">
        <v>1</v>
      </c>
      <c r="N10" s="73">
        <f>+'10.26-11.10'!P250</f>
        <v>0</v>
      </c>
      <c r="O10" s="73">
        <f>+'10.26-11.10'!Q250</f>
        <v>0</v>
      </c>
      <c r="P10" s="233">
        <f t="shared" si="2"/>
        <v>82.34375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73">
        <v>3</v>
      </c>
      <c r="V10" s="21">
        <f t="shared" si="5"/>
        <v>19.762500000000003</v>
      </c>
      <c r="W10" s="73"/>
      <c r="X10" s="137">
        <f t="shared" si="0"/>
        <v>7073.1062499999998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120</v>
      </c>
      <c r="I11" s="21"/>
      <c r="J11" s="73">
        <v>0</v>
      </c>
      <c r="K11" s="73">
        <f>+'10.26-11.10(SI)'!I28</f>
        <v>0</v>
      </c>
      <c r="L11" s="73"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73"/>
      <c r="V11" s="21">
        <f t="shared" si="5"/>
        <v>0</v>
      </c>
      <c r="W11" s="353"/>
      <c r="X11" s="137">
        <f t="shared" si="0"/>
        <v>6444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11</v>
      </c>
      <c r="G12" s="141">
        <f t="shared" ref="G12" si="7">E12*F12</f>
        <v>5797</v>
      </c>
      <c r="H12" s="20">
        <f t="shared" ref="H12" si="8">(F12+Q12)*10</f>
        <v>120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73">
        <v>3</v>
      </c>
      <c r="V12" s="21">
        <f>(E12/8/10)*U12</f>
        <v>19.762500000000003</v>
      </c>
      <c r="W12" s="73"/>
      <c r="X12" s="137">
        <f>+G12+H12+P12+R12+T12+V12+W12+I12</f>
        <v>6463.7624999999998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141">
        <f>E13*F13</f>
        <v>5797</v>
      </c>
      <c r="H13" s="20">
        <f>(F13+Q13)*10</f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>
        <v>1</v>
      </c>
      <c r="R13" s="21">
        <f t="shared" si="3"/>
        <v>527</v>
      </c>
      <c r="S13" s="73">
        <v>0</v>
      </c>
      <c r="T13" s="21">
        <f t="shared" si="4"/>
        <v>0</v>
      </c>
      <c r="U13" s="73">
        <v>8</v>
      </c>
      <c r="V13" s="21">
        <f t="shared" si="5"/>
        <v>52.7</v>
      </c>
      <c r="W13" s="73"/>
      <c r="X13" s="137">
        <f t="shared" si="0"/>
        <v>6496.7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si="0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si="1"/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48217</v>
      </c>
      <c r="H18" s="3">
        <f>SUM(H7:H16)</f>
        <v>820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164.6875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118.575</v>
      </c>
      <c r="W18" s="4"/>
      <c r="X18" s="3">
        <f>SUM(X7:X16)</f>
        <v>50901.262499999997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388" t="s">
        <v>3</v>
      </c>
      <c r="E20" s="424" t="s">
        <v>22</v>
      </c>
      <c r="F20" s="430" t="s">
        <v>2</v>
      </c>
      <c r="G20" s="432" t="s">
        <v>21</v>
      </c>
      <c r="H20" s="388" t="s">
        <v>2</v>
      </c>
      <c r="I20" s="426" t="s">
        <v>126</v>
      </c>
      <c r="J20" s="413" t="s">
        <v>4</v>
      </c>
      <c r="K20" s="415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20"/>
      <c r="E21" s="425"/>
      <c r="F21" s="431"/>
      <c r="G21" s="433"/>
      <c r="H21" s="404"/>
      <c r="I21" s="427"/>
      <c r="J21" s="414"/>
      <c r="K21" s="416"/>
      <c r="L21" s="404"/>
      <c r="M21" s="404"/>
      <c r="N21" s="420"/>
      <c r="O21" s="404"/>
      <c r="P21" s="409"/>
      <c r="R21" s="250" t="str">
        <f>D3</f>
        <v>Nov 26-Dec 10,2019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0">+X7</f>
        <v>6990.7624999999998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1">+D22-F22-H22-J22-K22-L22-M22-N22-O22-I22</f>
        <v>5502.8024999999998</v>
      </c>
      <c r="R22" s="71">
        <f t="shared" ref="R22:R31" si="12">G7+H7+P7+R7+T7+V7+W7-F22-H22</f>
        <v>6990.7624999999998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7059.9312499999996</v>
      </c>
      <c r="E23" s="353">
        <v>0</v>
      </c>
      <c r="F23" s="356">
        <f t="shared" ref="F23:F31" si="13">+E23*E8</f>
        <v>0</v>
      </c>
      <c r="G23" s="353"/>
      <c r="H23" s="356">
        <f t="shared" ref="H23:H31" si="14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1"/>
        <v>5174.0212499999998</v>
      </c>
      <c r="R23" s="71">
        <f t="shared" si="12"/>
        <v>7059.9312499999996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10373</v>
      </c>
      <c r="E24" s="362">
        <v>2</v>
      </c>
      <c r="F24" s="363">
        <f t="shared" si="13"/>
        <v>1580.4615384615386</v>
      </c>
      <c r="G24" s="353">
        <f>21/60</f>
        <v>0.35</v>
      </c>
      <c r="H24" s="356">
        <f>(+E9/8)*G24</f>
        <v>34.572596153846156</v>
      </c>
      <c r="I24" s="353"/>
      <c r="J24" s="15"/>
      <c r="K24" s="360"/>
      <c r="L24" s="15"/>
      <c r="M24" s="18">
        <v>100</v>
      </c>
      <c r="N24" s="360">
        <v>1161.8499999999999</v>
      </c>
      <c r="O24" s="18"/>
      <c r="P24" s="158">
        <f t="shared" si="11"/>
        <v>7496.1158653846142</v>
      </c>
      <c r="R24" s="71">
        <f t="shared" si="12"/>
        <v>8757.9658653846145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0"/>
        <v>7073.1062499999998</v>
      </c>
      <c r="E25" s="353">
        <v>0</v>
      </c>
      <c r="F25" s="356">
        <f t="shared" si="13"/>
        <v>0</v>
      </c>
      <c r="G25" s="73"/>
      <c r="H25" s="356">
        <f t="shared" ref="H25:H27" si="15">(+E10/8)*G25</f>
        <v>0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1"/>
        <v>5657.6062499999998</v>
      </c>
      <c r="R25" s="71">
        <f t="shared" si="12"/>
        <v>7073.1062499999998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8" t="str">
        <f t="shared" ref="C26:C31" si="17">C11</f>
        <v>Asst. Cook</v>
      </c>
      <c r="D26" s="141">
        <f t="shared" si="10"/>
        <v>6444</v>
      </c>
      <c r="E26" s="353">
        <v>0</v>
      </c>
      <c r="F26" s="356">
        <f t="shared" si="13"/>
        <v>0</v>
      </c>
      <c r="G26" s="73">
        <v>1.46</v>
      </c>
      <c r="H26" s="356">
        <f t="shared" si="15"/>
        <v>96.177499999999995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1"/>
        <v>6247.8225000000002</v>
      </c>
      <c r="R26" s="71">
        <f t="shared" si="12"/>
        <v>6347.8225000000002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8" t="str">
        <f t="shared" si="17"/>
        <v>Cook</v>
      </c>
      <c r="D27" s="141">
        <f>+X12</f>
        <v>6463.7624999999998</v>
      </c>
      <c r="E27" s="353">
        <v>0</v>
      </c>
      <c r="F27" s="356">
        <f t="shared" si="13"/>
        <v>0</v>
      </c>
      <c r="G27" s="73">
        <v>0.33</v>
      </c>
      <c r="H27" s="356">
        <f t="shared" si="15"/>
        <v>21.73875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1"/>
        <v>5341.6137499999986</v>
      </c>
      <c r="R27" s="71">
        <f>G12+H12+P12+R12+T12+V12+W12-F27-H27</f>
        <v>6442.0237499999994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8" t="str">
        <f t="shared" si="17"/>
        <v>Cashier</v>
      </c>
      <c r="D28" s="141">
        <f t="shared" si="10"/>
        <v>6496.7</v>
      </c>
      <c r="E28" s="353">
        <v>0</v>
      </c>
      <c r="F28" s="356">
        <f t="shared" si="13"/>
        <v>0</v>
      </c>
      <c r="G28" s="73">
        <v>1.3</v>
      </c>
      <c r="H28" s="356">
        <f>(+E13/8)*G28</f>
        <v>85.637500000000003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5928.0625</v>
      </c>
      <c r="R28" s="71">
        <f t="shared" si="12"/>
        <v>6411.0625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8">
        <f t="shared" si="17"/>
        <v>0</v>
      </c>
      <c r="D29" s="141">
        <f t="shared" si="10"/>
        <v>0</v>
      </c>
      <c r="E29" s="353"/>
      <c r="F29" s="356">
        <f t="shared" si="13"/>
        <v>0</v>
      </c>
      <c r="G29" s="73"/>
      <c r="H29" s="356">
        <f t="shared" si="14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2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8">
        <f t="shared" si="17"/>
        <v>0</v>
      </c>
      <c r="D30" s="141">
        <f t="shared" si="10"/>
        <v>0</v>
      </c>
      <c r="E30" s="353"/>
      <c r="F30" s="356">
        <f t="shared" si="13"/>
        <v>0</v>
      </c>
      <c r="G30" s="353"/>
      <c r="H30" s="356">
        <f t="shared" si="14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18">+D30-F30-H30-J30-K30-L30-M30-N30-O30-I30</f>
        <v>0</v>
      </c>
      <c r="R30" s="71">
        <f t="shared" si="12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8">
        <f t="shared" si="17"/>
        <v>0</v>
      </c>
      <c r="D31" s="141">
        <f t="shared" si="10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8"/>
        <v>0</v>
      </c>
      <c r="R31" s="71">
        <f t="shared" si="12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50901.262499999997</v>
      </c>
      <c r="E33" s="4">
        <f>+SUM(E22:E32)</f>
        <v>2</v>
      </c>
      <c r="F33" s="3">
        <f>SUM(F22:F32)</f>
        <v>1580.4615384615386</v>
      </c>
      <c r="G33" s="4"/>
      <c r="H33" s="3">
        <f>SUM(H22:H32)</f>
        <v>238.12634615384616</v>
      </c>
      <c r="I33" s="3">
        <f>+SUM(I22:I32)</f>
        <v>0</v>
      </c>
      <c r="J33" s="3">
        <f t="shared" ref="J33:O33" si="19">+SUM(J22:J32)</f>
        <v>0</v>
      </c>
      <c r="K33" s="3">
        <f t="shared" si="19"/>
        <v>2999.47</v>
      </c>
      <c r="L33" s="3">
        <f t="shared" si="19"/>
        <v>0</v>
      </c>
      <c r="M33" s="3">
        <f t="shared" si="19"/>
        <v>700</v>
      </c>
      <c r="N33" s="3">
        <f t="shared" si="19"/>
        <v>4035.16</v>
      </c>
      <c r="O33" s="3">
        <f t="shared" si="19"/>
        <v>0</v>
      </c>
      <c r="P33" s="5">
        <f>+SUM(P22:P32)</f>
        <v>41348.044615384613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0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1">+P22+(SUM(O35:Q35))</f>
        <v>6536.8024999999998</v>
      </c>
    </row>
    <row r="36" spans="1:25" x14ac:dyDescent="0.2">
      <c r="M36" s="16" t="str">
        <f t="shared" si="20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1"/>
        <v>5674.0212499999998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0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1"/>
        <v>8746.1158653846142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0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1"/>
        <v>6691.6062499999998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0"/>
        <v>Briones, Christian Joy</v>
      </c>
      <c r="O39" s="16">
        <v>0</v>
      </c>
      <c r="P39" s="16">
        <v>0</v>
      </c>
      <c r="Q39" s="16">
        <v>0</v>
      </c>
      <c r="S39" s="166">
        <f t="shared" si="21"/>
        <v>6247.8225000000002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0"/>
        <v>Cahilig,Benzen</v>
      </c>
      <c r="O40" s="16">
        <v>0</v>
      </c>
      <c r="P40" s="16">
        <v>0</v>
      </c>
      <c r="Q40" s="16">
        <v>0</v>
      </c>
      <c r="S40" s="166">
        <f t="shared" si="21"/>
        <v>5341.6137499999986</v>
      </c>
    </row>
    <row r="41" spans="1:25" x14ac:dyDescent="0.2">
      <c r="M41" s="16" t="str">
        <f t="shared" si="20"/>
        <v>Pantoja,Nancy</v>
      </c>
      <c r="O41" s="16">
        <v>0</v>
      </c>
      <c r="P41" s="16">
        <v>0</v>
      </c>
      <c r="Q41" s="16">
        <v>0</v>
      </c>
      <c r="S41" s="166">
        <f t="shared" si="21"/>
        <v>5928.0625</v>
      </c>
    </row>
    <row r="42" spans="1:25" x14ac:dyDescent="0.2">
      <c r="M42" s="16">
        <f t="shared" si="20"/>
        <v>0</v>
      </c>
      <c r="O42" s="16">
        <v>0</v>
      </c>
      <c r="P42" s="16">
        <v>0</v>
      </c>
      <c r="Q42" s="16">
        <v>0</v>
      </c>
      <c r="S42" s="166">
        <f t="shared" si="21"/>
        <v>0</v>
      </c>
    </row>
    <row r="43" spans="1:25" x14ac:dyDescent="0.2">
      <c r="M43" s="16">
        <f t="shared" si="20"/>
        <v>0</v>
      </c>
      <c r="O43" s="16">
        <v>0</v>
      </c>
      <c r="P43" s="16">
        <v>0</v>
      </c>
      <c r="Q43" s="16">
        <v>0</v>
      </c>
      <c r="S43" s="166">
        <f t="shared" si="21"/>
        <v>0</v>
      </c>
    </row>
    <row r="44" spans="1:25" x14ac:dyDescent="0.2">
      <c r="M44" s="16">
        <f t="shared" si="20"/>
        <v>0</v>
      </c>
      <c r="O44" s="16">
        <v>0</v>
      </c>
      <c r="P44" s="16">
        <v>0</v>
      </c>
      <c r="Q44" s="16">
        <v>0</v>
      </c>
      <c r="S44" s="166">
        <f t="shared" si="21"/>
        <v>0</v>
      </c>
    </row>
    <row r="46" spans="1:25" x14ac:dyDescent="0.2">
      <c r="P46" s="169">
        <f>+P33+(SUM(O35:Q44))</f>
        <v>45166.044615384613</v>
      </c>
    </row>
    <row r="53" spans="1:16" ht="13.5" thickBot="1" x14ac:dyDescent="0.25"/>
    <row r="54" spans="1:16" ht="13.5" thickBot="1" x14ac:dyDescent="0.25">
      <c r="A54" s="398"/>
      <c r="B54" s="400" t="s">
        <v>0</v>
      </c>
      <c r="C54" s="402" t="s">
        <v>1</v>
      </c>
      <c r="D54" s="388" t="s">
        <v>45</v>
      </c>
      <c r="E54" s="386" t="s">
        <v>151</v>
      </c>
      <c r="F54" s="406" t="s">
        <v>302</v>
      </c>
      <c r="G54" s="407"/>
      <c r="H54" s="411"/>
      <c r="I54" s="408" t="s">
        <v>3</v>
      </c>
      <c r="J54" s="410" t="s">
        <v>114</v>
      </c>
      <c r="K54" s="405" t="s">
        <v>115</v>
      </c>
      <c r="L54" s="405" t="s">
        <v>116</v>
      </c>
      <c r="N54" s="419" t="s">
        <v>102</v>
      </c>
    </row>
    <row r="55" spans="1:16" ht="13.5" thickBot="1" x14ac:dyDescent="0.25">
      <c r="A55" s="399"/>
      <c r="B55" s="401"/>
      <c r="C55" s="403"/>
      <c r="D55" s="389"/>
      <c r="E55" s="387"/>
      <c r="F55" s="245" t="s">
        <v>305</v>
      </c>
      <c r="G55" s="246" t="s">
        <v>148</v>
      </c>
      <c r="H55" s="412"/>
      <c r="I55" s="409"/>
      <c r="J55" s="410"/>
      <c r="K55" s="405"/>
      <c r="L55" s="405"/>
      <c r="N55" s="419"/>
    </row>
    <row r="56" spans="1:16" ht="13.5" thickBot="1" x14ac:dyDescent="0.25">
      <c r="A56" s="153">
        <v>1</v>
      </c>
      <c r="B56" s="49" t="str">
        <f t="shared" ref="B56:C65" si="22">+B22</f>
        <v>Biarcal, Ronald Glenn</v>
      </c>
      <c r="C56" s="49" t="str">
        <f t="shared" si="22"/>
        <v>M.T.Purchaser</v>
      </c>
      <c r="D56" s="133"/>
      <c r="E56" s="157"/>
      <c r="F56" s="236"/>
      <c r="G56" s="236">
        <v>0</v>
      </c>
      <c r="H56" s="157">
        <v>0</v>
      </c>
      <c r="I56" s="158">
        <f t="shared" ref="I56:I58" si="23">+D22-F22-H22-D56-J22-K22-L22-M22-N22-O22-E56-H56-F56-G56-I22</f>
        <v>5502.8024999999998</v>
      </c>
      <c r="J56" s="274">
        <f>+O35</f>
        <v>150</v>
      </c>
      <c r="K56" s="274">
        <f t="shared" ref="K56:L60" si="24">+P35</f>
        <v>884</v>
      </c>
      <c r="L56" s="274">
        <f t="shared" si="24"/>
        <v>0</v>
      </c>
      <c r="N56" s="165">
        <f t="shared" ref="N56:N57" si="25">+I56+J56+K56</f>
        <v>6536.8024999999998</v>
      </c>
    </row>
    <row r="57" spans="1:16" ht="13.5" thickBot="1" x14ac:dyDescent="0.25">
      <c r="A57" s="139">
        <v>2</v>
      </c>
      <c r="B57" s="22" t="str">
        <f t="shared" si="22"/>
        <v>Sanchez, Angelo</v>
      </c>
      <c r="C57" s="248" t="str">
        <f t="shared" si="22"/>
        <v>Head Cook</v>
      </c>
      <c r="D57" s="73"/>
      <c r="E57" s="122"/>
      <c r="F57" s="122"/>
      <c r="G57" s="122"/>
      <c r="H57" s="157">
        <v>0</v>
      </c>
      <c r="I57" s="158">
        <f>+D23-F23-H23-D57-J23-K23-L23-M23-N23-O23-E57-H57-F57-G57-I23</f>
        <v>5174.0212499999998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si="25"/>
        <v>5674.0212499999998</v>
      </c>
    </row>
    <row r="58" spans="1:16" ht="13.5" thickBot="1" x14ac:dyDescent="0.25">
      <c r="A58" s="139">
        <v>3</v>
      </c>
      <c r="B58" s="22" t="str">
        <f t="shared" si="22"/>
        <v>Dino, Joyce</v>
      </c>
      <c r="C58" s="248" t="str">
        <f t="shared" si="22"/>
        <v>Store Manager</v>
      </c>
      <c r="D58" s="73"/>
      <c r="E58" s="122"/>
      <c r="F58" s="18">
        <v>4500</v>
      </c>
      <c r="G58" s="18">
        <v>0</v>
      </c>
      <c r="H58" s="157">
        <v>0</v>
      </c>
      <c r="I58" s="158">
        <f t="shared" si="23"/>
        <v>2996.1158653846142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>+I58+J58+K58</f>
        <v>4246.1158653846142</v>
      </c>
      <c r="P58" s="165"/>
    </row>
    <row r="59" spans="1:16" ht="13.5" thickBot="1" x14ac:dyDescent="0.25">
      <c r="A59" s="139">
        <v>4</v>
      </c>
      <c r="B59" s="22" t="str">
        <f t="shared" si="22"/>
        <v xml:space="preserve">Sosa, Anna Marie </v>
      </c>
      <c r="C59" s="248" t="str">
        <f t="shared" si="22"/>
        <v>M.T.Bookkeeper</v>
      </c>
      <c r="D59" s="73"/>
      <c r="E59" s="122"/>
      <c r="F59" s="122"/>
      <c r="G59" s="122">
        <v>0</v>
      </c>
      <c r="H59" s="157">
        <v>0</v>
      </c>
      <c r="I59" s="158">
        <f>+D25-F25-H25-D59-J25-K25-L25-M25-N25-O25-E59-H59-F59-G59-I25</f>
        <v>5657.6062499999998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>+I59+J59+K59</f>
        <v>6691.6062499999998</v>
      </c>
    </row>
    <row r="60" spans="1:16" ht="13.5" thickBot="1" x14ac:dyDescent="0.25">
      <c r="A60" s="139">
        <v>5</v>
      </c>
      <c r="B60" s="22" t="str">
        <f t="shared" si="22"/>
        <v>Briones, Christian Joy</v>
      </c>
      <c r="C60" s="248" t="str">
        <f t="shared" si="22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6247.8225000000002</v>
      </c>
      <c r="J60" s="274">
        <f>+O39</f>
        <v>0</v>
      </c>
      <c r="K60" s="274">
        <f t="shared" si="24"/>
        <v>0</v>
      </c>
      <c r="L60" s="274">
        <f t="shared" si="24"/>
        <v>0</v>
      </c>
      <c r="N60" s="165">
        <f>+I60+J60+K60</f>
        <v>6247.8225000000002</v>
      </c>
    </row>
    <row r="61" spans="1:16" ht="13.5" thickBot="1" x14ac:dyDescent="0.25">
      <c r="A61" s="139">
        <v>6</v>
      </c>
      <c r="B61" s="22" t="str">
        <f t="shared" si="22"/>
        <v>Cahilig,Benzen</v>
      </c>
      <c r="C61" s="248" t="str">
        <f t="shared" si="22"/>
        <v>Cook</v>
      </c>
      <c r="D61" s="73"/>
      <c r="E61" s="122">
        <v>800</v>
      </c>
      <c r="F61" s="122"/>
      <c r="G61" s="122"/>
      <c r="H61" s="157">
        <v>0</v>
      </c>
      <c r="I61" s="158">
        <f>+D27-F27-H27-D61-J27-K27-L27-M27-N27-O27-E61-H61-F61-G61-I27</f>
        <v>4541.6137499999986</v>
      </c>
      <c r="N61" s="165">
        <f>+I61+J61+K61</f>
        <v>4541.6137499999986</v>
      </c>
    </row>
    <row r="62" spans="1:16" x14ac:dyDescent="0.2">
      <c r="A62" s="139">
        <v>7</v>
      </c>
      <c r="B62" s="22" t="str">
        <f t="shared" si="22"/>
        <v>Pantoja,Nancy</v>
      </c>
      <c r="C62" s="248" t="str">
        <f t="shared" si="22"/>
        <v>Cashier</v>
      </c>
      <c r="D62" s="73">
        <v>157.5</v>
      </c>
      <c r="E62" s="122"/>
      <c r="F62" s="122"/>
      <c r="G62" s="122"/>
      <c r="H62" s="157">
        <v>0</v>
      </c>
      <c r="I62" s="158">
        <f>+D28-F28-H28-D62-J28-K28-L28-M28-N28-O28-E62-H62-F62-G62-I28</f>
        <v>5770.5625</v>
      </c>
      <c r="N62" s="165">
        <f>+I62+J62+K62</f>
        <v>5770.5625</v>
      </c>
    </row>
    <row r="63" spans="1:16" x14ac:dyDescent="0.2">
      <c r="A63" s="139">
        <v>8</v>
      </c>
      <c r="B63" s="22">
        <f t="shared" si="22"/>
        <v>0</v>
      </c>
      <c r="C63" s="248">
        <f t="shared" si="22"/>
        <v>0</v>
      </c>
      <c r="D63" s="73"/>
      <c r="E63" s="122"/>
      <c r="F63" s="122"/>
      <c r="G63" s="122"/>
      <c r="H63" s="15">
        <v>0</v>
      </c>
      <c r="I63" s="158">
        <f t="shared" ref="I63:I65" si="26">+D29-F29-H29-D63-J29-K29-L29-M29-N29-O29-E63-H63-F63-G63-I29</f>
        <v>0</v>
      </c>
    </row>
    <row r="64" spans="1:16" x14ac:dyDescent="0.2">
      <c r="A64" s="139">
        <v>9</v>
      </c>
      <c r="B64" s="22">
        <f t="shared" si="22"/>
        <v>0</v>
      </c>
      <c r="C64" s="248">
        <f t="shared" si="22"/>
        <v>0</v>
      </c>
      <c r="D64" s="73"/>
      <c r="E64" s="122"/>
      <c r="F64" s="122"/>
      <c r="G64" s="122"/>
      <c r="H64" s="15">
        <v>0</v>
      </c>
      <c r="I64" s="158">
        <f t="shared" si="26"/>
        <v>0</v>
      </c>
    </row>
    <row r="65" spans="1:14" x14ac:dyDescent="0.2">
      <c r="A65" s="139">
        <v>10</v>
      </c>
      <c r="B65" s="22">
        <f t="shared" si="22"/>
        <v>0</v>
      </c>
      <c r="C65" s="248">
        <f t="shared" si="22"/>
        <v>0</v>
      </c>
      <c r="D65" s="22"/>
      <c r="E65" s="122"/>
      <c r="F65" s="122"/>
      <c r="G65" s="122"/>
      <c r="H65" s="15">
        <v>0</v>
      </c>
      <c r="I65" s="158">
        <f t="shared" si="26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157.5</v>
      </c>
      <c r="E67" s="3">
        <f>+SUM(E56:E66)</f>
        <v>800</v>
      </c>
      <c r="F67" s="3">
        <f>+SUM(F56:F66)</f>
        <v>4500</v>
      </c>
      <c r="G67" s="3">
        <f>+SUM(G56:G66)</f>
        <v>0</v>
      </c>
      <c r="H67" s="3">
        <f>+SUM(H56:H66)</f>
        <v>0</v>
      </c>
      <c r="I67" s="5">
        <f>+SUM(I56:I66)</f>
        <v>35890.544615384613</v>
      </c>
      <c r="N67" s="275">
        <f>SUM(N56:N66)</f>
        <v>39708.544615384613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J54:J55"/>
    <mergeCell ref="K54:K55"/>
    <mergeCell ref="L54:L55"/>
    <mergeCell ref="N54:N55"/>
    <mergeCell ref="O20:O21"/>
    <mergeCell ref="P20:P21"/>
    <mergeCell ref="A54:A55"/>
    <mergeCell ref="B54:B55"/>
    <mergeCell ref="C54:C55"/>
    <mergeCell ref="D54:D55"/>
    <mergeCell ref="E54:E55"/>
    <mergeCell ref="F54:G54"/>
    <mergeCell ref="H54:H55"/>
    <mergeCell ref="I54:I55"/>
    <mergeCell ref="I20:I21"/>
    <mergeCell ref="J20:J21"/>
    <mergeCell ref="K20:K21"/>
    <mergeCell ref="L20:L21"/>
    <mergeCell ref="M20:M21"/>
    <mergeCell ref="N20:N21"/>
    <mergeCell ref="W5:W6"/>
    <mergeCell ref="X5:X6"/>
    <mergeCell ref="A20:A21"/>
    <mergeCell ref="B20:B21"/>
    <mergeCell ref="C20:C21"/>
    <mergeCell ref="D20:D21"/>
    <mergeCell ref="E20:E21"/>
    <mergeCell ref="F20:F21"/>
    <mergeCell ref="G20:G21"/>
    <mergeCell ref="H20:H21"/>
    <mergeCell ref="Q5:Q6"/>
    <mergeCell ref="R5:R6"/>
    <mergeCell ref="S5:S6"/>
    <mergeCell ref="T5:T6"/>
    <mergeCell ref="U5:U6"/>
    <mergeCell ref="V5:V6"/>
    <mergeCell ref="G5:G6"/>
    <mergeCell ref="H5:H6"/>
    <mergeCell ref="I5:I6"/>
    <mergeCell ref="J5:L5"/>
    <mergeCell ref="M5:O5"/>
    <mergeCell ref="P5:P6"/>
    <mergeCell ref="A5:A6"/>
    <mergeCell ref="B5:B6"/>
    <mergeCell ref="C5:C6"/>
    <mergeCell ref="D5:D6"/>
    <mergeCell ref="E5:E6"/>
    <mergeCell ref="F5:F6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M22" sqref="M21:M22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8" t="s">
        <v>283</v>
      </c>
      <c r="E18" s="459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8"/>
      <c r="E19" s="459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26-10 payroll (2)</vt:lpstr>
      <vt:lpstr>TIME CONVERSION</vt:lpstr>
      <vt:lpstr>Sheet1</vt:lpstr>
      <vt:lpstr>'11-25 payroll'!Print_Area</vt:lpstr>
      <vt:lpstr>'11-25 payslip'!Print_Area</vt:lpstr>
      <vt:lpstr>'26-10 payroll'!Print_Area</vt:lpstr>
      <vt:lpstr>'26-10 payroll (2)'!Print_Area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2019-12-12T23:13:41Z</cp:lastPrinted>
  <dcterms:created xsi:type="dcterms:W3CDTF">2010-01-04T12:18:59Z</dcterms:created>
  <dcterms:modified xsi:type="dcterms:W3CDTF">2019-12-12T23:16:17Z</dcterms:modified>
</cp:coreProperties>
</file>