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12 Files\monthlyreport\Done\"/>
    </mc:Choice>
  </mc:AlternateContent>
  <xr:revisionPtr revIDLastSave="0" documentId="13_ncr:1_{13EC543C-41A8-4AD0-9005-1765391CFFDA}" xr6:coauthVersionLast="45" xr6:coauthVersionMax="45" xr10:uidLastSave="{00000000-0000-0000-0000-000000000000}"/>
  <bookViews>
    <workbookView xWindow="-60" yWindow="-60" windowWidth="24120" windowHeight="12960" tabRatio="500" activeTab="3" xr2:uid="{00000000-000D-0000-FFFF-FFFF00000000}"/>
  </bookViews>
  <sheets>
    <sheet name="Dec 2-5" sheetId="1" r:id="rId1"/>
    <sheet name="Dec 5-12" sheetId="2" r:id="rId2"/>
    <sheet name="Dec 12-17" sheetId="3" r:id="rId3"/>
    <sheet name="Dec23-27" sheetId="4" r:id="rId4"/>
  </sheets>
  <externalReferences>
    <externalReference r:id="rId5"/>
    <externalReference r:id="rId6"/>
    <externalReference r:id="rId7"/>
  </externalReferences>
  <definedNames>
    <definedName name="_OC1">[3]MAIN!$D$25</definedName>
    <definedName name="_OC10">[3]MAIN!$D$34</definedName>
    <definedName name="_OC11">[3]MAIN!$D$35</definedName>
    <definedName name="_OC12">[3]MAIN!$D$36</definedName>
    <definedName name="_OC13">[3]MAIN!$D$37</definedName>
    <definedName name="_OC14">[3]MAIN!$D$38</definedName>
    <definedName name="_OC15">[3]MAIN!$D$39</definedName>
    <definedName name="_OC2">[3]MAIN!$D$26</definedName>
    <definedName name="_OC3">[3]MAIN!$D$27</definedName>
    <definedName name="_OC4">[3]MAIN!$D$28</definedName>
    <definedName name="_OC5">[3]MAIN!$D$29</definedName>
    <definedName name="_OC6">[3]MAIN!$D$30</definedName>
    <definedName name="_OC7">[3]MAIN!$D$31</definedName>
    <definedName name="_OC8">[3]MAIN!$D$32</definedName>
    <definedName name="_OC9">[3]MAIN!$D$33</definedName>
    <definedName name="celMonth">'[1]Company Setup'!$K$5</definedName>
    <definedName name="celYear">'[1]Company Setup'!$K$3</definedName>
    <definedName name="LIMIT1">[2]MAIN!$F$25</definedName>
    <definedName name="LIMIT10">[2]MAIN!$F$34</definedName>
    <definedName name="LIMIT11">[2]MAIN!$F$35</definedName>
    <definedName name="LIMIT12">[2]MAIN!$F$36</definedName>
    <definedName name="LIMIT13">[2]MAIN!$F$37</definedName>
    <definedName name="LIMIT14">[2]MAIN!$F$38</definedName>
    <definedName name="LIMIT15">[2]MAIN!$F$39</definedName>
    <definedName name="LIMIT2">[2]MAIN!$F$26</definedName>
    <definedName name="LIMIT3">[2]MAIN!$F$27</definedName>
    <definedName name="LIMIT4">[2]MAIN!$F$28</definedName>
    <definedName name="LIMIT5">[2]MAIN!$F$29</definedName>
    <definedName name="LIMIT6">[2]MAIN!$F$30</definedName>
    <definedName name="LIMIT7">[2]MAIN!$F$31</definedName>
    <definedName name="LIMIT8">[2]MAIN!$F$32</definedName>
    <definedName name="LIMIT9">[2]MAIN!$F$33</definedName>
    <definedName name="_xlnm.Print_Area" localSheetId="2">'Dec 12-17'!$A$17:$AG$39</definedName>
    <definedName name="_xlnm.Print_Area" localSheetId="1">'Dec 5-12'!$A$20:$AB$49</definedName>
    <definedName name="_xlnm.Print_Area" localSheetId="3">'Dec23-27'!$A$31:$AG$58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5" i="4" l="1"/>
  <c r="J63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L56" i="4"/>
  <c r="J56" i="4"/>
  <c r="I56" i="4"/>
  <c r="H56" i="4"/>
  <c r="O55" i="4"/>
  <c r="N55" i="4"/>
  <c r="AF55" i="4" s="1"/>
  <c r="AG55" i="4" s="1"/>
  <c r="M55" i="4"/>
  <c r="O53" i="4"/>
  <c r="N53" i="4"/>
  <c r="AF53" i="4" s="1"/>
  <c r="AG53" i="4" s="1"/>
  <c r="M53" i="4"/>
  <c r="O52" i="4"/>
  <c r="AF52" i="4" s="1"/>
  <c r="AG52" i="4" s="1"/>
  <c r="N52" i="4"/>
  <c r="M52" i="4"/>
  <c r="O51" i="4"/>
  <c r="AF51" i="4" s="1"/>
  <c r="AG51" i="4" s="1"/>
  <c r="N51" i="4"/>
  <c r="M51" i="4"/>
  <c r="O50" i="4"/>
  <c r="N50" i="4"/>
  <c r="M50" i="4"/>
  <c r="O49" i="4"/>
  <c r="AF49" i="4" s="1"/>
  <c r="AG49" i="4" s="1"/>
  <c r="N49" i="4"/>
  <c r="M49" i="4"/>
  <c r="O48" i="4"/>
  <c r="N48" i="4"/>
  <c r="M48" i="4"/>
  <c r="O47" i="4"/>
  <c r="N47" i="4"/>
  <c r="AF47" i="4" s="1"/>
  <c r="AG47" i="4" s="1"/>
  <c r="M47" i="4"/>
  <c r="O46" i="4"/>
  <c r="N46" i="4"/>
  <c r="AF46" i="4" s="1"/>
  <c r="AG46" i="4" s="1"/>
  <c r="M46" i="4"/>
  <c r="O45" i="4"/>
  <c r="N45" i="4"/>
  <c r="M45" i="4"/>
  <c r="O44" i="4"/>
  <c r="N44" i="4"/>
  <c r="M44" i="4"/>
  <c r="O43" i="4"/>
  <c r="N43" i="4"/>
  <c r="AF43" i="4" s="1"/>
  <c r="AG43" i="4" s="1"/>
  <c r="M43" i="4"/>
  <c r="O42" i="4"/>
  <c r="N42" i="4"/>
  <c r="AF42" i="4" s="1"/>
  <c r="AG42" i="4" s="1"/>
  <c r="K42" i="4"/>
  <c r="M42" i="4" s="1"/>
  <c r="O41" i="4"/>
  <c r="N41" i="4"/>
  <c r="M41" i="4"/>
  <c r="O40" i="4"/>
  <c r="N40" i="4"/>
  <c r="AF40" i="4" s="1"/>
  <c r="AG40" i="4" s="1"/>
  <c r="M40" i="4"/>
  <c r="O39" i="4"/>
  <c r="N39" i="4"/>
  <c r="M39" i="4"/>
  <c r="O38" i="4"/>
  <c r="N38" i="4"/>
  <c r="M38" i="4"/>
  <c r="AF37" i="4"/>
  <c r="AG37" i="4" s="1"/>
  <c r="O37" i="4"/>
  <c r="N37" i="4"/>
  <c r="M37" i="4"/>
  <c r="O36" i="4"/>
  <c r="N36" i="4"/>
  <c r="M36" i="4"/>
  <c r="O35" i="4"/>
  <c r="N35" i="4"/>
  <c r="AF35" i="4" s="1"/>
  <c r="AG35" i="4" s="1"/>
  <c r="M35" i="4"/>
  <c r="K34" i="4"/>
  <c r="O33" i="4"/>
  <c r="N33" i="4"/>
  <c r="AF33" i="4" s="1"/>
  <c r="AG33" i="4" s="1"/>
  <c r="M33" i="4"/>
  <c r="O32" i="4"/>
  <c r="N32" i="4"/>
  <c r="AF32" i="4" s="1"/>
  <c r="AG32" i="4" s="1"/>
  <c r="M32" i="4"/>
  <c r="O31" i="4"/>
  <c r="N31" i="4"/>
  <c r="AF31" i="4" s="1"/>
  <c r="AG31" i="4" s="1"/>
  <c r="M31" i="4"/>
  <c r="O30" i="4"/>
  <c r="AF30" i="4" s="1"/>
  <c r="AG30" i="4" s="1"/>
  <c r="K30" i="4"/>
  <c r="N30" i="4" s="1"/>
  <c r="O29" i="4"/>
  <c r="N29" i="4"/>
  <c r="M29" i="4"/>
  <c r="O28" i="4"/>
  <c r="N28" i="4"/>
  <c r="M28" i="4"/>
  <c r="AF27" i="4"/>
  <c r="AG27" i="4" s="1"/>
  <c r="O27" i="4"/>
  <c r="N27" i="4"/>
  <c r="M27" i="4"/>
  <c r="O26" i="4"/>
  <c r="N26" i="4"/>
  <c r="M26" i="4"/>
  <c r="O25" i="4"/>
  <c r="N25" i="4"/>
  <c r="AF25" i="4" s="1"/>
  <c r="AG25" i="4" s="1"/>
  <c r="M25" i="4"/>
  <c r="K24" i="4"/>
  <c r="O23" i="4"/>
  <c r="N23" i="4"/>
  <c r="AF23" i="4" s="1"/>
  <c r="AG23" i="4" s="1"/>
  <c r="M23" i="4"/>
  <c r="O22" i="4"/>
  <c r="N22" i="4"/>
  <c r="AF22" i="4" s="1"/>
  <c r="AG22" i="4" s="1"/>
  <c r="M22" i="4"/>
  <c r="O21" i="4"/>
  <c r="N21" i="4"/>
  <c r="AF21" i="4" s="1"/>
  <c r="AG21" i="4" s="1"/>
  <c r="M21" i="4"/>
  <c r="O20" i="4"/>
  <c r="AF20" i="4" s="1"/>
  <c r="AG20" i="4" s="1"/>
  <c r="N20" i="4"/>
  <c r="M20" i="4"/>
  <c r="O19" i="4"/>
  <c r="AF19" i="4" s="1"/>
  <c r="AG19" i="4" s="1"/>
  <c r="N19" i="4"/>
  <c r="M19" i="4"/>
  <c r="O18" i="4"/>
  <c r="N18" i="4"/>
  <c r="M18" i="4"/>
  <c r="O17" i="4"/>
  <c r="AF17" i="4" s="1"/>
  <c r="AG17" i="4" s="1"/>
  <c r="N17" i="4"/>
  <c r="M17" i="4"/>
  <c r="K16" i="4"/>
  <c r="O15" i="4"/>
  <c r="N15" i="4"/>
  <c r="M15" i="4"/>
  <c r="O14" i="4"/>
  <c r="N14" i="4"/>
  <c r="AF14" i="4" s="1"/>
  <c r="AG14" i="4" s="1"/>
  <c r="M14" i="4"/>
  <c r="O13" i="4"/>
  <c r="N13" i="4"/>
  <c r="M13" i="4"/>
  <c r="O12" i="4"/>
  <c r="N12" i="4"/>
  <c r="AF12" i="4" s="1"/>
  <c r="AG12" i="4" s="1"/>
  <c r="M12" i="4"/>
  <c r="O11" i="4"/>
  <c r="N11" i="4"/>
  <c r="M11" i="4"/>
  <c r="O10" i="4"/>
  <c r="AF10" i="4" s="1"/>
  <c r="AG10" i="4" s="1"/>
  <c r="N10" i="4"/>
  <c r="M10" i="4"/>
  <c r="O9" i="4"/>
  <c r="AF9" i="4" s="1"/>
  <c r="AG9" i="4" s="1"/>
  <c r="N9" i="4"/>
  <c r="M9" i="4"/>
  <c r="O8" i="4"/>
  <c r="N8" i="4"/>
  <c r="M8" i="4"/>
  <c r="O7" i="4"/>
  <c r="N7" i="4"/>
  <c r="AF7" i="4" s="1"/>
  <c r="AG7" i="4" s="1"/>
  <c r="M7" i="4"/>
  <c r="AI6" i="4" a="1"/>
  <c r="AI6" i="4"/>
  <c r="AF6" i="4"/>
  <c r="AG6" i="4" s="1"/>
  <c r="O6" i="4"/>
  <c r="N6" i="4"/>
  <c r="M6" i="4"/>
  <c r="AI5" i="4"/>
  <c r="K5" i="4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L36" i="3"/>
  <c r="J36" i="3"/>
  <c r="J64" i="4" s="1"/>
  <c r="I36" i="3"/>
  <c r="H36" i="3"/>
  <c r="O35" i="3"/>
  <c r="N35" i="3"/>
  <c r="AF35" i="3" s="1"/>
  <c r="AG35" i="3" s="1"/>
  <c r="M35" i="3"/>
  <c r="O34" i="3"/>
  <c r="N34" i="3"/>
  <c r="AF34" i="3" s="1"/>
  <c r="AG34" i="3" s="1"/>
  <c r="M34" i="3"/>
  <c r="O33" i="3"/>
  <c r="N33" i="3"/>
  <c r="AF33" i="3" s="1"/>
  <c r="AG33" i="3" s="1"/>
  <c r="M33" i="3"/>
  <c r="O32" i="3"/>
  <c r="N32" i="3"/>
  <c r="M32" i="3"/>
  <c r="O31" i="3"/>
  <c r="N31" i="3"/>
  <c r="M31" i="3"/>
  <c r="O30" i="3"/>
  <c r="N30" i="3"/>
  <c r="AF30" i="3" s="1"/>
  <c r="AG30" i="3" s="1"/>
  <c r="K30" i="3"/>
  <c r="M30" i="3" s="1"/>
  <c r="O29" i="3"/>
  <c r="AF29" i="3" s="1"/>
  <c r="AG29" i="3" s="1"/>
  <c r="N29" i="3"/>
  <c r="M29" i="3"/>
  <c r="O28" i="3"/>
  <c r="N28" i="3"/>
  <c r="AF28" i="3" s="1"/>
  <c r="AG28" i="3" s="1"/>
  <c r="M28" i="3"/>
  <c r="O27" i="3"/>
  <c r="N27" i="3"/>
  <c r="AF27" i="3" s="1"/>
  <c r="AG27" i="3" s="1"/>
  <c r="M27" i="3"/>
  <c r="O26" i="3"/>
  <c r="N26" i="3"/>
  <c r="AF26" i="3" s="1"/>
  <c r="AG26" i="3" s="1"/>
  <c r="M26" i="3"/>
  <c r="O25" i="3"/>
  <c r="AF25" i="3" s="1"/>
  <c r="AG25" i="3" s="1"/>
  <c r="N25" i="3"/>
  <c r="M25" i="3"/>
  <c r="O24" i="3"/>
  <c r="AF24" i="3" s="1"/>
  <c r="AG24" i="3" s="1"/>
  <c r="N24" i="3"/>
  <c r="M24" i="3"/>
  <c r="O23" i="3"/>
  <c r="N23" i="3"/>
  <c r="M23" i="3"/>
  <c r="O22" i="3"/>
  <c r="N22" i="3"/>
  <c r="M22" i="3"/>
  <c r="O21" i="3"/>
  <c r="N21" i="3"/>
  <c r="AF21" i="3" s="1"/>
  <c r="AG21" i="3" s="1"/>
  <c r="M21" i="3"/>
  <c r="O20" i="3"/>
  <c r="N20" i="3"/>
  <c r="AF20" i="3" s="1"/>
  <c r="AG20" i="3" s="1"/>
  <c r="M20" i="3"/>
  <c r="O19" i="3"/>
  <c r="N19" i="3"/>
  <c r="M19" i="3"/>
  <c r="K18" i="3"/>
  <c r="O17" i="3"/>
  <c r="N17" i="3"/>
  <c r="M17" i="3"/>
  <c r="O16" i="3"/>
  <c r="N16" i="3"/>
  <c r="AF16" i="3" s="1"/>
  <c r="AG16" i="3" s="1"/>
  <c r="M16" i="3"/>
  <c r="O15" i="3"/>
  <c r="N15" i="3"/>
  <c r="AF15" i="3" s="1"/>
  <c r="AG15" i="3" s="1"/>
  <c r="M15" i="3"/>
  <c r="O14" i="3"/>
  <c r="N14" i="3"/>
  <c r="M14" i="3"/>
  <c r="AF13" i="3"/>
  <c r="AG13" i="3" s="1"/>
  <c r="O13" i="3"/>
  <c r="N13" i="3"/>
  <c r="M13" i="3"/>
  <c r="AG12" i="3"/>
  <c r="O12" i="3"/>
  <c r="N12" i="3"/>
  <c r="AF12" i="3" s="1"/>
  <c r="M12" i="3"/>
  <c r="K11" i="3"/>
  <c r="O10" i="3"/>
  <c r="N10" i="3"/>
  <c r="AF10" i="3" s="1"/>
  <c r="AG10" i="3" s="1"/>
  <c r="M10" i="3"/>
  <c r="O9" i="3"/>
  <c r="N9" i="3"/>
  <c r="AF9" i="3" s="1"/>
  <c r="AG9" i="3" s="1"/>
  <c r="M9" i="3"/>
  <c r="O8" i="3"/>
  <c r="N8" i="3"/>
  <c r="M8" i="3"/>
  <c r="O7" i="3"/>
  <c r="N7" i="3"/>
  <c r="M7" i="3"/>
  <c r="O6" i="3"/>
  <c r="N6" i="3"/>
  <c r="AF6" i="3" s="1"/>
  <c r="AG6" i="3" s="1"/>
  <c r="M6" i="3"/>
  <c r="O5" i="3"/>
  <c r="N5" i="3"/>
  <c r="M5" i="3"/>
  <c r="Z46" i="2"/>
  <c r="Y46" i="2"/>
  <c r="X46" i="2"/>
  <c r="W46" i="2"/>
  <c r="V46" i="2"/>
  <c r="U46" i="2"/>
  <c r="T46" i="2"/>
  <c r="S46" i="2"/>
  <c r="R46" i="2"/>
  <c r="Q46" i="2"/>
  <c r="P46" i="2"/>
  <c r="L46" i="2"/>
  <c r="J46" i="2"/>
  <c r="I46" i="2"/>
  <c r="H46" i="2"/>
  <c r="AB45" i="2"/>
  <c r="O45" i="2"/>
  <c r="N45" i="2"/>
  <c r="AA45" i="2" s="1"/>
  <c r="M45" i="2"/>
  <c r="AA44" i="2"/>
  <c r="AB44" i="2" s="1"/>
  <c r="O44" i="2"/>
  <c r="N44" i="2"/>
  <c r="M44" i="2"/>
  <c r="O43" i="2"/>
  <c r="AA43" i="2" s="1"/>
  <c r="AB43" i="2" s="1"/>
  <c r="N43" i="2"/>
  <c r="M43" i="2"/>
  <c r="O42" i="2"/>
  <c r="N42" i="2"/>
  <c r="AA42" i="2" s="1"/>
  <c r="AB42" i="2" s="1"/>
  <c r="M42" i="2"/>
  <c r="O41" i="2"/>
  <c r="N41" i="2"/>
  <c r="AA41" i="2" s="1"/>
  <c r="AB41" i="2" s="1"/>
  <c r="M41" i="2"/>
  <c r="O40" i="2"/>
  <c r="N40" i="2"/>
  <c r="M40" i="2"/>
  <c r="O39" i="2"/>
  <c r="AA39" i="2" s="1"/>
  <c r="AB39" i="2" s="1"/>
  <c r="N39" i="2"/>
  <c r="M39" i="2"/>
  <c r="O38" i="2"/>
  <c r="AA38" i="2" s="1"/>
  <c r="AB38" i="2" s="1"/>
  <c r="N38" i="2"/>
  <c r="M38" i="2"/>
  <c r="O37" i="2"/>
  <c r="K37" i="2"/>
  <c r="N37" i="2" s="1"/>
  <c r="AA37" i="2" s="1"/>
  <c r="AB37" i="2" s="1"/>
  <c r="O36" i="2"/>
  <c r="AA36" i="2" s="1"/>
  <c r="AB36" i="2" s="1"/>
  <c r="N36" i="2"/>
  <c r="M36" i="2"/>
  <c r="O35" i="2"/>
  <c r="AA35" i="2" s="1"/>
  <c r="AB35" i="2" s="1"/>
  <c r="N35" i="2"/>
  <c r="M35" i="2"/>
  <c r="O34" i="2"/>
  <c r="N34" i="2"/>
  <c r="M34" i="2"/>
  <c r="O33" i="2"/>
  <c r="N33" i="2"/>
  <c r="AA33" i="2" s="1"/>
  <c r="AB33" i="2" s="1"/>
  <c r="M33" i="2"/>
  <c r="O32" i="2"/>
  <c r="AA32" i="2" s="1"/>
  <c r="AB32" i="2" s="1"/>
  <c r="N32" i="2"/>
  <c r="M32" i="2"/>
  <c r="O31" i="2"/>
  <c r="N31" i="2"/>
  <c r="AA31" i="2" s="1"/>
  <c r="AB31" i="2" s="1"/>
  <c r="M31" i="2"/>
  <c r="O30" i="2"/>
  <c r="N30" i="2"/>
  <c r="AA30" i="2" s="1"/>
  <c r="AB30" i="2" s="1"/>
  <c r="M30" i="2"/>
  <c r="K30" i="2"/>
  <c r="O29" i="2"/>
  <c r="N29" i="2"/>
  <c r="M29" i="2"/>
  <c r="O28" i="2"/>
  <c r="N28" i="2"/>
  <c r="AA28" i="2" s="1"/>
  <c r="AB28" i="2" s="1"/>
  <c r="M28" i="2"/>
  <c r="O27" i="2"/>
  <c r="N27" i="2"/>
  <c r="AA27" i="2" s="1"/>
  <c r="AB27" i="2" s="1"/>
  <c r="M27" i="2"/>
  <c r="O26" i="2"/>
  <c r="N26" i="2"/>
  <c r="AA26" i="2" s="1"/>
  <c r="AB26" i="2" s="1"/>
  <c r="M26" i="2"/>
  <c r="O25" i="2"/>
  <c r="N25" i="2"/>
  <c r="M25" i="2"/>
  <c r="N24" i="2"/>
  <c r="AA24" i="2" s="1"/>
  <c r="AB24" i="2" s="1"/>
  <c r="K24" i="2"/>
  <c r="O24" i="2" s="1"/>
  <c r="O23" i="2"/>
  <c r="N23" i="2"/>
  <c r="AA23" i="2" s="1"/>
  <c r="AB23" i="2" s="1"/>
  <c r="M23" i="2"/>
  <c r="O22" i="2"/>
  <c r="N22" i="2"/>
  <c r="AA22" i="2" s="1"/>
  <c r="AB22" i="2" s="1"/>
  <c r="M22" i="2"/>
  <c r="O21" i="2"/>
  <c r="AA21" i="2" s="1"/>
  <c r="AB21" i="2" s="1"/>
  <c r="N21" i="2"/>
  <c r="M21" i="2"/>
  <c r="O20" i="2"/>
  <c r="N20" i="2"/>
  <c r="M20" i="2"/>
  <c r="O19" i="2"/>
  <c r="AA19" i="2" s="1"/>
  <c r="AB19" i="2" s="1"/>
  <c r="N19" i="2"/>
  <c r="M19" i="2"/>
  <c r="O18" i="2"/>
  <c r="N18" i="2"/>
  <c r="M18" i="2"/>
  <c r="O17" i="2"/>
  <c r="N17" i="2"/>
  <c r="AA17" i="2" s="1"/>
  <c r="AB17" i="2" s="1"/>
  <c r="M17" i="2"/>
  <c r="O16" i="2"/>
  <c r="N16" i="2"/>
  <c r="M16" i="2"/>
  <c r="O15" i="2"/>
  <c r="N15" i="2"/>
  <c r="M15" i="2"/>
  <c r="K14" i="2"/>
  <c r="N14" i="2" s="1"/>
  <c r="O13" i="2"/>
  <c r="N13" i="2"/>
  <c r="M13" i="2"/>
  <c r="O12" i="2"/>
  <c r="AA12" i="2" s="1"/>
  <c r="AB12" i="2" s="1"/>
  <c r="N12" i="2"/>
  <c r="M12" i="2"/>
  <c r="K11" i="2"/>
  <c r="AB10" i="2"/>
  <c r="O10" i="2"/>
  <c r="N10" i="2"/>
  <c r="AA10" i="2" s="1"/>
  <c r="M10" i="2"/>
  <c r="AA9" i="2"/>
  <c r="AB9" i="2" s="1"/>
  <c r="O9" i="2"/>
  <c r="N9" i="2"/>
  <c r="M9" i="2"/>
  <c r="K8" i="2"/>
  <c r="O7" i="2"/>
  <c r="N7" i="2"/>
  <c r="AA7" i="2" s="1"/>
  <c r="AB7" i="2" s="1"/>
  <c r="M7" i="2"/>
  <c r="O6" i="2"/>
  <c r="N6" i="2"/>
  <c r="M6" i="2"/>
  <c r="O5" i="2"/>
  <c r="N5" i="2"/>
  <c r="M5" i="2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L24" i="1"/>
  <c r="J24" i="1"/>
  <c r="J62" i="4" s="1"/>
  <c r="I24" i="1"/>
  <c r="H24" i="1"/>
  <c r="AF23" i="1"/>
  <c r="AG23" i="1" s="1"/>
  <c r="O23" i="1"/>
  <c r="N23" i="1"/>
  <c r="M23" i="1"/>
  <c r="O22" i="1"/>
  <c r="N22" i="1"/>
  <c r="AF22" i="1" s="1"/>
  <c r="AG22" i="1" s="1"/>
  <c r="M22" i="1"/>
  <c r="O21" i="1"/>
  <c r="N21" i="1"/>
  <c r="AF21" i="1" s="1"/>
  <c r="AG21" i="1" s="1"/>
  <c r="M21" i="1"/>
  <c r="O20" i="1"/>
  <c r="N20" i="1"/>
  <c r="M20" i="1"/>
  <c r="O19" i="1"/>
  <c r="AF19" i="1" s="1"/>
  <c r="AG19" i="1" s="1"/>
  <c r="N19" i="1"/>
  <c r="M19" i="1"/>
  <c r="AF18" i="1"/>
  <c r="AG18" i="1" s="1"/>
  <c r="O18" i="1"/>
  <c r="N18" i="1"/>
  <c r="M18" i="1"/>
  <c r="O17" i="1"/>
  <c r="N17" i="1"/>
  <c r="M17" i="1"/>
  <c r="O16" i="1"/>
  <c r="N16" i="1"/>
  <c r="AF16" i="1" s="1"/>
  <c r="AG16" i="1" s="1"/>
  <c r="K16" i="1"/>
  <c r="M16" i="1" s="1"/>
  <c r="O15" i="1"/>
  <c r="AF15" i="1" s="1"/>
  <c r="AG15" i="1" s="1"/>
  <c r="N15" i="1"/>
  <c r="M15" i="1"/>
  <c r="O14" i="1"/>
  <c r="N14" i="1"/>
  <c r="AF14" i="1" s="1"/>
  <c r="AG14" i="1" s="1"/>
  <c r="M14" i="1"/>
  <c r="O13" i="1"/>
  <c r="N13" i="1"/>
  <c r="AF13" i="1" s="1"/>
  <c r="AG13" i="1" s="1"/>
  <c r="M13" i="1"/>
  <c r="O12" i="1"/>
  <c r="N12" i="1"/>
  <c r="AF12" i="1" s="1"/>
  <c r="AG12" i="1" s="1"/>
  <c r="M12" i="1"/>
  <c r="O11" i="1"/>
  <c r="N11" i="1"/>
  <c r="AF11" i="1" s="1"/>
  <c r="AG11" i="1" s="1"/>
  <c r="M11" i="1"/>
  <c r="O10" i="1"/>
  <c r="N10" i="1"/>
  <c r="AF10" i="1" s="1"/>
  <c r="AG10" i="1" s="1"/>
  <c r="M10" i="1"/>
  <c r="O9" i="1"/>
  <c r="N9" i="1"/>
  <c r="AF9" i="1" s="1"/>
  <c r="AG9" i="1" s="1"/>
  <c r="M9" i="1"/>
  <c r="K8" i="1"/>
  <c r="O7" i="1"/>
  <c r="N7" i="1"/>
  <c r="AF7" i="1" s="1"/>
  <c r="AG7" i="1" s="1"/>
  <c r="M7" i="1"/>
  <c r="O6" i="1"/>
  <c r="N6" i="1"/>
  <c r="AF6" i="1" s="1"/>
  <c r="AG6" i="1" s="1"/>
  <c r="M6" i="1"/>
  <c r="O5" i="1"/>
  <c r="N5" i="1"/>
  <c r="M5" i="1"/>
  <c r="AF17" i="1" l="1"/>
  <c r="AG17" i="1" s="1"/>
  <c r="AF20" i="1"/>
  <c r="AG20" i="1" s="1"/>
  <c r="O14" i="2"/>
  <c r="AA14" i="2" s="1"/>
  <c r="AB14" i="2" s="1"/>
  <c r="AA18" i="2"/>
  <c r="AB18" i="2" s="1"/>
  <c r="AA29" i="2"/>
  <c r="AB29" i="2" s="1"/>
  <c r="M37" i="2"/>
  <c r="AA6" i="2"/>
  <c r="AB6" i="2" s="1"/>
  <c r="AA15" i="2"/>
  <c r="AB15" i="2" s="1"/>
  <c r="AA20" i="2"/>
  <c r="AB20" i="2" s="1"/>
  <c r="M24" i="2"/>
  <c r="AA25" i="2"/>
  <c r="AB25" i="2" s="1"/>
  <c r="AF41" i="4"/>
  <c r="AG41" i="4" s="1"/>
  <c r="AF44" i="4"/>
  <c r="AG44" i="4" s="1"/>
  <c r="AF48" i="4"/>
  <c r="AG48" i="4" s="1"/>
  <c r="AF13" i="4"/>
  <c r="AG13" i="4" s="1"/>
  <c r="AF8" i="4"/>
  <c r="AG8" i="4" s="1"/>
  <c r="AF15" i="4"/>
  <c r="AG15" i="4" s="1"/>
  <c r="AF18" i="4"/>
  <c r="AG18" i="4" s="1"/>
  <c r="AF26" i="4"/>
  <c r="AG26" i="4" s="1"/>
  <c r="AF28" i="4"/>
  <c r="AG28" i="4" s="1"/>
  <c r="AF36" i="4"/>
  <c r="AG36" i="4" s="1"/>
  <c r="AF38" i="4"/>
  <c r="AG38" i="4" s="1"/>
  <c r="AF45" i="4"/>
  <c r="AG45" i="4" s="1"/>
  <c r="AF50" i="4"/>
  <c r="AG50" i="4" s="1"/>
  <c r="AF7" i="3"/>
  <c r="AG7" i="3" s="1"/>
  <c r="AF22" i="3"/>
  <c r="AG22" i="3" s="1"/>
  <c r="AF8" i="3"/>
  <c r="AG8" i="3" s="1"/>
  <c r="AF14" i="3"/>
  <c r="AG14" i="3" s="1"/>
  <c r="AF17" i="3"/>
  <c r="AG17" i="3" s="1"/>
  <c r="AF19" i="3"/>
  <c r="AG19" i="3" s="1"/>
  <c r="AF31" i="3"/>
  <c r="AG31" i="3" s="1"/>
  <c r="AF32" i="3"/>
  <c r="AG32" i="3" s="1"/>
  <c r="M18" i="3"/>
  <c r="O18" i="3"/>
  <c r="N18" i="3"/>
  <c r="AF18" i="3" s="1"/>
  <c r="AG18" i="3" s="1"/>
  <c r="M34" i="4"/>
  <c r="O34" i="4"/>
  <c r="N34" i="4"/>
  <c r="AF34" i="4" s="1"/>
  <c r="AG34" i="4" s="1"/>
  <c r="N11" i="2"/>
  <c r="O11" i="2"/>
  <c r="M11" i="2"/>
  <c r="N16" i="4"/>
  <c r="O16" i="4"/>
  <c r="M16" i="4"/>
  <c r="AF5" i="1"/>
  <c r="N8" i="1"/>
  <c r="K24" i="1"/>
  <c r="M8" i="1"/>
  <c r="M24" i="1" s="1"/>
  <c r="AA5" i="2"/>
  <c r="N8" i="2"/>
  <c r="O8" i="2"/>
  <c r="K46" i="2"/>
  <c r="M11" i="3"/>
  <c r="M36" i="3" s="1"/>
  <c r="O11" i="3"/>
  <c r="N11" i="3"/>
  <c r="AF11" i="3" s="1"/>
  <c r="AG11" i="3" s="1"/>
  <c r="K36" i="3"/>
  <c r="K64" i="4" s="1"/>
  <c r="K38" i="3"/>
  <c r="O8" i="1"/>
  <c r="O24" i="1" s="1"/>
  <c r="J67" i="4"/>
  <c r="O46" i="2"/>
  <c r="M8" i="2"/>
  <c r="M46" i="2" s="1"/>
  <c r="AA16" i="2"/>
  <c r="AB16" i="2" s="1"/>
  <c r="AA40" i="2"/>
  <c r="AB40" i="2" s="1"/>
  <c r="M5" i="4"/>
  <c r="K56" i="4"/>
  <c r="K65" i="4" s="1"/>
  <c r="O5" i="4"/>
  <c r="N5" i="4"/>
  <c r="M24" i="4"/>
  <c r="O24" i="4"/>
  <c r="N24" i="4"/>
  <c r="AA13" i="2"/>
  <c r="AB13" i="2" s="1"/>
  <c r="M14" i="2"/>
  <c r="AA34" i="2"/>
  <c r="AB34" i="2" s="1"/>
  <c r="AF5" i="3"/>
  <c r="AF23" i="3"/>
  <c r="AG23" i="3" s="1"/>
  <c r="AF11" i="4"/>
  <c r="AG11" i="4" s="1"/>
  <c r="AF29" i="4"/>
  <c r="AG29" i="4" s="1"/>
  <c r="M30" i="4"/>
  <c r="AF39" i="4"/>
  <c r="AG39" i="4" s="1"/>
  <c r="AF8" i="1" l="1"/>
  <c r="AG8" i="1" s="1"/>
  <c r="AA11" i="2"/>
  <c r="AB11" i="2" s="1"/>
  <c r="N36" i="3"/>
  <c r="N64" i="4" s="1"/>
  <c r="AB5" i="2"/>
  <c r="AB46" i="2" s="1"/>
  <c r="K62" i="4"/>
  <c r="K67" i="4" s="1"/>
  <c r="K26" i="1"/>
  <c r="M56" i="4"/>
  <c r="K63" i="4"/>
  <c r="K48" i="2"/>
  <c r="N46" i="2"/>
  <c r="N63" i="4" s="1"/>
  <c r="AF16" i="4"/>
  <c r="AG16" i="4" s="1"/>
  <c r="AF36" i="3"/>
  <c r="AF38" i="3" s="1"/>
  <c r="AG5" i="3"/>
  <c r="AG36" i="3" s="1"/>
  <c r="N56" i="4"/>
  <c r="N65" i="4" s="1"/>
  <c r="AF5" i="4"/>
  <c r="N24" i="1"/>
  <c r="N62" i="4" s="1"/>
  <c r="AF24" i="1"/>
  <c r="AF26" i="1" s="1"/>
  <c r="AG5" i="1"/>
  <c r="AG24" i="1" s="1"/>
  <c r="K58" i="4"/>
  <c r="AF24" i="4"/>
  <c r="AG24" i="4" s="1"/>
  <c r="O56" i="4"/>
  <c r="O36" i="3"/>
  <c r="AA8" i="2"/>
  <c r="AB8" i="2" s="1"/>
  <c r="N67" i="4" l="1"/>
  <c r="AG5" i="4"/>
  <c r="AG56" i="4" s="1"/>
  <c r="AF56" i="4"/>
  <c r="AF58" i="4" s="1"/>
  <c r="AA46" i="2"/>
  <c r="AA48" i="2" s="1"/>
</calcChain>
</file>

<file path=xl/sharedStrings.xml><?xml version="1.0" encoding="utf-8"?>
<sst xmlns="http://schemas.openxmlformats.org/spreadsheetml/2006/main" count="616" uniqueCount="193">
  <si>
    <t>CO. NAME: TOSHCO INC</t>
  </si>
  <si>
    <t xml:space="preserve">Petty Cash </t>
  </si>
  <si>
    <t>For the Month Ended: December  2019</t>
  </si>
  <si>
    <t>6223-2</t>
  </si>
  <si>
    <t>6102-3</t>
  </si>
  <si>
    <t>Date</t>
  </si>
  <si>
    <t>PCV Number</t>
  </si>
  <si>
    <t>Payee</t>
  </si>
  <si>
    <t>TIN</t>
  </si>
  <si>
    <t>Address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</si>
  <si>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</si>
  <si>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</si>
  <si>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</si>
  <si>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</si>
  <si>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</si>
  <si>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</si>
  <si>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</si>
  <si>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</si>
  <si>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</si>
  <si>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</si>
  <si>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</si>
  <si>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</si>
  <si>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 xml:space="preserve">CLEANING </t>
  </si>
  <si>
    <t>PACKAGING</t>
  </si>
  <si>
    <t>OFFICE SUPPLIES</t>
  </si>
  <si>
    <t>GUEST SUPPLIES</t>
  </si>
  <si>
    <t>DECORS</t>
  </si>
  <si>
    <t>MEDICAL SUPPLIES</t>
  </si>
  <si>
    <t>WARES AND UTENSILS</t>
  </si>
  <si>
    <t>REPAIRS AND MAINTENANCE</t>
  </si>
  <si>
    <t>PHOTOCOPY</t>
  </si>
  <si>
    <t>TRANSPO</t>
  </si>
  <si>
    <t>SALARIES AND WAGES</t>
  </si>
  <si>
    <t>MARKETING</t>
  </si>
  <si>
    <t>MISC</t>
  </si>
  <si>
    <t>EMP MEAL</t>
  </si>
  <si>
    <t>Petty Cash</t>
  </si>
  <si>
    <t>LulubeeCorporation</t>
  </si>
  <si>
    <t>008-191-206-000</t>
  </si>
  <si>
    <t>Manggahan Pasig City</t>
  </si>
  <si>
    <t>Coconut Oil</t>
  </si>
  <si>
    <t>Evarlies Meatshop</t>
  </si>
  <si>
    <t>139-599-310-000</t>
  </si>
  <si>
    <t>Marikina City</t>
  </si>
  <si>
    <t>Pork Ribs,French Fries,Bacon Bits</t>
  </si>
  <si>
    <t>The Landmark Corporation</t>
  </si>
  <si>
    <t>000-148-295-000</t>
  </si>
  <si>
    <t>Makati City</t>
  </si>
  <si>
    <t>Beef Brisket</t>
  </si>
  <si>
    <t>Elbow Macaroni,Penne,Linguine,Angel Hair,Cheese powder</t>
  </si>
  <si>
    <t>Angelo Sanchez</t>
  </si>
  <si>
    <t>Transpo going to Marikina</t>
  </si>
  <si>
    <t>ASC Enterprises Inc</t>
  </si>
  <si>
    <t>000-080-595-000</t>
  </si>
  <si>
    <t>Sta Mesa Manila</t>
  </si>
  <si>
    <t>Tube Ice</t>
  </si>
  <si>
    <t>Glenn Biarcal</t>
  </si>
  <si>
    <t>Transpo going to KCC office (Check Signing)</t>
  </si>
  <si>
    <t>Lalamove</t>
  </si>
  <si>
    <t>Cake Delivery</t>
  </si>
  <si>
    <t>AAB Baking Goods &amp; Supplies Inc</t>
  </si>
  <si>
    <t>196-741-005-000</t>
  </si>
  <si>
    <t>Powdered Sugar,Dark Chocolate,Cocoa Powder,Almond Extract</t>
  </si>
  <si>
    <t>Transpo going to AAB Baking</t>
  </si>
  <si>
    <t>Rustans Supercenters Inc</t>
  </si>
  <si>
    <t>201-160-401-002</t>
  </si>
  <si>
    <t>Valero St Makati City</t>
  </si>
  <si>
    <t>Sardines</t>
  </si>
  <si>
    <t>Sardines,Chorizo,Cheesedog,Kikkoman,Magic Sarap</t>
  </si>
  <si>
    <t>Cherry Tomato,Bbrisket Boneless,Basil Leave</t>
  </si>
  <si>
    <t>Taxi Fare Returned Microwave to Landmark</t>
  </si>
  <si>
    <t>Chef Agui</t>
  </si>
  <si>
    <t>Microgreens</t>
  </si>
  <si>
    <t xml:space="preserve"> Super Shopping Market Inc</t>
  </si>
  <si>
    <t>209-609-185-000</t>
  </si>
  <si>
    <t>Sole Fish, French Beans</t>
  </si>
  <si>
    <t>Prepared by: Marie Sosa</t>
  </si>
  <si>
    <t xml:space="preserve"> </t>
  </si>
  <si>
    <t>Hot Cake Mix, DM Tidbits, French Baguette Bread</t>
  </si>
  <si>
    <t>Lettuce &amp; Tomato</t>
  </si>
  <si>
    <t>Datu Puti,Molo Wrapper,Tofu</t>
  </si>
  <si>
    <t>Battery</t>
  </si>
  <si>
    <t>DelMonte Pineapple Juice</t>
  </si>
  <si>
    <t>All Purpose Cream,Eggs</t>
  </si>
  <si>
    <t>Trashbag</t>
  </si>
  <si>
    <t>Bread Flour,AP Flour,,Elbow Macaroni</t>
  </si>
  <si>
    <t>Sugar Beets,Cherry Tomato</t>
  </si>
  <si>
    <t>Transpo bring check payment for Tosh Katipunan</t>
  </si>
  <si>
    <t>Christmas Donation</t>
  </si>
  <si>
    <t>Joyce Dino</t>
  </si>
  <si>
    <t>Managers Meeting</t>
  </si>
  <si>
    <t>Brown Sugar Sachet</t>
  </si>
  <si>
    <t>Lambprint Adverting Services</t>
  </si>
  <si>
    <t>189-049-864-000</t>
  </si>
  <si>
    <t>Quezon City</t>
  </si>
  <si>
    <t>Chikos Poster</t>
  </si>
  <si>
    <t>Pork Ribs,Fries,Bacon</t>
  </si>
  <si>
    <t>Chorizo</t>
  </si>
  <si>
    <t>Lettuce</t>
  </si>
  <si>
    <t>Table Napkin</t>
  </si>
  <si>
    <t>Cheddar Cheese</t>
  </si>
  <si>
    <t>Transpo going to Marikina purchased kitchen stocks</t>
  </si>
  <si>
    <t>Chorizo,squash,White Onion</t>
  </si>
  <si>
    <t>Ground Beef,Cranberries,Broas</t>
  </si>
  <si>
    <t>Trash Bag</t>
  </si>
  <si>
    <t>Transpo going to Katipunan pick up kitchen stocks</t>
  </si>
  <si>
    <t>Lychee</t>
  </si>
  <si>
    <t>Transpo pick up kitchen stocks in tosh katipunan</t>
  </si>
  <si>
    <t>Molo Wrapper,Magic Sarap</t>
  </si>
  <si>
    <t>Cherry Tomato,White Onion, Mix Vegetable</t>
  </si>
  <si>
    <t>Emental Cheese</t>
  </si>
  <si>
    <t>Baguette Bread</t>
  </si>
  <si>
    <t>Chuan Hong Glassware</t>
  </si>
  <si>
    <t>106-268-748-000</t>
  </si>
  <si>
    <t>Quiapo Manila</t>
  </si>
  <si>
    <t>Food Keeper for Party Pans</t>
  </si>
  <si>
    <t>Transpo going to Quiapo</t>
  </si>
  <si>
    <t>Maxipoly Sales Corp</t>
  </si>
  <si>
    <t>Binondo Manila</t>
  </si>
  <si>
    <t>Cake Canester</t>
  </si>
  <si>
    <t>Libbey Houseware</t>
  </si>
  <si>
    <t>111-643-099-000</t>
  </si>
  <si>
    <t>Bar Tray</t>
  </si>
  <si>
    <t>Lettuce,Mixed veggies,Cherry Tomato</t>
  </si>
  <si>
    <t>Paper Last Gen Merch.</t>
  </si>
  <si>
    <t>157-730-559-000</t>
  </si>
  <si>
    <t>16oz Plastic Cup</t>
  </si>
  <si>
    <t>Elbow Macaroni,Penne Pasta</t>
  </si>
  <si>
    <t>Sili Sigang,Red &amp; Green Bellpepper</t>
  </si>
  <si>
    <t>Mercury Drug Corporation</t>
  </si>
  <si>
    <t>000-388-474-486</t>
  </si>
  <si>
    <t>San Miguel Brewery Inc</t>
  </si>
  <si>
    <t>006-007-251-028</t>
  </si>
  <si>
    <t>Sta Ana Manila</t>
  </si>
  <si>
    <t>Penalty Charges for Late Payment</t>
  </si>
  <si>
    <t>Softdrinks for Employee</t>
  </si>
  <si>
    <t>Bacon</t>
  </si>
  <si>
    <t>Conaprole Diced Tomato</t>
  </si>
  <si>
    <t>Fresh Milk &amp; Baguette Bread</t>
  </si>
  <si>
    <t>Transpo going to Foodzone</t>
  </si>
  <si>
    <t>Hungarian</t>
  </si>
  <si>
    <t>Foodzone inc</t>
  </si>
  <si>
    <t>004-846-011-00</t>
  </si>
  <si>
    <t>Mandaluyong City</t>
  </si>
  <si>
    <t>Pizza Cheese</t>
  </si>
  <si>
    <t>Delivery Charge c/o Cake Delivery</t>
  </si>
  <si>
    <t>Heritage Cheese</t>
  </si>
  <si>
    <t>Sapanish Paprika,Cheese Powder,Linguine Pasta</t>
  </si>
  <si>
    <t>Basil Leaves,Cherry Tomato</t>
  </si>
  <si>
    <t xml:space="preserve">Omni </t>
  </si>
  <si>
    <t>Pepperoni,Breadcrumbs,Che Vital Cheese,Baking Powder</t>
  </si>
  <si>
    <t>Tomato &amp; Wansoy</t>
  </si>
  <si>
    <t>Vanilla Ice Cream &amp; Splenda</t>
  </si>
  <si>
    <t>Pork Ribs &amp; Fries</t>
  </si>
  <si>
    <t>Transpo c/o Food Delivery @ Carag Law Office</t>
  </si>
  <si>
    <t>Garlic,Wansoy,Cucumber,Herbs</t>
  </si>
  <si>
    <t>Penne Pasta,Mozza Cheese,Cheese powder,Buns</t>
  </si>
  <si>
    <t>Raymond Ruiz</t>
  </si>
  <si>
    <t>Pamaskong Handog (BDO Check Delivery Boy) noted by VCC</t>
  </si>
  <si>
    <t>Tomato</t>
  </si>
  <si>
    <t>Brown Sugar</t>
  </si>
  <si>
    <t>Office Warehouse Inc</t>
  </si>
  <si>
    <t>200-492-462-008</t>
  </si>
  <si>
    <t>Ribbon for POS Printer</t>
  </si>
  <si>
    <t>Magic Sarap,Sardines,Chicken Cubes</t>
  </si>
  <si>
    <t xml:space="preserve">Transpo going to Carag Law Ofice </t>
  </si>
  <si>
    <t>Ministop Corporation</t>
  </si>
  <si>
    <t>477-928-673-004</t>
  </si>
  <si>
    <t>Breadcrumbs,Paprila,Penne Pasta,Fettucine,Macaroni</t>
  </si>
  <si>
    <t>Potato,Sweetcorn,,Pears,Magic Sarap,Baguette Bread</t>
  </si>
  <si>
    <t>Sweetcorn</t>
  </si>
  <si>
    <t>Peeled Tomato,Breadcrumbs</t>
  </si>
  <si>
    <t>Onion Red,Basil,potato,Brisket Boneless</t>
  </si>
  <si>
    <t>Garlic,Basil,Lettuce</t>
  </si>
  <si>
    <t>Leguine Pasta,Macaroni,Craberries</t>
  </si>
  <si>
    <t>French Fries</t>
  </si>
  <si>
    <t>Transpo purchased fries in Marikina</t>
  </si>
  <si>
    <t>Baguette Bread,Heritage Cheese</t>
  </si>
  <si>
    <t>Cornstarch,Bacon,Breadcrumbs,Magic Sarap</t>
  </si>
  <si>
    <t>HDMF</t>
  </si>
  <si>
    <t>Pag-ibig Penalty</t>
  </si>
  <si>
    <t>Diced Tomato,Penne Pasta,Macaroni</t>
  </si>
  <si>
    <t>Basil,Sili Sigang,Wansoy</t>
  </si>
  <si>
    <t>Butter &amp; Bread Flour</t>
  </si>
  <si>
    <t>Pan De Manila Food Co Inc</t>
  </si>
  <si>
    <t>203-120-687-108</t>
  </si>
  <si>
    <t>Valero St Makati</t>
  </si>
  <si>
    <t>Almas Cold Cuts Store</t>
  </si>
  <si>
    <t>235-048-461-000</t>
  </si>
  <si>
    <t>Bacon Bits</t>
  </si>
  <si>
    <t>Sardines,Fresh Milk,Rice</t>
  </si>
  <si>
    <t>Bond Paper</t>
  </si>
  <si>
    <t>Mozza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</si>
</sst>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;@"/>
    <numFmt numFmtId="165" formatCode="d/mmm/yy;@"/>
    <numFmt numFmtId="166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6" fontId="7" fillId="0" borderId="0" applyBorder="0" applyProtection="0"/>
    <xf numFmtId="9" fontId="7" fillId="0" borderId="0" applyBorder="0" applyProtection="0"/>
  </cellStyleXfs>
  <cellXfs count="57">
    <xf numFmtId="0" fontId="0" fillId="0" borderId="0" xfId="0"/>
    <xf numFmtId="0" fontId="2" fillId="0" borderId="0" xfId="0" applyFont="1" applyBorder="1" applyAlignment="1" applyProtection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 applyProtection="1"/>
    <xf numFmtId="9" fontId="1" fillId="0" borderId="0" xfId="2" applyFont="1" applyBorder="1" applyAlignment="1" applyProtection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6" fontId="1" fillId="2" borderId="3" xfId="1" applyFont="1" applyFill="1" applyBorder="1" applyAlignment="1" applyProtection="1">
      <alignment horizontal="center"/>
    </xf>
    <xf numFmtId="9" fontId="1" fillId="2" borderId="3" xfId="2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/>
    <xf numFmtId="0" fontId="1" fillId="2" borderId="6" xfId="0" applyFont="1" applyFill="1" applyBorder="1" applyAlignment="1" applyProtection="1"/>
    <xf numFmtId="166" fontId="1" fillId="2" borderId="0" xfId="0" applyNumberFormat="1" applyFont="1" applyFill="1" applyAlignment="1">
      <alignment wrapText="1"/>
    </xf>
    <xf numFmtId="0" fontId="1" fillId="2" borderId="0" xfId="0" applyFont="1" applyFill="1"/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166" fontId="2" fillId="0" borderId="7" xfId="1" applyFont="1" applyBorder="1" applyAlignment="1" applyProtection="1"/>
    <xf numFmtId="0" fontId="2" fillId="0" borderId="0" xfId="0" applyFont="1"/>
    <xf numFmtId="0" fontId="4" fillId="0" borderId="0" xfId="0" applyFont="1" applyBorder="1" applyAlignment="1" applyProtection="1"/>
    <xf numFmtId="0" fontId="5" fillId="0" borderId="0" xfId="0" applyFont="1"/>
    <xf numFmtId="0" fontId="6" fillId="0" borderId="0" xfId="0" applyFont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6" fontId="1" fillId="3" borderId="3" xfId="1" applyFont="1" applyFill="1" applyBorder="1" applyAlignment="1" applyProtection="1">
      <alignment horizontal="center"/>
    </xf>
    <xf numFmtId="9" fontId="1" fillId="3" borderId="3" xfId="2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/>
    <xf numFmtId="0" fontId="1" fillId="3" borderId="6" xfId="0" applyFont="1" applyFill="1" applyBorder="1" applyAlignment="1" applyProtection="1"/>
    <xf numFmtId="166" fontId="1" fillId="3" borderId="0" xfId="0" applyNumberFormat="1" applyFont="1" applyFill="1" applyAlignment="1">
      <alignment wrapText="1"/>
    </xf>
    <xf numFmtId="0" fontId="1" fillId="3" borderId="0" xfId="0" applyFont="1" applyFill="1"/>
    <xf numFmtId="166" fontId="1" fillId="0" borderId="0" xfId="0" applyNumberFormat="1" applyFont="1"/>
    <xf numFmtId="166" fontId="1" fillId="0" borderId="0" xfId="0" applyNumberFormat="1" applyFont="1" applyBorder="1" applyAlignment="1" applyProtection="1"/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Ortigas/Ortigas%202006/Ortigas%20May/05%20SALES%20RECORD.xls?ED78D9B4" TargetMode="External"/><Relationship Id="rId1" Type="http://schemas.openxmlformats.org/officeDocument/2006/relationships/externalLinkPath" Target="file:///\\ED78D9B4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GALLERIA%20-%20SALES%20(Feb'07).xls?2BDC2E2E" TargetMode="External"/><Relationship Id="rId1" Type="http://schemas.openxmlformats.org/officeDocument/2006/relationships/externalLinkPath" Target="file:///\\2BDC2E2E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trosh%20april%202006/ortigas/04%20SALES%20RECORD.xls?28097F02" TargetMode="External"/><Relationship Id="rId1" Type="http://schemas.openxmlformats.org/officeDocument/2006/relationships/externalLinkPath" Target="file:///\\28097F02\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  <sheetName val="Company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opLeftCell="E1" zoomScaleNormal="100" workbookViewId="0">
      <selection activeCell="N6" sqref="N6"/>
    </sheetView>
  </sheetViews>
  <sheetFormatPr defaultRowHeight="15" x14ac:dyDescent="0.25"/>
  <cols>
    <col min="1" max="1" width="8.140625" style="2" customWidth="1"/>
    <col min="2" max="2" width="7.28515625" style="3" hidden="1" customWidth="1"/>
    <col min="3" max="3" width="24" style="4" customWidth="1"/>
    <col min="4" max="4" width="14" style="5" customWidth="1"/>
    <col min="5" max="5" width="28" style="5" customWidth="1"/>
    <col min="6" max="6" width="7.85546875" style="3" customWidth="1"/>
    <col min="7" max="7" width="28.140625" style="4" customWidth="1"/>
    <col min="8" max="8" width="7.85546875" style="6" customWidth="1"/>
    <col min="9" max="9" width="8.42578125" style="6" hidden="1" customWidth="1"/>
    <col min="10" max="10" width="9.7109375" style="6" customWidth="1"/>
    <col min="11" max="11" width="10" style="6" customWidth="1"/>
    <col min="12" max="12" width="5.140625" style="7" hidden="1" customWidth="1"/>
    <col min="13" max="13" width="9.28515625" style="6" customWidth="1"/>
    <col min="14" max="14" width="8.140625" style="6" customWidth="1"/>
    <col min="15" max="15" width="6.5703125" style="6" customWidth="1"/>
    <col min="16" max="16" width="9.7109375" style="6" customWidth="1"/>
    <col min="17" max="17" width="10" style="6" customWidth="1"/>
    <col min="18" max="18" width="9.140625" style="6" customWidth="1"/>
    <col min="19" max="19" width="8.140625" style="6" customWidth="1"/>
    <col min="20" max="21" width="9.140625" style="6" customWidth="1"/>
    <col min="22" max="22" width="10.5703125" style="6" customWidth="1"/>
    <col min="23" max="23" width="8.140625" style="6" customWidth="1"/>
    <col min="24" max="24" width="9.85546875" style="6" customWidth="1"/>
    <col min="25" max="25" width="9.28515625" style="6" customWidth="1"/>
    <col min="26" max="26" width="8.28515625" style="6" customWidth="1"/>
    <col min="27" max="27" width="7.140625" style="6" customWidth="1"/>
    <col min="28" max="28" width="9" style="6" customWidth="1"/>
    <col min="29" max="30" width="8" style="6" customWidth="1"/>
    <col min="31" max="31" width="10.140625" style="6" customWidth="1"/>
    <col min="32" max="32" width="10.5703125" style="6" customWidth="1"/>
    <col min="33" max="33" width="7.28515625" style="4" customWidth="1"/>
    <col min="34" max="1024" width="9.140625" style="4" customWidth="1"/>
  </cols>
  <sheetData>
    <row r="1" spans="1:33" ht="12" customHeight="1" x14ac:dyDescent="0.25">
      <c r="A1" s="8" t="s">
        <v>0</v>
      </c>
      <c r="C1" s="9"/>
    </row>
    <row r="2" spans="1:33" ht="12" customHeight="1" x14ac:dyDescent="0.25">
      <c r="A2" s="8" t="s">
        <v>1</v>
      </c>
    </row>
    <row r="3" spans="1:33" ht="12" customHeight="1" x14ac:dyDescent="0.25">
      <c r="A3" s="8" t="s">
        <v>2</v>
      </c>
      <c r="B3" s="9"/>
      <c r="C3" s="10"/>
      <c r="N3" s="11">
        <v>1301</v>
      </c>
      <c r="O3" s="11">
        <v>2402</v>
      </c>
      <c r="P3" s="11">
        <v>5001</v>
      </c>
      <c r="Q3" s="11">
        <v>5002</v>
      </c>
      <c r="R3" s="11">
        <v>6220</v>
      </c>
      <c r="S3" s="11">
        <v>6219</v>
      </c>
      <c r="T3" s="11">
        <v>6212</v>
      </c>
      <c r="U3" s="11"/>
      <c r="V3" s="11"/>
      <c r="W3" s="11"/>
      <c r="X3" s="11"/>
      <c r="Y3" s="11" t="s">
        <v>3</v>
      </c>
      <c r="Z3" s="11"/>
      <c r="AA3" s="11">
        <v>6230</v>
      </c>
      <c r="AB3" s="11" t="s">
        <v>4</v>
      </c>
      <c r="AC3" s="11">
        <v>6202</v>
      </c>
      <c r="AD3" s="11"/>
      <c r="AE3" s="11">
        <v>6109</v>
      </c>
      <c r="AF3" s="11">
        <v>1002</v>
      </c>
    </row>
    <row r="4" spans="1:33" s="19" customFormat="1" ht="44.25" customHeight="1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5" t="s">
        <v>27</v>
      </c>
      <c r="X4" s="15" t="s">
        <v>28</v>
      </c>
      <c r="Y4" s="15" t="s">
        <v>29</v>
      </c>
      <c r="Z4" s="15" t="s">
        <v>30</v>
      </c>
      <c r="AA4" s="15" t="s">
        <v>31</v>
      </c>
      <c r="AB4" s="15" t="s">
        <v>32</v>
      </c>
      <c r="AC4" s="16" t="s">
        <v>33</v>
      </c>
      <c r="AD4" s="15" t="s">
        <v>34</v>
      </c>
      <c r="AE4" s="17" t="s">
        <v>35</v>
      </c>
      <c r="AF4" s="18" t="s">
        <v>36</v>
      </c>
    </row>
    <row r="5" spans="1:33" s="31" customFormat="1" ht="23.25" customHeight="1" x14ac:dyDescent="0.2">
      <c r="A5" s="20">
        <v>43801</v>
      </c>
      <c r="B5" s="21"/>
      <c r="C5" s="22" t="s">
        <v>37</v>
      </c>
      <c r="D5" s="22" t="s">
        <v>38</v>
      </c>
      <c r="E5" s="22" t="s">
        <v>39</v>
      </c>
      <c r="F5" s="23">
        <v>4982</v>
      </c>
      <c r="G5" s="24" t="s">
        <v>40</v>
      </c>
      <c r="H5" s="25"/>
      <c r="I5" s="25"/>
      <c r="J5" s="25"/>
      <c r="K5" s="25">
        <v>1323.23</v>
      </c>
      <c r="L5" s="26"/>
      <c r="M5" s="27">
        <f t="shared" ref="M5:M23" si="0">SUM(H5:J5,K5/1.12)</f>
        <v>1181.4553571428571</v>
      </c>
      <c r="N5" s="27">
        <f>K5/1.12*0.12</f>
        <v>141.77464285714285</v>
      </c>
      <c r="O5" s="27">
        <f>-SUM(I5:J5,K5/1.12)*L5</f>
        <v>0</v>
      </c>
      <c r="P5" s="27">
        <v>1181.46</v>
      </c>
      <c r="Q5" s="28"/>
      <c r="R5" s="28"/>
      <c r="S5" s="29"/>
      <c r="T5" s="29"/>
      <c r="U5" s="29"/>
      <c r="V5" s="29"/>
      <c r="W5" s="29"/>
      <c r="X5" s="28"/>
      <c r="Y5" s="28"/>
      <c r="Z5" s="28"/>
      <c r="AA5" s="28"/>
      <c r="AB5" s="29"/>
      <c r="AC5" s="29"/>
      <c r="AD5" s="28"/>
      <c r="AE5" s="28"/>
      <c r="AF5" s="27">
        <f t="shared" ref="AF5:AF23" si="1">-SUM(N5:AE5)</f>
        <v>-1323.2346428571429</v>
      </c>
      <c r="AG5" s="30">
        <f>SUM(H5:K5)+AF5+O5</f>
        <v>-4.6428571429260046E-3</v>
      </c>
    </row>
    <row r="6" spans="1:33" s="31" customFormat="1" ht="23.25" customHeight="1" x14ac:dyDescent="0.2">
      <c r="A6" s="20">
        <v>43801</v>
      </c>
      <c r="B6" s="21"/>
      <c r="C6" s="22" t="s">
        <v>41</v>
      </c>
      <c r="D6" s="22" t="s">
        <v>42</v>
      </c>
      <c r="E6" s="22" t="s">
        <v>43</v>
      </c>
      <c r="F6" s="23">
        <v>3347</v>
      </c>
      <c r="G6" s="23" t="s">
        <v>44</v>
      </c>
      <c r="H6" s="25"/>
      <c r="I6" s="25"/>
      <c r="J6" s="25">
        <v>2199</v>
      </c>
      <c r="K6" s="25"/>
      <c r="L6" s="26"/>
      <c r="M6" s="27">
        <f t="shared" si="0"/>
        <v>2199</v>
      </c>
      <c r="N6" s="27">
        <f>K6/1.12*0.12</f>
        <v>0</v>
      </c>
      <c r="O6" s="27">
        <f>-SUM(I6:J6,K6/1.12)*L6</f>
        <v>0</v>
      </c>
      <c r="P6" s="27">
        <v>2199</v>
      </c>
      <c r="Q6" s="28"/>
      <c r="R6" s="28"/>
      <c r="S6" s="29"/>
      <c r="T6" s="29"/>
      <c r="U6" s="29"/>
      <c r="V6" s="29"/>
      <c r="W6" s="29"/>
      <c r="X6" s="28"/>
      <c r="Y6" s="28"/>
      <c r="Z6" s="28"/>
      <c r="AA6" s="28"/>
      <c r="AB6" s="29"/>
      <c r="AC6" s="29"/>
      <c r="AD6" s="28"/>
      <c r="AE6" s="28"/>
      <c r="AF6" s="27">
        <f t="shared" si="1"/>
        <v>-2199</v>
      </c>
      <c r="AG6" s="30">
        <f>SUM(H6:K6)+AF6+O6</f>
        <v>0</v>
      </c>
    </row>
    <row r="7" spans="1:33" s="31" customFormat="1" ht="23.25" customHeight="1" x14ac:dyDescent="0.2">
      <c r="A7" s="20">
        <v>43801</v>
      </c>
      <c r="B7" s="21"/>
      <c r="C7" s="22" t="s">
        <v>45</v>
      </c>
      <c r="D7" s="22" t="s">
        <v>46</v>
      </c>
      <c r="E7" s="22" t="s">
        <v>47</v>
      </c>
      <c r="F7" s="23">
        <v>253300</v>
      </c>
      <c r="G7" s="23" t="s">
        <v>48</v>
      </c>
      <c r="H7" s="25"/>
      <c r="I7" s="25"/>
      <c r="J7" s="25">
        <v>447.75</v>
      </c>
      <c r="K7" s="25"/>
      <c r="L7" s="26"/>
      <c r="M7" s="27">
        <f t="shared" si="0"/>
        <v>447.75</v>
      </c>
      <c r="N7" s="27">
        <f>K7/1.12*0.12</f>
        <v>0</v>
      </c>
      <c r="O7" s="27">
        <f>-SUM(I7:J7,K7/1.12)*L7</f>
        <v>0</v>
      </c>
      <c r="P7" s="27">
        <v>447.75</v>
      </c>
      <c r="Q7" s="28"/>
      <c r="R7" s="28"/>
      <c r="S7" s="29"/>
      <c r="T7" s="29"/>
      <c r="U7" s="29"/>
      <c r="V7" s="29"/>
      <c r="W7" s="29"/>
      <c r="X7" s="28"/>
      <c r="Y7" s="28"/>
      <c r="Z7" s="28"/>
      <c r="AA7" s="28"/>
      <c r="AB7" s="29"/>
      <c r="AC7" s="29"/>
      <c r="AD7" s="28"/>
      <c r="AE7" s="28"/>
      <c r="AF7" s="27">
        <f t="shared" si="1"/>
        <v>-447.75</v>
      </c>
      <c r="AG7" s="30">
        <f>SUM(H7:K7)+AF7+O7</f>
        <v>0</v>
      </c>
    </row>
    <row r="8" spans="1:33" s="31" customFormat="1" ht="23.25" customHeight="1" x14ac:dyDescent="0.2">
      <c r="A8" s="20">
        <v>43801</v>
      </c>
      <c r="B8" s="21"/>
      <c r="C8" s="22" t="s">
        <v>45</v>
      </c>
      <c r="D8" s="22" t="s">
        <v>46</v>
      </c>
      <c r="E8" s="22" t="s">
        <v>47</v>
      </c>
      <c r="F8" s="23">
        <v>253300</v>
      </c>
      <c r="G8" s="23" t="s">
        <v>49</v>
      </c>
      <c r="H8" s="25"/>
      <c r="I8" s="25"/>
      <c r="J8" s="25"/>
      <c r="K8" s="25">
        <f>1704.02+204.48</f>
        <v>1908.5</v>
      </c>
      <c r="L8" s="26"/>
      <c r="M8" s="27">
        <f t="shared" si="0"/>
        <v>1704.0178571428569</v>
      </c>
      <c r="N8" s="27">
        <f>K8/1.12*0.12</f>
        <v>204.4821428571428</v>
      </c>
      <c r="O8" s="27">
        <f>-SUM(I8:J8,K8/1.12)*L8</f>
        <v>0</v>
      </c>
      <c r="P8" s="27">
        <v>1704.02</v>
      </c>
      <c r="Q8" s="28"/>
      <c r="R8" s="28"/>
      <c r="S8" s="29"/>
      <c r="T8" s="29"/>
      <c r="U8" s="29"/>
      <c r="V8" s="29"/>
      <c r="W8" s="29"/>
      <c r="X8" s="28"/>
      <c r="Y8" s="28"/>
      <c r="Z8" s="28"/>
      <c r="AA8" s="28"/>
      <c r="AB8" s="29"/>
      <c r="AC8" s="29"/>
      <c r="AD8" s="28"/>
      <c r="AE8" s="28"/>
      <c r="AF8" s="27">
        <f t="shared" si="1"/>
        <v>-1908.5021428571429</v>
      </c>
      <c r="AG8" s="30">
        <f>SUM(H8:K8)+AF8+O8</f>
        <v>-2.1428571428714349E-3</v>
      </c>
    </row>
    <row r="9" spans="1:33" s="31" customFormat="1" ht="23.25" customHeight="1" x14ac:dyDescent="0.2">
      <c r="A9" s="20">
        <v>43801</v>
      </c>
      <c r="B9" s="21"/>
      <c r="C9" s="22" t="s">
        <v>50</v>
      </c>
      <c r="D9" s="22"/>
      <c r="E9" s="22"/>
      <c r="F9" s="23"/>
      <c r="G9" s="24" t="s">
        <v>51</v>
      </c>
      <c r="H9" s="25">
        <v>100</v>
      </c>
      <c r="I9" s="25"/>
      <c r="J9" s="25"/>
      <c r="K9" s="25"/>
      <c r="L9" s="26"/>
      <c r="M9" s="27">
        <f t="shared" si="0"/>
        <v>100</v>
      </c>
      <c r="N9" s="27">
        <f>K9/1.12*0.12</f>
        <v>0</v>
      </c>
      <c r="O9" s="27">
        <f>-SUM(I9:J9,K9/1.12)*L9</f>
        <v>0</v>
      </c>
      <c r="P9" s="27"/>
      <c r="Q9" s="28"/>
      <c r="R9" s="28"/>
      <c r="S9" s="29"/>
      <c r="T9" s="29"/>
      <c r="U9" s="29"/>
      <c r="V9" s="29"/>
      <c r="W9" s="29"/>
      <c r="X9" s="28"/>
      <c r="Y9" s="28"/>
      <c r="Z9" s="28"/>
      <c r="AA9" s="28">
        <v>100</v>
      </c>
      <c r="AB9" s="29"/>
      <c r="AC9" s="29"/>
      <c r="AD9" s="28"/>
      <c r="AE9" s="28"/>
      <c r="AF9" s="27">
        <f t="shared" si="1"/>
        <v>-100</v>
      </c>
      <c r="AG9" s="30">
        <f>SUM(H9:K9)+AF9+O9</f>
        <v>0</v>
      </c>
    </row>
    <row r="10" spans="1:33" s="31" customFormat="1" ht="23.25" customHeight="1" x14ac:dyDescent="0.2">
      <c r="A10" s="20">
        <v>43801</v>
      </c>
      <c r="B10" s="21"/>
      <c r="C10" s="22" t="s">
        <v>52</v>
      </c>
      <c r="D10" s="22" t="s">
        <v>53</v>
      </c>
      <c r="E10" s="22" t="s">
        <v>54</v>
      </c>
      <c r="F10" s="23">
        <v>182458</v>
      </c>
      <c r="G10" s="23" t="s">
        <v>55</v>
      </c>
      <c r="H10" s="25"/>
      <c r="I10" s="25"/>
      <c r="J10" s="25"/>
      <c r="K10" s="25">
        <v>180</v>
      </c>
      <c r="L10" s="26"/>
      <c r="M10" s="27">
        <f t="shared" si="0"/>
        <v>160.71428571428569</v>
      </c>
      <c r="N10" s="27">
        <f>K10/1.12*0.12</f>
        <v>19.285714285714281</v>
      </c>
      <c r="O10" s="27">
        <f>-SUM(I10:J10,K10/1.12)*L10</f>
        <v>0</v>
      </c>
      <c r="P10" s="28"/>
      <c r="Q10" s="28">
        <v>160.71</v>
      </c>
      <c r="R10" s="28"/>
      <c r="S10" s="29"/>
      <c r="T10" s="29"/>
      <c r="U10" s="29"/>
      <c r="V10" s="29"/>
      <c r="W10" s="29"/>
      <c r="X10" s="28"/>
      <c r="Y10" s="28"/>
      <c r="Z10" s="28"/>
      <c r="AA10" s="28"/>
      <c r="AB10" s="29"/>
      <c r="AC10" s="29"/>
      <c r="AD10" s="28"/>
      <c r="AE10" s="28"/>
      <c r="AF10" s="27">
        <f t="shared" si="1"/>
        <v>-179.99571428571429</v>
      </c>
      <c r="AG10" s="30">
        <f>SUM(H10:K10)+AF10+O10</f>
        <v>4.2857142857144481E-3</v>
      </c>
    </row>
    <row r="11" spans="1:33" s="31" customFormat="1" ht="23.25" customHeight="1" x14ac:dyDescent="0.2">
      <c r="A11" s="20">
        <v>43801</v>
      </c>
      <c r="B11" s="21"/>
      <c r="C11" s="22" t="s">
        <v>56</v>
      </c>
      <c r="D11" s="22"/>
      <c r="E11" s="22"/>
      <c r="F11" s="23"/>
      <c r="G11" s="24" t="s">
        <v>57</v>
      </c>
      <c r="H11" s="25">
        <v>50</v>
      </c>
      <c r="I11" s="25"/>
      <c r="J11" s="25"/>
      <c r="K11" s="25"/>
      <c r="L11" s="26"/>
      <c r="M11" s="27">
        <f t="shared" si="0"/>
        <v>50</v>
      </c>
      <c r="N11" s="27">
        <f>K11/1.12*0.12</f>
        <v>0</v>
      </c>
      <c r="O11" s="27">
        <f>-SUM(I11:J11,K11/1.12)*L11</f>
        <v>0</v>
      </c>
      <c r="P11" s="27"/>
      <c r="Q11" s="28"/>
      <c r="R11" s="28"/>
      <c r="S11" s="29"/>
      <c r="T11" s="29"/>
      <c r="U11" s="29"/>
      <c r="V11" s="29"/>
      <c r="W11" s="29"/>
      <c r="X11" s="28"/>
      <c r="Y11" s="28"/>
      <c r="Z11" s="28"/>
      <c r="AA11" s="28">
        <v>50</v>
      </c>
      <c r="AB11" s="29"/>
      <c r="AC11" s="29"/>
      <c r="AD11" s="28"/>
      <c r="AE11" s="28"/>
      <c r="AF11" s="27">
        <f t="shared" si="1"/>
        <v>-50</v>
      </c>
      <c r="AG11" s="30">
        <f>SUM(H11:K11)+AF11+O11</f>
        <v>0</v>
      </c>
    </row>
    <row r="12" spans="1:33" s="31" customFormat="1" ht="23.25" customHeight="1" x14ac:dyDescent="0.2">
      <c r="A12" s="20">
        <v>43801</v>
      </c>
      <c r="B12" s="21"/>
      <c r="C12" s="22" t="s">
        <v>58</v>
      </c>
      <c r="D12" s="22"/>
      <c r="E12" s="22"/>
      <c r="F12" s="23"/>
      <c r="G12" s="24" t="s">
        <v>59</v>
      </c>
      <c r="H12" s="25">
        <v>164</v>
      </c>
      <c r="I12" s="25"/>
      <c r="J12" s="25"/>
      <c r="K12" s="25"/>
      <c r="L12" s="26"/>
      <c r="M12" s="27">
        <f t="shared" si="0"/>
        <v>164</v>
      </c>
      <c r="N12" s="27">
        <f>K12/1.12*0.12</f>
        <v>0</v>
      </c>
      <c r="O12" s="27">
        <f>-SUM(I12:J12,K12/1.12)*L12</f>
        <v>0</v>
      </c>
      <c r="P12" s="27"/>
      <c r="Q12" s="28"/>
      <c r="R12" s="28"/>
      <c r="S12" s="29"/>
      <c r="T12" s="29"/>
      <c r="U12" s="29"/>
      <c r="V12" s="29"/>
      <c r="W12" s="29"/>
      <c r="X12" s="28"/>
      <c r="Y12" s="28"/>
      <c r="Z12" s="28"/>
      <c r="AA12" s="28">
        <v>164</v>
      </c>
      <c r="AB12" s="29"/>
      <c r="AC12" s="29"/>
      <c r="AD12" s="28"/>
      <c r="AE12" s="28"/>
      <c r="AF12" s="27">
        <f t="shared" si="1"/>
        <v>-164</v>
      </c>
      <c r="AG12" s="30">
        <f>SUM(H12:K12)+AF12+O12</f>
        <v>0</v>
      </c>
    </row>
    <row r="13" spans="1:33" s="31" customFormat="1" ht="23.25" customHeight="1" x14ac:dyDescent="0.2">
      <c r="A13" s="20">
        <v>43803</v>
      </c>
      <c r="B13" s="21"/>
      <c r="C13" s="22" t="s">
        <v>60</v>
      </c>
      <c r="D13" s="22" t="s">
        <v>61</v>
      </c>
      <c r="E13" s="22" t="s">
        <v>47</v>
      </c>
      <c r="F13" s="23">
        <v>17566</v>
      </c>
      <c r="G13" s="23" t="s">
        <v>62</v>
      </c>
      <c r="H13" s="25"/>
      <c r="I13" s="25"/>
      <c r="J13" s="25"/>
      <c r="K13" s="25">
        <v>940</v>
      </c>
      <c r="L13" s="26"/>
      <c r="M13" s="27">
        <f t="shared" si="0"/>
        <v>839.28571428571422</v>
      </c>
      <c r="N13" s="27">
        <f>K13/1.12*0.12</f>
        <v>100.71428571428571</v>
      </c>
      <c r="O13" s="27">
        <f>-SUM(I13:J13,K13/1.12)*L13</f>
        <v>0</v>
      </c>
      <c r="P13" s="27">
        <v>839.29</v>
      </c>
      <c r="Q13" s="28"/>
      <c r="R13" s="28"/>
      <c r="S13" s="29"/>
      <c r="T13" s="29"/>
      <c r="U13" s="29"/>
      <c r="V13" s="29"/>
      <c r="W13" s="29"/>
      <c r="X13" s="28"/>
      <c r="Y13" s="28"/>
      <c r="Z13" s="28"/>
      <c r="AA13" s="28"/>
      <c r="AB13" s="29"/>
      <c r="AC13" s="29"/>
      <c r="AD13" s="28"/>
      <c r="AE13" s="28"/>
      <c r="AF13" s="27">
        <f t="shared" si="1"/>
        <v>-940.00428571428563</v>
      </c>
      <c r="AG13" s="30">
        <f>SUM(H13:K13)+AF13+O13</f>
        <v>-4.285714285629183E-3</v>
      </c>
    </row>
    <row r="14" spans="1:33" s="31" customFormat="1" ht="23.25" customHeight="1" x14ac:dyDescent="0.2">
      <c r="A14" s="20">
        <v>43803</v>
      </c>
      <c r="B14" s="21"/>
      <c r="C14" s="22" t="s">
        <v>50</v>
      </c>
      <c r="D14" s="22"/>
      <c r="E14" s="22"/>
      <c r="F14" s="23"/>
      <c r="G14" s="23" t="s">
        <v>63</v>
      </c>
      <c r="H14" s="25">
        <v>60</v>
      </c>
      <c r="I14" s="25"/>
      <c r="J14" s="25"/>
      <c r="K14" s="25"/>
      <c r="L14" s="26"/>
      <c r="M14" s="27">
        <f t="shared" si="0"/>
        <v>60</v>
      </c>
      <c r="N14" s="27">
        <f>K14/1.12*0.12</f>
        <v>0</v>
      </c>
      <c r="O14" s="27">
        <f>-SUM(I14:J14,K14/1.12)*L14</f>
        <v>0</v>
      </c>
      <c r="P14" s="27"/>
      <c r="Q14" s="28"/>
      <c r="R14" s="28"/>
      <c r="S14" s="29"/>
      <c r="T14" s="29"/>
      <c r="U14" s="29"/>
      <c r="V14" s="29"/>
      <c r="W14" s="29"/>
      <c r="X14" s="28"/>
      <c r="Y14" s="28"/>
      <c r="Z14" s="28"/>
      <c r="AA14" s="28">
        <v>60</v>
      </c>
      <c r="AB14" s="29"/>
      <c r="AC14" s="29"/>
      <c r="AD14" s="28"/>
      <c r="AE14" s="28"/>
      <c r="AF14" s="27">
        <f t="shared" si="1"/>
        <v>-60</v>
      </c>
      <c r="AG14" s="30">
        <f>SUM(H14:K14)+AF14+O14</f>
        <v>0</v>
      </c>
    </row>
    <row r="15" spans="1:33" s="31" customFormat="1" ht="23.25" customHeight="1" x14ac:dyDescent="0.2">
      <c r="A15" s="20">
        <v>43803</v>
      </c>
      <c r="B15" s="21"/>
      <c r="C15" s="22" t="s">
        <v>64</v>
      </c>
      <c r="D15" s="22" t="s">
        <v>65</v>
      </c>
      <c r="E15" s="22" t="s">
        <v>66</v>
      </c>
      <c r="F15" s="23">
        <v>118464</v>
      </c>
      <c r="G15" s="24" t="s">
        <v>67</v>
      </c>
      <c r="H15" s="25"/>
      <c r="I15" s="25"/>
      <c r="J15" s="25"/>
      <c r="K15" s="25">
        <v>119.25</v>
      </c>
      <c r="L15" s="26"/>
      <c r="M15" s="27">
        <f t="shared" si="0"/>
        <v>106.47321428571428</v>
      </c>
      <c r="N15" s="27">
        <f>K15/1.12*0.12</f>
        <v>12.776785714285714</v>
      </c>
      <c r="O15" s="27">
        <f>-SUM(I15:J15,K15/1.12)*L15</f>
        <v>0</v>
      </c>
      <c r="P15" s="27">
        <v>106.47</v>
      </c>
      <c r="Q15" s="28"/>
      <c r="R15" s="28"/>
      <c r="S15" s="29"/>
      <c r="T15" s="29"/>
      <c r="U15" s="29"/>
      <c r="V15" s="29"/>
      <c r="W15" s="29"/>
      <c r="X15" s="28"/>
      <c r="Y15" s="28"/>
      <c r="Z15" s="28"/>
      <c r="AA15" s="28"/>
      <c r="AB15" s="29"/>
      <c r="AC15" s="29"/>
      <c r="AD15" s="28"/>
      <c r="AE15" s="28"/>
      <c r="AF15" s="27">
        <f t="shared" si="1"/>
        <v>-119.24678571428571</v>
      </c>
      <c r="AG15" s="30">
        <f>SUM(H15:K15)+AF15+O15</f>
        <v>3.2142857142929415E-3</v>
      </c>
    </row>
    <row r="16" spans="1:33" s="31" customFormat="1" ht="23.25" customHeight="1" x14ac:dyDescent="0.2">
      <c r="A16" s="20">
        <v>43803</v>
      </c>
      <c r="B16" s="21"/>
      <c r="C16" s="22" t="s">
        <v>45</v>
      </c>
      <c r="D16" s="22" t="s">
        <v>46</v>
      </c>
      <c r="E16" s="22" t="s">
        <v>47</v>
      </c>
      <c r="F16" s="23">
        <v>219405</v>
      </c>
      <c r="G16" s="24" t="s">
        <v>68</v>
      </c>
      <c r="H16" s="25"/>
      <c r="I16" s="25"/>
      <c r="J16" s="25"/>
      <c r="K16" s="25">
        <f>793.84+95.26</f>
        <v>889.1</v>
      </c>
      <c r="L16" s="26"/>
      <c r="M16" s="27">
        <f t="shared" si="0"/>
        <v>793.83928571428567</v>
      </c>
      <c r="N16" s="27">
        <f>K16/1.12*0.12</f>
        <v>95.260714285714272</v>
      </c>
      <c r="O16" s="27">
        <f>-SUM(I16:J16,K16/1.12)*L16</f>
        <v>0</v>
      </c>
      <c r="P16" s="27">
        <v>793.84</v>
      </c>
      <c r="Q16" s="28"/>
      <c r="R16" s="28"/>
      <c r="S16" s="29"/>
      <c r="T16" s="29"/>
      <c r="U16" s="29"/>
      <c r="V16" s="29"/>
      <c r="W16" s="29"/>
      <c r="X16" s="28"/>
      <c r="Y16" s="28"/>
      <c r="Z16" s="28"/>
      <c r="AA16" s="28"/>
      <c r="AB16" s="29"/>
      <c r="AC16" s="29"/>
      <c r="AD16" s="28"/>
      <c r="AE16" s="28"/>
      <c r="AF16" s="27">
        <f t="shared" si="1"/>
        <v>-889.10071428571428</v>
      </c>
      <c r="AG16" s="30">
        <f>SUM(H16:K16)+AF16+O16</f>
        <v>-7.1428571425258269E-4</v>
      </c>
    </row>
    <row r="17" spans="1:33" s="31" customFormat="1" ht="23.25" customHeight="1" x14ac:dyDescent="0.2">
      <c r="A17" s="20">
        <v>43803</v>
      </c>
      <c r="B17" s="21"/>
      <c r="C17" s="22" t="s">
        <v>45</v>
      </c>
      <c r="D17" s="22" t="s">
        <v>46</v>
      </c>
      <c r="E17" s="22" t="s">
        <v>47</v>
      </c>
      <c r="F17" s="23">
        <v>219405</v>
      </c>
      <c r="G17" s="23" t="s">
        <v>69</v>
      </c>
      <c r="H17" s="25"/>
      <c r="I17" s="25"/>
      <c r="J17" s="25">
        <v>717.75</v>
      </c>
      <c r="K17" s="25"/>
      <c r="L17" s="26"/>
      <c r="M17" s="27">
        <f t="shared" si="0"/>
        <v>717.75</v>
      </c>
      <c r="N17" s="27">
        <f>K17/1.12*0.12</f>
        <v>0</v>
      </c>
      <c r="O17" s="27">
        <f>-SUM(I17:J17,K17/1.12)*L17</f>
        <v>0</v>
      </c>
      <c r="P17" s="27">
        <v>717.75</v>
      </c>
      <c r="Q17" s="28"/>
      <c r="R17" s="28"/>
      <c r="S17" s="29"/>
      <c r="T17" s="29"/>
      <c r="U17" s="29"/>
      <c r="V17" s="29"/>
      <c r="W17" s="29"/>
      <c r="X17" s="28"/>
      <c r="Y17" s="28"/>
      <c r="Z17" s="28"/>
      <c r="AA17" s="28"/>
      <c r="AB17" s="29"/>
      <c r="AC17" s="29"/>
      <c r="AD17" s="28"/>
      <c r="AE17" s="28"/>
      <c r="AF17" s="27">
        <f t="shared" si="1"/>
        <v>-717.75</v>
      </c>
      <c r="AG17" s="30">
        <f>SUM(H17:K17)+AF17+O17</f>
        <v>0</v>
      </c>
    </row>
    <row r="18" spans="1:33" s="31" customFormat="1" ht="23.25" customHeight="1" x14ac:dyDescent="0.2">
      <c r="A18" s="20">
        <v>43803</v>
      </c>
      <c r="B18" s="21"/>
      <c r="C18" s="22" t="s">
        <v>50</v>
      </c>
      <c r="D18" s="22"/>
      <c r="E18" s="22"/>
      <c r="F18" s="23"/>
      <c r="G18" s="23" t="s">
        <v>70</v>
      </c>
      <c r="H18" s="25">
        <v>140</v>
      </c>
      <c r="I18" s="25"/>
      <c r="J18" s="25"/>
      <c r="K18" s="25"/>
      <c r="L18" s="26"/>
      <c r="M18" s="27">
        <f t="shared" si="0"/>
        <v>140</v>
      </c>
      <c r="N18" s="27">
        <f>K18/1.12*0.12</f>
        <v>0</v>
      </c>
      <c r="O18" s="27">
        <f>-SUM(I18:J18,K18/1.12)*L18</f>
        <v>0</v>
      </c>
      <c r="P18" s="27"/>
      <c r="Q18" s="28"/>
      <c r="R18" s="28"/>
      <c r="S18" s="29"/>
      <c r="T18" s="29"/>
      <c r="U18" s="29"/>
      <c r="V18" s="29"/>
      <c r="W18" s="29"/>
      <c r="X18" s="28"/>
      <c r="Y18" s="28"/>
      <c r="Z18" s="28"/>
      <c r="AA18" s="28">
        <v>140</v>
      </c>
      <c r="AB18" s="29"/>
      <c r="AC18" s="29"/>
      <c r="AD18" s="28"/>
      <c r="AE18" s="28"/>
      <c r="AF18" s="27">
        <f t="shared" si="1"/>
        <v>-140</v>
      </c>
      <c r="AG18" s="30">
        <f>SUM(H18:K18)+AF18+O18</f>
        <v>0</v>
      </c>
    </row>
    <row r="19" spans="1:33" s="31" customFormat="1" ht="23.25" customHeight="1" x14ac:dyDescent="0.2">
      <c r="A19" s="20">
        <v>43803</v>
      </c>
      <c r="B19" s="21"/>
      <c r="C19" s="22" t="s">
        <v>71</v>
      </c>
      <c r="D19" s="22"/>
      <c r="E19" s="22"/>
      <c r="F19" s="23"/>
      <c r="G19" s="32" t="s">
        <v>72</v>
      </c>
      <c r="H19" s="25"/>
      <c r="I19" s="25"/>
      <c r="J19" s="25"/>
      <c r="K19" s="25">
        <v>200</v>
      </c>
      <c r="L19" s="26"/>
      <c r="M19" s="27">
        <f t="shared" si="0"/>
        <v>178.57142857142856</v>
      </c>
      <c r="N19" s="27">
        <f>K19/1.12*0.12</f>
        <v>21.428571428571427</v>
      </c>
      <c r="O19" s="27">
        <f>-SUM(I19:J19,K19/1.12)*L19</f>
        <v>0</v>
      </c>
      <c r="P19" s="27">
        <v>178.57</v>
      </c>
      <c r="Q19" s="28"/>
      <c r="R19" s="28"/>
      <c r="S19" s="29"/>
      <c r="T19" s="29"/>
      <c r="U19" s="29"/>
      <c r="V19" s="29"/>
      <c r="W19" s="29"/>
      <c r="X19" s="28"/>
      <c r="Y19" s="28"/>
      <c r="Z19" s="28"/>
      <c r="AA19" s="28"/>
      <c r="AB19" s="29"/>
      <c r="AC19" s="29"/>
      <c r="AD19" s="28"/>
      <c r="AE19" s="28"/>
      <c r="AF19" s="27">
        <f t="shared" si="1"/>
        <v>-199.99857142857141</v>
      </c>
      <c r="AG19" s="30">
        <f>SUM(H19:K19)+AF19+O19</f>
        <v>1.4285714285904305E-3</v>
      </c>
    </row>
    <row r="20" spans="1:33" s="31" customFormat="1" ht="23.25" customHeight="1" x14ac:dyDescent="0.2">
      <c r="A20" s="20">
        <v>43803</v>
      </c>
      <c r="B20" s="21"/>
      <c r="C20" s="22" t="s">
        <v>52</v>
      </c>
      <c r="D20" s="22" t="s">
        <v>53</v>
      </c>
      <c r="E20" s="22" t="s">
        <v>54</v>
      </c>
      <c r="F20" s="23">
        <v>182898</v>
      </c>
      <c r="G20" s="23" t="s">
        <v>55</v>
      </c>
      <c r="H20" s="25"/>
      <c r="I20" s="25"/>
      <c r="J20" s="25"/>
      <c r="K20" s="25">
        <v>180</v>
      </c>
      <c r="L20" s="26"/>
      <c r="M20" s="27">
        <f t="shared" si="0"/>
        <v>160.71428571428569</v>
      </c>
      <c r="N20" s="27">
        <f>K20/1.12*0.12</f>
        <v>19.285714285714281</v>
      </c>
      <c r="O20" s="27">
        <f>-SUM(I20:J20,K20/1.12)*L20</f>
        <v>0</v>
      </c>
      <c r="P20" s="28"/>
      <c r="Q20" s="28">
        <v>160.71</v>
      </c>
      <c r="R20" s="28"/>
      <c r="S20" s="29"/>
      <c r="T20" s="29"/>
      <c r="U20" s="29"/>
      <c r="V20" s="29"/>
      <c r="W20" s="29"/>
      <c r="X20" s="28"/>
      <c r="Y20" s="28"/>
      <c r="Z20" s="28"/>
      <c r="AA20" s="28"/>
      <c r="AB20" s="29"/>
      <c r="AC20" s="29"/>
      <c r="AD20" s="28"/>
      <c r="AE20" s="28"/>
      <c r="AF20" s="27">
        <f t="shared" si="1"/>
        <v>-179.99571428571429</v>
      </c>
      <c r="AG20" s="30">
        <f>SUM(H20:K20)+AF20+O20</f>
        <v>4.2857142857144481E-3</v>
      </c>
    </row>
    <row r="21" spans="1:33" s="31" customFormat="1" ht="23.25" customHeight="1" x14ac:dyDescent="0.2">
      <c r="A21" s="20">
        <v>43804</v>
      </c>
      <c r="B21" s="21"/>
      <c r="C21" s="22" t="s">
        <v>52</v>
      </c>
      <c r="D21" s="22" t="s">
        <v>53</v>
      </c>
      <c r="E21" s="22" t="s">
        <v>54</v>
      </c>
      <c r="F21" s="23">
        <v>182917</v>
      </c>
      <c r="G21" s="23" t="s">
        <v>55</v>
      </c>
      <c r="H21" s="25"/>
      <c r="I21" s="25"/>
      <c r="J21" s="25"/>
      <c r="K21" s="25">
        <v>180</v>
      </c>
      <c r="L21" s="26"/>
      <c r="M21" s="27">
        <f t="shared" si="0"/>
        <v>160.71428571428569</v>
      </c>
      <c r="N21" s="27">
        <f>K21/1.12*0.12</f>
        <v>19.285714285714281</v>
      </c>
      <c r="O21" s="27">
        <f>-SUM(I21:J21,K21/1.12)*L21</f>
        <v>0</v>
      </c>
      <c r="P21" s="28"/>
      <c r="Q21" s="28">
        <v>160.71</v>
      </c>
      <c r="R21" s="28"/>
      <c r="S21" s="29"/>
      <c r="T21" s="29"/>
      <c r="U21" s="29"/>
      <c r="V21" s="29"/>
      <c r="W21" s="29"/>
      <c r="X21" s="28"/>
      <c r="Y21" s="28"/>
      <c r="Z21" s="28"/>
      <c r="AA21" s="28"/>
      <c r="AB21" s="29"/>
      <c r="AC21" s="29"/>
      <c r="AD21" s="28"/>
      <c r="AE21" s="28"/>
      <c r="AF21" s="27">
        <f t="shared" si="1"/>
        <v>-179.99571428571429</v>
      </c>
      <c r="AG21" s="30">
        <f>SUM(H21:K21)+AF21+O21</f>
        <v>4.2857142857144481E-3</v>
      </c>
    </row>
    <row r="22" spans="1:33" s="31" customFormat="1" ht="23.25" customHeight="1" x14ac:dyDescent="0.2">
      <c r="A22" s="20">
        <v>43804</v>
      </c>
      <c r="B22" s="21"/>
      <c r="C22" s="22" t="s">
        <v>73</v>
      </c>
      <c r="D22" s="22" t="s">
        <v>74</v>
      </c>
      <c r="E22" s="22" t="s">
        <v>47</v>
      </c>
      <c r="F22" s="23">
        <v>573114</v>
      </c>
      <c r="G22" s="23" t="s">
        <v>75</v>
      </c>
      <c r="H22" s="25"/>
      <c r="I22" s="25"/>
      <c r="J22" s="25"/>
      <c r="K22" s="25">
        <v>348</v>
      </c>
      <c r="L22" s="26"/>
      <c r="M22" s="27">
        <f t="shared" si="0"/>
        <v>310.71428571428567</v>
      </c>
      <c r="N22" s="27">
        <f>K22/1.12*0.12</f>
        <v>37.285714285714278</v>
      </c>
      <c r="O22" s="27">
        <f>-SUM(I22:J22,K22/1.12)*L22</f>
        <v>0</v>
      </c>
      <c r="P22" s="27">
        <v>310.70999999999998</v>
      </c>
      <c r="Q22" s="28"/>
      <c r="R22" s="28"/>
      <c r="S22" s="29"/>
      <c r="T22" s="29"/>
      <c r="U22" s="29"/>
      <c r="V22" s="29"/>
      <c r="W22" s="29"/>
      <c r="X22" s="28"/>
      <c r="Y22" s="28"/>
      <c r="Z22" s="28"/>
      <c r="AA22" s="28"/>
      <c r="AB22" s="29"/>
      <c r="AC22" s="29"/>
      <c r="AD22" s="28"/>
      <c r="AE22" s="28"/>
      <c r="AF22" s="27">
        <f t="shared" si="1"/>
        <v>-347.99571428571426</v>
      </c>
      <c r="AG22" s="30">
        <f>SUM(H22:K22)+AF22+O22</f>
        <v>4.2857142857428698E-3</v>
      </c>
    </row>
    <row r="23" spans="1:33" s="31" customFormat="1" ht="23.25" customHeight="1" x14ac:dyDescent="0.2">
      <c r="A23" s="20"/>
      <c r="B23" s="21"/>
      <c r="C23" s="22"/>
      <c r="D23" s="22"/>
      <c r="E23" s="22"/>
      <c r="F23" s="23"/>
      <c r="G23" s="24"/>
      <c r="H23" s="25"/>
      <c r="I23" s="25"/>
      <c r="J23" s="25"/>
      <c r="K23" s="25"/>
      <c r="L23" s="26"/>
      <c r="M23" s="27">
        <f t="shared" si="0"/>
        <v>0</v>
      </c>
      <c r="N23" s="27">
        <f>K23/1.12*0.12</f>
        <v>0</v>
      </c>
      <c r="O23" s="27">
        <f>-SUM(I23:J23,K23/1.12)*L23</f>
        <v>0</v>
      </c>
      <c r="P23" s="27"/>
      <c r="Q23" s="28"/>
      <c r="R23" s="28"/>
      <c r="S23" s="29"/>
      <c r="T23" s="29"/>
      <c r="U23" s="29"/>
      <c r="V23" s="29"/>
      <c r="W23" s="29"/>
      <c r="X23" s="28"/>
      <c r="Y23" s="28"/>
      <c r="Z23" s="28"/>
      <c r="AA23" s="28"/>
      <c r="AB23" s="29"/>
      <c r="AC23" s="29"/>
      <c r="AD23" s="28"/>
      <c r="AE23" s="28"/>
      <c r="AF23" s="27">
        <f t="shared" si="1"/>
        <v>0</v>
      </c>
      <c r="AG23" s="30">
        <f>SUM(H23:K23)+AF23+O23</f>
        <v>0</v>
      </c>
    </row>
    <row r="24" spans="1:33" s="39" customFormat="1" ht="12" customHeight="1" x14ac:dyDescent="0.2">
      <c r="A24" s="33"/>
      <c r="B24" s="34"/>
      <c r="C24" s="35"/>
      <c r="D24" s="36"/>
      <c r="E24" s="36"/>
      <c r="F24" s="37"/>
      <c r="G24" s="35"/>
      <c r="H24" s="38">
        <f t="shared" ref="H24:M24" si="2">SUM(H5:H23)</f>
        <v>514</v>
      </c>
      <c r="I24" s="38">
        <f t="shared" si="2"/>
        <v>0</v>
      </c>
      <c r="J24" s="38">
        <f t="shared" si="2"/>
        <v>3364.5</v>
      </c>
      <c r="K24" s="38">
        <f t="shared" si="2"/>
        <v>6268.08</v>
      </c>
      <c r="L24" s="38">
        <f t="shared" si="2"/>
        <v>0</v>
      </c>
      <c r="M24" s="38">
        <f t="shared" si="2"/>
        <v>9475.0000000000018</v>
      </c>
      <c r="N24" s="38">
        <f t="shared" ref="N24:AG24" si="3">SUM(N5:N23)</f>
        <v>671.58000000000015</v>
      </c>
      <c r="O24" s="38">
        <f t="shared" si="3"/>
        <v>0</v>
      </c>
      <c r="P24" s="38">
        <f t="shared" si="3"/>
        <v>8478.8599999999988</v>
      </c>
      <c r="Q24" s="38">
        <f t="shared" si="3"/>
        <v>482.13</v>
      </c>
      <c r="R24" s="38">
        <f t="shared" si="3"/>
        <v>0</v>
      </c>
      <c r="S24" s="38">
        <f t="shared" si="3"/>
        <v>0</v>
      </c>
      <c r="T24" s="38">
        <f t="shared" si="3"/>
        <v>0</v>
      </c>
      <c r="U24" s="38">
        <f t="shared" si="3"/>
        <v>0</v>
      </c>
      <c r="V24" s="38">
        <f t="shared" si="3"/>
        <v>0</v>
      </c>
      <c r="W24" s="38">
        <f t="shared" si="3"/>
        <v>0</v>
      </c>
      <c r="X24" s="38">
        <f t="shared" si="3"/>
        <v>0</v>
      </c>
      <c r="Y24" s="38">
        <f t="shared" si="3"/>
        <v>0</v>
      </c>
      <c r="Z24" s="38">
        <f t="shared" si="3"/>
        <v>0</v>
      </c>
      <c r="AA24" s="38">
        <f t="shared" si="3"/>
        <v>514</v>
      </c>
      <c r="AB24" s="38">
        <f t="shared" si="3"/>
        <v>0</v>
      </c>
      <c r="AC24" s="38">
        <f t="shared" si="3"/>
        <v>0</v>
      </c>
      <c r="AD24" s="38">
        <f t="shared" si="3"/>
        <v>0</v>
      </c>
      <c r="AE24" s="38">
        <f t="shared" si="3"/>
        <v>0</v>
      </c>
      <c r="AF24" s="38">
        <f t="shared" si="3"/>
        <v>-10146.570000000002</v>
      </c>
      <c r="AG24" s="38">
        <f t="shared" si="3"/>
        <v>1.0000000000090381E-2</v>
      </c>
    </row>
    <row r="25" spans="1:33" ht="12" customHeight="1" x14ac:dyDescent="0.25"/>
    <row r="26" spans="1:33" x14ac:dyDescent="0.25">
      <c r="K26" s="40">
        <f>H24+I24+J24+K24</f>
        <v>10146.58</v>
      </c>
      <c r="AF26" s="40">
        <f>+AF24</f>
        <v>-10146.570000000002</v>
      </c>
    </row>
    <row r="28" spans="1:33" x14ac:dyDescent="0.25">
      <c r="C28" s="41" t="s">
        <v>76</v>
      </c>
      <c r="G28" s="39"/>
      <c r="K28" s="1"/>
      <c r="L28" s="1"/>
      <c r="M28" s="1"/>
    </row>
    <row r="31" spans="1:33" s="4" customFormat="1" ht="11.25" x14ac:dyDescent="0.2">
      <c r="K31" s="6"/>
      <c r="L31" s="7"/>
      <c r="M31" s="6"/>
      <c r="Y31" s="6"/>
    </row>
    <row r="37" spans="10:17" x14ac:dyDescent="0.25">
      <c r="J37" s="6" t="s">
        <v>77</v>
      </c>
    </row>
    <row r="38" spans="10:17" x14ac:dyDescent="0.25">
      <c r="Q38" s="6">
        <v>0</v>
      </c>
    </row>
  </sheetData>
  <mergeCells count="1">
    <mergeCell ref="K28:M2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0"/>
  <sheetViews>
    <sheetView topLeftCell="D1" zoomScaleNormal="100" workbookViewId="0">
      <pane ySplit="4" topLeftCell="A41" activePane="bottomLeft" state="frozen"/>
      <selection activeCell="D1" sqref="D1"/>
      <selection pane="bottomLeft" activeCell="G48" sqref="G48"/>
    </sheetView>
  </sheetViews>
  <sheetFormatPr defaultRowHeight="15" x14ac:dyDescent="0.25"/>
  <cols>
    <col min="1" max="1" width="8.140625" style="2" customWidth="1"/>
    <col min="2" max="2" width="7.28515625" style="3" hidden="1" customWidth="1"/>
    <col min="3" max="3" width="24" style="4" customWidth="1"/>
    <col min="4" max="4" width="14" style="5" customWidth="1"/>
    <col min="5" max="5" width="28" style="5" customWidth="1"/>
    <col min="6" max="6" width="7.85546875" style="3" customWidth="1"/>
    <col min="7" max="7" width="30.7109375" style="4" customWidth="1"/>
    <col min="8" max="8" width="7.85546875" style="6" customWidth="1"/>
    <col min="9" max="9" width="8.42578125" style="6" customWidth="1"/>
    <col min="10" max="10" width="9.7109375" style="6" customWidth="1"/>
    <col min="11" max="11" width="10" style="6" customWidth="1"/>
    <col min="12" max="12" width="5.140625" style="7" customWidth="1"/>
    <col min="13" max="13" width="9.28515625" style="6" customWidth="1"/>
    <col min="14" max="14" width="8.140625" style="6" customWidth="1"/>
    <col min="15" max="15" width="6.5703125" style="6" customWidth="1"/>
    <col min="16" max="16" width="9.7109375" style="6" customWidth="1"/>
    <col min="17" max="17" width="10" style="6" customWidth="1"/>
    <col min="18" max="18" width="9.140625" style="6" customWidth="1"/>
    <col min="19" max="19" width="8.140625" style="6" customWidth="1"/>
    <col min="20" max="21" width="9.140625" style="6" customWidth="1"/>
    <col min="22" max="22" width="7.140625" style="6" customWidth="1"/>
    <col min="23" max="23" width="9" style="6" customWidth="1"/>
    <col min="24" max="25" width="8" style="6" customWidth="1"/>
    <col min="26" max="26" width="10.140625" style="6" customWidth="1"/>
    <col min="27" max="27" width="10.5703125" style="6" customWidth="1"/>
    <col min="28" max="28" width="7.28515625" style="4" customWidth="1"/>
    <col min="29" max="1024" width="9.140625" style="4" customWidth="1"/>
  </cols>
  <sheetData>
    <row r="1" spans="1:28" ht="12" customHeight="1" x14ac:dyDescent="0.25">
      <c r="A1" s="8" t="s">
        <v>0</v>
      </c>
      <c r="C1" s="9"/>
    </row>
    <row r="2" spans="1:28" ht="12" customHeight="1" x14ac:dyDescent="0.25">
      <c r="A2" s="8" t="s">
        <v>1</v>
      </c>
    </row>
    <row r="3" spans="1:28" ht="12" customHeight="1" x14ac:dyDescent="0.25">
      <c r="A3" s="8" t="s">
        <v>2</v>
      </c>
      <c r="B3" s="9"/>
      <c r="C3" s="10"/>
      <c r="N3" s="11">
        <v>1301</v>
      </c>
      <c r="O3" s="11">
        <v>2402</v>
      </c>
      <c r="P3" s="11">
        <v>5001</v>
      </c>
      <c r="Q3" s="11">
        <v>5002</v>
      </c>
      <c r="R3" s="11">
        <v>6220</v>
      </c>
      <c r="S3" s="11">
        <v>6219</v>
      </c>
      <c r="T3" s="11">
        <v>6212</v>
      </c>
      <c r="U3" s="11"/>
      <c r="V3" s="11">
        <v>6230</v>
      </c>
      <c r="W3" s="11" t="s">
        <v>4</v>
      </c>
      <c r="X3" s="11">
        <v>6202</v>
      </c>
      <c r="Y3" s="11"/>
      <c r="Z3" s="11">
        <v>6109</v>
      </c>
      <c r="AA3" s="11">
        <v>1002</v>
      </c>
    </row>
    <row r="4" spans="1:28" s="19" customFormat="1" ht="44.25" customHeight="1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31</v>
      </c>
      <c r="W4" s="15" t="s">
        <v>32</v>
      </c>
      <c r="X4" s="16" t="s">
        <v>33</v>
      </c>
      <c r="Y4" s="15" t="s">
        <v>34</v>
      </c>
      <c r="Z4" s="17" t="s">
        <v>35</v>
      </c>
      <c r="AA4" s="18" t="s">
        <v>36</v>
      </c>
    </row>
    <row r="5" spans="1:28" s="31" customFormat="1" ht="23.25" customHeight="1" x14ac:dyDescent="0.2">
      <c r="A5" s="20">
        <v>43804</v>
      </c>
      <c r="B5" s="21"/>
      <c r="C5" s="22" t="s">
        <v>52</v>
      </c>
      <c r="D5" s="22" t="s">
        <v>53</v>
      </c>
      <c r="E5" s="22" t="s">
        <v>54</v>
      </c>
      <c r="F5" s="23">
        <v>192819</v>
      </c>
      <c r="G5" s="23" t="s">
        <v>55</v>
      </c>
      <c r="H5" s="25"/>
      <c r="I5" s="25"/>
      <c r="J5" s="25"/>
      <c r="K5" s="25">
        <v>180</v>
      </c>
      <c r="L5" s="26"/>
      <c r="M5" s="27">
        <f>SUM(H5:J5,K5/1.12)</f>
        <v>160.71428571428569</v>
      </c>
      <c r="N5" s="27">
        <f>K5/1.12*0.12</f>
        <v>19.285714285714281</v>
      </c>
      <c r="O5" s="27">
        <f>-SUM(I5:J5,K5/1.12)*L5</f>
        <v>0</v>
      </c>
      <c r="P5" s="27"/>
      <c r="Q5" s="28">
        <v>160.71</v>
      </c>
      <c r="R5" s="28"/>
      <c r="S5" s="29"/>
      <c r="T5" s="29"/>
      <c r="U5" s="29"/>
      <c r="V5" s="28"/>
      <c r="W5" s="29"/>
      <c r="X5" s="29"/>
      <c r="Y5" s="28"/>
      <c r="Z5" s="28"/>
      <c r="AA5" s="27">
        <f t="shared" ref="AA5:AA45" si="0">-SUM(N5:Z5)</f>
        <v>-179.99571428571429</v>
      </c>
      <c r="AB5" s="30">
        <f>SUM(H5:K5)+AA5+O5</f>
        <v>4.2857142857144481E-3</v>
      </c>
    </row>
    <row r="6" spans="1:28" s="31" customFormat="1" ht="23.25" customHeight="1" x14ac:dyDescent="0.2">
      <c r="A6" s="20">
        <v>43774</v>
      </c>
      <c r="B6" s="21"/>
      <c r="C6" s="22" t="s">
        <v>64</v>
      </c>
      <c r="D6" s="22" t="s">
        <v>65</v>
      </c>
      <c r="E6" s="22" t="s">
        <v>66</v>
      </c>
      <c r="F6" s="23">
        <v>99283</v>
      </c>
      <c r="G6" s="24" t="s">
        <v>78</v>
      </c>
      <c r="H6" s="25"/>
      <c r="I6" s="25"/>
      <c r="J6" s="25"/>
      <c r="K6" s="25">
        <v>360.5</v>
      </c>
      <c r="L6" s="26"/>
      <c r="M6" s="27">
        <f>SUM(H6:J6,K6/1.12)</f>
        <v>321.87499999999994</v>
      </c>
      <c r="N6" s="27">
        <f>K6/1.12*0.12</f>
        <v>38.624999999999993</v>
      </c>
      <c r="O6" s="27">
        <f>-SUM(I6:J6,K6/1.12)*L6</f>
        <v>0</v>
      </c>
      <c r="P6" s="27">
        <v>321.88</v>
      </c>
      <c r="Q6" s="28"/>
      <c r="R6" s="28"/>
      <c r="S6" s="29"/>
      <c r="T6" s="29"/>
      <c r="U6" s="29"/>
      <c r="V6" s="28"/>
      <c r="W6" s="29"/>
      <c r="X6" s="29"/>
      <c r="Y6" s="28"/>
      <c r="Z6" s="28"/>
      <c r="AA6" s="27">
        <f t="shared" si="0"/>
        <v>-360.505</v>
      </c>
      <c r="AB6" s="30">
        <f>SUM(H6:K6)+AA6+O6</f>
        <v>-4.9999999999954525E-3</v>
      </c>
    </row>
    <row r="7" spans="1:28" s="31" customFormat="1" ht="23.25" customHeight="1" x14ac:dyDescent="0.2">
      <c r="A7" s="20">
        <v>43805</v>
      </c>
      <c r="B7" s="21"/>
      <c r="C7" s="22" t="s">
        <v>45</v>
      </c>
      <c r="D7" s="22" t="s">
        <v>46</v>
      </c>
      <c r="E7" s="22" t="s">
        <v>47</v>
      </c>
      <c r="F7" s="23">
        <v>151214</v>
      </c>
      <c r="G7" s="23" t="s">
        <v>79</v>
      </c>
      <c r="H7" s="25"/>
      <c r="I7" s="25"/>
      <c r="J7" s="25">
        <v>602.54999999999995</v>
      </c>
      <c r="K7" s="25"/>
      <c r="L7" s="26"/>
      <c r="M7" s="27">
        <f>SUM(H7:J7,K7/1.12)</f>
        <v>602.54999999999995</v>
      </c>
      <c r="N7" s="27">
        <f>K7/1.12*0.12</f>
        <v>0</v>
      </c>
      <c r="O7" s="27">
        <f>-SUM(I7:J7,K7/1.12)*L7</f>
        <v>0</v>
      </c>
      <c r="P7" s="27">
        <v>602.54999999999995</v>
      </c>
      <c r="Q7" s="28"/>
      <c r="R7" s="28"/>
      <c r="S7" s="29"/>
      <c r="T7" s="29"/>
      <c r="U7" s="29"/>
      <c r="V7" s="28"/>
      <c r="W7" s="29"/>
      <c r="X7" s="29"/>
      <c r="Y7" s="28"/>
      <c r="Z7" s="28"/>
      <c r="AA7" s="27">
        <f t="shared" si="0"/>
        <v>-602.54999999999995</v>
      </c>
      <c r="AB7" s="30">
        <f>SUM(H7:K7)+AA7+O7</f>
        <v>0</v>
      </c>
    </row>
    <row r="8" spans="1:28" s="31" customFormat="1" ht="23.25" customHeight="1" x14ac:dyDescent="0.2">
      <c r="A8" s="20">
        <v>43805</v>
      </c>
      <c r="B8" s="21"/>
      <c r="C8" s="22" t="s">
        <v>45</v>
      </c>
      <c r="D8" s="22" t="s">
        <v>46</v>
      </c>
      <c r="E8" s="22" t="s">
        <v>47</v>
      </c>
      <c r="F8" s="23">
        <v>151214</v>
      </c>
      <c r="G8" s="23" t="s">
        <v>80</v>
      </c>
      <c r="H8" s="25"/>
      <c r="I8" s="25"/>
      <c r="J8" s="25"/>
      <c r="K8" s="23">
        <f>291.96+35.04</f>
        <v>327</v>
      </c>
      <c r="L8" s="26"/>
      <c r="M8" s="27">
        <f>SUM(H8:J8,K8/1.12)</f>
        <v>291.96428571428567</v>
      </c>
      <c r="N8" s="27">
        <f>K8/1.12*0.12</f>
        <v>35.035714285714278</v>
      </c>
      <c r="O8" s="27">
        <f>-SUM(I8:J8,K8/1.12)*L8</f>
        <v>0</v>
      </c>
      <c r="P8" s="27">
        <v>291.95999999999998</v>
      </c>
      <c r="Q8" s="28"/>
      <c r="R8" s="28"/>
      <c r="S8" s="29"/>
      <c r="T8" s="29"/>
      <c r="U8" s="29"/>
      <c r="V8" s="28"/>
      <c r="W8" s="29"/>
      <c r="X8" s="29"/>
      <c r="Y8" s="28"/>
      <c r="Z8" s="28"/>
      <c r="AA8" s="27">
        <f t="shared" si="0"/>
        <v>-326.99571428571426</v>
      </c>
      <c r="AB8" s="30">
        <f>SUM(H8:K8)+AA8+O8</f>
        <v>4.2857142857428698E-3</v>
      </c>
    </row>
    <row r="9" spans="1:28" s="31" customFormat="1" ht="23.25" customHeight="1" x14ac:dyDescent="0.2">
      <c r="A9" s="20">
        <v>43806</v>
      </c>
      <c r="B9" s="21"/>
      <c r="C9" s="22" t="s">
        <v>64</v>
      </c>
      <c r="D9" s="22" t="s">
        <v>65</v>
      </c>
      <c r="E9" s="22" t="s">
        <v>66</v>
      </c>
      <c r="F9" s="23">
        <v>134102</v>
      </c>
      <c r="G9" s="23" t="s">
        <v>81</v>
      </c>
      <c r="H9" s="25"/>
      <c r="I9" s="25"/>
      <c r="J9" s="25"/>
      <c r="K9" s="25">
        <v>107</v>
      </c>
      <c r="L9" s="26"/>
      <c r="M9" s="27">
        <f>SUM(H9:J9,K9/1.12)</f>
        <v>95.535714285714278</v>
      </c>
      <c r="N9" s="27">
        <f>K9/1.12*0.12</f>
        <v>11.464285714285714</v>
      </c>
      <c r="O9" s="27">
        <f>-SUM(I9:J9,K9/1.12)*L9</f>
        <v>0</v>
      </c>
      <c r="P9" s="27"/>
      <c r="Q9" s="28"/>
      <c r="R9" s="28"/>
      <c r="S9" s="29"/>
      <c r="T9" s="29">
        <v>95.54</v>
      </c>
      <c r="U9" s="29"/>
      <c r="V9" s="28"/>
      <c r="W9" s="29"/>
      <c r="X9" s="29"/>
      <c r="Y9" s="28"/>
      <c r="Z9" s="28"/>
      <c r="AA9" s="27">
        <f t="shared" si="0"/>
        <v>-107.00428571428571</v>
      </c>
      <c r="AB9" s="30">
        <f>SUM(H9:K9)+AA9+O9</f>
        <v>-4.2857142857144481E-3</v>
      </c>
    </row>
    <row r="10" spans="1:28" s="31" customFormat="1" ht="23.25" customHeight="1" x14ac:dyDescent="0.2">
      <c r="A10" s="20">
        <v>43806</v>
      </c>
      <c r="B10" s="21"/>
      <c r="C10" s="22" t="s">
        <v>64</v>
      </c>
      <c r="D10" s="22" t="s">
        <v>65</v>
      </c>
      <c r="E10" s="22" t="s">
        <v>66</v>
      </c>
      <c r="F10" s="23">
        <v>134101</v>
      </c>
      <c r="G10" s="23" t="s">
        <v>82</v>
      </c>
      <c r="H10" s="25"/>
      <c r="I10" s="25"/>
      <c r="J10" s="25"/>
      <c r="K10" s="25">
        <v>110</v>
      </c>
      <c r="L10" s="26"/>
      <c r="M10" s="27">
        <f>SUM(H10:J10,K10/1.12)</f>
        <v>98.214285714285708</v>
      </c>
      <c r="N10" s="27">
        <f>K10/1.12*0.12</f>
        <v>11.785714285714285</v>
      </c>
      <c r="O10" s="27">
        <f>-SUM(I10:J10,K10/1.12)*L10</f>
        <v>0</v>
      </c>
      <c r="P10" s="27">
        <v>98.21</v>
      </c>
      <c r="Q10" s="28"/>
      <c r="R10" s="28"/>
      <c r="S10" s="29"/>
      <c r="T10" s="29"/>
      <c r="U10" s="29"/>
      <c r="V10" s="28"/>
      <c r="W10" s="29"/>
      <c r="X10" s="29"/>
      <c r="Y10" s="28"/>
      <c r="Z10" s="28"/>
      <c r="AA10" s="27">
        <f t="shared" si="0"/>
        <v>-109.99571428571429</v>
      </c>
      <c r="AB10" s="30">
        <f>SUM(H10:K10)+AA10+O10</f>
        <v>4.2857142857144481E-3</v>
      </c>
    </row>
    <row r="11" spans="1:28" s="31" customFormat="1" ht="23.25" customHeight="1" x14ac:dyDescent="0.2">
      <c r="A11" s="20">
        <v>43806</v>
      </c>
      <c r="B11" s="21"/>
      <c r="C11" s="22" t="s">
        <v>64</v>
      </c>
      <c r="D11" s="22" t="s">
        <v>65</v>
      </c>
      <c r="E11" s="22" t="s">
        <v>66</v>
      </c>
      <c r="F11" s="23">
        <v>134224</v>
      </c>
      <c r="G11" s="23" t="s">
        <v>83</v>
      </c>
      <c r="H11" s="25"/>
      <c r="I11" s="25"/>
      <c r="J11" s="25"/>
      <c r="K11" s="25">
        <f>590+95</f>
        <v>685</v>
      </c>
      <c r="L11" s="26"/>
      <c r="M11" s="27">
        <f>SUM(H11:J11,K11/1.12)</f>
        <v>611.60714285714278</v>
      </c>
      <c r="N11" s="27">
        <f>K11/1.12*0.12</f>
        <v>73.392857142857125</v>
      </c>
      <c r="O11" s="27">
        <f>-SUM(I11:J11,K11/1.12)*L11</f>
        <v>0</v>
      </c>
      <c r="P11" s="27">
        <v>611.61</v>
      </c>
      <c r="Q11" s="28"/>
      <c r="R11" s="28"/>
      <c r="S11" s="29"/>
      <c r="T11" s="29"/>
      <c r="U11" s="29"/>
      <c r="V11" s="28"/>
      <c r="W11" s="29"/>
      <c r="X11" s="29"/>
      <c r="Y11" s="28"/>
      <c r="Z11" s="28"/>
      <c r="AA11" s="27">
        <f t="shared" si="0"/>
        <v>-685.00285714285712</v>
      </c>
      <c r="AB11" s="30">
        <f>SUM(H11:K11)+AA11+O11</f>
        <v>-2.8571428571240176E-3</v>
      </c>
    </row>
    <row r="12" spans="1:28" s="31" customFormat="1" ht="23.25" customHeight="1" x14ac:dyDescent="0.2">
      <c r="A12" s="20">
        <v>43806</v>
      </c>
      <c r="B12" s="21"/>
      <c r="C12" s="22" t="s">
        <v>64</v>
      </c>
      <c r="D12" s="22" t="s">
        <v>65</v>
      </c>
      <c r="E12" s="22" t="s">
        <v>66</v>
      </c>
      <c r="F12" s="23">
        <v>134224</v>
      </c>
      <c r="G12" s="23" t="s">
        <v>84</v>
      </c>
      <c r="H12" s="25"/>
      <c r="I12" s="25"/>
      <c r="J12" s="25"/>
      <c r="K12" s="25">
        <v>198</v>
      </c>
      <c r="L12" s="26"/>
      <c r="M12" s="27">
        <f>SUM(H12:J12,K12/1.12)</f>
        <v>176.78571428571428</v>
      </c>
      <c r="N12" s="27">
        <f>K12/1.12*0.12</f>
        <v>21.214285714285712</v>
      </c>
      <c r="O12" s="27">
        <f>-SUM(I12:J12,K12/1.12)*L12</f>
        <v>0</v>
      </c>
      <c r="P12" s="27"/>
      <c r="Q12" s="28"/>
      <c r="R12" s="28">
        <v>176.79</v>
      </c>
      <c r="S12" s="29"/>
      <c r="T12" s="29"/>
      <c r="U12" s="29"/>
      <c r="V12" s="28"/>
      <c r="W12" s="29"/>
      <c r="X12" s="29"/>
      <c r="Y12" s="28"/>
      <c r="Z12" s="28"/>
      <c r="AA12" s="27">
        <f t="shared" si="0"/>
        <v>-198.00428571428571</v>
      </c>
      <c r="AB12" s="30">
        <f>SUM(H12:K12)+AA12+O12</f>
        <v>-4.2857142857144481E-3</v>
      </c>
    </row>
    <row r="13" spans="1:28" s="31" customFormat="1" ht="23.25" customHeight="1" x14ac:dyDescent="0.2">
      <c r="A13" s="20">
        <v>43808</v>
      </c>
      <c r="B13" s="21"/>
      <c r="C13" s="22" t="s">
        <v>52</v>
      </c>
      <c r="D13" s="22" t="s">
        <v>53</v>
      </c>
      <c r="E13" s="22" t="s">
        <v>54</v>
      </c>
      <c r="F13" s="23">
        <v>193058</v>
      </c>
      <c r="G13" s="23" t="s">
        <v>55</v>
      </c>
      <c r="H13" s="25"/>
      <c r="I13" s="25"/>
      <c r="J13" s="25"/>
      <c r="K13" s="25">
        <v>180</v>
      </c>
      <c r="L13" s="26"/>
      <c r="M13" s="27">
        <f>SUM(H13:J13,K13/1.12)</f>
        <v>160.71428571428569</v>
      </c>
      <c r="N13" s="27">
        <f>K13/1.12*0.12</f>
        <v>19.285714285714281</v>
      </c>
      <c r="O13" s="27">
        <f>-SUM(I13:J13,K13/1.12)*L13</f>
        <v>0</v>
      </c>
      <c r="P13" s="27"/>
      <c r="Q13" s="28">
        <v>160.71</v>
      </c>
      <c r="R13" s="28"/>
      <c r="S13" s="29"/>
      <c r="T13" s="29"/>
      <c r="U13" s="29"/>
      <c r="V13" s="28"/>
      <c r="W13" s="29"/>
      <c r="X13" s="29"/>
      <c r="Y13" s="28"/>
      <c r="Z13" s="28"/>
      <c r="AA13" s="27">
        <f t="shared" si="0"/>
        <v>-179.99571428571429</v>
      </c>
      <c r="AB13" s="30">
        <f>SUM(H13:K13)+AA13+O13</f>
        <v>4.2857142857144481E-3</v>
      </c>
    </row>
    <row r="14" spans="1:28" s="31" customFormat="1" ht="23.25" customHeight="1" x14ac:dyDescent="0.2">
      <c r="A14" s="20">
        <v>43808</v>
      </c>
      <c r="B14" s="21"/>
      <c r="C14" s="22" t="s">
        <v>45</v>
      </c>
      <c r="D14" s="22" t="s">
        <v>46</v>
      </c>
      <c r="E14" s="22" t="s">
        <v>47</v>
      </c>
      <c r="F14" s="23">
        <v>210422</v>
      </c>
      <c r="G14" s="24" t="s">
        <v>85</v>
      </c>
      <c r="H14" s="25"/>
      <c r="I14" s="25"/>
      <c r="J14" s="25"/>
      <c r="K14" s="25">
        <f>1678.26+201.39</f>
        <v>1879.65</v>
      </c>
      <c r="L14" s="26"/>
      <c r="M14" s="27">
        <f>SUM(H14:J14,K14/1.12)</f>
        <v>1678.2589285714284</v>
      </c>
      <c r="N14" s="27">
        <f>K14/1.12*0.12</f>
        <v>201.39107142857139</v>
      </c>
      <c r="O14" s="27">
        <f>-SUM(I14:J14,K14/1.12)*L14</f>
        <v>0</v>
      </c>
      <c r="P14" s="27">
        <v>1678.26</v>
      </c>
      <c r="Q14" s="28"/>
      <c r="R14" s="28"/>
      <c r="S14" s="29"/>
      <c r="T14" s="29"/>
      <c r="U14" s="29"/>
      <c r="V14" s="28"/>
      <c r="W14" s="29"/>
      <c r="X14" s="29"/>
      <c r="Y14" s="28"/>
      <c r="Z14" s="28"/>
      <c r="AA14" s="27">
        <f t="shared" si="0"/>
        <v>-1879.6510714285714</v>
      </c>
      <c r="AB14" s="30">
        <f>SUM(H14:K14)+AA14+O14</f>
        <v>-1.0714285713220306E-3</v>
      </c>
    </row>
    <row r="15" spans="1:28" s="31" customFormat="1" ht="23.25" customHeight="1" x14ac:dyDescent="0.2">
      <c r="A15" s="20">
        <v>43808</v>
      </c>
      <c r="B15" s="21"/>
      <c r="C15" s="22" t="s">
        <v>45</v>
      </c>
      <c r="D15" s="22" t="s">
        <v>46</v>
      </c>
      <c r="E15" s="22" t="s">
        <v>47</v>
      </c>
      <c r="F15" s="23">
        <v>210422</v>
      </c>
      <c r="G15" s="23" t="s">
        <v>86</v>
      </c>
      <c r="H15" s="25"/>
      <c r="I15" s="25"/>
      <c r="J15" s="25">
        <v>159.5</v>
      </c>
      <c r="K15" s="25"/>
      <c r="L15" s="26"/>
      <c r="M15" s="27">
        <f>SUM(H15:J15,K15/1.12)</f>
        <v>159.5</v>
      </c>
      <c r="N15" s="27">
        <f>K15/1.12*0.12</f>
        <v>0</v>
      </c>
      <c r="O15" s="27">
        <f>-SUM(I15:J15,K15/1.12)*L15</f>
        <v>0</v>
      </c>
      <c r="P15" s="27">
        <v>159.5</v>
      </c>
      <c r="Q15" s="28"/>
      <c r="R15" s="28"/>
      <c r="S15" s="29"/>
      <c r="T15" s="29"/>
      <c r="U15" s="29"/>
      <c r="V15" s="28"/>
      <c r="W15" s="29"/>
      <c r="X15" s="29"/>
      <c r="Y15" s="28"/>
      <c r="Z15" s="28"/>
      <c r="AA15" s="27">
        <f t="shared" si="0"/>
        <v>-159.5</v>
      </c>
      <c r="AB15" s="30">
        <f>SUM(H15:K15)+AA15+O15</f>
        <v>0</v>
      </c>
    </row>
    <row r="16" spans="1:28" s="31" customFormat="1" ht="23.25" customHeight="1" x14ac:dyDescent="0.2">
      <c r="A16" s="20">
        <v>43808</v>
      </c>
      <c r="B16" s="21"/>
      <c r="C16" s="22" t="s">
        <v>50</v>
      </c>
      <c r="D16" s="22"/>
      <c r="E16" s="22"/>
      <c r="F16" s="23"/>
      <c r="G16" s="24" t="s">
        <v>87</v>
      </c>
      <c r="H16" s="25">
        <v>50</v>
      </c>
      <c r="I16" s="25"/>
      <c r="J16" s="25"/>
      <c r="K16" s="25"/>
      <c r="L16" s="26"/>
      <c r="M16" s="27">
        <f>SUM(H16:J16,K16/1.12)</f>
        <v>50</v>
      </c>
      <c r="N16" s="27">
        <f>K16/1.12*0.12</f>
        <v>0</v>
      </c>
      <c r="O16" s="27">
        <f>-SUM(I16:J16,K16/1.12)*L16</f>
        <v>0</v>
      </c>
      <c r="P16" s="27"/>
      <c r="Q16" s="28"/>
      <c r="R16" s="28"/>
      <c r="S16" s="29"/>
      <c r="T16" s="29"/>
      <c r="U16" s="29"/>
      <c r="V16" s="28">
        <v>50</v>
      </c>
      <c r="W16" s="29"/>
      <c r="X16" s="29"/>
      <c r="Y16" s="28"/>
      <c r="Z16" s="28"/>
      <c r="AA16" s="27">
        <f t="shared" si="0"/>
        <v>-50</v>
      </c>
      <c r="AB16" s="30">
        <f>SUM(H16:K16)+AA16+O16</f>
        <v>0</v>
      </c>
    </row>
    <row r="17" spans="1:28" s="31" customFormat="1" ht="23.25" customHeight="1" x14ac:dyDescent="0.2">
      <c r="A17" s="20">
        <v>43808</v>
      </c>
      <c r="B17" s="21"/>
      <c r="C17" s="22" t="s">
        <v>58</v>
      </c>
      <c r="D17" s="22"/>
      <c r="E17" s="22"/>
      <c r="F17" s="23"/>
      <c r="G17" s="24" t="s">
        <v>59</v>
      </c>
      <c r="H17" s="25">
        <v>240</v>
      </c>
      <c r="I17" s="25"/>
      <c r="J17" s="25"/>
      <c r="K17" s="25"/>
      <c r="L17" s="26"/>
      <c r="M17" s="27">
        <f>SUM(H17:J17,K17/1.12)</f>
        <v>240</v>
      </c>
      <c r="N17" s="27">
        <f>K17/1.12*0.12</f>
        <v>0</v>
      </c>
      <c r="O17" s="27">
        <f>-SUM(I17:J17,K17/1.12)*L17</f>
        <v>0</v>
      </c>
      <c r="P17" s="27"/>
      <c r="Q17" s="28"/>
      <c r="R17" s="28"/>
      <c r="S17" s="29"/>
      <c r="T17" s="29"/>
      <c r="U17" s="29"/>
      <c r="V17" s="28">
        <v>240</v>
      </c>
      <c r="W17" s="29"/>
      <c r="X17" s="29"/>
      <c r="Y17" s="28"/>
      <c r="Z17" s="28"/>
      <c r="AA17" s="27">
        <f t="shared" si="0"/>
        <v>-240</v>
      </c>
      <c r="AB17" s="30">
        <f>SUM(H17:K17)+AA17+O17</f>
        <v>0</v>
      </c>
    </row>
    <row r="18" spans="1:28" s="31" customFormat="1" ht="23.25" customHeight="1" x14ac:dyDescent="0.2">
      <c r="A18" s="20">
        <v>43808</v>
      </c>
      <c r="B18" s="21"/>
      <c r="C18" s="22" t="s">
        <v>64</v>
      </c>
      <c r="D18" s="22" t="s">
        <v>65</v>
      </c>
      <c r="E18" s="22" t="s">
        <v>66</v>
      </c>
      <c r="F18" s="23">
        <v>119800</v>
      </c>
      <c r="G18" s="24" t="s">
        <v>88</v>
      </c>
      <c r="H18" s="25">
        <v>700</v>
      </c>
      <c r="I18" s="25"/>
      <c r="J18" s="25"/>
      <c r="K18" s="25"/>
      <c r="L18" s="26"/>
      <c r="M18" s="27">
        <f>SUM(H18:J18,K18/1.12)</f>
        <v>700</v>
      </c>
      <c r="N18" s="27">
        <f>K18/1.12*0.12</f>
        <v>0</v>
      </c>
      <c r="O18" s="27">
        <f>-SUM(I18:J18,K18/1.12)*L18</f>
        <v>0</v>
      </c>
      <c r="P18" s="27"/>
      <c r="Q18" s="28"/>
      <c r="R18" s="28"/>
      <c r="S18" s="29"/>
      <c r="T18" s="29"/>
      <c r="U18" s="29"/>
      <c r="V18" s="28"/>
      <c r="W18" s="29"/>
      <c r="X18" s="29"/>
      <c r="Y18" s="28">
        <v>700</v>
      </c>
      <c r="Z18" s="28"/>
      <c r="AA18" s="27">
        <f t="shared" si="0"/>
        <v>-700</v>
      </c>
      <c r="AB18" s="30">
        <f>SUM(H18:K18)+AA18+O18</f>
        <v>0</v>
      </c>
    </row>
    <row r="19" spans="1:28" s="31" customFormat="1" ht="23.25" customHeight="1" x14ac:dyDescent="0.2">
      <c r="A19" s="20">
        <v>43808</v>
      </c>
      <c r="B19" s="21"/>
      <c r="C19" s="22" t="s">
        <v>89</v>
      </c>
      <c r="D19" s="22"/>
      <c r="E19" s="22"/>
      <c r="F19" s="23"/>
      <c r="G19" s="23" t="s">
        <v>90</v>
      </c>
      <c r="H19" s="25">
        <v>500</v>
      </c>
      <c r="I19" s="25"/>
      <c r="J19" s="25"/>
      <c r="K19" s="25"/>
      <c r="L19" s="26"/>
      <c r="M19" s="27">
        <f>SUM(H19:J19,K19/1.12)</f>
        <v>500</v>
      </c>
      <c r="N19" s="27">
        <f>K19/1.12*0.12</f>
        <v>0</v>
      </c>
      <c r="O19" s="27">
        <f>-SUM(I19:J19,K19/1.12)*L19</f>
        <v>0</v>
      </c>
      <c r="P19" s="27"/>
      <c r="Q19" s="28"/>
      <c r="R19" s="28"/>
      <c r="S19" s="29"/>
      <c r="T19" s="29"/>
      <c r="U19" s="29"/>
      <c r="V19" s="28"/>
      <c r="W19" s="29"/>
      <c r="X19" s="29"/>
      <c r="Y19" s="28">
        <v>500</v>
      </c>
      <c r="Z19" s="28"/>
      <c r="AA19" s="27">
        <f t="shared" si="0"/>
        <v>-500</v>
      </c>
      <c r="AB19" s="30">
        <f>SUM(H19:K19)+AA19+O19</f>
        <v>0</v>
      </c>
    </row>
    <row r="20" spans="1:28" s="31" customFormat="1" ht="23.25" customHeight="1" x14ac:dyDescent="0.2">
      <c r="A20" s="20">
        <v>43808</v>
      </c>
      <c r="B20" s="21"/>
      <c r="C20" s="22" t="s">
        <v>64</v>
      </c>
      <c r="D20" s="22" t="s">
        <v>65</v>
      </c>
      <c r="E20" s="22" t="s">
        <v>66</v>
      </c>
      <c r="F20" s="23">
        <v>119799</v>
      </c>
      <c r="G20" s="24" t="s">
        <v>91</v>
      </c>
      <c r="H20" s="25"/>
      <c r="I20" s="25"/>
      <c r="J20" s="25"/>
      <c r="K20" s="25">
        <v>183</v>
      </c>
      <c r="L20" s="26"/>
      <c r="M20" s="27">
        <f>SUM(H20:J20,K20/1.12)</f>
        <v>163.39285714285714</v>
      </c>
      <c r="N20" s="27">
        <f>K20/1.12*0.12</f>
        <v>19.607142857142858</v>
      </c>
      <c r="O20" s="27">
        <f>-SUM(I20:J20,K20/1.12)*L20</f>
        <v>0</v>
      </c>
      <c r="P20" s="27">
        <v>163.38999999999999</v>
      </c>
      <c r="Q20" s="28"/>
      <c r="R20" s="28"/>
      <c r="S20" s="29"/>
      <c r="T20" s="29"/>
      <c r="U20" s="29"/>
      <c r="V20" s="28"/>
      <c r="W20" s="29"/>
      <c r="X20" s="29"/>
      <c r="Y20" s="28"/>
      <c r="Z20" s="28"/>
      <c r="AA20" s="27">
        <f t="shared" si="0"/>
        <v>-182.99714285714285</v>
      </c>
      <c r="AB20" s="30">
        <f>SUM(H20:K20)+AA20+O20</f>
        <v>2.8571428571524393E-3</v>
      </c>
    </row>
    <row r="21" spans="1:28" s="31" customFormat="1" ht="23.25" customHeight="1" x14ac:dyDescent="0.2">
      <c r="A21" s="20">
        <v>43809</v>
      </c>
      <c r="B21" s="21"/>
      <c r="C21" s="22" t="s">
        <v>52</v>
      </c>
      <c r="D21" s="22" t="s">
        <v>53</v>
      </c>
      <c r="E21" s="22" t="s">
        <v>54</v>
      </c>
      <c r="F21" s="23">
        <v>197606</v>
      </c>
      <c r="G21" s="23" t="s">
        <v>55</v>
      </c>
      <c r="H21" s="25"/>
      <c r="I21" s="25"/>
      <c r="J21" s="25"/>
      <c r="K21" s="25">
        <v>180</v>
      </c>
      <c r="L21" s="26"/>
      <c r="M21" s="27">
        <f>SUM(H21:J21,K21/1.12)</f>
        <v>160.71428571428569</v>
      </c>
      <c r="N21" s="27">
        <f>K21/1.12*0.12</f>
        <v>19.285714285714281</v>
      </c>
      <c r="O21" s="27">
        <f>-SUM(I21:J21,K21/1.12)*L21</f>
        <v>0</v>
      </c>
      <c r="P21" s="27"/>
      <c r="Q21" s="28">
        <v>160.71</v>
      </c>
      <c r="R21" s="28"/>
      <c r="S21" s="29"/>
      <c r="T21" s="29"/>
      <c r="U21" s="29"/>
      <c r="V21" s="28"/>
      <c r="W21" s="29"/>
      <c r="X21" s="29"/>
      <c r="Y21" s="28"/>
      <c r="Z21" s="28"/>
      <c r="AA21" s="27">
        <f t="shared" si="0"/>
        <v>-179.99571428571429</v>
      </c>
      <c r="AB21" s="30">
        <f>SUM(H21:K21)+AA21+O21</f>
        <v>4.2857142857144481E-3</v>
      </c>
    </row>
    <row r="22" spans="1:28" s="31" customFormat="1" ht="23.25" customHeight="1" x14ac:dyDescent="0.2">
      <c r="A22" s="20">
        <v>43809</v>
      </c>
      <c r="B22" s="21"/>
      <c r="C22" s="22" t="s">
        <v>92</v>
      </c>
      <c r="D22" s="22" t="s">
        <v>93</v>
      </c>
      <c r="E22" s="22" t="s">
        <v>94</v>
      </c>
      <c r="F22" s="23">
        <v>4530</v>
      </c>
      <c r="G22" s="23" t="s">
        <v>95</v>
      </c>
      <c r="H22" s="25"/>
      <c r="I22" s="25"/>
      <c r="J22" s="25"/>
      <c r="K22" s="25">
        <v>617.44000000000005</v>
      </c>
      <c r="L22" s="26"/>
      <c r="M22" s="27">
        <f>SUM(H22:J22,K22/1.12)</f>
        <v>551.28571428571433</v>
      </c>
      <c r="N22" s="27">
        <f>K22/1.12*0.12</f>
        <v>66.15428571428572</v>
      </c>
      <c r="O22" s="27">
        <f>-SUM(I22:J22,K22/1.12)*L22</f>
        <v>0</v>
      </c>
      <c r="P22" s="27"/>
      <c r="Q22" s="28"/>
      <c r="R22" s="28"/>
      <c r="S22" s="29"/>
      <c r="T22" s="29"/>
      <c r="U22" s="29"/>
      <c r="V22" s="28"/>
      <c r="W22" s="29"/>
      <c r="X22" s="29">
        <v>551.29</v>
      </c>
      <c r="Y22" s="28"/>
      <c r="Z22" s="28"/>
      <c r="AA22" s="27">
        <f t="shared" si="0"/>
        <v>-617.44428571428568</v>
      </c>
      <c r="AB22" s="30">
        <f>SUM(H22:K22)+AA22+O22</f>
        <v>-4.285714285629183E-3</v>
      </c>
    </row>
    <row r="23" spans="1:28" s="31" customFormat="1" ht="23.25" customHeight="1" x14ac:dyDescent="0.2">
      <c r="A23" s="20">
        <v>43809</v>
      </c>
      <c r="B23" s="21"/>
      <c r="C23" s="22" t="s">
        <v>41</v>
      </c>
      <c r="D23" s="22" t="s">
        <v>42</v>
      </c>
      <c r="E23" s="22" t="s">
        <v>43</v>
      </c>
      <c r="F23" s="23">
        <v>3353</v>
      </c>
      <c r="G23" s="23" t="s">
        <v>96</v>
      </c>
      <c r="H23" s="25"/>
      <c r="I23" s="25"/>
      <c r="J23" s="25">
        <v>2306</v>
      </c>
      <c r="K23" s="25"/>
      <c r="L23" s="26"/>
      <c r="M23" s="27">
        <f>SUM(H23:J23,K23/1.12)</f>
        <v>2306</v>
      </c>
      <c r="N23" s="27">
        <f>K23/1.12*0.12</f>
        <v>0</v>
      </c>
      <c r="O23" s="27">
        <f>-SUM(I23:J23,K23/1.12)*L23</f>
        <v>0</v>
      </c>
      <c r="P23" s="27">
        <v>2306</v>
      </c>
      <c r="Q23" s="28"/>
      <c r="R23" s="28"/>
      <c r="S23" s="29"/>
      <c r="T23" s="29"/>
      <c r="U23" s="29"/>
      <c r="V23" s="28"/>
      <c r="W23" s="29"/>
      <c r="X23" s="29"/>
      <c r="Y23" s="28"/>
      <c r="Z23" s="28"/>
      <c r="AA23" s="27">
        <f t="shared" si="0"/>
        <v>-2306</v>
      </c>
      <c r="AB23" s="30">
        <f>SUM(H23:K23)+AA23+O23</f>
        <v>0</v>
      </c>
    </row>
    <row r="24" spans="1:28" s="31" customFormat="1" ht="23.25" customHeight="1" x14ac:dyDescent="0.2">
      <c r="A24" s="20">
        <v>43809</v>
      </c>
      <c r="B24" s="21"/>
      <c r="C24" s="22" t="s">
        <v>45</v>
      </c>
      <c r="D24" s="22" t="s">
        <v>46</v>
      </c>
      <c r="E24" s="22" t="s">
        <v>47</v>
      </c>
      <c r="F24" s="23">
        <v>21942</v>
      </c>
      <c r="G24" s="24" t="s">
        <v>97</v>
      </c>
      <c r="H24" s="25"/>
      <c r="I24" s="25"/>
      <c r="J24" s="25"/>
      <c r="K24" s="25">
        <f>120.54+14.46</f>
        <v>135</v>
      </c>
      <c r="L24" s="26"/>
      <c r="M24" s="27">
        <f>SUM(H24:J24,K24/1.12)</f>
        <v>120.53571428571428</v>
      </c>
      <c r="N24" s="27">
        <f>K24/1.12*0.12</f>
        <v>14.464285714285714</v>
      </c>
      <c r="O24" s="27">
        <f>-SUM(I24:J24,K24/1.12)*L24</f>
        <v>0</v>
      </c>
      <c r="P24" s="27">
        <v>120.54</v>
      </c>
      <c r="Q24" s="28"/>
      <c r="R24" s="28"/>
      <c r="S24" s="29"/>
      <c r="T24" s="29"/>
      <c r="U24" s="29"/>
      <c r="V24" s="28"/>
      <c r="W24" s="29"/>
      <c r="X24" s="29"/>
      <c r="Y24" s="28"/>
      <c r="Z24" s="28"/>
      <c r="AA24" s="27">
        <f t="shared" si="0"/>
        <v>-135.00428571428571</v>
      </c>
      <c r="AB24" s="30">
        <f>SUM(H24:K24)+AA24+O24</f>
        <v>-4.2857142857144481E-3</v>
      </c>
    </row>
    <row r="25" spans="1:28" s="31" customFormat="1" ht="23.25" customHeight="1" x14ac:dyDescent="0.2">
      <c r="A25" s="20">
        <v>43809</v>
      </c>
      <c r="B25" s="21"/>
      <c r="C25" s="22" t="s">
        <v>45</v>
      </c>
      <c r="D25" s="22" t="s">
        <v>46</v>
      </c>
      <c r="E25" s="22" t="s">
        <v>47</v>
      </c>
      <c r="F25" s="23">
        <v>21942</v>
      </c>
      <c r="G25" s="24" t="s">
        <v>98</v>
      </c>
      <c r="H25" s="25"/>
      <c r="I25" s="25"/>
      <c r="J25" s="25">
        <v>441.8</v>
      </c>
      <c r="K25" s="25"/>
      <c r="L25" s="26"/>
      <c r="M25" s="27">
        <f>SUM(H25:J25,K25/1.12)</f>
        <v>441.8</v>
      </c>
      <c r="N25" s="27">
        <f>K25/1.12*0.12</f>
        <v>0</v>
      </c>
      <c r="O25" s="27">
        <f>-SUM(I25:J25,K25/1.12)*L25</f>
        <v>0</v>
      </c>
      <c r="P25" s="27">
        <v>441.8</v>
      </c>
      <c r="Q25" s="28"/>
      <c r="R25" s="28"/>
      <c r="S25" s="29"/>
      <c r="T25" s="29"/>
      <c r="U25" s="29"/>
      <c r="V25" s="28"/>
      <c r="W25" s="29"/>
      <c r="X25" s="29"/>
      <c r="Y25" s="28"/>
      <c r="Z25" s="28"/>
      <c r="AA25" s="27">
        <f t="shared" si="0"/>
        <v>-441.8</v>
      </c>
      <c r="AB25" s="30">
        <f>SUM(H25:K25)+AA25+O25</f>
        <v>0</v>
      </c>
    </row>
    <row r="26" spans="1:28" s="31" customFormat="1" ht="23.25" customHeight="1" x14ac:dyDescent="0.2">
      <c r="A26" s="20">
        <v>43809</v>
      </c>
      <c r="B26" s="21"/>
      <c r="C26" s="22" t="s">
        <v>64</v>
      </c>
      <c r="D26" s="22" t="s">
        <v>65</v>
      </c>
      <c r="E26" s="22" t="s">
        <v>66</v>
      </c>
      <c r="F26" s="23">
        <v>86940</v>
      </c>
      <c r="G26" s="23" t="s">
        <v>99</v>
      </c>
      <c r="H26" s="25"/>
      <c r="I26" s="25"/>
      <c r="J26" s="25"/>
      <c r="K26" s="25">
        <v>105</v>
      </c>
      <c r="L26" s="26"/>
      <c r="M26" s="27">
        <f>SUM(H26:J26,K26/1.12)</f>
        <v>93.749999999999986</v>
      </c>
      <c r="N26" s="27">
        <f>K26/1.12*0.12</f>
        <v>11.249999999999998</v>
      </c>
      <c r="O26" s="27">
        <f>-SUM(I26:J26,K26/1.12)*L26</f>
        <v>0</v>
      </c>
      <c r="P26" s="27"/>
      <c r="Q26" s="28"/>
      <c r="R26" s="28"/>
      <c r="S26" s="29"/>
      <c r="T26" s="29"/>
      <c r="U26" s="29">
        <v>93.75</v>
      </c>
      <c r="V26" s="28"/>
      <c r="W26" s="29"/>
      <c r="X26" s="29"/>
      <c r="Y26" s="28"/>
      <c r="Z26" s="28"/>
      <c r="AA26" s="27">
        <f t="shared" si="0"/>
        <v>-105</v>
      </c>
      <c r="AB26" s="30">
        <f>SUM(H26:K26)+AA26+O26</f>
        <v>0</v>
      </c>
    </row>
    <row r="27" spans="1:28" s="31" customFormat="1" ht="23.25" customHeight="1" x14ac:dyDescent="0.2">
      <c r="A27" s="20">
        <v>43809</v>
      </c>
      <c r="B27" s="21"/>
      <c r="C27" s="22" t="s">
        <v>64</v>
      </c>
      <c r="D27" s="22" t="s">
        <v>65</v>
      </c>
      <c r="E27" s="22" t="s">
        <v>66</v>
      </c>
      <c r="F27" s="23">
        <v>86892</v>
      </c>
      <c r="G27" s="23" t="s">
        <v>100</v>
      </c>
      <c r="H27" s="25"/>
      <c r="I27" s="25"/>
      <c r="J27" s="25"/>
      <c r="K27" s="25">
        <v>240</v>
      </c>
      <c r="L27" s="26"/>
      <c r="M27" s="27">
        <f>SUM(H27:J27,K27/1.12)</f>
        <v>214.28571428571428</v>
      </c>
      <c r="N27" s="27">
        <f>K27/1.12*0.12</f>
        <v>25.714285714285712</v>
      </c>
      <c r="O27" s="27">
        <f>-SUM(I27:J27,K27/1.12)*L27</f>
        <v>0</v>
      </c>
      <c r="P27" s="27">
        <v>214.29</v>
      </c>
      <c r="Q27" s="28"/>
      <c r="R27" s="28"/>
      <c r="S27" s="29"/>
      <c r="T27" s="29"/>
      <c r="U27" s="29"/>
      <c r="V27" s="28"/>
      <c r="W27" s="29"/>
      <c r="X27" s="29"/>
      <c r="Y27" s="28"/>
      <c r="Z27" s="28"/>
      <c r="AA27" s="27">
        <f t="shared" si="0"/>
        <v>-240.00428571428571</v>
      </c>
      <c r="AB27" s="30">
        <f>SUM(H27:K27)+AA27+O27</f>
        <v>-4.2857142857144481E-3</v>
      </c>
    </row>
    <row r="28" spans="1:28" s="31" customFormat="1" ht="23.25" customHeight="1" x14ac:dyDescent="0.2">
      <c r="A28" s="20">
        <v>43809</v>
      </c>
      <c r="B28" s="21"/>
      <c r="C28" s="22" t="s">
        <v>50</v>
      </c>
      <c r="D28" s="22"/>
      <c r="E28" s="22"/>
      <c r="F28" s="23"/>
      <c r="G28" s="24" t="s">
        <v>101</v>
      </c>
      <c r="H28" s="25">
        <v>100</v>
      </c>
      <c r="I28" s="25"/>
      <c r="J28" s="25"/>
      <c r="K28" s="25"/>
      <c r="L28" s="26"/>
      <c r="M28" s="27">
        <f>SUM(H28:J28,K28/1.12)</f>
        <v>100</v>
      </c>
      <c r="N28" s="27">
        <f>K28/1.12*0.12</f>
        <v>0</v>
      </c>
      <c r="O28" s="27">
        <f>-SUM(I28:J28,K28/1.12)*L28</f>
        <v>0</v>
      </c>
      <c r="P28" s="27"/>
      <c r="Q28" s="28"/>
      <c r="R28" s="28"/>
      <c r="S28" s="29"/>
      <c r="T28" s="29"/>
      <c r="U28" s="29"/>
      <c r="V28" s="28">
        <v>100</v>
      </c>
      <c r="W28" s="29"/>
      <c r="X28" s="29"/>
      <c r="Y28" s="28"/>
      <c r="Z28" s="28"/>
      <c r="AA28" s="27">
        <f t="shared" si="0"/>
        <v>-100</v>
      </c>
      <c r="AB28" s="30">
        <f>SUM(H28:K28)+AA28+O28</f>
        <v>0</v>
      </c>
    </row>
    <row r="29" spans="1:28" s="31" customFormat="1" ht="23.25" customHeight="1" x14ac:dyDescent="0.2">
      <c r="A29" s="20">
        <v>43810</v>
      </c>
      <c r="B29" s="21"/>
      <c r="C29" s="22" t="s">
        <v>45</v>
      </c>
      <c r="D29" s="22" t="s">
        <v>46</v>
      </c>
      <c r="E29" s="22" t="s">
        <v>47</v>
      </c>
      <c r="F29" s="23">
        <v>220975</v>
      </c>
      <c r="G29" s="23" t="s">
        <v>102</v>
      </c>
      <c r="H29" s="25"/>
      <c r="I29" s="25"/>
      <c r="J29" s="25">
        <v>478.6</v>
      </c>
      <c r="K29" s="25"/>
      <c r="L29" s="26"/>
      <c r="M29" s="27">
        <f>SUM(H29:J29,K29/1.12)</f>
        <v>478.6</v>
      </c>
      <c r="N29" s="27">
        <f>K29/1.12*0.12</f>
        <v>0</v>
      </c>
      <c r="O29" s="27">
        <f>-SUM(I29:J29,K29/1.12)*L29</f>
        <v>0</v>
      </c>
      <c r="P29" s="27">
        <v>478.6</v>
      </c>
      <c r="Q29" s="28"/>
      <c r="R29" s="28"/>
      <c r="S29" s="29"/>
      <c r="T29" s="29"/>
      <c r="U29" s="29"/>
      <c r="V29" s="28"/>
      <c r="W29" s="29"/>
      <c r="X29" s="29"/>
      <c r="Y29" s="28"/>
      <c r="Z29" s="28"/>
      <c r="AA29" s="27">
        <f t="shared" si="0"/>
        <v>-478.6</v>
      </c>
      <c r="AB29" s="30">
        <f>SUM(H29:K29)+AA29+O29</f>
        <v>0</v>
      </c>
    </row>
    <row r="30" spans="1:28" s="31" customFormat="1" ht="23.25" customHeight="1" x14ac:dyDescent="0.2">
      <c r="A30" s="20">
        <v>43810</v>
      </c>
      <c r="B30" s="21"/>
      <c r="C30" s="22" t="s">
        <v>45</v>
      </c>
      <c r="D30" s="22" t="s">
        <v>46</v>
      </c>
      <c r="E30" s="22" t="s">
        <v>47</v>
      </c>
      <c r="F30" s="23">
        <v>220975</v>
      </c>
      <c r="G30" s="32" t="s">
        <v>103</v>
      </c>
      <c r="H30" s="25"/>
      <c r="I30" s="25"/>
      <c r="J30" s="25"/>
      <c r="K30" s="25">
        <f>1984.06+238.09-279</f>
        <v>1943.15</v>
      </c>
      <c r="L30" s="26"/>
      <c r="M30" s="27">
        <f>SUM(H30:J30,K30/1.12)</f>
        <v>1734.9553571428571</v>
      </c>
      <c r="N30" s="27">
        <f>K30/1.12*0.12</f>
        <v>208.19464285714284</v>
      </c>
      <c r="O30" s="27">
        <f>-SUM(I30:J30,K30/1.12)*L30</f>
        <v>0</v>
      </c>
      <c r="P30" s="27">
        <v>1734.96</v>
      </c>
      <c r="Q30" s="28"/>
      <c r="R30" s="28"/>
      <c r="S30" s="29"/>
      <c r="T30" s="29"/>
      <c r="U30" s="29"/>
      <c r="V30" s="28"/>
      <c r="W30" s="29"/>
      <c r="X30" s="29"/>
      <c r="Y30" s="28"/>
      <c r="Z30" s="28"/>
      <c r="AA30" s="27">
        <f t="shared" si="0"/>
        <v>-1943.1546428571428</v>
      </c>
      <c r="AB30" s="30">
        <f>SUM(H30:K30)+AA30+O30</f>
        <v>-4.6428571426986309E-3</v>
      </c>
    </row>
    <row r="31" spans="1:28" s="31" customFormat="1" ht="23.25" customHeight="1" x14ac:dyDescent="0.2">
      <c r="A31" s="20">
        <v>43810</v>
      </c>
      <c r="B31" s="21"/>
      <c r="C31" s="22" t="s">
        <v>45</v>
      </c>
      <c r="D31" s="22" t="s">
        <v>46</v>
      </c>
      <c r="E31" s="22" t="s">
        <v>47</v>
      </c>
      <c r="F31" s="23">
        <v>220975</v>
      </c>
      <c r="G31" s="24" t="s">
        <v>104</v>
      </c>
      <c r="H31" s="25"/>
      <c r="I31" s="25"/>
      <c r="J31" s="25"/>
      <c r="K31" s="25">
        <v>279</v>
      </c>
      <c r="L31" s="26"/>
      <c r="M31" s="27">
        <f>SUM(H31:J31,K31/1.12)</f>
        <v>249.10714285714283</v>
      </c>
      <c r="N31" s="27">
        <f>K31/1.12*0.12</f>
        <v>29.892857142857139</v>
      </c>
      <c r="O31" s="27">
        <f>-SUM(I31:J31,K31/1.12)*L31</f>
        <v>0</v>
      </c>
      <c r="P31" s="27"/>
      <c r="Q31" s="28"/>
      <c r="R31" s="28">
        <v>249.11</v>
      </c>
      <c r="S31" s="29"/>
      <c r="T31" s="29"/>
      <c r="U31" s="29"/>
      <c r="V31" s="28"/>
      <c r="W31" s="29"/>
      <c r="X31" s="29"/>
      <c r="Y31" s="28"/>
      <c r="Z31" s="28"/>
      <c r="AA31" s="27">
        <f t="shared" si="0"/>
        <v>-279.00285714285712</v>
      </c>
      <c r="AB31" s="30">
        <f>SUM(H31:K31)+AA31+O31</f>
        <v>-2.8571428571240176E-3</v>
      </c>
    </row>
    <row r="32" spans="1:28" s="31" customFormat="1" ht="23.25" customHeight="1" x14ac:dyDescent="0.2">
      <c r="A32" s="20">
        <v>43810</v>
      </c>
      <c r="B32" s="21"/>
      <c r="C32" s="22" t="s">
        <v>52</v>
      </c>
      <c r="D32" s="22" t="s">
        <v>53</v>
      </c>
      <c r="E32" s="22" t="s">
        <v>54</v>
      </c>
      <c r="F32" s="23">
        <v>197653</v>
      </c>
      <c r="G32" s="23" t="s">
        <v>55</v>
      </c>
      <c r="H32" s="25"/>
      <c r="I32" s="25"/>
      <c r="J32" s="25"/>
      <c r="K32" s="25">
        <v>180</v>
      </c>
      <c r="L32" s="26"/>
      <c r="M32" s="27">
        <f>SUM(H32:J32,K32/1.12)</f>
        <v>160.71428571428569</v>
      </c>
      <c r="N32" s="27">
        <f>K32/1.12*0.12</f>
        <v>19.285714285714281</v>
      </c>
      <c r="O32" s="27">
        <f>-SUM(I32:J32,K32/1.12)*L32</f>
        <v>0</v>
      </c>
      <c r="P32" s="27"/>
      <c r="Q32" s="28">
        <v>160.71</v>
      </c>
      <c r="R32" s="28"/>
      <c r="S32" s="29"/>
      <c r="T32" s="29"/>
      <c r="U32" s="29"/>
      <c r="V32" s="28"/>
      <c r="W32" s="29"/>
      <c r="X32" s="29"/>
      <c r="Y32" s="28"/>
      <c r="Z32" s="28"/>
      <c r="AA32" s="27">
        <f t="shared" si="0"/>
        <v>-179.99571428571429</v>
      </c>
      <c r="AB32" s="30">
        <f>SUM(H32:K32)+AA32+O32</f>
        <v>4.2857142857144481E-3</v>
      </c>
    </row>
    <row r="33" spans="1:28" s="31" customFormat="1" ht="23.25" customHeight="1" x14ac:dyDescent="0.2">
      <c r="A33" s="20">
        <v>43810</v>
      </c>
      <c r="B33" s="21"/>
      <c r="C33" s="22" t="s">
        <v>56</v>
      </c>
      <c r="D33" s="22"/>
      <c r="E33" s="22"/>
      <c r="F33" s="23"/>
      <c r="G33" s="24" t="s">
        <v>105</v>
      </c>
      <c r="H33" s="25">
        <v>50</v>
      </c>
      <c r="I33" s="25"/>
      <c r="J33" s="25"/>
      <c r="K33" s="25"/>
      <c r="L33" s="26"/>
      <c r="M33" s="27">
        <f>SUM(H33:J33,K33/1.12)</f>
        <v>50</v>
      </c>
      <c r="N33" s="27">
        <f>K33/1.12*0.12</f>
        <v>0</v>
      </c>
      <c r="O33" s="27">
        <f>-SUM(I33:J33,K33/1.12)*L33</f>
        <v>0</v>
      </c>
      <c r="P33" s="27"/>
      <c r="Q33" s="28"/>
      <c r="R33" s="28"/>
      <c r="S33" s="29"/>
      <c r="T33" s="29"/>
      <c r="U33" s="29"/>
      <c r="V33" s="28">
        <v>50</v>
      </c>
      <c r="W33" s="29"/>
      <c r="X33" s="29"/>
      <c r="Y33" s="28"/>
      <c r="Z33" s="28"/>
      <c r="AA33" s="27">
        <f t="shared" si="0"/>
        <v>-50</v>
      </c>
      <c r="AB33" s="30">
        <f>SUM(H33:K33)+AA33+O33</f>
        <v>0</v>
      </c>
    </row>
    <row r="34" spans="1:28" s="31" customFormat="1" ht="23.25" customHeight="1" x14ac:dyDescent="0.2">
      <c r="A34" s="20">
        <v>43811</v>
      </c>
      <c r="B34" s="21"/>
      <c r="C34" s="22" t="s">
        <v>45</v>
      </c>
      <c r="D34" s="22" t="s">
        <v>46</v>
      </c>
      <c r="E34" s="22" t="s">
        <v>47</v>
      </c>
      <c r="F34" s="23">
        <v>216130</v>
      </c>
      <c r="G34" s="32" t="s">
        <v>106</v>
      </c>
      <c r="H34" s="25"/>
      <c r="I34" s="25"/>
      <c r="J34" s="25"/>
      <c r="K34" s="25">
        <v>107</v>
      </c>
      <c r="L34" s="26"/>
      <c r="M34" s="27">
        <f>SUM(H34:J34,K34/1.12)</f>
        <v>95.535714285714278</v>
      </c>
      <c r="N34" s="27">
        <f>K34/1.12*0.12</f>
        <v>11.464285714285714</v>
      </c>
      <c r="O34" s="27">
        <f>-SUM(I34:J34,K34/1.12)*L34</f>
        <v>0</v>
      </c>
      <c r="P34" s="27">
        <v>95.54</v>
      </c>
      <c r="Q34" s="28"/>
      <c r="R34" s="28"/>
      <c r="S34" s="29"/>
      <c r="T34" s="29"/>
      <c r="U34" s="29"/>
      <c r="V34" s="28"/>
      <c r="W34" s="29"/>
      <c r="X34" s="29"/>
      <c r="Y34" s="28"/>
      <c r="Z34" s="28"/>
      <c r="AA34" s="27">
        <f t="shared" si="0"/>
        <v>-107.00428571428571</v>
      </c>
      <c r="AB34" s="30">
        <f>SUM(H34:K34)+AA34+O34</f>
        <v>-4.2857142857144481E-3</v>
      </c>
    </row>
    <row r="35" spans="1:28" s="31" customFormat="1" ht="23.25" customHeight="1" x14ac:dyDescent="0.2">
      <c r="A35" s="20">
        <v>43811</v>
      </c>
      <c r="B35" s="21"/>
      <c r="C35" s="22" t="s">
        <v>50</v>
      </c>
      <c r="D35" s="22"/>
      <c r="E35" s="22"/>
      <c r="F35" s="23"/>
      <c r="G35" s="32" t="s">
        <v>107</v>
      </c>
      <c r="H35" s="25">
        <v>50</v>
      </c>
      <c r="I35" s="25"/>
      <c r="J35" s="25"/>
      <c r="K35" s="25"/>
      <c r="L35" s="26"/>
      <c r="M35" s="27">
        <f>SUM(H35:J35,K35/1.12)</f>
        <v>50</v>
      </c>
      <c r="N35" s="27">
        <f>K35/1.12*0.12</f>
        <v>0</v>
      </c>
      <c r="O35" s="27">
        <f>-SUM(I35:J35,K35/1.12)*L35</f>
        <v>0</v>
      </c>
      <c r="P35" s="27"/>
      <c r="Q35" s="28"/>
      <c r="R35" s="28"/>
      <c r="S35" s="29"/>
      <c r="T35" s="29"/>
      <c r="U35" s="29"/>
      <c r="V35" s="28">
        <v>50</v>
      </c>
      <c r="W35" s="29"/>
      <c r="X35" s="29"/>
      <c r="Y35" s="28"/>
      <c r="Z35" s="28"/>
      <c r="AA35" s="27">
        <f t="shared" si="0"/>
        <v>-50</v>
      </c>
      <c r="AB35" s="30">
        <f>SUM(H35:K35)+AA35+O35</f>
        <v>0</v>
      </c>
    </row>
    <row r="36" spans="1:28" s="31" customFormat="1" ht="23.25" customHeight="1" x14ac:dyDescent="0.2">
      <c r="A36" s="20">
        <v>43811</v>
      </c>
      <c r="B36" s="21"/>
      <c r="C36" s="22" t="s">
        <v>52</v>
      </c>
      <c r="D36" s="22" t="s">
        <v>53</v>
      </c>
      <c r="E36" s="22" t="s">
        <v>54</v>
      </c>
      <c r="F36" s="23">
        <v>197704</v>
      </c>
      <c r="G36" s="23" t="s">
        <v>55</v>
      </c>
      <c r="H36" s="25"/>
      <c r="I36" s="25"/>
      <c r="J36" s="25"/>
      <c r="K36" s="25">
        <v>180</v>
      </c>
      <c r="L36" s="26"/>
      <c r="M36" s="27">
        <f>SUM(H36:J36,K36/1.12)</f>
        <v>160.71428571428569</v>
      </c>
      <c r="N36" s="27">
        <f>K36/1.12*0.12</f>
        <v>19.285714285714281</v>
      </c>
      <c r="O36" s="27">
        <f>-SUM(I36:J36,K36/1.12)*L36</f>
        <v>0</v>
      </c>
      <c r="P36" s="27"/>
      <c r="Q36" s="28">
        <v>160.71</v>
      </c>
      <c r="R36" s="28"/>
      <c r="S36" s="29"/>
      <c r="T36" s="29"/>
      <c r="U36" s="29"/>
      <c r="V36" s="28"/>
      <c r="W36" s="29"/>
      <c r="X36" s="29"/>
      <c r="Y36" s="28"/>
      <c r="Z36" s="28"/>
      <c r="AA36" s="27">
        <f t="shared" si="0"/>
        <v>-179.99571428571429</v>
      </c>
      <c r="AB36" s="30">
        <f>SUM(H36:K36)+AA36+O36</f>
        <v>4.2857142857144481E-3</v>
      </c>
    </row>
    <row r="37" spans="1:28" s="31" customFormat="1" ht="23.25" customHeight="1" x14ac:dyDescent="0.2">
      <c r="A37" s="20">
        <v>43811</v>
      </c>
      <c r="B37" s="21"/>
      <c r="C37" s="22" t="s">
        <v>45</v>
      </c>
      <c r="D37" s="22" t="s">
        <v>46</v>
      </c>
      <c r="E37" s="22" t="s">
        <v>47</v>
      </c>
      <c r="F37" s="23">
        <v>142115</v>
      </c>
      <c r="G37" s="23" t="s">
        <v>108</v>
      </c>
      <c r="H37" s="25"/>
      <c r="I37" s="25"/>
      <c r="J37" s="25"/>
      <c r="K37" s="25">
        <f>1003.57+120.43</f>
        <v>1124</v>
      </c>
      <c r="L37" s="26"/>
      <c r="M37" s="27">
        <f>SUM(H37:J37,K37/1.12)</f>
        <v>1003.5714285714284</v>
      </c>
      <c r="N37" s="27">
        <f>K37/1.12*0.12</f>
        <v>120.4285714285714</v>
      </c>
      <c r="O37" s="27">
        <f>-SUM(I37:J37,K37/1.12)*L37</f>
        <v>0</v>
      </c>
      <c r="P37" s="27">
        <v>1003.57</v>
      </c>
      <c r="Q37" s="28"/>
      <c r="R37" s="28"/>
      <c r="S37" s="29"/>
      <c r="T37" s="29"/>
      <c r="U37" s="29"/>
      <c r="V37" s="28"/>
      <c r="W37" s="29"/>
      <c r="X37" s="29"/>
      <c r="Y37" s="28"/>
      <c r="Z37" s="28"/>
      <c r="AA37" s="27">
        <f t="shared" si="0"/>
        <v>-1123.9985714285715</v>
      </c>
      <c r="AB37" s="30">
        <f>SUM(H37:K37)+AA37+O37</f>
        <v>1.4285714285051654E-3</v>
      </c>
    </row>
    <row r="38" spans="1:28" s="31" customFormat="1" ht="23.25" customHeight="1" x14ac:dyDescent="0.2">
      <c r="A38" s="20">
        <v>43811</v>
      </c>
      <c r="B38" s="21"/>
      <c r="C38" s="22" t="s">
        <v>45</v>
      </c>
      <c r="D38" s="22" t="s">
        <v>46</v>
      </c>
      <c r="E38" s="22" t="s">
        <v>47</v>
      </c>
      <c r="F38" s="23">
        <v>142115</v>
      </c>
      <c r="G38" s="23" t="s">
        <v>109</v>
      </c>
      <c r="H38" s="25"/>
      <c r="I38" s="25"/>
      <c r="J38" s="25">
        <v>1441.2</v>
      </c>
      <c r="K38" s="25"/>
      <c r="L38" s="26"/>
      <c r="M38" s="27">
        <f>SUM(H38:J38,K38/1.12)</f>
        <v>1441.2</v>
      </c>
      <c r="N38" s="27">
        <f>K38/1.12*0.12</f>
        <v>0</v>
      </c>
      <c r="O38" s="27">
        <f>-SUM(I38:J38,K38/1.12)*L38</f>
        <v>0</v>
      </c>
      <c r="P38" s="27">
        <v>1441.2</v>
      </c>
      <c r="Q38" s="28"/>
      <c r="R38" s="28"/>
      <c r="S38" s="29"/>
      <c r="T38" s="29"/>
      <c r="U38" s="29"/>
      <c r="V38" s="28"/>
      <c r="W38" s="29"/>
      <c r="X38" s="29"/>
      <c r="Y38" s="28"/>
      <c r="Z38" s="28"/>
      <c r="AA38" s="27">
        <f t="shared" si="0"/>
        <v>-1441.2</v>
      </c>
      <c r="AB38" s="30">
        <f>SUM(H38:K38)+AA38+O38</f>
        <v>0</v>
      </c>
    </row>
    <row r="39" spans="1:28" s="31" customFormat="1" ht="23.25" customHeight="1" x14ac:dyDescent="0.2">
      <c r="A39" s="20">
        <v>43811</v>
      </c>
      <c r="B39" s="21"/>
      <c r="C39" s="22" t="s">
        <v>64</v>
      </c>
      <c r="D39" s="22" t="s">
        <v>65</v>
      </c>
      <c r="E39" s="22" t="s">
        <v>66</v>
      </c>
      <c r="F39" s="23">
        <v>87581</v>
      </c>
      <c r="G39" s="24" t="s">
        <v>110</v>
      </c>
      <c r="H39" s="25"/>
      <c r="I39" s="25"/>
      <c r="J39" s="25"/>
      <c r="K39" s="25">
        <v>229</v>
      </c>
      <c r="L39" s="26"/>
      <c r="M39" s="27">
        <f>SUM(H39:J39,K39/1.12)</f>
        <v>204.46428571428569</v>
      </c>
      <c r="N39" s="27">
        <f>K39/1.12*0.12</f>
        <v>24.535714285714281</v>
      </c>
      <c r="O39" s="27">
        <f>-SUM(I39:J39,K39/1.12)*L39</f>
        <v>0</v>
      </c>
      <c r="P39" s="27">
        <v>204.46</v>
      </c>
      <c r="Q39" s="28"/>
      <c r="R39" s="28"/>
      <c r="S39" s="29"/>
      <c r="T39" s="29"/>
      <c r="U39" s="29"/>
      <c r="V39" s="28"/>
      <c r="W39" s="29"/>
      <c r="X39" s="29"/>
      <c r="Y39" s="28"/>
      <c r="Z39" s="28"/>
      <c r="AA39" s="27">
        <f t="shared" si="0"/>
        <v>-228.99571428571429</v>
      </c>
      <c r="AB39" s="30">
        <f>SUM(H39:K39)+AA39+O39</f>
        <v>4.2857142857144481E-3</v>
      </c>
    </row>
    <row r="40" spans="1:28" s="31" customFormat="1" ht="23.25" customHeight="1" x14ac:dyDescent="0.2">
      <c r="A40" s="20">
        <v>43811</v>
      </c>
      <c r="B40" s="21"/>
      <c r="C40" s="22" t="s">
        <v>64</v>
      </c>
      <c r="D40" s="22" t="s">
        <v>65</v>
      </c>
      <c r="E40" s="22" t="s">
        <v>66</v>
      </c>
      <c r="F40" s="23">
        <v>100196</v>
      </c>
      <c r="G40" s="24" t="s">
        <v>111</v>
      </c>
      <c r="H40" s="25"/>
      <c r="I40" s="25"/>
      <c r="J40" s="25"/>
      <c r="K40" s="25">
        <v>78</v>
      </c>
      <c r="L40" s="26"/>
      <c r="M40" s="27">
        <f>SUM(H40:J40,K40/1.12)</f>
        <v>69.642857142857139</v>
      </c>
      <c r="N40" s="27">
        <f>K40/1.12*0.12</f>
        <v>8.3571428571428559</v>
      </c>
      <c r="O40" s="27">
        <f>-SUM(I40:J40,K40/1.12)*L40</f>
        <v>0</v>
      </c>
      <c r="P40" s="27">
        <v>69.64</v>
      </c>
      <c r="Q40" s="28"/>
      <c r="R40" s="28"/>
      <c r="S40" s="29"/>
      <c r="T40" s="29"/>
      <c r="U40" s="29"/>
      <c r="V40" s="28"/>
      <c r="W40" s="29"/>
      <c r="X40" s="29"/>
      <c r="Y40" s="28"/>
      <c r="Z40" s="28"/>
      <c r="AA40" s="27">
        <f t="shared" si="0"/>
        <v>-77.997142857142862</v>
      </c>
      <c r="AB40" s="30">
        <f>SUM(H40:K40)+AA40+O40</f>
        <v>2.8571428571382285E-3</v>
      </c>
    </row>
    <row r="41" spans="1:28" s="31" customFormat="1" ht="23.25" customHeight="1" x14ac:dyDescent="0.2">
      <c r="A41" s="20"/>
      <c r="B41" s="21"/>
      <c r="C41" s="22"/>
      <c r="D41" s="22"/>
      <c r="E41" s="22"/>
      <c r="F41" s="23"/>
      <c r="G41" s="24"/>
      <c r="H41" s="25"/>
      <c r="I41" s="25"/>
      <c r="J41" s="25"/>
      <c r="K41" s="25"/>
      <c r="L41" s="26"/>
      <c r="M41" s="27">
        <f>SUM(H41:J41,K41/1.12)</f>
        <v>0</v>
      </c>
      <c r="N41" s="27">
        <f>K41/1.12*0.12</f>
        <v>0</v>
      </c>
      <c r="O41" s="27">
        <f>-SUM(I41:J41,K41/1.12)*L41</f>
        <v>0</v>
      </c>
      <c r="P41" s="27"/>
      <c r="Q41" s="28"/>
      <c r="R41" s="28"/>
      <c r="S41" s="29"/>
      <c r="T41" s="29"/>
      <c r="U41" s="29"/>
      <c r="V41" s="28"/>
      <c r="W41" s="29"/>
      <c r="X41" s="29"/>
      <c r="Y41" s="28"/>
      <c r="Z41" s="28"/>
      <c r="AA41" s="27">
        <f t="shared" si="0"/>
        <v>0</v>
      </c>
      <c r="AB41" s="30">
        <f>SUM(H41:K41)+AA41+O41</f>
        <v>0</v>
      </c>
    </row>
    <row r="42" spans="1:28" s="31" customFormat="1" ht="23.25" hidden="1" customHeight="1" x14ac:dyDescent="0.2">
      <c r="A42" s="20"/>
      <c r="B42" s="21"/>
      <c r="C42" s="22"/>
      <c r="D42" s="22"/>
      <c r="E42" s="22"/>
      <c r="F42" s="23"/>
      <c r="G42" s="23"/>
      <c r="H42" s="25"/>
      <c r="I42" s="25"/>
      <c r="J42" s="25"/>
      <c r="K42" s="25"/>
      <c r="L42" s="26"/>
      <c r="M42" s="27">
        <f>SUM(H42:J42,K42/1.12)</f>
        <v>0</v>
      </c>
      <c r="N42" s="27">
        <f>K42/1.12*0.12</f>
        <v>0</v>
      </c>
      <c r="O42" s="27">
        <f>-SUM(I42:J42,K42/1.12)*L42</f>
        <v>0</v>
      </c>
      <c r="P42" s="27"/>
      <c r="Q42" s="28"/>
      <c r="R42" s="28"/>
      <c r="S42" s="29"/>
      <c r="T42" s="29"/>
      <c r="U42" s="29"/>
      <c r="V42" s="28"/>
      <c r="W42" s="29"/>
      <c r="X42" s="29"/>
      <c r="Y42" s="28"/>
      <c r="Z42" s="28"/>
      <c r="AA42" s="27">
        <f t="shared" si="0"/>
        <v>0</v>
      </c>
      <c r="AB42" s="30">
        <f>SUM(H42:K42)+AA42+O42</f>
        <v>0</v>
      </c>
    </row>
    <row r="43" spans="1:28" s="31" customFormat="1" ht="23.25" hidden="1" customHeight="1" x14ac:dyDescent="0.2">
      <c r="A43" s="20"/>
      <c r="B43" s="21"/>
      <c r="C43" s="22"/>
      <c r="D43" s="22"/>
      <c r="E43" s="22"/>
      <c r="F43" s="23"/>
      <c r="G43" s="32"/>
      <c r="H43" s="25"/>
      <c r="I43" s="25"/>
      <c r="J43" s="25"/>
      <c r="K43" s="25"/>
      <c r="L43" s="26"/>
      <c r="M43" s="27">
        <f>SUM(H43:J43,K43/1.12)</f>
        <v>0</v>
      </c>
      <c r="N43" s="27">
        <f>K43/1.12*0.12</f>
        <v>0</v>
      </c>
      <c r="O43" s="27">
        <f>-SUM(I43:J43,K43/1.12)*L43</f>
        <v>0</v>
      </c>
      <c r="P43" s="27"/>
      <c r="Q43" s="28"/>
      <c r="R43" s="28"/>
      <c r="S43" s="29"/>
      <c r="T43" s="29"/>
      <c r="U43" s="29"/>
      <c r="V43" s="28"/>
      <c r="W43" s="29"/>
      <c r="X43" s="29"/>
      <c r="Y43" s="28"/>
      <c r="Z43" s="28"/>
      <c r="AA43" s="27">
        <f t="shared" si="0"/>
        <v>0</v>
      </c>
      <c r="AB43" s="30">
        <f>SUM(H43:K43)+AA43+O43</f>
        <v>0</v>
      </c>
    </row>
    <row r="44" spans="1:28" s="31" customFormat="1" ht="23.25" hidden="1" customHeight="1" x14ac:dyDescent="0.2">
      <c r="A44" s="20"/>
      <c r="B44" s="21"/>
      <c r="C44" s="22"/>
      <c r="D44" s="22"/>
      <c r="E44" s="22"/>
      <c r="F44" s="23"/>
      <c r="G44" s="32"/>
      <c r="H44" s="25"/>
      <c r="I44" s="25"/>
      <c r="J44" s="25"/>
      <c r="K44" s="25"/>
      <c r="L44" s="26"/>
      <c r="M44" s="27">
        <f>SUM(H44:J44,K44/1.12)</f>
        <v>0</v>
      </c>
      <c r="N44" s="27">
        <f>K44/1.12*0.12</f>
        <v>0</v>
      </c>
      <c r="O44" s="27">
        <f>-SUM(I44:J44,K44/1.12)*L44</f>
        <v>0</v>
      </c>
      <c r="P44" s="27"/>
      <c r="Q44" s="28"/>
      <c r="R44" s="28"/>
      <c r="S44" s="29"/>
      <c r="T44" s="29"/>
      <c r="U44" s="29"/>
      <c r="V44" s="28"/>
      <c r="W44" s="29"/>
      <c r="X44" s="29"/>
      <c r="Y44" s="28"/>
      <c r="Z44" s="28"/>
      <c r="AA44" s="27">
        <f t="shared" si="0"/>
        <v>0</v>
      </c>
      <c r="AB44" s="30">
        <f>SUM(H44:K44)+AA44+O44</f>
        <v>0</v>
      </c>
    </row>
    <row r="45" spans="1:28" s="31" customFormat="1" ht="23.25" customHeight="1" x14ac:dyDescent="0.2">
      <c r="A45" s="20"/>
      <c r="B45" s="21"/>
      <c r="C45" s="22"/>
      <c r="D45" s="22"/>
      <c r="E45" s="22"/>
      <c r="F45" s="23"/>
      <c r="G45" s="24"/>
      <c r="H45" s="25"/>
      <c r="I45" s="25"/>
      <c r="J45" s="25"/>
      <c r="K45" s="25"/>
      <c r="L45" s="26"/>
      <c r="M45" s="27">
        <f>SUM(H45:J45,K45/1.12)</f>
        <v>0</v>
      </c>
      <c r="N45" s="27">
        <f>K45/1.12*0.12</f>
        <v>0</v>
      </c>
      <c r="O45" s="27">
        <f>-SUM(I45:J45,K45/1.12)*L45</f>
        <v>0</v>
      </c>
      <c r="P45" s="27"/>
      <c r="Q45" s="28"/>
      <c r="R45" s="28"/>
      <c r="S45" s="29"/>
      <c r="T45" s="29"/>
      <c r="U45" s="29"/>
      <c r="V45" s="28"/>
      <c r="W45" s="29"/>
      <c r="X45" s="29"/>
      <c r="Y45" s="28"/>
      <c r="Z45" s="28"/>
      <c r="AA45" s="27">
        <f t="shared" si="0"/>
        <v>0</v>
      </c>
      <c r="AB45" s="30">
        <f>SUM(H45:K45)+AA45+O45</f>
        <v>0</v>
      </c>
    </row>
    <row r="46" spans="1:28" s="39" customFormat="1" ht="12" customHeight="1" x14ac:dyDescent="0.2">
      <c r="A46" s="33"/>
      <c r="B46" s="34"/>
      <c r="C46" s="35"/>
      <c r="D46" s="36"/>
      <c r="E46" s="36"/>
      <c r="F46" s="37"/>
      <c r="G46" s="35"/>
      <c r="H46" s="38">
        <f>SUM(H5:H45)</f>
        <v>1690</v>
      </c>
      <c r="I46" s="38">
        <f>SUM(I5:I45)</f>
        <v>0</v>
      </c>
      <c r="J46" s="38">
        <f>SUM(J5:J45)</f>
        <v>5429.6500000000005</v>
      </c>
      <c r="K46" s="38">
        <f>SUM(K5:K45)</f>
        <v>9607.74</v>
      </c>
      <c r="L46" s="38">
        <f>SUM(L5:L45)</f>
        <v>0</v>
      </c>
      <c r="M46" s="38">
        <f t="shared" ref="M46:AB46" si="1">SUM(M5:M45)</f>
        <v>15697.989285714286</v>
      </c>
      <c r="N46" s="38">
        <f t="shared" si="1"/>
        <v>1029.4007142857142</v>
      </c>
      <c r="O46" s="38">
        <f t="shared" si="1"/>
        <v>0</v>
      </c>
      <c r="P46" s="38">
        <f t="shared" si="1"/>
        <v>12037.960000000001</v>
      </c>
      <c r="Q46" s="38">
        <f t="shared" si="1"/>
        <v>803.55000000000007</v>
      </c>
      <c r="R46" s="38">
        <f t="shared" si="1"/>
        <v>425.9</v>
      </c>
      <c r="S46" s="38">
        <f t="shared" si="1"/>
        <v>0</v>
      </c>
      <c r="T46" s="38">
        <f t="shared" si="1"/>
        <v>95.54</v>
      </c>
      <c r="U46" s="38">
        <f t="shared" si="1"/>
        <v>93.75</v>
      </c>
      <c r="V46" s="38">
        <f t="shared" si="1"/>
        <v>490</v>
      </c>
      <c r="W46" s="38">
        <f t="shared" si="1"/>
        <v>0</v>
      </c>
      <c r="X46" s="38">
        <f t="shared" si="1"/>
        <v>551.29</v>
      </c>
      <c r="Y46" s="38">
        <f t="shared" si="1"/>
        <v>1200</v>
      </c>
      <c r="Z46" s="38">
        <f t="shared" si="1"/>
        <v>0</v>
      </c>
      <c r="AA46" s="38">
        <f t="shared" si="1"/>
        <v>-16727.390714285717</v>
      </c>
      <c r="AB46" s="38">
        <f t="shared" si="1"/>
        <v>-7.1428571392573303E-4</v>
      </c>
    </row>
    <row r="47" spans="1:28" ht="12" customHeight="1" x14ac:dyDescent="0.25"/>
    <row r="48" spans="1:28" x14ac:dyDescent="0.25">
      <c r="K48" s="40">
        <f>H46+I46+J46+K46</f>
        <v>16727.39</v>
      </c>
      <c r="AA48" s="40">
        <f>+AA46</f>
        <v>-16727.390714285717</v>
      </c>
    </row>
    <row r="50" spans="3:17" x14ac:dyDescent="0.25">
      <c r="C50" s="41" t="s">
        <v>76</v>
      </c>
      <c r="G50" s="39"/>
      <c r="K50" s="1"/>
      <c r="L50" s="1"/>
      <c r="M50" s="1"/>
    </row>
    <row r="53" spans="3:17" s="4" customFormat="1" ht="11.25" x14ac:dyDescent="0.2">
      <c r="K53" s="6"/>
      <c r="L53" s="7"/>
      <c r="M53" s="6"/>
    </row>
    <row r="60" spans="3:17" x14ac:dyDescent="0.25">
      <c r="Q60" s="6">
        <v>0</v>
      </c>
    </row>
  </sheetData>
  <mergeCells count="1">
    <mergeCell ref="K50:M50"/>
  </mergeCells>
  <pageMargins left="0.7" right="0.7" top="0.75" bottom="0.75" header="0.51180555555555496" footer="0.51180555555555496"/>
  <pageSetup paperSize="5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"/>
  <sheetViews>
    <sheetView topLeftCell="E1" zoomScaleNormal="100" workbookViewId="0">
      <pane ySplit="4" topLeftCell="A23" activePane="bottomLeft" state="frozen"/>
      <selection activeCell="E1" sqref="E1"/>
      <selection pane="bottomLeft" activeCell="M1" sqref="M1:M1048576"/>
    </sheetView>
  </sheetViews>
  <sheetFormatPr defaultRowHeight="15" x14ac:dyDescent="0.25"/>
  <cols>
    <col min="1" max="1" width="8.140625" style="2" customWidth="1"/>
    <col min="2" max="2" width="7.28515625" style="3" hidden="1" customWidth="1"/>
    <col min="3" max="3" width="24" style="4" customWidth="1"/>
    <col min="4" max="4" width="14" style="5" customWidth="1"/>
    <col min="5" max="5" width="15.28515625" style="5" customWidth="1"/>
    <col min="6" max="6" width="7.85546875" style="3" customWidth="1"/>
    <col min="7" max="7" width="27.5703125" style="4" customWidth="1"/>
    <col min="8" max="8" width="6.85546875" style="6" customWidth="1"/>
    <col min="9" max="9" width="8.42578125" style="6" customWidth="1"/>
    <col min="10" max="10" width="8.140625" style="6" customWidth="1"/>
    <col min="11" max="11" width="10" style="6" customWidth="1"/>
    <col min="12" max="12" width="5.140625" style="7" customWidth="1"/>
    <col min="13" max="13" width="9.28515625" style="6" customWidth="1"/>
    <col min="14" max="14" width="8.140625" style="6" customWidth="1"/>
    <col min="15" max="15" width="6.5703125" style="6" customWidth="1"/>
    <col min="16" max="16" width="9.7109375" style="6" customWidth="1"/>
    <col min="17" max="17" width="10" style="6" customWidth="1"/>
    <col min="18" max="18" width="9.140625" style="6" customWidth="1"/>
    <col min="19" max="19" width="8.140625" style="6" customWidth="1"/>
    <col min="20" max="21" width="9.140625" style="6" customWidth="1"/>
    <col min="22" max="22" width="10.5703125" style="6" customWidth="1"/>
    <col min="23" max="23" width="8.140625" style="6" customWidth="1"/>
    <col min="24" max="24" width="8.28515625" style="6" customWidth="1"/>
    <col min="25" max="25" width="9.28515625" style="6" customWidth="1"/>
    <col min="26" max="26" width="8.28515625" style="6" customWidth="1"/>
    <col min="27" max="27" width="7.140625" style="6" customWidth="1"/>
    <col min="28" max="28" width="9" style="6" hidden="1" customWidth="1"/>
    <col min="29" max="30" width="8" style="6" hidden="1" customWidth="1"/>
    <col min="31" max="31" width="10.140625" style="6" hidden="1" customWidth="1"/>
    <col min="32" max="32" width="10.5703125" style="6" hidden="1" customWidth="1"/>
    <col min="33" max="33" width="7.28515625" style="4" hidden="1" customWidth="1"/>
    <col min="34" max="1024" width="9.140625" style="4" customWidth="1"/>
  </cols>
  <sheetData>
    <row r="1" spans="1:33" ht="12" customHeight="1" x14ac:dyDescent="0.25">
      <c r="A1" s="8" t="s">
        <v>0</v>
      </c>
      <c r="C1" s="9"/>
    </row>
    <row r="2" spans="1:33" ht="12" customHeight="1" x14ac:dyDescent="0.25">
      <c r="A2" s="8" t="s">
        <v>1</v>
      </c>
    </row>
    <row r="3" spans="1:33" ht="12" customHeight="1" x14ac:dyDescent="0.25">
      <c r="A3" s="8" t="s">
        <v>2</v>
      </c>
      <c r="B3" s="9"/>
      <c r="C3" s="10"/>
      <c r="N3" s="11">
        <v>1301</v>
      </c>
      <c r="O3" s="11">
        <v>2402</v>
      </c>
      <c r="P3" s="11">
        <v>5001</v>
      </c>
      <c r="Q3" s="11">
        <v>5002</v>
      </c>
      <c r="R3" s="11">
        <v>6220</v>
      </c>
      <c r="S3" s="11">
        <v>6219</v>
      </c>
      <c r="T3" s="11">
        <v>6212</v>
      </c>
      <c r="U3" s="11"/>
      <c r="V3" s="11"/>
      <c r="W3" s="11"/>
      <c r="X3" s="11"/>
      <c r="Y3" s="11" t="s">
        <v>3</v>
      </c>
      <c r="Z3" s="11"/>
      <c r="AA3" s="11">
        <v>6230</v>
      </c>
      <c r="AB3" s="11" t="s">
        <v>4</v>
      </c>
      <c r="AC3" s="11">
        <v>6202</v>
      </c>
      <c r="AD3" s="11"/>
      <c r="AE3" s="11">
        <v>6109</v>
      </c>
      <c r="AF3" s="11">
        <v>1002</v>
      </c>
    </row>
    <row r="4" spans="1:33" s="19" customFormat="1" ht="44.25" customHeight="1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5" t="s">
        <v>27</v>
      </c>
      <c r="X4" s="15" t="s">
        <v>28</v>
      </c>
      <c r="Y4" s="15" t="s">
        <v>29</v>
      </c>
      <c r="Z4" s="15" t="s">
        <v>30</v>
      </c>
      <c r="AA4" s="15" t="s">
        <v>31</v>
      </c>
      <c r="AB4" s="15" t="s">
        <v>32</v>
      </c>
      <c r="AC4" s="16" t="s">
        <v>33</v>
      </c>
      <c r="AD4" s="15" t="s">
        <v>34</v>
      </c>
      <c r="AE4" s="17" t="s">
        <v>35</v>
      </c>
      <c r="AF4" s="18" t="s">
        <v>36</v>
      </c>
    </row>
    <row r="5" spans="1:33" s="31" customFormat="1" ht="23.25" customHeight="1" x14ac:dyDescent="0.2">
      <c r="A5" s="20">
        <v>43811</v>
      </c>
      <c r="B5" s="21"/>
      <c r="C5" s="22" t="s">
        <v>112</v>
      </c>
      <c r="D5" s="22" t="s">
        <v>113</v>
      </c>
      <c r="E5" s="22" t="s">
        <v>114</v>
      </c>
      <c r="F5" s="23">
        <v>17536</v>
      </c>
      <c r="G5" s="23" t="s">
        <v>115</v>
      </c>
      <c r="H5" s="25"/>
      <c r="I5" s="25"/>
      <c r="J5" s="25"/>
      <c r="K5" s="25">
        <v>1050</v>
      </c>
      <c r="L5" s="26"/>
      <c r="M5" s="27">
        <f>SUM(H5:J5,K5/1.12)</f>
        <v>937.49999999999989</v>
      </c>
      <c r="N5" s="27">
        <f>K5/1.12*0.12</f>
        <v>112.49999999999999</v>
      </c>
      <c r="O5" s="27">
        <f>-SUM(I5:J5,K5/1.12)*L5</f>
        <v>0</v>
      </c>
      <c r="P5" s="27"/>
      <c r="Q5" s="28"/>
      <c r="R5" s="28"/>
      <c r="S5" s="29">
        <v>937.5</v>
      </c>
      <c r="T5" s="29"/>
      <c r="U5" s="29"/>
      <c r="V5" s="29"/>
      <c r="W5" s="29"/>
      <c r="X5" s="28"/>
      <c r="Y5" s="28"/>
      <c r="Z5" s="28"/>
      <c r="AA5" s="28"/>
      <c r="AB5" s="29"/>
      <c r="AC5" s="29"/>
      <c r="AD5" s="28"/>
      <c r="AE5" s="28"/>
      <c r="AF5" s="27">
        <f t="shared" ref="AF5:AF35" si="0">-SUM(N5:AE5)</f>
        <v>-1050</v>
      </c>
      <c r="AG5" s="30">
        <f>SUM(H5:K5)+AF5+O5</f>
        <v>0</v>
      </c>
    </row>
    <row r="6" spans="1:33" s="31" customFormat="1" ht="23.25" customHeight="1" x14ac:dyDescent="0.2">
      <c r="A6" s="20">
        <v>43811</v>
      </c>
      <c r="B6" s="21"/>
      <c r="C6" s="22" t="s">
        <v>56</v>
      </c>
      <c r="D6" s="22"/>
      <c r="E6" s="22"/>
      <c r="F6" s="23"/>
      <c r="G6" s="23" t="s">
        <v>116</v>
      </c>
      <c r="H6" s="25">
        <v>150</v>
      </c>
      <c r="I6" s="25"/>
      <c r="J6" s="25"/>
      <c r="K6" s="25"/>
      <c r="L6" s="26"/>
      <c r="M6" s="27">
        <f>SUM(H6:J6,K6/1.12)</f>
        <v>150</v>
      </c>
      <c r="N6" s="27">
        <f>K6/1.12*0.12</f>
        <v>0</v>
      </c>
      <c r="O6" s="27">
        <f>-SUM(I6:J6,K6/1.12)*L6</f>
        <v>0</v>
      </c>
      <c r="P6" s="27"/>
      <c r="Q6" s="28"/>
      <c r="R6" s="28"/>
      <c r="S6" s="29"/>
      <c r="T6" s="29"/>
      <c r="U6" s="29"/>
      <c r="V6" s="29"/>
      <c r="W6" s="29"/>
      <c r="X6" s="28"/>
      <c r="Y6" s="28"/>
      <c r="Z6" s="28"/>
      <c r="AA6" s="28">
        <v>150</v>
      </c>
      <c r="AB6" s="29"/>
      <c r="AC6" s="29"/>
      <c r="AD6" s="28"/>
      <c r="AE6" s="28"/>
      <c r="AF6" s="27">
        <f t="shared" si="0"/>
        <v>-150</v>
      </c>
      <c r="AG6" s="30">
        <f>SUM(H6:K6)+AF6+O6</f>
        <v>0</v>
      </c>
    </row>
    <row r="7" spans="1:33" s="31" customFormat="1" ht="23.25" customHeight="1" x14ac:dyDescent="0.2">
      <c r="A7" s="20">
        <v>43811</v>
      </c>
      <c r="B7" s="21"/>
      <c r="C7" s="22" t="s">
        <v>117</v>
      </c>
      <c r="D7" s="22"/>
      <c r="E7" s="22" t="s">
        <v>118</v>
      </c>
      <c r="F7" s="23">
        <v>28820188</v>
      </c>
      <c r="G7" s="23" t="s">
        <v>119</v>
      </c>
      <c r="H7" s="25"/>
      <c r="I7" s="25"/>
      <c r="J7" s="25">
        <v>600</v>
      </c>
      <c r="K7" s="25"/>
      <c r="L7" s="26"/>
      <c r="M7" s="27">
        <f>SUM(H7:J7,K7/1.12)</f>
        <v>600</v>
      </c>
      <c r="N7" s="27">
        <f>K7/1.12*0.12</f>
        <v>0</v>
      </c>
      <c r="O7" s="27">
        <f>-SUM(I7:J7,K7/1.12)*L7</f>
        <v>0</v>
      </c>
      <c r="P7" s="27"/>
      <c r="Q7" s="28"/>
      <c r="R7" s="28"/>
      <c r="S7" s="29">
        <v>600</v>
      </c>
      <c r="T7" s="29"/>
      <c r="U7" s="29"/>
      <c r="V7" s="29"/>
      <c r="W7" s="29"/>
      <c r="X7" s="28"/>
      <c r="Y7" s="28"/>
      <c r="Z7" s="28"/>
      <c r="AA7" s="28"/>
      <c r="AB7" s="29"/>
      <c r="AC7" s="29"/>
      <c r="AD7" s="28"/>
      <c r="AE7" s="28"/>
      <c r="AF7" s="27">
        <f t="shared" si="0"/>
        <v>-600</v>
      </c>
      <c r="AG7" s="30">
        <f>SUM(H7:K7)+AF7+O7</f>
        <v>0</v>
      </c>
    </row>
    <row r="8" spans="1:33" s="31" customFormat="1" ht="23.25" customHeight="1" x14ac:dyDescent="0.2">
      <c r="A8" s="20">
        <v>43811</v>
      </c>
      <c r="B8" s="21"/>
      <c r="C8" s="22" t="s">
        <v>120</v>
      </c>
      <c r="D8" s="22" t="s">
        <v>121</v>
      </c>
      <c r="E8" s="22" t="s">
        <v>114</v>
      </c>
      <c r="F8" s="23">
        <v>51427</v>
      </c>
      <c r="G8" s="23" t="s">
        <v>122</v>
      </c>
      <c r="H8" s="25"/>
      <c r="I8" s="25"/>
      <c r="J8" s="25"/>
      <c r="K8" s="25">
        <v>360</v>
      </c>
      <c r="L8" s="26"/>
      <c r="M8" s="27">
        <f>SUM(H8:J8,K8/1.12)</f>
        <v>321.42857142857139</v>
      </c>
      <c r="N8" s="27">
        <f>K8/1.12*0.12</f>
        <v>38.571428571428562</v>
      </c>
      <c r="O8" s="27">
        <f>-SUM(I8:J8,K8/1.12)*L8</f>
        <v>0</v>
      </c>
      <c r="P8" s="27"/>
      <c r="Q8" s="28"/>
      <c r="R8" s="28"/>
      <c r="S8" s="29"/>
      <c r="T8" s="29"/>
      <c r="U8" s="29"/>
      <c r="V8" s="29"/>
      <c r="W8" s="29"/>
      <c r="X8" s="28">
        <v>321.43</v>
      </c>
      <c r="Y8" s="28"/>
      <c r="Z8" s="28"/>
      <c r="AA8" s="28"/>
      <c r="AB8" s="29"/>
      <c r="AC8" s="29"/>
      <c r="AD8" s="28"/>
      <c r="AE8" s="28"/>
      <c r="AF8" s="27">
        <f t="shared" si="0"/>
        <v>-360.00142857142856</v>
      </c>
      <c r="AG8" s="30">
        <f>SUM(H8:K8)+AF8+O8</f>
        <v>-1.4285714285620088E-3</v>
      </c>
    </row>
    <row r="9" spans="1:33" s="31" customFormat="1" ht="23.25" customHeight="1" x14ac:dyDescent="0.2">
      <c r="A9" s="20">
        <v>43811</v>
      </c>
      <c r="B9" s="21"/>
      <c r="C9" s="22" t="s">
        <v>45</v>
      </c>
      <c r="D9" s="22" t="s">
        <v>46</v>
      </c>
      <c r="E9" s="22" t="s">
        <v>47</v>
      </c>
      <c r="F9" s="23">
        <v>224941</v>
      </c>
      <c r="G9" s="23" t="s">
        <v>123</v>
      </c>
      <c r="H9" s="25"/>
      <c r="I9" s="25"/>
      <c r="J9" s="25">
        <v>918.2</v>
      </c>
      <c r="K9" s="25"/>
      <c r="L9" s="26"/>
      <c r="M9" s="27">
        <f>SUM(H9:J9,K9/1.12)</f>
        <v>918.2</v>
      </c>
      <c r="N9" s="27">
        <f>K9/1.12*0.12</f>
        <v>0</v>
      </c>
      <c r="O9" s="27">
        <f>-SUM(I9:J9,K9/1.12)*L9</f>
        <v>0</v>
      </c>
      <c r="P9" s="27">
        <v>918.2</v>
      </c>
      <c r="Q9" s="28"/>
      <c r="R9" s="28"/>
      <c r="S9" s="29"/>
      <c r="T9" s="29"/>
      <c r="U9" s="29"/>
      <c r="V9" s="29"/>
      <c r="W9" s="29"/>
      <c r="X9" s="28"/>
      <c r="Y9" s="28"/>
      <c r="Z9" s="28"/>
      <c r="AA9" s="28"/>
      <c r="AB9" s="29"/>
      <c r="AC9" s="29"/>
      <c r="AD9" s="28"/>
      <c r="AE9" s="28"/>
      <c r="AF9" s="27">
        <f t="shared" si="0"/>
        <v>-918.2</v>
      </c>
      <c r="AG9" s="30">
        <f>SUM(H9:K9)+AF9+O9</f>
        <v>0</v>
      </c>
    </row>
    <row r="10" spans="1:33" s="31" customFormat="1" ht="23.25" customHeight="1" x14ac:dyDescent="0.2">
      <c r="A10" s="20">
        <v>43811</v>
      </c>
      <c r="B10" s="21"/>
      <c r="C10" s="22" t="s">
        <v>124</v>
      </c>
      <c r="D10" s="22" t="s">
        <v>125</v>
      </c>
      <c r="E10" s="22" t="s">
        <v>114</v>
      </c>
      <c r="F10" s="23">
        <v>2906</v>
      </c>
      <c r="G10" s="23" t="s">
        <v>126</v>
      </c>
      <c r="H10" s="25"/>
      <c r="I10" s="25"/>
      <c r="J10" s="25"/>
      <c r="K10" s="25">
        <v>540</v>
      </c>
      <c r="L10" s="26"/>
      <c r="M10" s="27">
        <f>SUM(H10:J10,K10/1.12)</f>
        <v>482.14285714285711</v>
      </c>
      <c r="N10" s="27">
        <f>K10/1.12*0.12</f>
        <v>57.857142857142854</v>
      </c>
      <c r="O10" s="27">
        <f>-SUM(I10:J10,K10/1.12)*L10</f>
        <v>0</v>
      </c>
      <c r="P10" s="27"/>
      <c r="Q10" s="28"/>
      <c r="R10" s="28"/>
      <c r="S10" s="29">
        <v>482.14</v>
      </c>
      <c r="T10" s="29"/>
      <c r="U10" s="29"/>
      <c r="V10" s="29"/>
      <c r="W10" s="29"/>
      <c r="X10" s="28"/>
      <c r="Y10" s="28"/>
      <c r="Z10" s="28"/>
      <c r="AA10" s="28"/>
      <c r="AB10" s="29"/>
      <c r="AC10" s="29"/>
      <c r="AD10" s="28"/>
      <c r="AE10" s="28"/>
      <c r="AF10" s="27">
        <f t="shared" si="0"/>
        <v>-539.99714285714288</v>
      </c>
      <c r="AG10" s="30">
        <f>SUM(H10:K10)+AF10+O10</f>
        <v>2.8571428571240176E-3</v>
      </c>
    </row>
    <row r="11" spans="1:33" s="31" customFormat="1" ht="23.25" customHeight="1" x14ac:dyDescent="0.2">
      <c r="A11" s="20">
        <v>43812</v>
      </c>
      <c r="B11" s="21"/>
      <c r="C11" s="22" t="s">
        <v>45</v>
      </c>
      <c r="D11" s="22" t="s">
        <v>46</v>
      </c>
      <c r="E11" s="22" t="s">
        <v>47</v>
      </c>
      <c r="F11" s="23">
        <v>256013</v>
      </c>
      <c r="G11" s="23" t="s">
        <v>127</v>
      </c>
      <c r="H11" s="25"/>
      <c r="I11" s="25"/>
      <c r="J11" s="25"/>
      <c r="K11" s="25">
        <f>244.91+29.39</f>
        <v>274.3</v>
      </c>
      <c r="L11" s="26"/>
      <c r="M11" s="27">
        <f>SUM(H11:J11,K11/1.12)</f>
        <v>244.91071428571428</v>
      </c>
      <c r="N11" s="27">
        <f>K11/1.12*0.12</f>
        <v>29.389285714285712</v>
      </c>
      <c r="O11" s="27">
        <f>-SUM(I11:J11,K11/1.12)*L11</f>
        <v>0</v>
      </c>
      <c r="P11" s="27">
        <v>244.91</v>
      </c>
      <c r="Q11" s="28"/>
      <c r="R11" s="28"/>
      <c r="S11" s="29"/>
      <c r="T11" s="29"/>
      <c r="U11" s="29"/>
      <c r="V11" s="29"/>
      <c r="W11" s="29"/>
      <c r="X11" s="28"/>
      <c r="Y11" s="28"/>
      <c r="Z11" s="28"/>
      <c r="AA11" s="28"/>
      <c r="AB11" s="29"/>
      <c r="AC11" s="29"/>
      <c r="AD11" s="28"/>
      <c r="AE11" s="28"/>
      <c r="AF11" s="27">
        <f t="shared" si="0"/>
        <v>-274.2992857142857</v>
      </c>
      <c r="AG11" s="30">
        <f>SUM(H11:K11)+AF11+O11</f>
        <v>7.1428571430942611E-4</v>
      </c>
    </row>
    <row r="12" spans="1:33" s="31" customFormat="1" ht="23.25" customHeight="1" x14ac:dyDescent="0.2">
      <c r="A12" s="20">
        <v>43812</v>
      </c>
      <c r="B12" s="21"/>
      <c r="C12" s="22" t="s">
        <v>45</v>
      </c>
      <c r="D12" s="22" t="s">
        <v>46</v>
      </c>
      <c r="E12" s="22" t="s">
        <v>47</v>
      </c>
      <c r="F12" s="23">
        <v>256013</v>
      </c>
      <c r="G12" s="23" t="s">
        <v>128</v>
      </c>
      <c r="H12" s="25"/>
      <c r="I12" s="25"/>
      <c r="J12" s="25">
        <v>394.3</v>
      </c>
      <c r="K12" s="25"/>
      <c r="L12" s="26"/>
      <c r="M12" s="27">
        <f>SUM(H12:J12,K12/1.12)</f>
        <v>394.3</v>
      </c>
      <c r="N12" s="27">
        <f>K12/1.12*0.12</f>
        <v>0</v>
      </c>
      <c r="O12" s="27">
        <f>-SUM(I12:J12,K12/1.12)*L12</f>
        <v>0</v>
      </c>
      <c r="P12" s="27">
        <v>394.3</v>
      </c>
      <c r="Q12" s="28"/>
      <c r="R12" s="28"/>
      <c r="S12" s="29"/>
      <c r="T12" s="29"/>
      <c r="U12" s="29"/>
      <c r="V12" s="29"/>
      <c r="W12" s="29"/>
      <c r="X12" s="28"/>
      <c r="Y12" s="28"/>
      <c r="Z12" s="28"/>
      <c r="AA12" s="28"/>
      <c r="AB12" s="29"/>
      <c r="AC12" s="29"/>
      <c r="AD12" s="28"/>
      <c r="AE12" s="28"/>
      <c r="AF12" s="27">
        <f t="shared" si="0"/>
        <v>-394.3</v>
      </c>
      <c r="AG12" s="30">
        <f>SUM(H12:K12)+AF12+O12</f>
        <v>0</v>
      </c>
    </row>
    <row r="13" spans="1:33" s="31" customFormat="1" ht="23.25" customHeight="1" x14ac:dyDescent="0.2">
      <c r="A13" s="20">
        <v>43812</v>
      </c>
      <c r="B13" s="21"/>
      <c r="C13" s="22" t="s">
        <v>64</v>
      </c>
      <c r="D13" s="22" t="s">
        <v>65</v>
      </c>
      <c r="E13" s="22" t="s">
        <v>66</v>
      </c>
      <c r="F13" s="23">
        <v>100229</v>
      </c>
      <c r="G13" s="24" t="s">
        <v>111</v>
      </c>
      <c r="H13" s="25"/>
      <c r="I13" s="25"/>
      <c r="J13" s="25"/>
      <c r="K13" s="25">
        <v>117</v>
      </c>
      <c r="L13" s="26"/>
      <c r="M13" s="27">
        <f>SUM(H13:J13,K13/1.12)</f>
        <v>104.46428571428571</v>
      </c>
      <c r="N13" s="27">
        <f>K13/1.12*0.12</f>
        <v>12.535714285714285</v>
      </c>
      <c r="O13" s="27">
        <f>-SUM(I13:J13,K13/1.12)*L13</f>
        <v>0</v>
      </c>
      <c r="P13" s="27">
        <v>104.46</v>
      </c>
      <c r="Q13" s="28"/>
      <c r="R13" s="28"/>
      <c r="S13" s="29"/>
      <c r="T13" s="29"/>
      <c r="U13" s="29"/>
      <c r="V13" s="29"/>
      <c r="W13" s="29"/>
      <c r="X13" s="28"/>
      <c r="Y13" s="28"/>
      <c r="Z13" s="28"/>
      <c r="AA13" s="28"/>
      <c r="AB13" s="29"/>
      <c r="AC13" s="29"/>
      <c r="AD13" s="28"/>
      <c r="AE13" s="28"/>
      <c r="AF13" s="27">
        <f t="shared" si="0"/>
        <v>-116.99571428571429</v>
      </c>
      <c r="AG13" s="30">
        <f>SUM(H13:K13)+AF13+O13</f>
        <v>4.2857142857144481E-3</v>
      </c>
    </row>
    <row r="14" spans="1:33" s="31" customFormat="1" ht="23.25" customHeight="1" x14ac:dyDescent="0.2">
      <c r="A14" s="20">
        <v>43812</v>
      </c>
      <c r="B14" s="21"/>
      <c r="C14" s="22" t="s">
        <v>129</v>
      </c>
      <c r="D14" s="22" t="s">
        <v>130</v>
      </c>
      <c r="E14" s="22" t="s">
        <v>66</v>
      </c>
      <c r="F14" s="23">
        <v>4211216</v>
      </c>
      <c r="G14" s="23" t="s">
        <v>81</v>
      </c>
      <c r="H14" s="25"/>
      <c r="I14" s="25"/>
      <c r="J14" s="25"/>
      <c r="K14" s="25">
        <v>71.25</v>
      </c>
      <c r="L14" s="26"/>
      <c r="M14" s="27">
        <f>SUM(H14:J14,K14/1.12)</f>
        <v>63.616071428571423</v>
      </c>
      <c r="N14" s="27">
        <f>K14/1.12*0.12</f>
        <v>7.6339285714285703</v>
      </c>
      <c r="O14" s="27">
        <f>-SUM(I14:J14,K14/1.12)*L14</f>
        <v>0</v>
      </c>
      <c r="P14" s="27"/>
      <c r="Q14" s="28"/>
      <c r="R14" s="28"/>
      <c r="S14" s="29"/>
      <c r="T14" s="29"/>
      <c r="U14" s="29"/>
      <c r="V14" s="29"/>
      <c r="W14" s="29"/>
      <c r="X14" s="28"/>
      <c r="Y14" s="28">
        <v>63.62</v>
      </c>
      <c r="Z14" s="28"/>
      <c r="AA14" s="28"/>
      <c r="AB14" s="29"/>
      <c r="AC14" s="29"/>
      <c r="AD14" s="28"/>
      <c r="AE14" s="28"/>
      <c r="AF14" s="27">
        <f t="shared" si="0"/>
        <v>-71.253928571428574</v>
      </c>
      <c r="AG14" s="30">
        <f>SUM(H14:K14)+AF14+O14</f>
        <v>-3.9285714285739459E-3</v>
      </c>
    </row>
    <row r="15" spans="1:33" s="31" customFormat="1" ht="23.25" customHeight="1" x14ac:dyDescent="0.2">
      <c r="A15" s="20">
        <v>43812</v>
      </c>
      <c r="B15" s="21"/>
      <c r="C15" s="22" t="s">
        <v>52</v>
      </c>
      <c r="D15" s="22" t="s">
        <v>53</v>
      </c>
      <c r="E15" s="22" t="s">
        <v>54</v>
      </c>
      <c r="F15" s="23">
        <v>197756</v>
      </c>
      <c r="G15" s="24" t="s">
        <v>55</v>
      </c>
      <c r="H15" s="25"/>
      <c r="I15" s="25"/>
      <c r="J15" s="25"/>
      <c r="K15" s="25">
        <v>180</v>
      </c>
      <c r="L15" s="26"/>
      <c r="M15" s="27">
        <f>SUM(H15:J15,K15/1.12)</f>
        <v>160.71428571428569</v>
      </c>
      <c r="N15" s="27">
        <f>K15/1.12*0.12</f>
        <v>19.285714285714281</v>
      </c>
      <c r="O15" s="27">
        <f>-SUM(I15:J15,K15/1.12)*L15</f>
        <v>0</v>
      </c>
      <c r="P15" s="27"/>
      <c r="Q15" s="28">
        <v>160.71</v>
      </c>
      <c r="R15" s="28"/>
      <c r="S15" s="29"/>
      <c r="T15" s="29"/>
      <c r="U15" s="29"/>
      <c r="V15" s="29"/>
      <c r="W15" s="29"/>
      <c r="X15" s="28"/>
      <c r="Y15" s="28"/>
      <c r="Z15" s="28"/>
      <c r="AA15" s="28"/>
      <c r="AB15" s="29"/>
      <c r="AC15" s="29"/>
      <c r="AD15" s="28"/>
      <c r="AE15" s="28"/>
      <c r="AF15" s="27">
        <f t="shared" si="0"/>
        <v>-179.99571428571429</v>
      </c>
      <c r="AG15" s="30">
        <f>SUM(H15:K15)+AF15+O15</f>
        <v>4.2857142857144481E-3</v>
      </c>
    </row>
    <row r="16" spans="1:33" s="31" customFormat="1" ht="23.25" customHeight="1" x14ac:dyDescent="0.2">
      <c r="A16" s="20">
        <v>43812</v>
      </c>
      <c r="B16" s="21"/>
      <c r="C16" s="22" t="s">
        <v>131</v>
      </c>
      <c r="D16" s="22" t="s">
        <v>132</v>
      </c>
      <c r="E16" s="22" t="s">
        <v>133</v>
      </c>
      <c r="F16" s="23">
        <v>11697</v>
      </c>
      <c r="G16" s="24" t="s">
        <v>134</v>
      </c>
      <c r="H16" s="25"/>
      <c r="I16" s="25"/>
      <c r="J16" s="25">
        <v>18.75</v>
      </c>
      <c r="K16" s="25"/>
      <c r="L16" s="26"/>
      <c r="M16" s="27">
        <f>SUM(H16:J16,K16/1.12)</f>
        <v>18.75</v>
      </c>
      <c r="N16" s="27">
        <f>K16/1.12*0.12</f>
        <v>0</v>
      </c>
      <c r="O16" s="27">
        <f>-SUM(I16:J16,K16/1.12)*L16</f>
        <v>0</v>
      </c>
      <c r="P16" s="27"/>
      <c r="Q16" s="28"/>
      <c r="R16" s="28"/>
      <c r="S16" s="29"/>
      <c r="T16" s="29"/>
      <c r="U16" s="29"/>
      <c r="V16" s="29"/>
      <c r="W16" s="29"/>
      <c r="X16" s="28"/>
      <c r="Y16" s="28"/>
      <c r="Z16" s="28"/>
      <c r="AA16" s="28"/>
      <c r="AB16" s="29"/>
      <c r="AC16" s="29"/>
      <c r="AD16" s="28">
        <v>18.75</v>
      </c>
      <c r="AE16" s="28"/>
      <c r="AF16" s="27">
        <f t="shared" si="0"/>
        <v>-18.75</v>
      </c>
      <c r="AG16" s="30">
        <f>SUM(H16:K16)+AF16+O16</f>
        <v>0</v>
      </c>
    </row>
    <row r="17" spans="1:33" s="31" customFormat="1" ht="23.25" customHeight="1" x14ac:dyDescent="0.2">
      <c r="A17" s="20">
        <v>43812</v>
      </c>
      <c r="B17" s="21"/>
      <c r="C17" s="22" t="s">
        <v>129</v>
      </c>
      <c r="D17" s="22" t="s">
        <v>130</v>
      </c>
      <c r="E17" s="22" t="s">
        <v>66</v>
      </c>
      <c r="F17" s="23">
        <v>15192</v>
      </c>
      <c r="G17" s="24" t="s">
        <v>135</v>
      </c>
      <c r="H17" s="25"/>
      <c r="I17" s="25"/>
      <c r="J17" s="25"/>
      <c r="K17" s="25">
        <v>140</v>
      </c>
      <c r="L17" s="26"/>
      <c r="M17" s="27">
        <f>SUM(H17:J17,K17/1.12)</f>
        <v>124.99999999999999</v>
      </c>
      <c r="N17" s="27">
        <f>K17/1.12*0.12</f>
        <v>14.999999999999998</v>
      </c>
      <c r="O17" s="27">
        <f>-SUM(I17:J17,K17/1.12)*L17</f>
        <v>0</v>
      </c>
      <c r="P17" s="27"/>
      <c r="Q17" s="28"/>
      <c r="R17" s="28"/>
      <c r="S17" s="29"/>
      <c r="T17" s="29"/>
      <c r="U17" s="29"/>
      <c r="V17" s="29"/>
      <c r="W17" s="29"/>
      <c r="X17" s="28"/>
      <c r="Y17" s="28"/>
      <c r="Z17" s="28"/>
      <c r="AA17" s="28"/>
      <c r="AB17" s="29"/>
      <c r="AC17" s="29"/>
      <c r="AD17" s="28"/>
      <c r="AE17" s="28">
        <v>125</v>
      </c>
      <c r="AF17" s="27">
        <f t="shared" si="0"/>
        <v>-140</v>
      </c>
      <c r="AG17" s="30">
        <f>SUM(H17:K17)+AF17+O17</f>
        <v>0</v>
      </c>
    </row>
    <row r="18" spans="1:33" s="31" customFormat="1" ht="23.25" customHeight="1" x14ac:dyDescent="0.2">
      <c r="A18" s="20">
        <v>43813</v>
      </c>
      <c r="B18" s="21"/>
      <c r="C18" s="22" t="s">
        <v>45</v>
      </c>
      <c r="D18" s="22" t="s">
        <v>46</v>
      </c>
      <c r="E18" s="22" t="s">
        <v>47</v>
      </c>
      <c r="F18" s="23">
        <v>192574</v>
      </c>
      <c r="G18" s="23" t="s">
        <v>136</v>
      </c>
      <c r="H18" s="25"/>
      <c r="I18" s="25"/>
      <c r="J18" s="25"/>
      <c r="K18" s="25">
        <f>728.57+87.43</f>
        <v>816</v>
      </c>
      <c r="L18" s="26"/>
      <c r="M18" s="27">
        <f>SUM(H18:J18,K18/1.12)</f>
        <v>728.57142857142856</v>
      </c>
      <c r="N18" s="27">
        <f>K18/1.12*0.12</f>
        <v>87.428571428571416</v>
      </c>
      <c r="O18" s="27">
        <f>-SUM(I18:J18,K18/1.12)*L18</f>
        <v>0</v>
      </c>
      <c r="P18" s="27">
        <v>728.57</v>
      </c>
      <c r="Q18" s="28"/>
      <c r="R18" s="28"/>
      <c r="S18" s="29"/>
      <c r="T18" s="29"/>
      <c r="U18" s="29"/>
      <c r="V18" s="29"/>
      <c r="W18" s="29"/>
      <c r="X18" s="28"/>
      <c r="Y18" s="28"/>
      <c r="Z18" s="28"/>
      <c r="AA18" s="28"/>
      <c r="AB18" s="29"/>
      <c r="AC18" s="29"/>
      <c r="AD18" s="28"/>
      <c r="AE18" s="28"/>
      <c r="AF18" s="27">
        <f t="shared" si="0"/>
        <v>-815.99857142857149</v>
      </c>
      <c r="AG18" s="30">
        <f>SUM(H18:K18)+AF18+O18</f>
        <v>1.4285714285051654E-3</v>
      </c>
    </row>
    <row r="19" spans="1:33" s="31" customFormat="1" ht="23.25" customHeight="1" x14ac:dyDescent="0.2">
      <c r="A19" s="20">
        <v>43813</v>
      </c>
      <c r="B19" s="21"/>
      <c r="C19" s="22" t="s">
        <v>45</v>
      </c>
      <c r="D19" s="22" t="s">
        <v>46</v>
      </c>
      <c r="E19" s="22" t="s">
        <v>47</v>
      </c>
      <c r="F19" s="23">
        <v>192574</v>
      </c>
      <c r="G19" s="24" t="s">
        <v>48</v>
      </c>
      <c r="H19" s="25"/>
      <c r="I19" s="25"/>
      <c r="J19" s="25">
        <v>939</v>
      </c>
      <c r="K19" s="25"/>
      <c r="L19" s="26"/>
      <c r="M19" s="27">
        <f>SUM(H19:J19,K19/1.12)</f>
        <v>939</v>
      </c>
      <c r="N19" s="27">
        <f>K19/1.12*0.12</f>
        <v>0</v>
      </c>
      <c r="O19" s="27">
        <f>-SUM(I19:J19,K19/1.12)*L19</f>
        <v>0</v>
      </c>
      <c r="P19" s="27">
        <v>939</v>
      </c>
      <c r="Q19" s="28"/>
      <c r="R19" s="28"/>
      <c r="S19" s="29"/>
      <c r="T19" s="29"/>
      <c r="U19" s="29"/>
      <c r="V19" s="29"/>
      <c r="W19" s="29"/>
      <c r="X19" s="28"/>
      <c r="Y19" s="28"/>
      <c r="Z19" s="28"/>
      <c r="AA19" s="28"/>
      <c r="AB19" s="29"/>
      <c r="AC19" s="29"/>
      <c r="AD19" s="28"/>
      <c r="AE19" s="28"/>
      <c r="AF19" s="27">
        <f t="shared" si="0"/>
        <v>-939</v>
      </c>
      <c r="AG19" s="30">
        <f>SUM(H19:K19)+AF19+O19</f>
        <v>0</v>
      </c>
    </row>
    <row r="20" spans="1:33" s="31" customFormat="1" ht="23.25" customHeight="1" x14ac:dyDescent="0.2">
      <c r="A20" s="20">
        <v>43813</v>
      </c>
      <c r="B20" s="21"/>
      <c r="C20" s="22" t="s">
        <v>73</v>
      </c>
      <c r="D20" s="22" t="s">
        <v>74</v>
      </c>
      <c r="E20" s="22" t="s">
        <v>47</v>
      </c>
      <c r="F20" s="23">
        <v>573705</v>
      </c>
      <c r="G20" s="24" t="s">
        <v>137</v>
      </c>
      <c r="H20" s="25"/>
      <c r="I20" s="25"/>
      <c r="J20" s="25"/>
      <c r="K20" s="25">
        <v>1900</v>
      </c>
      <c r="L20" s="26"/>
      <c r="M20" s="27">
        <f>SUM(H20:J20,K20/1.12)</f>
        <v>1696.4285714285713</v>
      </c>
      <c r="N20" s="27">
        <f>K20/1.12*0.12</f>
        <v>203.57142857142856</v>
      </c>
      <c r="O20" s="27">
        <f>-SUM(I20:J20,K20/1.12)*L20</f>
        <v>0</v>
      </c>
      <c r="P20" s="27">
        <v>1696.43</v>
      </c>
      <c r="Q20" s="28"/>
      <c r="R20" s="28"/>
      <c r="S20" s="29"/>
      <c r="T20" s="29"/>
      <c r="U20" s="29"/>
      <c r="V20" s="29"/>
      <c r="W20" s="29"/>
      <c r="X20" s="28"/>
      <c r="Y20" s="28"/>
      <c r="Z20" s="28"/>
      <c r="AA20" s="28"/>
      <c r="AB20" s="29"/>
      <c r="AC20" s="29"/>
      <c r="AD20" s="28"/>
      <c r="AE20" s="28"/>
      <c r="AF20" s="27">
        <f t="shared" si="0"/>
        <v>-1900.0014285714287</v>
      </c>
      <c r="AG20" s="30">
        <f>SUM(H20:K20)+AF20+O20</f>
        <v>-1.4285714287325391E-3</v>
      </c>
    </row>
    <row r="21" spans="1:33" s="31" customFormat="1" ht="23.25" customHeight="1" x14ac:dyDescent="0.2">
      <c r="A21" s="20">
        <v>43815</v>
      </c>
      <c r="B21" s="21"/>
      <c r="C21" s="22" t="s">
        <v>64</v>
      </c>
      <c r="D21" s="22" t="s">
        <v>65</v>
      </c>
      <c r="E21" s="22" t="s">
        <v>66</v>
      </c>
      <c r="F21" s="23">
        <v>107738</v>
      </c>
      <c r="G21" s="23" t="s">
        <v>138</v>
      </c>
      <c r="H21" s="25"/>
      <c r="I21" s="25"/>
      <c r="J21" s="25"/>
      <c r="K21" s="25">
        <v>765</v>
      </c>
      <c r="L21" s="26"/>
      <c r="M21" s="27">
        <f>SUM(H21:J21,K21/1.12)</f>
        <v>683.03571428571422</v>
      </c>
      <c r="N21" s="27">
        <f>K21/1.12*0.12</f>
        <v>81.964285714285708</v>
      </c>
      <c r="O21" s="27">
        <f>-SUM(I21:J21,K21/1.12)*L21</f>
        <v>0</v>
      </c>
      <c r="P21" s="27">
        <v>683.04</v>
      </c>
      <c r="Q21" s="28"/>
      <c r="R21" s="28"/>
      <c r="S21" s="29"/>
      <c r="T21" s="29"/>
      <c r="U21" s="29"/>
      <c r="V21" s="29"/>
      <c r="W21" s="29"/>
      <c r="X21" s="28"/>
      <c r="Y21" s="28"/>
      <c r="Z21" s="28"/>
      <c r="AA21" s="28"/>
      <c r="AB21" s="29"/>
      <c r="AC21" s="29"/>
      <c r="AD21" s="28"/>
      <c r="AE21" s="28"/>
      <c r="AF21" s="27">
        <f t="shared" si="0"/>
        <v>-765.00428571428563</v>
      </c>
      <c r="AG21" s="30">
        <f>SUM(H21:K21)+AF21+O21</f>
        <v>-4.285714285629183E-3</v>
      </c>
    </row>
    <row r="22" spans="1:33" s="31" customFormat="1" ht="23.25" customHeight="1" x14ac:dyDescent="0.2">
      <c r="A22" s="20">
        <v>43815</v>
      </c>
      <c r="B22" s="21"/>
      <c r="C22" s="22" t="s">
        <v>52</v>
      </c>
      <c r="D22" s="22" t="s">
        <v>53</v>
      </c>
      <c r="E22" s="22" t="s">
        <v>54</v>
      </c>
      <c r="F22" s="23">
        <v>202085</v>
      </c>
      <c r="G22" s="24" t="s">
        <v>55</v>
      </c>
      <c r="H22" s="25"/>
      <c r="I22" s="25"/>
      <c r="J22" s="25"/>
      <c r="K22" s="25">
        <v>180</v>
      </c>
      <c r="L22" s="26"/>
      <c r="M22" s="27">
        <f>SUM(H22:J22,K22/1.12)</f>
        <v>160.71428571428569</v>
      </c>
      <c r="N22" s="27">
        <f>K22/1.12*0.12</f>
        <v>19.285714285714281</v>
      </c>
      <c r="O22" s="27">
        <f>-SUM(I22:J22,K22/1.12)*L22</f>
        <v>0</v>
      </c>
      <c r="P22" s="27"/>
      <c r="Q22" s="28">
        <v>160.71</v>
      </c>
      <c r="R22" s="28"/>
      <c r="S22" s="29"/>
      <c r="T22" s="29"/>
      <c r="U22" s="29"/>
      <c r="V22" s="29"/>
      <c r="W22" s="29"/>
      <c r="X22" s="28"/>
      <c r="Y22" s="28"/>
      <c r="Z22" s="28"/>
      <c r="AA22" s="28"/>
      <c r="AB22" s="29"/>
      <c r="AC22" s="29"/>
      <c r="AD22" s="28"/>
      <c r="AE22" s="28"/>
      <c r="AF22" s="27">
        <f t="shared" si="0"/>
        <v>-179.99571428571429</v>
      </c>
      <c r="AG22" s="30">
        <f>SUM(H22:K22)+AF22+O22</f>
        <v>4.2857142857144481E-3</v>
      </c>
    </row>
    <row r="23" spans="1:33" s="31" customFormat="1" ht="23.25" customHeight="1" x14ac:dyDescent="0.2">
      <c r="A23" s="20">
        <v>43816</v>
      </c>
      <c r="B23" s="21"/>
      <c r="C23" s="22" t="s">
        <v>52</v>
      </c>
      <c r="D23" s="22" t="s">
        <v>53</v>
      </c>
      <c r="E23" s="22" t="s">
        <v>54</v>
      </c>
      <c r="F23" s="23">
        <v>202136</v>
      </c>
      <c r="G23" s="24" t="s">
        <v>55</v>
      </c>
      <c r="H23" s="25"/>
      <c r="I23" s="25"/>
      <c r="J23" s="25"/>
      <c r="K23" s="25">
        <v>180</v>
      </c>
      <c r="L23" s="26"/>
      <c r="M23" s="27">
        <f>SUM(H23:J23,K23/1.12)</f>
        <v>160.71428571428569</v>
      </c>
      <c r="N23" s="27">
        <f>K23/1.12*0.12</f>
        <v>19.285714285714281</v>
      </c>
      <c r="O23" s="27">
        <f>-SUM(I23:J23,K23/1.12)*L23</f>
        <v>0</v>
      </c>
      <c r="P23" s="27"/>
      <c r="Q23" s="28">
        <v>160.71</v>
      </c>
      <c r="R23" s="28"/>
      <c r="S23" s="29"/>
      <c r="T23" s="29"/>
      <c r="U23" s="29"/>
      <c r="V23" s="29"/>
      <c r="W23" s="29"/>
      <c r="X23" s="28"/>
      <c r="Y23" s="28"/>
      <c r="Z23" s="28"/>
      <c r="AA23" s="28"/>
      <c r="AB23" s="29"/>
      <c r="AC23" s="29"/>
      <c r="AD23" s="28"/>
      <c r="AE23" s="28"/>
      <c r="AF23" s="27">
        <f t="shared" si="0"/>
        <v>-179.99571428571429</v>
      </c>
      <c r="AG23" s="30">
        <f>SUM(H23:K23)+AF23+O23</f>
        <v>4.2857142857144481E-3</v>
      </c>
    </row>
    <row r="24" spans="1:33" s="31" customFormat="1" ht="23.25" customHeight="1" x14ac:dyDescent="0.2">
      <c r="A24" s="20">
        <v>43815</v>
      </c>
      <c r="B24" s="21"/>
      <c r="C24" s="22" t="s">
        <v>56</v>
      </c>
      <c r="D24" s="22"/>
      <c r="E24" s="22"/>
      <c r="F24" s="23"/>
      <c r="G24" s="24" t="s">
        <v>139</v>
      </c>
      <c r="H24" s="25">
        <v>40</v>
      </c>
      <c r="I24" s="25"/>
      <c r="J24" s="25"/>
      <c r="K24" s="25"/>
      <c r="L24" s="26"/>
      <c r="M24" s="27">
        <f>SUM(H24:J24,K24/1.12)</f>
        <v>40</v>
      </c>
      <c r="N24" s="27">
        <f>K24/1.12*0.12</f>
        <v>0</v>
      </c>
      <c r="O24" s="27">
        <f>-SUM(I24:J24,K24/1.12)*L24</f>
        <v>0</v>
      </c>
      <c r="P24" s="27"/>
      <c r="Q24" s="28"/>
      <c r="R24" s="28"/>
      <c r="S24" s="29"/>
      <c r="T24" s="29"/>
      <c r="U24" s="29"/>
      <c r="V24" s="29"/>
      <c r="W24" s="29"/>
      <c r="X24" s="28"/>
      <c r="Y24" s="28"/>
      <c r="Z24" s="28"/>
      <c r="AA24" s="28">
        <v>40</v>
      </c>
      <c r="AB24" s="29"/>
      <c r="AC24" s="29"/>
      <c r="AD24" s="28"/>
      <c r="AE24" s="28"/>
      <c r="AF24" s="27">
        <f t="shared" si="0"/>
        <v>-40</v>
      </c>
      <c r="AG24" s="30">
        <f>SUM(H24:K24)+AF24+O24</f>
        <v>0</v>
      </c>
    </row>
    <row r="25" spans="1:33" s="31" customFormat="1" ht="23.25" customHeight="1" x14ac:dyDescent="0.2">
      <c r="A25" s="20">
        <v>43815</v>
      </c>
      <c r="B25" s="21"/>
      <c r="C25" s="22" t="s">
        <v>41</v>
      </c>
      <c r="D25" s="22" t="s">
        <v>42</v>
      </c>
      <c r="E25" s="22" t="s">
        <v>43</v>
      </c>
      <c r="F25" s="23">
        <v>3364</v>
      </c>
      <c r="G25" s="24" t="s">
        <v>140</v>
      </c>
      <c r="H25" s="25"/>
      <c r="I25" s="25"/>
      <c r="J25" s="25">
        <v>190</v>
      </c>
      <c r="K25" s="25"/>
      <c r="L25" s="26"/>
      <c r="M25" s="27">
        <f>SUM(H25:J25,K25/1.12)</f>
        <v>190</v>
      </c>
      <c r="N25" s="27">
        <f>K25/1.12*0.12</f>
        <v>0</v>
      </c>
      <c r="O25" s="27">
        <f>-SUM(I25:J25,K25/1.12)*L25</f>
        <v>0</v>
      </c>
      <c r="P25" s="27">
        <v>190</v>
      </c>
      <c r="Q25" s="28"/>
      <c r="R25" s="28"/>
      <c r="S25" s="29"/>
      <c r="T25" s="29"/>
      <c r="U25" s="29"/>
      <c r="V25" s="29"/>
      <c r="W25" s="29"/>
      <c r="X25" s="28"/>
      <c r="Y25" s="28"/>
      <c r="Z25" s="28"/>
      <c r="AA25" s="28"/>
      <c r="AB25" s="29"/>
      <c r="AC25" s="29"/>
      <c r="AD25" s="28"/>
      <c r="AE25" s="28"/>
      <c r="AF25" s="27">
        <f t="shared" si="0"/>
        <v>-190</v>
      </c>
      <c r="AG25" s="30">
        <f>SUM(H25:K25)+AF25+O25</f>
        <v>0</v>
      </c>
    </row>
    <row r="26" spans="1:33" s="31" customFormat="1" ht="23.25" customHeight="1" x14ac:dyDescent="0.2">
      <c r="A26" s="20">
        <v>43815</v>
      </c>
      <c r="B26" s="21"/>
      <c r="C26" s="22" t="s">
        <v>50</v>
      </c>
      <c r="D26" s="22"/>
      <c r="E26" s="22"/>
      <c r="F26" s="23"/>
      <c r="G26" s="24" t="s">
        <v>51</v>
      </c>
      <c r="H26" s="25">
        <v>100</v>
      </c>
      <c r="I26" s="25"/>
      <c r="J26" s="25"/>
      <c r="K26" s="25"/>
      <c r="L26" s="26"/>
      <c r="M26" s="27">
        <f>SUM(H26:J26,K26/1.12)</f>
        <v>100</v>
      </c>
      <c r="N26" s="27">
        <f>K26/1.12*0.12</f>
        <v>0</v>
      </c>
      <c r="O26" s="27">
        <f>-SUM(I26:J26,K26/1.12)*L26</f>
        <v>0</v>
      </c>
      <c r="P26" s="27"/>
      <c r="Q26" s="28"/>
      <c r="R26" s="28"/>
      <c r="S26" s="29"/>
      <c r="T26" s="29"/>
      <c r="U26" s="29"/>
      <c r="V26" s="29"/>
      <c r="W26" s="29"/>
      <c r="X26" s="28"/>
      <c r="Y26" s="28"/>
      <c r="Z26" s="28"/>
      <c r="AA26" s="28">
        <v>100</v>
      </c>
      <c r="AB26" s="29"/>
      <c r="AC26" s="29"/>
      <c r="AD26" s="28"/>
      <c r="AE26" s="28"/>
      <c r="AF26" s="27">
        <f t="shared" si="0"/>
        <v>-100</v>
      </c>
      <c r="AG26" s="30">
        <f>SUM(H26:K26)+AF26+O26</f>
        <v>0</v>
      </c>
    </row>
    <row r="27" spans="1:33" s="31" customFormat="1" ht="23.25" customHeight="1" x14ac:dyDescent="0.2">
      <c r="A27" s="20">
        <v>43815</v>
      </c>
      <c r="B27" s="21"/>
      <c r="C27" s="22" t="s">
        <v>141</v>
      </c>
      <c r="D27" s="22" t="s">
        <v>142</v>
      </c>
      <c r="E27" s="22" t="s">
        <v>143</v>
      </c>
      <c r="F27" s="23">
        <v>118787</v>
      </c>
      <c r="G27" s="24" t="s">
        <v>144</v>
      </c>
      <c r="H27" s="25"/>
      <c r="I27" s="25"/>
      <c r="J27" s="25"/>
      <c r="K27" s="25">
        <v>1329.54</v>
      </c>
      <c r="L27" s="26"/>
      <c r="M27" s="27">
        <f>SUM(H27:J27,K27/1.12)</f>
        <v>1187.0892857142856</v>
      </c>
      <c r="N27" s="27">
        <f>K27/1.12*0.12</f>
        <v>142.45071428571427</v>
      </c>
      <c r="O27" s="27">
        <f>-SUM(I27:J27,K27/1.12)*L27</f>
        <v>0</v>
      </c>
      <c r="P27" s="27">
        <v>1187.0899999999999</v>
      </c>
      <c r="Q27" s="28"/>
      <c r="R27" s="28"/>
      <c r="S27" s="29"/>
      <c r="T27" s="29"/>
      <c r="U27" s="29"/>
      <c r="V27" s="29"/>
      <c r="W27" s="29"/>
      <c r="X27" s="28"/>
      <c r="Y27" s="28"/>
      <c r="Z27" s="28"/>
      <c r="AA27" s="28"/>
      <c r="AB27" s="29"/>
      <c r="AC27" s="29"/>
      <c r="AD27" s="28"/>
      <c r="AE27" s="28"/>
      <c r="AF27" s="27">
        <f t="shared" si="0"/>
        <v>-1329.5407142857141</v>
      </c>
      <c r="AG27" s="30">
        <f>SUM(H27:K27)+AF27+O27</f>
        <v>-7.1428571413889586E-4</v>
      </c>
    </row>
    <row r="28" spans="1:33" s="31" customFormat="1" ht="23.25" customHeight="1" x14ac:dyDescent="0.2">
      <c r="A28" s="20">
        <v>43816</v>
      </c>
      <c r="B28" s="21"/>
      <c r="C28" s="22" t="s">
        <v>58</v>
      </c>
      <c r="D28" s="22"/>
      <c r="E28" s="22"/>
      <c r="F28" s="23"/>
      <c r="G28" s="23" t="s">
        <v>145</v>
      </c>
      <c r="H28" s="25">
        <v>245</v>
      </c>
      <c r="I28" s="25"/>
      <c r="J28" s="25"/>
      <c r="K28" s="25"/>
      <c r="L28" s="26"/>
      <c r="M28" s="27">
        <f>SUM(H28:J28,K28/1.12)</f>
        <v>245</v>
      </c>
      <c r="N28" s="27">
        <f>K28/1.12*0.12</f>
        <v>0</v>
      </c>
      <c r="O28" s="27">
        <f>-SUM(I28:J28,K28/1.12)*L28</f>
        <v>0</v>
      </c>
      <c r="P28" s="27"/>
      <c r="Q28" s="28"/>
      <c r="R28" s="28"/>
      <c r="S28" s="29"/>
      <c r="T28" s="29"/>
      <c r="U28" s="29"/>
      <c r="V28" s="29"/>
      <c r="W28" s="29"/>
      <c r="X28" s="28"/>
      <c r="Y28" s="28"/>
      <c r="Z28" s="28"/>
      <c r="AA28" s="28">
        <v>245</v>
      </c>
      <c r="AB28" s="29"/>
      <c r="AC28" s="29"/>
      <c r="AD28" s="28"/>
      <c r="AE28" s="28"/>
      <c r="AF28" s="27">
        <f t="shared" si="0"/>
        <v>-245</v>
      </c>
      <c r="AG28" s="30">
        <f>SUM(H28:K28)+AF28+O28</f>
        <v>0</v>
      </c>
    </row>
    <row r="29" spans="1:33" s="31" customFormat="1" ht="23.25" customHeight="1" x14ac:dyDescent="0.2">
      <c r="A29" s="20">
        <v>43816</v>
      </c>
      <c r="B29" s="21"/>
      <c r="C29" s="22" t="s">
        <v>64</v>
      </c>
      <c r="D29" s="22" t="s">
        <v>65</v>
      </c>
      <c r="E29" s="22" t="s">
        <v>66</v>
      </c>
      <c r="F29" s="23">
        <v>88625</v>
      </c>
      <c r="G29" s="23" t="s">
        <v>146</v>
      </c>
      <c r="H29" s="25"/>
      <c r="I29" s="25"/>
      <c r="J29" s="25"/>
      <c r="K29" s="25">
        <v>240</v>
      </c>
      <c r="L29" s="26"/>
      <c r="M29" s="27">
        <f>SUM(H29:J29,K29/1.12)</f>
        <v>214.28571428571428</v>
      </c>
      <c r="N29" s="27">
        <f>K29/1.12*0.12</f>
        <v>25.714285714285712</v>
      </c>
      <c r="O29" s="27">
        <f>-SUM(I29:J29,K29/1.12)*L29</f>
        <v>0</v>
      </c>
      <c r="P29" s="27">
        <v>214.29</v>
      </c>
      <c r="Q29" s="28"/>
      <c r="R29" s="28"/>
      <c r="S29" s="29"/>
      <c r="T29" s="29"/>
      <c r="U29" s="29"/>
      <c r="V29" s="29"/>
      <c r="W29" s="29"/>
      <c r="X29" s="28"/>
      <c r="Y29" s="28"/>
      <c r="Z29" s="28"/>
      <c r="AA29" s="28"/>
      <c r="AB29" s="29"/>
      <c r="AC29" s="29"/>
      <c r="AD29" s="28"/>
      <c r="AE29" s="28"/>
      <c r="AF29" s="27">
        <f t="shared" si="0"/>
        <v>-240.00428571428571</v>
      </c>
      <c r="AG29" s="30">
        <f>SUM(H29:K29)+AF29+O29</f>
        <v>-4.2857142857144481E-3</v>
      </c>
    </row>
    <row r="30" spans="1:33" s="31" customFormat="1" ht="23.25" customHeight="1" x14ac:dyDescent="0.2">
      <c r="A30" s="20">
        <v>43816</v>
      </c>
      <c r="B30" s="21"/>
      <c r="C30" s="22" t="s">
        <v>45</v>
      </c>
      <c r="D30" s="22" t="s">
        <v>46</v>
      </c>
      <c r="E30" s="22" t="s">
        <v>47</v>
      </c>
      <c r="F30" s="23">
        <v>212084</v>
      </c>
      <c r="G30" s="24" t="s">
        <v>147</v>
      </c>
      <c r="H30" s="25"/>
      <c r="I30" s="25"/>
      <c r="J30" s="25"/>
      <c r="K30" s="25">
        <f>801.7+96.2</f>
        <v>897.90000000000009</v>
      </c>
      <c r="L30" s="26"/>
      <c r="M30" s="27">
        <f>SUM(H30:J30,K30/1.12)</f>
        <v>801.69642857142856</v>
      </c>
      <c r="N30" s="27">
        <f>K30/1.12*0.12</f>
        <v>96.203571428571422</v>
      </c>
      <c r="O30" s="27">
        <f>-SUM(I30:J30,K30/1.12)*L30</f>
        <v>0</v>
      </c>
      <c r="P30" s="27">
        <v>801.7</v>
      </c>
      <c r="Q30" s="28"/>
      <c r="R30" s="28"/>
      <c r="S30" s="29"/>
      <c r="T30" s="29"/>
      <c r="U30" s="29"/>
      <c r="V30" s="29"/>
      <c r="W30" s="29"/>
      <c r="X30" s="28"/>
      <c r="Y30" s="28"/>
      <c r="Z30" s="28"/>
      <c r="AA30" s="28"/>
      <c r="AB30" s="29"/>
      <c r="AC30" s="29"/>
      <c r="AD30" s="28"/>
      <c r="AE30" s="28"/>
      <c r="AF30" s="27">
        <f t="shared" si="0"/>
        <v>-897.90357142857147</v>
      </c>
      <c r="AG30" s="30">
        <f>SUM(H30:K30)+AF30+O30</f>
        <v>-3.5714285713766003E-3</v>
      </c>
    </row>
    <row r="31" spans="1:33" s="31" customFormat="1" ht="23.25" customHeight="1" x14ac:dyDescent="0.2">
      <c r="A31" s="20">
        <v>43816</v>
      </c>
      <c r="B31" s="21"/>
      <c r="C31" s="22" t="s">
        <v>45</v>
      </c>
      <c r="D31" s="22" t="s">
        <v>46</v>
      </c>
      <c r="E31" s="22" t="s">
        <v>47</v>
      </c>
      <c r="F31" s="23">
        <v>212084</v>
      </c>
      <c r="G31" s="24" t="s">
        <v>148</v>
      </c>
      <c r="H31" s="25"/>
      <c r="I31" s="25"/>
      <c r="J31" s="25">
        <v>206.8</v>
      </c>
      <c r="K31" s="25"/>
      <c r="L31" s="26"/>
      <c r="M31" s="27">
        <f>SUM(H31:J31,K31/1.12)</f>
        <v>206.8</v>
      </c>
      <c r="N31" s="27">
        <f>K31/1.12*0.12</f>
        <v>0</v>
      </c>
      <c r="O31" s="27">
        <f>-SUM(I31:J31,K31/1.12)*L31</f>
        <v>0</v>
      </c>
      <c r="P31" s="27">
        <v>206.8</v>
      </c>
      <c r="Q31" s="28"/>
      <c r="R31" s="28"/>
      <c r="S31" s="29"/>
      <c r="T31" s="29"/>
      <c r="U31" s="29"/>
      <c r="V31" s="29"/>
      <c r="W31" s="29"/>
      <c r="X31" s="28"/>
      <c r="Y31" s="28"/>
      <c r="Z31" s="28"/>
      <c r="AA31" s="28"/>
      <c r="AB31" s="29"/>
      <c r="AC31" s="29"/>
      <c r="AD31" s="28"/>
      <c r="AE31" s="28"/>
      <c r="AF31" s="27">
        <f t="shared" si="0"/>
        <v>-206.8</v>
      </c>
      <c r="AG31" s="30">
        <f>SUM(H31:K31)+AF31+O31</f>
        <v>0</v>
      </c>
    </row>
    <row r="32" spans="1:33" s="31" customFormat="1" ht="23.25" customHeight="1" x14ac:dyDescent="0.2">
      <c r="A32" s="20">
        <v>43816</v>
      </c>
      <c r="B32" s="21"/>
      <c r="C32" s="22" t="s">
        <v>45</v>
      </c>
      <c r="D32" s="22" t="s">
        <v>46</v>
      </c>
      <c r="E32" s="22" t="s">
        <v>47</v>
      </c>
      <c r="F32" s="23">
        <v>184739</v>
      </c>
      <c r="G32" s="23" t="s">
        <v>149</v>
      </c>
      <c r="H32" s="25"/>
      <c r="I32" s="25"/>
      <c r="J32" s="25"/>
      <c r="K32" s="25">
        <v>199.75</v>
      </c>
      <c r="L32" s="26"/>
      <c r="M32" s="27">
        <f>SUM(H32:J32,K32/1.12)</f>
        <v>178.34821428571428</v>
      </c>
      <c r="N32" s="27">
        <f>K32/1.12*0.12</f>
        <v>21.401785714285712</v>
      </c>
      <c r="O32" s="27">
        <f>-SUM(I32:J32,K32/1.12)*L32</f>
        <v>0</v>
      </c>
      <c r="P32" s="27">
        <v>178.35</v>
      </c>
      <c r="Q32" s="28"/>
      <c r="R32" s="28"/>
      <c r="S32" s="29"/>
      <c r="T32" s="29"/>
      <c r="U32" s="29"/>
      <c r="V32" s="29"/>
      <c r="W32" s="29"/>
      <c r="X32" s="28"/>
      <c r="Y32" s="28"/>
      <c r="Z32" s="28"/>
      <c r="AA32" s="28"/>
      <c r="AB32" s="29"/>
      <c r="AC32" s="29"/>
      <c r="AD32" s="28"/>
      <c r="AE32" s="28"/>
      <c r="AF32" s="27">
        <f t="shared" si="0"/>
        <v>-199.75178571428572</v>
      </c>
      <c r="AG32" s="30">
        <f>SUM(H32:K32)+AF32+O32</f>
        <v>-1.7857142857167219E-3</v>
      </c>
    </row>
    <row r="33" spans="1:33" s="31" customFormat="1" ht="23.25" customHeight="1" x14ac:dyDescent="0.2">
      <c r="A33" s="20"/>
      <c r="B33" s="21"/>
      <c r="C33" s="22"/>
      <c r="D33" s="22"/>
      <c r="E33" s="22"/>
      <c r="F33" s="23"/>
      <c r="G33" s="23"/>
      <c r="H33" s="25"/>
      <c r="I33" s="25"/>
      <c r="J33" s="25"/>
      <c r="K33" s="25"/>
      <c r="L33" s="26"/>
      <c r="M33" s="27">
        <f>SUM(H33:J33,K33/1.12)</f>
        <v>0</v>
      </c>
      <c r="N33" s="27">
        <f>K33/1.12*0.12</f>
        <v>0</v>
      </c>
      <c r="O33" s="27">
        <f>-SUM(I33:J33,K33/1.12)*L33</f>
        <v>0</v>
      </c>
      <c r="P33" s="27"/>
      <c r="Q33" s="28"/>
      <c r="R33" s="28"/>
      <c r="S33" s="29"/>
      <c r="T33" s="29"/>
      <c r="U33" s="29"/>
      <c r="V33" s="29"/>
      <c r="W33" s="29"/>
      <c r="X33" s="28"/>
      <c r="Y33" s="28"/>
      <c r="Z33" s="28"/>
      <c r="AA33" s="28"/>
      <c r="AB33" s="29"/>
      <c r="AC33" s="29"/>
      <c r="AD33" s="28"/>
      <c r="AE33" s="28"/>
      <c r="AF33" s="27">
        <f t="shared" si="0"/>
        <v>0</v>
      </c>
      <c r="AG33" s="30">
        <f>SUM(H33:K33)+AF33+O33</f>
        <v>0</v>
      </c>
    </row>
    <row r="34" spans="1:33" s="31" customFormat="1" ht="23.25" customHeight="1" x14ac:dyDescent="0.2">
      <c r="A34" s="20"/>
      <c r="B34" s="21"/>
      <c r="C34" s="22"/>
      <c r="D34" s="22"/>
      <c r="E34" s="22"/>
      <c r="F34" s="23"/>
      <c r="G34" s="24"/>
      <c r="H34" s="25"/>
      <c r="I34" s="25"/>
      <c r="J34" s="25"/>
      <c r="K34" s="25"/>
      <c r="L34" s="26"/>
      <c r="M34" s="27">
        <f>SUM(H34:J34,K34/1.12)</f>
        <v>0</v>
      </c>
      <c r="N34" s="27">
        <f>K34/1.12*0.12</f>
        <v>0</v>
      </c>
      <c r="O34" s="27">
        <f>-SUM(I34:J34,K34/1.12)*L34</f>
        <v>0</v>
      </c>
      <c r="P34" s="27"/>
      <c r="Q34" s="28"/>
      <c r="R34" s="28"/>
      <c r="S34" s="29"/>
      <c r="T34" s="29"/>
      <c r="U34" s="29"/>
      <c r="V34" s="29"/>
      <c r="W34" s="29"/>
      <c r="X34" s="28"/>
      <c r="Y34" s="28"/>
      <c r="Z34" s="28"/>
      <c r="AA34" s="28"/>
      <c r="AB34" s="29"/>
      <c r="AC34" s="29"/>
      <c r="AD34" s="28"/>
      <c r="AE34" s="28"/>
      <c r="AF34" s="27">
        <f t="shared" si="0"/>
        <v>0</v>
      </c>
      <c r="AG34" s="30">
        <f>SUM(H34:K34)+AF34+O34</f>
        <v>0</v>
      </c>
    </row>
    <row r="35" spans="1:33" s="31" customFormat="1" ht="23.25" customHeight="1" x14ac:dyDescent="0.2">
      <c r="A35" s="20"/>
      <c r="B35" s="21"/>
      <c r="C35" s="22"/>
      <c r="D35" s="22"/>
      <c r="E35" s="22"/>
      <c r="F35" s="23"/>
      <c r="G35" s="24"/>
      <c r="H35" s="25"/>
      <c r="I35" s="25"/>
      <c r="J35" s="25"/>
      <c r="K35" s="25"/>
      <c r="L35" s="26"/>
      <c r="M35" s="27">
        <f>SUM(H35:J35,K35/1.12)</f>
        <v>0</v>
      </c>
      <c r="N35" s="27">
        <f>K35/1.12*0.12</f>
        <v>0</v>
      </c>
      <c r="O35" s="27">
        <f>-SUM(I35:J35,K35/1.12)*L35</f>
        <v>0</v>
      </c>
      <c r="P35" s="27"/>
      <c r="Q35" s="28"/>
      <c r="R35" s="28"/>
      <c r="S35" s="29"/>
      <c r="T35" s="29"/>
      <c r="U35" s="29"/>
      <c r="V35" s="29"/>
      <c r="W35" s="29"/>
      <c r="X35" s="28"/>
      <c r="Y35" s="28"/>
      <c r="Z35" s="28"/>
      <c r="AA35" s="28"/>
      <c r="AB35" s="29"/>
      <c r="AC35" s="29"/>
      <c r="AD35" s="28"/>
      <c r="AE35" s="28"/>
      <c r="AF35" s="27">
        <f t="shared" si="0"/>
        <v>0</v>
      </c>
      <c r="AG35" s="30">
        <f>SUM(H35:K35)+AF35+O35</f>
        <v>0</v>
      </c>
    </row>
    <row r="36" spans="1:33" s="39" customFormat="1" ht="12" customHeight="1" x14ac:dyDescent="0.2">
      <c r="A36" s="33"/>
      <c r="B36" s="34"/>
      <c r="C36" s="35"/>
      <c r="D36" s="36"/>
      <c r="E36" s="36"/>
      <c r="F36" s="37"/>
      <c r="G36" s="35"/>
      <c r="H36" s="38">
        <f>SUM(H5:H35)</f>
        <v>535</v>
      </c>
      <c r="I36" s="38">
        <f>SUM(I5:I35)</f>
        <v>0</v>
      </c>
      <c r="J36" s="38">
        <f>SUM(J5:J35)</f>
        <v>3267.05</v>
      </c>
      <c r="K36" s="38">
        <f>SUM(K5:K35)</f>
        <v>9240.74</v>
      </c>
      <c r="L36" s="38">
        <f>SUM(L5:L35)</f>
        <v>0</v>
      </c>
      <c r="M36" s="38">
        <f t="shared" ref="M36:AG36" si="1">SUM(M5:M35)</f>
        <v>12052.710714285715</v>
      </c>
      <c r="N36" s="38">
        <f t="shared" si="1"/>
        <v>990.07928571428556</v>
      </c>
      <c r="O36" s="38">
        <f t="shared" si="1"/>
        <v>0</v>
      </c>
      <c r="P36" s="38">
        <f t="shared" si="1"/>
        <v>8487.14</v>
      </c>
      <c r="Q36" s="38">
        <f t="shared" si="1"/>
        <v>482.13</v>
      </c>
      <c r="R36" s="38">
        <f t="shared" si="1"/>
        <v>0</v>
      </c>
      <c r="S36" s="38">
        <f t="shared" si="1"/>
        <v>2019.6399999999999</v>
      </c>
      <c r="T36" s="38">
        <f t="shared" si="1"/>
        <v>0</v>
      </c>
      <c r="U36" s="38">
        <f t="shared" si="1"/>
        <v>0</v>
      </c>
      <c r="V36" s="38">
        <f t="shared" si="1"/>
        <v>0</v>
      </c>
      <c r="W36" s="38">
        <f t="shared" si="1"/>
        <v>0</v>
      </c>
      <c r="X36" s="38">
        <f t="shared" si="1"/>
        <v>321.43</v>
      </c>
      <c r="Y36" s="38">
        <f t="shared" si="1"/>
        <v>63.62</v>
      </c>
      <c r="Z36" s="38">
        <f t="shared" si="1"/>
        <v>0</v>
      </c>
      <c r="AA36" s="38">
        <f t="shared" si="1"/>
        <v>535</v>
      </c>
      <c r="AB36" s="38">
        <f t="shared" si="1"/>
        <v>0</v>
      </c>
      <c r="AC36" s="38">
        <f t="shared" si="1"/>
        <v>0</v>
      </c>
      <c r="AD36" s="38">
        <f t="shared" si="1"/>
        <v>18.75</v>
      </c>
      <c r="AE36" s="38">
        <f t="shared" si="1"/>
        <v>125</v>
      </c>
      <c r="AF36" s="38">
        <f t="shared" si="1"/>
        <v>-13042.789285714287</v>
      </c>
      <c r="AG36" s="38">
        <f t="shared" si="1"/>
        <v>7.1428571435205868E-4</v>
      </c>
    </row>
    <row r="37" spans="1:33" ht="12" customHeight="1" x14ac:dyDescent="0.25"/>
    <row r="38" spans="1:33" x14ac:dyDescent="0.25">
      <c r="K38" s="40">
        <f>H36+I36+J36+K36</f>
        <v>13042.79</v>
      </c>
      <c r="AF38" s="40">
        <f>+AF36</f>
        <v>-13042.789285714287</v>
      </c>
    </row>
    <row r="40" spans="1:33" x14ac:dyDescent="0.25">
      <c r="C40" s="41" t="s">
        <v>76</v>
      </c>
      <c r="G40" s="39"/>
      <c r="K40" s="1"/>
      <c r="L40" s="1"/>
      <c r="M40" s="1"/>
    </row>
    <row r="43" spans="1:33" s="4" customFormat="1" ht="11.25" x14ac:dyDescent="0.2">
      <c r="K43" s="6"/>
      <c r="L43" s="7"/>
      <c r="M43" s="6"/>
      <c r="Y43" s="6"/>
    </row>
    <row r="49" spans="10:17" x14ac:dyDescent="0.25">
      <c r="J49" s="6" t="s">
        <v>77</v>
      </c>
    </row>
    <row r="50" spans="10:17" x14ac:dyDescent="0.25">
      <c r="Q50" s="6">
        <v>0</v>
      </c>
    </row>
  </sheetData>
  <mergeCells count="1">
    <mergeCell ref="K40:M40"/>
  </mergeCells>
  <pageMargins left="0.7" right="0.7" top="0.75" bottom="0.75" header="0.51180555555555496" footer="0.51180555555555496"/>
  <pageSetup paperSize="5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0"/>
  <sheetViews>
    <sheetView tabSelected="1" zoomScaleNormal="100" workbookViewId="0">
      <pane ySplit="4" topLeftCell="A5" activePane="bottomLeft" state="frozen"/>
      <selection activeCell="E1" sqref="E1"/>
      <selection pane="bottomLeft" activeCell="P1" sqref="P1:P1048576"/>
    </sheetView>
  </sheetViews>
  <sheetFormatPr defaultRowHeight="15" x14ac:dyDescent="0.25"/>
  <cols>
    <col min="1" max="1" width="8.140625" style="2" customWidth="1"/>
    <col min="2" max="2" width="7.28515625" style="3" hidden="1" customWidth="1"/>
    <col min="3" max="3" width="21.85546875" style="4" customWidth="1"/>
    <col min="4" max="4" width="14" style="5" customWidth="1"/>
    <col min="5" max="5" width="28" style="5" customWidth="1"/>
    <col min="6" max="6" width="6.28515625" style="3" customWidth="1"/>
    <col min="7" max="7" width="27.42578125" style="4" customWidth="1"/>
    <col min="8" max="8" width="7.85546875" style="6" customWidth="1"/>
    <col min="9" max="9" width="8.42578125" style="6" customWidth="1"/>
    <col min="10" max="10" width="8.140625" style="6" customWidth="1"/>
    <col min="11" max="11" width="10" style="6" customWidth="1"/>
    <col min="12" max="12" width="5.140625" style="7" customWidth="1"/>
    <col min="13" max="13" width="9.28515625" style="6" customWidth="1"/>
    <col min="14" max="14" width="8.140625" style="6" customWidth="1"/>
    <col min="15" max="15" width="6.5703125" style="6" customWidth="1"/>
    <col min="16" max="16" width="9.7109375" style="6" customWidth="1"/>
    <col min="17" max="17" width="10" style="6" customWidth="1"/>
    <col min="18" max="18" width="9.140625" style="6" customWidth="1"/>
    <col min="19" max="19" width="8" style="6" customWidth="1"/>
    <col min="20" max="20" width="8.28515625" style="6" customWidth="1"/>
    <col min="21" max="21" width="9.140625" style="6" customWidth="1"/>
    <col min="22" max="22" width="10.5703125" style="6" customWidth="1"/>
    <col min="23" max="23" width="8.140625" style="6" customWidth="1"/>
    <col min="24" max="24" width="9.85546875" style="6" customWidth="1"/>
    <col min="25" max="25" width="9.28515625" style="6" customWidth="1"/>
    <col min="26" max="26" width="8.28515625" style="6" customWidth="1"/>
    <col min="27" max="27" width="7.140625" style="6" customWidth="1"/>
    <col min="28" max="28" width="9" style="6" customWidth="1"/>
    <col min="29" max="29" width="8" style="6" customWidth="1"/>
    <col min="30" max="30" width="6.85546875" style="6" customWidth="1"/>
    <col min="31" max="31" width="10.140625" style="6" customWidth="1"/>
    <col min="32" max="32" width="10.5703125" style="6" customWidth="1"/>
    <col min="33" max="33" width="7.28515625" style="4" customWidth="1"/>
    <col min="34" max="1024" width="9.140625" style="4" customWidth="1"/>
  </cols>
  <sheetData>
    <row r="1" spans="1:35" ht="12" customHeight="1" x14ac:dyDescent="0.25">
      <c r="A1" s="8" t="s">
        <v>0</v>
      </c>
      <c r="C1" s="9"/>
    </row>
    <row r="2" spans="1:35" ht="12" customHeight="1" x14ac:dyDescent="0.25">
      <c r="A2" s="8" t="s">
        <v>1</v>
      </c>
    </row>
    <row r="3" spans="1:35" ht="12" customHeight="1" x14ac:dyDescent="0.25">
      <c r="A3" s="8" t="s">
        <v>2</v>
      </c>
      <c r="B3" s="9"/>
      <c r="C3" s="10"/>
      <c r="N3" s="11">
        <v>1301</v>
      </c>
      <c r="O3" s="11">
        <v>2402</v>
      </c>
      <c r="P3" s="11">
        <v>5001</v>
      </c>
      <c r="Q3" s="11">
        <v>5002</v>
      </c>
      <c r="R3" s="11">
        <v>6220</v>
      </c>
      <c r="S3" s="11">
        <v>6219</v>
      </c>
      <c r="T3" s="11">
        <v>6212</v>
      </c>
      <c r="U3" s="11"/>
      <c r="V3" s="11"/>
      <c r="W3" s="11"/>
      <c r="X3" s="11"/>
      <c r="Y3" s="11" t="s">
        <v>3</v>
      </c>
      <c r="Z3" s="11"/>
      <c r="AA3" s="11">
        <v>6230</v>
      </c>
      <c r="AB3" s="11" t="s">
        <v>4</v>
      </c>
      <c r="AC3" s="11">
        <v>6202</v>
      </c>
      <c r="AD3" s="11"/>
      <c r="AE3" s="11">
        <v>6109</v>
      </c>
      <c r="AF3" s="11">
        <v>1002</v>
      </c>
    </row>
    <row r="4" spans="1:35" s="19" customFormat="1" ht="44.25" customHeight="1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5" t="s">
        <v>27</v>
      </c>
      <c r="X4" s="15" t="s">
        <v>28</v>
      </c>
      <c r="Y4" s="15" t="s">
        <v>29</v>
      </c>
      <c r="Z4" s="15" t="s">
        <v>30</v>
      </c>
      <c r="AA4" s="15" t="s">
        <v>31</v>
      </c>
      <c r="AB4" s="15" t="s">
        <v>32</v>
      </c>
      <c r="AC4" s="16" t="s">
        <v>33</v>
      </c>
      <c r="AD4" s="15" t="s">
        <v>34</v>
      </c>
      <c r="AE4" s="17" t="s">
        <v>35</v>
      </c>
      <c r="AF4" s="18" t="s">
        <v>36</v>
      </c>
    </row>
    <row r="5" spans="1:35" s="31" customFormat="1" ht="23.25" customHeight="1" x14ac:dyDescent="0.2">
      <c r="A5" s="20">
        <v>43817</v>
      </c>
      <c r="B5" s="21"/>
      <c r="C5" s="22" t="s">
        <v>45</v>
      </c>
      <c r="D5" s="22" t="s">
        <v>46</v>
      </c>
      <c r="E5" s="22" t="s">
        <v>47</v>
      </c>
      <c r="F5" s="23">
        <v>205098</v>
      </c>
      <c r="G5" s="23" t="s">
        <v>150</v>
      </c>
      <c r="H5" s="25"/>
      <c r="I5" s="25"/>
      <c r="J5" s="25"/>
      <c r="K5" s="25">
        <f>966.7+116</f>
        <v>1082.7</v>
      </c>
      <c r="L5" s="26"/>
      <c r="M5" s="27">
        <f t="shared" ref="M5:M36" si="0">SUM(H5:J5,K5/1.12)</f>
        <v>966.69642857142856</v>
      </c>
      <c r="N5" s="27">
        <f t="shared" ref="N5:N36" si="1">K5/1.12*0.12</f>
        <v>116.00357142857142</v>
      </c>
      <c r="O5" s="27">
        <f t="shared" ref="O5:O36" si="2">-SUM(I5:J5,K5/1.12)*L5</f>
        <v>0</v>
      </c>
      <c r="P5" s="27">
        <v>966.7</v>
      </c>
      <c r="Q5" s="28"/>
      <c r="R5" s="28"/>
      <c r="S5" s="29"/>
      <c r="T5" s="29"/>
      <c r="U5" s="29"/>
      <c r="V5" s="29"/>
      <c r="W5" s="29"/>
      <c r="X5" s="28"/>
      <c r="Y5" s="28"/>
      <c r="Z5" s="28"/>
      <c r="AA5" s="28"/>
      <c r="AB5" s="29"/>
      <c r="AC5" s="29"/>
      <c r="AD5" s="28"/>
      <c r="AE5" s="28"/>
      <c r="AF5" s="27">
        <f>-SUM(N5:AE5)</f>
        <v>-1082.7035714285714</v>
      </c>
      <c r="AG5" s="30">
        <f>SUM(H5:K5)+AF5+O5</f>
        <v>-3.5714285713766003E-3</v>
      </c>
      <c r="AI5" s="42" t="e">
        <f>MATCH(0,P5:AE5,0)</f>
        <v>#N/A</v>
      </c>
    </row>
    <row r="6" spans="1:35" s="31" customFormat="1" ht="23.25" customHeight="1" x14ac:dyDescent="0.2">
      <c r="A6" s="20">
        <v>43817</v>
      </c>
      <c r="B6" s="21"/>
      <c r="C6" s="22" t="s">
        <v>45</v>
      </c>
      <c r="D6" s="22" t="s">
        <v>46</v>
      </c>
      <c r="E6" s="22" t="s">
        <v>47</v>
      </c>
      <c r="F6" s="23">
        <v>205098</v>
      </c>
      <c r="G6" s="23" t="s">
        <v>151</v>
      </c>
      <c r="H6" s="25"/>
      <c r="I6" s="25"/>
      <c r="J6" s="25">
        <v>138.80000000000001</v>
      </c>
      <c r="K6" s="25"/>
      <c r="L6" s="26"/>
      <c r="M6" s="27">
        <f t="shared" si="0"/>
        <v>138.80000000000001</v>
      </c>
      <c r="N6" s="27">
        <f t="shared" si="1"/>
        <v>0</v>
      </c>
      <c r="O6" s="27">
        <f t="shared" si="2"/>
        <v>0</v>
      </c>
      <c r="P6" s="27">
        <v>138.80000000000001</v>
      </c>
      <c r="Q6" s="28"/>
      <c r="R6" s="28"/>
      <c r="S6" s="29"/>
      <c r="T6" s="29"/>
      <c r="U6" s="29"/>
      <c r="V6" s="29"/>
      <c r="W6" s="29"/>
      <c r="X6" s="28"/>
      <c r="Y6" s="28"/>
      <c r="Z6" s="28"/>
      <c r="AA6" s="28"/>
      <c r="AB6" s="29"/>
      <c r="AC6" s="29"/>
      <c r="AD6" s="28"/>
      <c r="AE6" s="28"/>
      <c r="AF6" s="27">
        <f>-SUM(N6:AE6)</f>
        <v>-138.80000000000001</v>
      </c>
      <c r="AG6" s="30">
        <f>SUM(H6:K6)+AF6+O6</f>
        <v>0</v>
      </c>
      <c r="AI6" s="31" t="e">
        <f t="array" ref="AI6">INDEX(P6:AE6,MATCH(1,P6:AE6,0),0)</f>
        <v>#N/A</v>
      </c>
    </row>
    <row r="7" spans="1:35" s="31" customFormat="1" ht="23.25" customHeight="1" x14ac:dyDescent="0.2">
      <c r="A7" s="20">
        <v>43817</v>
      </c>
      <c r="B7" s="21"/>
      <c r="C7" s="22" t="s">
        <v>64</v>
      </c>
      <c r="D7" s="22" t="s">
        <v>65</v>
      </c>
      <c r="E7" s="22" t="s">
        <v>66</v>
      </c>
      <c r="F7" s="23">
        <v>100390</v>
      </c>
      <c r="G7" s="23" t="s">
        <v>111</v>
      </c>
      <c r="H7" s="25"/>
      <c r="I7" s="25"/>
      <c r="J7" s="25"/>
      <c r="K7" s="25">
        <v>234</v>
      </c>
      <c r="L7" s="26"/>
      <c r="M7" s="27">
        <f t="shared" si="0"/>
        <v>208.92857142857142</v>
      </c>
      <c r="N7" s="27">
        <f t="shared" si="1"/>
        <v>25.071428571428569</v>
      </c>
      <c r="O7" s="27">
        <f t="shared" si="2"/>
        <v>0</v>
      </c>
      <c r="P7" s="27">
        <v>208.93</v>
      </c>
      <c r="Q7" s="28"/>
      <c r="R7" s="28"/>
      <c r="S7" s="29"/>
      <c r="T7" s="29"/>
      <c r="U7" s="29"/>
      <c r="V7" s="29"/>
      <c r="W7" s="29"/>
      <c r="X7" s="28"/>
      <c r="Y7" s="28"/>
      <c r="Z7" s="28"/>
      <c r="AA7" s="28"/>
      <c r="AB7" s="29"/>
      <c r="AC7" s="29"/>
      <c r="AD7" s="28"/>
      <c r="AE7" s="28"/>
      <c r="AF7" s="27">
        <f>-SUM(N7:AE7)</f>
        <v>-234.00142857142856</v>
      </c>
      <c r="AG7" s="30">
        <f>SUM(H7:K7)+AF7+O7</f>
        <v>-1.4285714285620088E-3</v>
      </c>
    </row>
    <row r="8" spans="1:35" s="31" customFormat="1" ht="23.25" customHeight="1" x14ac:dyDescent="0.2">
      <c r="A8" s="20">
        <v>43817</v>
      </c>
      <c r="B8" s="21"/>
      <c r="C8" s="22" t="s">
        <v>52</v>
      </c>
      <c r="D8" s="22" t="s">
        <v>53</v>
      </c>
      <c r="E8" s="22" t="s">
        <v>54</v>
      </c>
      <c r="F8" s="23">
        <v>205242</v>
      </c>
      <c r="G8" s="23" t="s">
        <v>55</v>
      </c>
      <c r="H8" s="25"/>
      <c r="I8" s="25"/>
      <c r="J8" s="25"/>
      <c r="K8" s="25">
        <v>180</v>
      </c>
      <c r="L8" s="26"/>
      <c r="M8" s="27">
        <f t="shared" si="0"/>
        <v>160.71428571428569</v>
      </c>
      <c r="N8" s="27">
        <f t="shared" si="1"/>
        <v>19.285714285714281</v>
      </c>
      <c r="O8" s="27">
        <f t="shared" si="2"/>
        <v>0</v>
      </c>
      <c r="P8" s="27"/>
      <c r="Q8" s="28">
        <v>160.71</v>
      </c>
      <c r="R8" s="28"/>
      <c r="S8" s="29"/>
      <c r="T8" s="29"/>
      <c r="U8" s="29"/>
      <c r="V8" s="29"/>
      <c r="W8" s="29"/>
      <c r="X8" s="28"/>
      <c r="Y8" s="28"/>
      <c r="Z8" s="28"/>
      <c r="AA8" s="28"/>
      <c r="AB8" s="29"/>
      <c r="AC8" s="29"/>
      <c r="AD8" s="28"/>
      <c r="AE8" s="28"/>
      <c r="AF8" s="27">
        <f>-SUM(N8:AE8)</f>
        <v>-179.99571428571429</v>
      </c>
      <c r="AG8" s="30">
        <f>SUM(H8:K8)+AF8+O8</f>
        <v>4.2857142857144481E-3</v>
      </c>
    </row>
    <row r="9" spans="1:35" s="31" customFormat="1" ht="23.25" customHeight="1" x14ac:dyDescent="0.2">
      <c r="A9" s="20">
        <v>43817</v>
      </c>
      <c r="B9" s="21"/>
      <c r="C9" s="22" t="s">
        <v>64</v>
      </c>
      <c r="D9" s="22" t="s">
        <v>65</v>
      </c>
      <c r="E9" s="22" t="s">
        <v>66</v>
      </c>
      <c r="F9" s="23">
        <v>137813</v>
      </c>
      <c r="G9" s="23" t="s">
        <v>152</v>
      </c>
      <c r="H9" s="25"/>
      <c r="I9" s="25"/>
      <c r="J9" s="25"/>
      <c r="K9" s="25">
        <v>410.5</v>
      </c>
      <c r="L9" s="26"/>
      <c r="M9" s="27">
        <f t="shared" si="0"/>
        <v>366.51785714285711</v>
      </c>
      <c r="N9" s="27">
        <f t="shared" si="1"/>
        <v>43.982142857142854</v>
      </c>
      <c r="O9" s="27">
        <f t="shared" si="2"/>
        <v>0</v>
      </c>
      <c r="P9" s="27">
        <v>366.52</v>
      </c>
      <c r="Q9" s="28"/>
      <c r="R9" s="28"/>
      <c r="S9" s="29"/>
      <c r="T9" s="29"/>
      <c r="U9" s="29"/>
      <c r="V9" s="29"/>
      <c r="W9" s="29"/>
      <c r="X9" s="28"/>
      <c r="Y9" s="28"/>
      <c r="Z9" s="28"/>
      <c r="AA9" s="28"/>
      <c r="AB9" s="29"/>
      <c r="AC9" s="29"/>
      <c r="AD9" s="28"/>
      <c r="AE9" s="28"/>
      <c r="AF9" s="27">
        <f>-SUM(N9:AE9)</f>
        <v>-410.50214285714281</v>
      </c>
      <c r="AG9" s="30">
        <f>SUM(H9:K9)+AF9+O9</f>
        <v>-2.1428571428145915E-3</v>
      </c>
    </row>
    <row r="10" spans="1:35" s="31" customFormat="1" ht="23.25" customHeight="1" x14ac:dyDescent="0.2">
      <c r="A10" s="20">
        <v>43817</v>
      </c>
      <c r="B10" s="21"/>
      <c r="C10" s="22" t="s">
        <v>71</v>
      </c>
      <c r="D10" s="22"/>
      <c r="E10" s="22"/>
      <c r="F10" s="23"/>
      <c r="G10" s="23" t="s">
        <v>72</v>
      </c>
      <c r="H10" s="25"/>
      <c r="I10" s="25"/>
      <c r="J10" s="25">
        <v>300</v>
      </c>
      <c r="K10" s="25"/>
      <c r="L10" s="26"/>
      <c r="M10" s="27">
        <f t="shared" si="0"/>
        <v>300</v>
      </c>
      <c r="N10" s="27">
        <f t="shared" si="1"/>
        <v>0</v>
      </c>
      <c r="O10" s="27">
        <f t="shared" si="2"/>
        <v>0</v>
      </c>
      <c r="P10" s="27">
        <v>300</v>
      </c>
      <c r="Q10" s="28"/>
      <c r="R10" s="28"/>
      <c r="S10" s="29"/>
      <c r="T10" s="29"/>
      <c r="U10" s="29"/>
      <c r="V10" s="29"/>
      <c r="W10" s="29"/>
      <c r="X10" s="28"/>
      <c r="Y10" s="28"/>
      <c r="Z10" s="28"/>
      <c r="AA10" s="28"/>
      <c r="AB10" s="29"/>
      <c r="AC10" s="29"/>
      <c r="AD10" s="28"/>
      <c r="AE10" s="28"/>
      <c r="AF10" s="27">
        <f>-SUM(N10:AE10)</f>
        <v>-300</v>
      </c>
      <c r="AG10" s="30">
        <f>SUM(H10:K10)+AF10+O10</f>
        <v>0</v>
      </c>
    </row>
    <row r="11" spans="1:35" s="31" customFormat="1" ht="23.25" customHeight="1" x14ac:dyDescent="0.2">
      <c r="A11" s="20">
        <v>43817</v>
      </c>
      <c r="B11" s="21"/>
      <c r="C11" s="22" t="s">
        <v>50</v>
      </c>
      <c r="D11" s="22"/>
      <c r="E11" s="22"/>
      <c r="F11" s="23"/>
      <c r="G11" s="23" t="s">
        <v>101</v>
      </c>
      <c r="H11" s="25">
        <v>100</v>
      </c>
      <c r="I11" s="25"/>
      <c r="J11" s="25"/>
      <c r="K11" s="25"/>
      <c r="L11" s="26"/>
      <c r="M11" s="27">
        <f t="shared" si="0"/>
        <v>100</v>
      </c>
      <c r="N11" s="27">
        <f t="shared" si="1"/>
        <v>0</v>
      </c>
      <c r="O11" s="27">
        <f t="shared" si="2"/>
        <v>0</v>
      </c>
      <c r="P11" s="27"/>
      <c r="Q11" s="28"/>
      <c r="R11" s="28"/>
      <c r="S11" s="29"/>
      <c r="T11" s="29"/>
      <c r="U11" s="29"/>
      <c r="V11" s="29"/>
      <c r="W11" s="29"/>
      <c r="X11" s="28"/>
      <c r="Y11" s="28"/>
      <c r="Z11" s="28"/>
      <c r="AA11" s="28">
        <v>100</v>
      </c>
      <c r="AB11" s="29"/>
      <c r="AC11" s="29"/>
      <c r="AD11" s="28"/>
      <c r="AE11" s="28"/>
      <c r="AF11" s="27">
        <f>-SUM(N11:AE11)</f>
        <v>-100</v>
      </c>
      <c r="AG11" s="30">
        <f>SUM(H11:K11)+AF11+O11</f>
        <v>0</v>
      </c>
    </row>
    <row r="12" spans="1:35" s="31" customFormat="1" ht="23.25" customHeight="1" x14ac:dyDescent="0.2">
      <c r="A12" s="20">
        <v>43817</v>
      </c>
      <c r="B12" s="21"/>
      <c r="C12" s="22" t="s">
        <v>41</v>
      </c>
      <c r="D12" s="22" t="s">
        <v>42</v>
      </c>
      <c r="E12" s="22" t="s">
        <v>43</v>
      </c>
      <c r="F12" s="23">
        <v>3371</v>
      </c>
      <c r="G12" s="23" t="s">
        <v>153</v>
      </c>
      <c r="H12" s="25"/>
      <c r="I12" s="25"/>
      <c r="J12" s="25">
        <v>1917</v>
      </c>
      <c r="K12" s="25"/>
      <c r="L12" s="26"/>
      <c r="M12" s="27">
        <f t="shared" si="0"/>
        <v>1917</v>
      </c>
      <c r="N12" s="27">
        <f t="shared" si="1"/>
        <v>0</v>
      </c>
      <c r="O12" s="27">
        <f t="shared" si="2"/>
        <v>0</v>
      </c>
      <c r="P12" s="27">
        <v>1917</v>
      </c>
      <c r="Q12" s="28"/>
      <c r="R12" s="28"/>
      <c r="S12" s="29"/>
      <c r="T12" s="29"/>
      <c r="U12" s="29"/>
      <c r="V12" s="29"/>
      <c r="W12" s="29"/>
      <c r="X12" s="28"/>
      <c r="Y12" s="28"/>
      <c r="Z12" s="28"/>
      <c r="AA12" s="28"/>
      <c r="AB12" s="29"/>
      <c r="AC12" s="29"/>
      <c r="AD12" s="28"/>
      <c r="AE12" s="28"/>
      <c r="AF12" s="27">
        <f>-SUM(N12:AE12)</f>
        <v>-1917</v>
      </c>
      <c r="AG12" s="30">
        <f>SUM(H12:K12)+AF12+O12</f>
        <v>0</v>
      </c>
    </row>
    <row r="13" spans="1:35" s="31" customFormat="1" ht="23.25" customHeight="1" x14ac:dyDescent="0.2">
      <c r="A13" s="20">
        <v>43825</v>
      </c>
      <c r="B13" s="21"/>
      <c r="C13" s="22" t="s">
        <v>52</v>
      </c>
      <c r="D13" s="22" t="s">
        <v>53</v>
      </c>
      <c r="E13" s="22" t="s">
        <v>54</v>
      </c>
      <c r="F13" s="23">
        <v>216383</v>
      </c>
      <c r="G13" s="23" t="s">
        <v>55</v>
      </c>
      <c r="H13" s="25"/>
      <c r="I13" s="25"/>
      <c r="J13" s="25"/>
      <c r="K13" s="25">
        <v>180</v>
      </c>
      <c r="L13" s="26"/>
      <c r="M13" s="27">
        <f t="shared" si="0"/>
        <v>160.71428571428569</v>
      </c>
      <c r="N13" s="27">
        <f t="shared" si="1"/>
        <v>19.285714285714281</v>
      </c>
      <c r="O13" s="27">
        <f t="shared" si="2"/>
        <v>0</v>
      </c>
      <c r="P13" s="27"/>
      <c r="Q13" s="28">
        <v>160.71</v>
      </c>
      <c r="R13" s="28"/>
      <c r="S13" s="29"/>
      <c r="T13" s="29"/>
      <c r="U13" s="29"/>
      <c r="V13" s="29"/>
      <c r="W13" s="29"/>
      <c r="X13" s="28"/>
      <c r="Y13" s="28"/>
      <c r="Z13" s="28"/>
      <c r="AA13" s="28"/>
      <c r="AB13" s="29"/>
      <c r="AC13" s="29"/>
      <c r="AD13" s="28"/>
      <c r="AE13" s="28"/>
      <c r="AF13" s="27">
        <f>-SUM(N13:AE13)</f>
        <v>-179.99571428571429</v>
      </c>
      <c r="AG13" s="30">
        <f>SUM(H13:K13)+AF13+O13</f>
        <v>4.2857142857144481E-3</v>
      </c>
    </row>
    <row r="14" spans="1:35" s="31" customFormat="1" ht="23.25" customHeight="1" x14ac:dyDescent="0.2">
      <c r="A14" s="20">
        <v>43818</v>
      </c>
      <c r="B14" s="21"/>
      <c r="C14" s="22" t="s">
        <v>50</v>
      </c>
      <c r="D14" s="22"/>
      <c r="E14" s="22"/>
      <c r="F14" s="23"/>
      <c r="G14" s="23" t="s">
        <v>154</v>
      </c>
      <c r="H14" s="25">
        <v>50</v>
      </c>
      <c r="I14" s="25"/>
      <c r="J14" s="25"/>
      <c r="K14" s="25"/>
      <c r="L14" s="26"/>
      <c r="M14" s="27">
        <f t="shared" si="0"/>
        <v>50</v>
      </c>
      <c r="N14" s="27">
        <f t="shared" si="1"/>
        <v>0</v>
      </c>
      <c r="O14" s="27">
        <f t="shared" si="2"/>
        <v>0</v>
      </c>
      <c r="P14" s="27"/>
      <c r="Q14" s="28"/>
      <c r="R14" s="28"/>
      <c r="S14" s="29"/>
      <c r="T14" s="29"/>
      <c r="U14" s="29"/>
      <c r="V14" s="29"/>
      <c r="W14" s="29"/>
      <c r="X14" s="28"/>
      <c r="Y14" s="28"/>
      <c r="Z14" s="28"/>
      <c r="AA14" s="28">
        <v>50</v>
      </c>
      <c r="AB14" s="29"/>
      <c r="AC14" s="29"/>
      <c r="AD14" s="28"/>
      <c r="AE14" s="28"/>
      <c r="AF14" s="27">
        <f>-SUM(N14:AE14)</f>
        <v>-50</v>
      </c>
      <c r="AG14" s="30">
        <f>SUM(H14:K14)+AF14+O14</f>
        <v>0</v>
      </c>
    </row>
    <row r="15" spans="1:35" s="31" customFormat="1" ht="23.25" customHeight="1" x14ac:dyDescent="0.2">
      <c r="A15" s="20">
        <v>43818</v>
      </c>
      <c r="B15" s="21"/>
      <c r="C15" s="22" t="s">
        <v>73</v>
      </c>
      <c r="D15" s="22" t="s">
        <v>74</v>
      </c>
      <c r="E15" s="22" t="s">
        <v>47</v>
      </c>
      <c r="F15" s="23">
        <v>574282</v>
      </c>
      <c r="G15" s="23" t="s">
        <v>155</v>
      </c>
      <c r="H15" s="25"/>
      <c r="I15" s="25"/>
      <c r="J15" s="25">
        <v>275.45</v>
      </c>
      <c r="K15" s="25"/>
      <c r="L15" s="26"/>
      <c r="M15" s="27">
        <f t="shared" si="0"/>
        <v>275.45</v>
      </c>
      <c r="N15" s="27">
        <f t="shared" si="1"/>
        <v>0</v>
      </c>
      <c r="O15" s="27">
        <f t="shared" si="2"/>
        <v>0</v>
      </c>
      <c r="P15" s="27">
        <v>275.45</v>
      </c>
      <c r="Q15" s="28"/>
      <c r="R15" s="28"/>
      <c r="S15" s="29"/>
      <c r="T15" s="29"/>
      <c r="U15" s="29"/>
      <c r="V15" s="29"/>
      <c r="W15" s="29"/>
      <c r="X15" s="28"/>
      <c r="Y15" s="28"/>
      <c r="Z15" s="28"/>
      <c r="AA15" s="28"/>
      <c r="AB15" s="29"/>
      <c r="AC15" s="29"/>
      <c r="AD15" s="28"/>
      <c r="AE15" s="28"/>
      <c r="AF15" s="27">
        <f>-SUM(N15:AE15)</f>
        <v>-275.45</v>
      </c>
      <c r="AG15" s="30">
        <f>SUM(H15:K15)+AF15+O15</f>
        <v>0</v>
      </c>
    </row>
    <row r="16" spans="1:35" s="31" customFormat="1" ht="23.25" customHeight="1" x14ac:dyDescent="0.2">
      <c r="A16" s="20">
        <v>43818</v>
      </c>
      <c r="B16" s="21"/>
      <c r="C16" s="22" t="s">
        <v>73</v>
      </c>
      <c r="D16" s="22" t="s">
        <v>74</v>
      </c>
      <c r="E16" s="22" t="s">
        <v>47</v>
      </c>
      <c r="F16" s="23">
        <v>574282</v>
      </c>
      <c r="G16" s="23" t="s">
        <v>156</v>
      </c>
      <c r="H16" s="25"/>
      <c r="I16" s="25"/>
      <c r="J16" s="25"/>
      <c r="K16" s="25">
        <f>1891.96+227.04</f>
        <v>2119</v>
      </c>
      <c r="L16" s="26"/>
      <c r="M16" s="27">
        <f t="shared" si="0"/>
        <v>1891.9642857142856</v>
      </c>
      <c r="N16" s="27">
        <f t="shared" si="1"/>
        <v>227.03571428571425</v>
      </c>
      <c r="O16" s="27">
        <f t="shared" si="2"/>
        <v>0</v>
      </c>
      <c r="P16" s="27">
        <v>1891.96</v>
      </c>
      <c r="Q16" s="28"/>
      <c r="R16" s="28"/>
      <c r="S16" s="29"/>
      <c r="T16" s="29"/>
      <c r="U16" s="29"/>
      <c r="V16" s="29"/>
      <c r="W16" s="29"/>
      <c r="X16" s="28"/>
      <c r="Y16" s="28"/>
      <c r="Z16" s="28"/>
      <c r="AA16" s="28"/>
      <c r="AB16" s="29"/>
      <c r="AC16" s="29"/>
      <c r="AD16" s="28"/>
      <c r="AE16" s="28"/>
      <c r="AF16" s="27">
        <f>-SUM(N16:AE16)</f>
        <v>-2118.9957142857143</v>
      </c>
      <c r="AG16" s="30">
        <f>SUM(H16:K16)+AF16+O16</f>
        <v>4.2857142857428698E-3</v>
      </c>
    </row>
    <row r="17" spans="1:33" s="31" customFormat="1" ht="23.25" customHeight="1" x14ac:dyDescent="0.2">
      <c r="A17" s="20">
        <v>43818</v>
      </c>
      <c r="B17" s="21"/>
      <c r="C17" s="22" t="s">
        <v>157</v>
      </c>
      <c r="D17" s="22"/>
      <c r="E17" s="22"/>
      <c r="F17" s="23"/>
      <c r="G17" s="23" t="s">
        <v>158</v>
      </c>
      <c r="H17" s="25">
        <v>500</v>
      </c>
      <c r="I17" s="25"/>
      <c r="J17" s="25"/>
      <c r="K17" s="25"/>
      <c r="L17" s="26"/>
      <c r="M17" s="27">
        <f t="shared" si="0"/>
        <v>500</v>
      </c>
      <c r="N17" s="27">
        <f t="shared" si="1"/>
        <v>0</v>
      </c>
      <c r="O17" s="27">
        <f t="shared" si="2"/>
        <v>0</v>
      </c>
      <c r="P17" s="27"/>
      <c r="Q17" s="28"/>
      <c r="R17" s="28"/>
      <c r="S17" s="29"/>
      <c r="T17" s="29"/>
      <c r="U17" s="29"/>
      <c r="V17" s="29"/>
      <c r="W17" s="29"/>
      <c r="X17" s="28"/>
      <c r="Y17" s="28"/>
      <c r="Z17" s="28"/>
      <c r="AA17" s="28"/>
      <c r="AB17" s="29"/>
      <c r="AC17" s="29"/>
      <c r="AD17" s="28">
        <v>500</v>
      </c>
      <c r="AE17" s="28"/>
      <c r="AF17" s="27">
        <f>-SUM(N17:AE17)</f>
        <v>-500</v>
      </c>
      <c r="AG17" s="30">
        <f>SUM(H17:K17)+AF17+O17</f>
        <v>0</v>
      </c>
    </row>
    <row r="18" spans="1:33" s="31" customFormat="1" ht="23.25" customHeight="1" x14ac:dyDescent="0.2">
      <c r="A18" s="20">
        <v>43818</v>
      </c>
      <c r="B18" s="21"/>
      <c r="C18" s="22" t="s">
        <v>64</v>
      </c>
      <c r="D18" s="22" t="s">
        <v>65</v>
      </c>
      <c r="E18" s="22" t="s">
        <v>66</v>
      </c>
      <c r="F18" s="23">
        <v>100436</v>
      </c>
      <c r="G18" s="23" t="s">
        <v>111</v>
      </c>
      <c r="H18" s="25"/>
      <c r="I18" s="25"/>
      <c r="J18" s="25"/>
      <c r="K18" s="25">
        <v>195</v>
      </c>
      <c r="L18" s="26"/>
      <c r="M18" s="27">
        <f t="shared" si="0"/>
        <v>174.10714285714283</v>
      </c>
      <c r="N18" s="27">
        <f t="shared" si="1"/>
        <v>20.892857142857139</v>
      </c>
      <c r="O18" s="27">
        <f t="shared" si="2"/>
        <v>0</v>
      </c>
      <c r="P18" s="27">
        <v>174.11</v>
      </c>
      <c r="Q18" s="28"/>
      <c r="R18" s="28"/>
      <c r="S18" s="29"/>
      <c r="T18" s="29"/>
      <c r="U18" s="29"/>
      <c r="V18" s="29"/>
      <c r="W18" s="29"/>
      <c r="X18" s="28"/>
      <c r="Y18" s="28"/>
      <c r="Z18" s="28"/>
      <c r="AA18" s="28"/>
      <c r="AB18" s="29"/>
      <c r="AC18" s="29"/>
      <c r="AD18" s="28"/>
      <c r="AE18" s="28"/>
      <c r="AF18" s="27">
        <f>-SUM(N18:AE18)</f>
        <v>-195.00285714285715</v>
      </c>
      <c r="AG18" s="30">
        <f>SUM(H18:K18)+AF18+O18</f>
        <v>-2.8571428571524393E-3</v>
      </c>
    </row>
    <row r="19" spans="1:33" s="31" customFormat="1" ht="23.25" customHeight="1" x14ac:dyDescent="0.2">
      <c r="A19" s="20">
        <v>43818</v>
      </c>
      <c r="B19" s="21"/>
      <c r="C19" s="22" t="s">
        <v>52</v>
      </c>
      <c r="D19" s="22" t="s">
        <v>53</v>
      </c>
      <c r="E19" s="22" t="s">
        <v>54</v>
      </c>
      <c r="F19" s="23">
        <v>205289</v>
      </c>
      <c r="G19" s="23" t="s">
        <v>55</v>
      </c>
      <c r="H19" s="25"/>
      <c r="I19" s="25"/>
      <c r="J19" s="25"/>
      <c r="K19" s="25">
        <v>180</v>
      </c>
      <c r="L19" s="26"/>
      <c r="M19" s="27">
        <f t="shared" si="0"/>
        <v>160.71428571428569</v>
      </c>
      <c r="N19" s="27">
        <f t="shared" si="1"/>
        <v>19.285714285714281</v>
      </c>
      <c r="O19" s="27">
        <f t="shared" si="2"/>
        <v>0</v>
      </c>
      <c r="P19" s="27"/>
      <c r="Q19" s="28">
        <v>160.71</v>
      </c>
      <c r="R19" s="28"/>
      <c r="S19" s="29"/>
      <c r="T19" s="29"/>
      <c r="U19" s="29"/>
      <c r="V19" s="29"/>
      <c r="W19" s="29"/>
      <c r="X19" s="28"/>
      <c r="Y19" s="28"/>
      <c r="Z19" s="28"/>
      <c r="AA19" s="28"/>
      <c r="AB19" s="29"/>
      <c r="AC19" s="29"/>
      <c r="AD19" s="28"/>
      <c r="AE19" s="28"/>
      <c r="AF19" s="27">
        <f>-SUM(N19:AE19)</f>
        <v>-179.99571428571429</v>
      </c>
      <c r="AG19" s="30">
        <f>SUM(H19:K19)+AF19+O19</f>
        <v>4.2857142857144481E-3</v>
      </c>
    </row>
    <row r="20" spans="1:33" s="31" customFormat="1" ht="23.25" customHeight="1" x14ac:dyDescent="0.2">
      <c r="A20" s="20">
        <v>43818</v>
      </c>
      <c r="B20" s="21"/>
      <c r="C20" s="22" t="s">
        <v>73</v>
      </c>
      <c r="D20" s="22" t="s">
        <v>74</v>
      </c>
      <c r="E20" s="22" t="s">
        <v>47</v>
      </c>
      <c r="F20" s="23">
        <v>900910</v>
      </c>
      <c r="G20" s="23" t="s">
        <v>159</v>
      </c>
      <c r="H20" s="25"/>
      <c r="I20" s="25"/>
      <c r="J20" s="25">
        <v>186.59</v>
      </c>
      <c r="K20" s="25"/>
      <c r="L20" s="26"/>
      <c r="M20" s="27">
        <f t="shared" si="0"/>
        <v>186.59</v>
      </c>
      <c r="N20" s="27">
        <f t="shared" si="1"/>
        <v>0</v>
      </c>
      <c r="O20" s="27">
        <f t="shared" si="2"/>
        <v>0</v>
      </c>
      <c r="P20" s="27">
        <v>186.59</v>
      </c>
      <c r="Q20" s="28"/>
      <c r="R20" s="28"/>
      <c r="S20" s="29"/>
      <c r="T20" s="29"/>
      <c r="U20" s="29"/>
      <c r="V20" s="29"/>
      <c r="W20" s="29"/>
      <c r="X20" s="28"/>
      <c r="Y20" s="28"/>
      <c r="Z20" s="28"/>
      <c r="AA20" s="28"/>
      <c r="AB20" s="29"/>
      <c r="AC20" s="29"/>
      <c r="AD20" s="28"/>
      <c r="AE20" s="28"/>
      <c r="AF20" s="27">
        <f>-SUM(N20:AE20)</f>
        <v>-186.59</v>
      </c>
      <c r="AG20" s="30">
        <f>SUM(H20:K20)+AF20+O20</f>
        <v>0</v>
      </c>
    </row>
    <row r="21" spans="1:33" s="31" customFormat="1" ht="23.25" customHeight="1" x14ac:dyDescent="0.2">
      <c r="A21" s="20">
        <v>43818</v>
      </c>
      <c r="B21" s="21"/>
      <c r="C21" s="22" t="s">
        <v>45</v>
      </c>
      <c r="D21" s="22" t="s">
        <v>46</v>
      </c>
      <c r="E21" s="22" t="s">
        <v>47</v>
      </c>
      <c r="F21" s="23">
        <v>217765</v>
      </c>
      <c r="G21" s="23" t="s">
        <v>160</v>
      </c>
      <c r="H21" s="25"/>
      <c r="I21" s="25"/>
      <c r="J21" s="25"/>
      <c r="K21" s="25">
        <v>388.95</v>
      </c>
      <c r="L21" s="26"/>
      <c r="M21" s="27">
        <f t="shared" si="0"/>
        <v>347.27678571428567</v>
      </c>
      <c r="N21" s="27">
        <f t="shared" si="1"/>
        <v>41.67321428571428</v>
      </c>
      <c r="O21" s="27">
        <f t="shared" si="2"/>
        <v>0</v>
      </c>
      <c r="P21" s="27"/>
      <c r="Q21" s="28">
        <v>347.28</v>
      </c>
      <c r="R21" s="28"/>
      <c r="S21" s="29"/>
      <c r="T21" s="29"/>
      <c r="U21" s="29"/>
      <c r="V21" s="29"/>
      <c r="W21" s="29"/>
      <c r="X21" s="28"/>
      <c r="Y21" s="28"/>
      <c r="Z21" s="28"/>
      <c r="AA21" s="28"/>
      <c r="AB21" s="29"/>
      <c r="AC21" s="29"/>
      <c r="AD21" s="28"/>
      <c r="AE21" s="28"/>
      <c r="AF21" s="27">
        <f>-SUM(N21:AE21)</f>
        <v>-388.95321428571424</v>
      </c>
      <c r="AG21" s="30">
        <f>SUM(H21:K21)+AF21+O21</f>
        <v>-3.214285714250309E-3</v>
      </c>
    </row>
    <row r="22" spans="1:33" s="31" customFormat="1" ht="23.25" customHeight="1" x14ac:dyDescent="0.2">
      <c r="A22" s="20">
        <v>43818</v>
      </c>
      <c r="B22" s="21"/>
      <c r="C22" s="22" t="s">
        <v>161</v>
      </c>
      <c r="D22" s="22" t="s">
        <v>162</v>
      </c>
      <c r="E22" s="22" t="s">
        <v>66</v>
      </c>
      <c r="F22" s="23">
        <v>791535</v>
      </c>
      <c r="G22" s="23" t="s">
        <v>163</v>
      </c>
      <c r="H22" s="25"/>
      <c r="I22" s="25"/>
      <c r="J22" s="25"/>
      <c r="K22" s="25">
        <v>260</v>
      </c>
      <c r="L22" s="26"/>
      <c r="M22" s="27">
        <f t="shared" si="0"/>
        <v>232.14285714285711</v>
      </c>
      <c r="N22" s="27">
        <f t="shared" si="1"/>
        <v>27.857142857142851</v>
      </c>
      <c r="O22" s="27">
        <f t="shared" si="2"/>
        <v>0</v>
      </c>
      <c r="P22" s="27"/>
      <c r="Q22" s="28"/>
      <c r="R22" s="28"/>
      <c r="S22" s="29"/>
      <c r="T22" s="29">
        <v>232.14</v>
      </c>
      <c r="U22" s="29"/>
      <c r="V22" s="29"/>
      <c r="W22" s="29"/>
      <c r="X22" s="28"/>
      <c r="Y22" s="28"/>
      <c r="Z22" s="28"/>
      <c r="AA22" s="28"/>
      <c r="AB22" s="29"/>
      <c r="AC22" s="29"/>
      <c r="AD22" s="28"/>
      <c r="AE22" s="28"/>
      <c r="AF22" s="27">
        <f>-SUM(N22:AE22)</f>
        <v>-259.99714285714282</v>
      </c>
      <c r="AG22" s="30">
        <f>SUM(H22:K22)+AF22+O22</f>
        <v>2.857142857180861E-3</v>
      </c>
    </row>
    <row r="23" spans="1:33" s="31" customFormat="1" ht="23.25" customHeight="1" x14ac:dyDescent="0.2">
      <c r="A23" s="20">
        <v>43818</v>
      </c>
      <c r="B23" s="21"/>
      <c r="C23" s="22" t="s">
        <v>45</v>
      </c>
      <c r="D23" s="22" t="s">
        <v>46</v>
      </c>
      <c r="E23" s="22" t="s">
        <v>47</v>
      </c>
      <c r="F23" s="23">
        <v>221562</v>
      </c>
      <c r="G23" s="23" t="s">
        <v>98</v>
      </c>
      <c r="H23" s="25"/>
      <c r="I23" s="25"/>
      <c r="J23" s="25">
        <v>233.95</v>
      </c>
      <c r="K23" s="25"/>
      <c r="L23" s="26"/>
      <c r="M23" s="27">
        <f t="shared" si="0"/>
        <v>233.95</v>
      </c>
      <c r="N23" s="27">
        <f t="shared" si="1"/>
        <v>0</v>
      </c>
      <c r="O23" s="27">
        <f t="shared" si="2"/>
        <v>0</v>
      </c>
      <c r="P23" s="27">
        <v>233.95</v>
      </c>
      <c r="Q23" s="28"/>
      <c r="R23" s="28"/>
      <c r="S23" s="29"/>
      <c r="T23" s="29"/>
      <c r="U23" s="29"/>
      <c r="V23" s="29"/>
      <c r="W23" s="29"/>
      <c r="X23" s="28"/>
      <c r="Y23" s="28"/>
      <c r="Z23" s="28"/>
      <c r="AA23" s="28"/>
      <c r="AB23" s="29"/>
      <c r="AC23" s="29"/>
      <c r="AD23" s="28"/>
      <c r="AE23" s="28"/>
      <c r="AF23" s="27">
        <f>-SUM(N23:AE23)</f>
        <v>-233.95</v>
      </c>
      <c r="AG23" s="30">
        <f>SUM(H23:K23)+AF23+O23</f>
        <v>0</v>
      </c>
    </row>
    <row r="24" spans="1:33" s="31" customFormat="1" ht="23.25" customHeight="1" x14ac:dyDescent="0.2">
      <c r="A24" s="20">
        <v>43818</v>
      </c>
      <c r="B24" s="21"/>
      <c r="C24" s="22" t="s">
        <v>45</v>
      </c>
      <c r="D24" s="22" t="s">
        <v>46</v>
      </c>
      <c r="E24" s="22" t="s">
        <v>47</v>
      </c>
      <c r="F24" s="23">
        <v>221562</v>
      </c>
      <c r="G24" s="23" t="s">
        <v>164</v>
      </c>
      <c r="H24" s="25"/>
      <c r="I24" s="25"/>
      <c r="J24" s="25"/>
      <c r="K24" s="25">
        <f>571.56+68.59</f>
        <v>640.15</v>
      </c>
      <c r="L24" s="26"/>
      <c r="M24" s="27">
        <f t="shared" si="0"/>
        <v>571.56249999999989</v>
      </c>
      <c r="N24" s="27">
        <f t="shared" si="1"/>
        <v>68.587499999999977</v>
      </c>
      <c r="O24" s="27">
        <f t="shared" si="2"/>
        <v>0</v>
      </c>
      <c r="P24" s="27">
        <v>571.55999999999995</v>
      </c>
      <c r="Q24" s="28"/>
      <c r="R24" s="28"/>
      <c r="S24" s="29"/>
      <c r="T24" s="29"/>
      <c r="U24" s="29"/>
      <c r="V24" s="29"/>
      <c r="W24" s="29"/>
      <c r="X24" s="28"/>
      <c r="Y24" s="28"/>
      <c r="Z24" s="28"/>
      <c r="AA24" s="28"/>
      <c r="AB24" s="29"/>
      <c r="AC24" s="29"/>
      <c r="AD24" s="28"/>
      <c r="AE24" s="28"/>
      <c r="AF24" s="27">
        <f>-SUM(N24:AE24)</f>
        <v>-640.14749999999992</v>
      </c>
      <c r="AG24" s="30">
        <f>SUM(H24:K24)+AF24+O24</f>
        <v>2.5000000000545697E-3</v>
      </c>
    </row>
    <row r="25" spans="1:33" s="31" customFormat="1" ht="23.25" customHeight="1" x14ac:dyDescent="0.2">
      <c r="A25" s="20">
        <v>43818</v>
      </c>
      <c r="B25" s="21"/>
      <c r="C25" s="22" t="s">
        <v>56</v>
      </c>
      <c r="D25" s="22"/>
      <c r="E25" s="22"/>
      <c r="F25" s="23"/>
      <c r="G25" s="23" t="s">
        <v>165</v>
      </c>
      <c r="H25" s="25">
        <v>128</v>
      </c>
      <c r="I25" s="25"/>
      <c r="J25" s="25"/>
      <c r="K25" s="25"/>
      <c r="L25" s="26"/>
      <c r="M25" s="27">
        <f t="shared" si="0"/>
        <v>128</v>
      </c>
      <c r="N25" s="27">
        <f t="shared" si="1"/>
        <v>0</v>
      </c>
      <c r="O25" s="27">
        <f t="shared" si="2"/>
        <v>0</v>
      </c>
      <c r="P25" s="27"/>
      <c r="Q25" s="28"/>
      <c r="R25" s="28"/>
      <c r="S25" s="29"/>
      <c r="T25" s="29"/>
      <c r="U25" s="29"/>
      <c r="V25" s="29"/>
      <c r="W25" s="29"/>
      <c r="X25" s="28"/>
      <c r="Y25" s="28"/>
      <c r="Z25" s="28"/>
      <c r="AA25" s="28">
        <v>128</v>
      </c>
      <c r="AB25" s="29"/>
      <c r="AC25" s="29"/>
      <c r="AD25" s="28"/>
      <c r="AE25" s="28"/>
      <c r="AF25" s="27">
        <f>-SUM(N25:AE25)</f>
        <v>-128</v>
      </c>
      <c r="AG25" s="30">
        <f>SUM(H25:K25)+AF25+O25</f>
        <v>0</v>
      </c>
    </row>
    <row r="26" spans="1:33" s="31" customFormat="1" ht="23.25" customHeight="1" x14ac:dyDescent="0.2">
      <c r="A26" s="20">
        <v>43820</v>
      </c>
      <c r="B26" s="21"/>
      <c r="C26" s="22" t="s">
        <v>166</v>
      </c>
      <c r="D26" s="22" t="s">
        <v>167</v>
      </c>
      <c r="E26" s="22" t="s">
        <v>66</v>
      </c>
      <c r="F26" s="23">
        <v>114037</v>
      </c>
      <c r="G26" s="23" t="s">
        <v>55</v>
      </c>
      <c r="H26" s="25"/>
      <c r="I26" s="25"/>
      <c r="J26" s="25"/>
      <c r="K26" s="25">
        <v>40</v>
      </c>
      <c r="L26" s="26"/>
      <c r="M26" s="27">
        <f t="shared" si="0"/>
        <v>35.714285714285708</v>
      </c>
      <c r="N26" s="27">
        <f t="shared" si="1"/>
        <v>4.2857142857142847</v>
      </c>
      <c r="O26" s="27">
        <f t="shared" si="2"/>
        <v>0</v>
      </c>
      <c r="P26" s="27"/>
      <c r="Q26" s="28">
        <v>35.71</v>
      </c>
      <c r="R26" s="28"/>
      <c r="S26" s="29"/>
      <c r="T26" s="29"/>
      <c r="U26" s="29"/>
      <c r="V26" s="29"/>
      <c r="W26" s="29"/>
      <c r="X26" s="28"/>
      <c r="Y26" s="28"/>
      <c r="Z26" s="28"/>
      <c r="AA26" s="28"/>
      <c r="AB26" s="29"/>
      <c r="AC26" s="29"/>
      <c r="AD26" s="28"/>
      <c r="AE26" s="28"/>
      <c r="AF26" s="27">
        <f>-SUM(N26:AE26)</f>
        <v>-39.995714285714286</v>
      </c>
      <c r="AG26" s="30">
        <f>SUM(H26:K26)+AF26+O26</f>
        <v>4.2857142857144481E-3</v>
      </c>
    </row>
    <row r="27" spans="1:33" s="31" customFormat="1" ht="23.25" customHeight="1" x14ac:dyDescent="0.2">
      <c r="A27" s="20">
        <v>43820</v>
      </c>
      <c r="B27" s="21"/>
      <c r="C27" s="22" t="s">
        <v>45</v>
      </c>
      <c r="D27" s="22" t="s">
        <v>46</v>
      </c>
      <c r="E27" s="22" t="s">
        <v>47</v>
      </c>
      <c r="F27" s="23">
        <v>151518</v>
      </c>
      <c r="G27" s="23" t="s">
        <v>168</v>
      </c>
      <c r="H27" s="25"/>
      <c r="I27" s="25"/>
      <c r="J27" s="25"/>
      <c r="K27" s="25">
        <v>2464.25</v>
      </c>
      <c r="L27" s="26"/>
      <c r="M27" s="27">
        <f t="shared" si="0"/>
        <v>2200.2232142857142</v>
      </c>
      <c r="N27" s="27">
        <f t="shared" si="1"/>
        <v>264.02678571428572</v>
      </c>
      <c r="O27" s="27">
        <f t="shared" si="2"/>
        <v>0</v>
      </c>
      <c r="P27" s="27">
        <v>2200.2199999999998</v>
      </c>
      <c r="Q27" s="28"/>
      <c r="R27" s="28"/>
      <c r="S27" s="29"/>
      <c r="T27" s="29"/>
      <c r="U27" s="29"/>
      <c r="V27" s="29"/>
      <c r="W27" s="29"/>
      <c r="X27" s="28"/>
      <c r="Y27" s="28"/>
      <c r="Z27" s="28"/>
      <c r="AA27" s="28"/>
      <c r="AB27" s="29"/>
      <c r="AC27" s="29"/>
      <c r="AD27" s="28"/>
      <c r="AE27" s="28"/>
      <c r="AF27" s="27">
        <f>-SUM(N27:AE27)</f>
        <v>-2464.2467857142856</v>
      </c>
      <c r="AG27" s="30">
        <f>SUM(H27:K27)+AF27+O27</f>
        <v>3.2142857144208392E-3</v>
      </c>
    </row>
    <row r="28" spans="1:33" s="31" customFormat="1" ht="23.25" customHeight="1" x14ac:dyDescent="0.2">
      <c r="A28" s="20">
        <v>43819</v>
      </c>
      <c r="B28" s="21"/>
      <c r="C28" s="22" t="s">
        <v>64</v>
      </c>
      <c r="D28" s="22" t="s">
        <v>65</v>
      </c>
      <c r="E28" s="22" t="s">
        <v>66</v>
      </c>
      <c r="F28" s="23">
        <v>138548</v>
      </c>
      <c r="G28" s="23" t="s">
        <v>169</v>
      </c>
      <c r="H28" s="25"/>
      <c r="I28" s="25"/>
      <c r="J28" s="25"/>
      <c r="K28" s="25">
        <v>1294.68</v>
      </c>
      <c r="L28" s="26"/>
      <c r="M28" s="27">
        <f t="shared" si="0"/>
        <v>1155.9642857142856</v>
      </c>
      <c r="N28" s="27">
        <f t="shared" si="1"/>
        <v>138.71571428571426</v>
      </c>
      <c r="O28" s="27">
        <f t="shared" si="2"/>
        <v>0</v>
      </c>
      <c r="P28" s="27">
        <v>1155.96</v>
      </c>
      <c r="Q28" s="28"/>
      <c r="R28" s="28"/>
      <c r="S28" s="29"/>
      <c r="T28" s="29"/>
      <c r="U28" s="29"/>
      <c r="V28" s="29"/>
      <c r="W28" s="29"/>
      <c r="X28" s="28"/>
      <c r="Y28" s="28"/>
      <c r="Z28" s="28"/>
      <c r="AA28" s="28"/>
      <c r="AB28" s="29"/>
      <c r="AC28" s="29"/>
      <c r="AD28" s="28"/>
      <c r="AE28" s="28"/>
      <c r="AF28" s="27">
        <f>-SUM(N28:AE28)</f>
        <v>-1294.6757142857143</v>
      </c>
      <c r="AG28" s="30">
        <f>SUM(H28:K28)+AF28+O28</f>
        <v>4.2857142857428698E-3</v>
      </c>
    </row>
    <row r="29" spans="1:33" s="31" customFormat="1" ht="23.25" customHeight="1" x14ac:dyDescent="0.2">
      <c r="A29" s="20">
        <v>43819</v>
      </c>
      <c r="B29" s="21"/>
      <c r="C29" s="22" t="s">
        <v>50</v>
      </c>
      <c r="D29" s="22"/>
      <c r="E29" s="22"/>
      <c r="F29" s="23"/>
      <c r="G29" s="23" t="s">
        <v>170</v>
      </c>
      <c r="H29" s="25"/>
      <c r="I29" s="25"/>
      <c r="J29" s="25">
        <v>150</v>
      </c>
      <c r="K29" s="25"/>
      <c r="L29" s="26"/>
      <c r="M29" s="27">
        <f t="shared" si="0"/>
        <v>150</v>
      </c>
      <c r="N29" s="27">
        <f t="shared" si="1"/>
        <v>0</v>
      </c>
      <c r="O29" s="27">
        <f t="shared" si="2"/>
        <v>0</v>
      </c>
      <c r="P29" s="27">
        <v>150</v>
      </c>
      <c r="Q29" s="28"/>
      <c r="R29" s="28"/>
      <c r="S29" s="29"/>
      <c r="T29" s="29"/>
      <c r="U29" s="29"/>
      <c r="V29" s="29"/>
      <c r="W29" s="29"/>
      <c r="X29" s="28"/>
      <c r="Y29" s="28"/>
      <c r="Z29" s="28"/>
      <c r="AA29" s="28"/>
      <c r="AB29" s="29"/>
      <c r="AC29" s="29"/>
      <c r="AD29" s="28"/>
      <c r="AE29" s="28"/>
      <c r="AF29" s="27">
        <f>-SUM(N29:AE29)</f>
        <v>-150</v>
      </c>
      <c r="AG29" s="30">
        <f>SUM(H29:K29)+AF29+O29</f>
        <v>0</v>
      </c>
    </row>
    <row r="30" spans="1:33" s="31" customFormat="1" ht="23.25" customHeight="1" x14ac:dyDescent="0.2">
      <c r="A30" s="20">
        <v>43819</v>
      </c>
      <c r="B30" s="21"/>
      <c r="C30" s="22" t="s">
        <v>45</v>
      </c>
      <c r="D30" s="22" t="s">
        <v>46</v>
      </c>
      <c r="E30" s="22" t="s">
        <v>47</v>
      </c>
      <c r="F30" s="23">
        <v>284454</v>
      </c>
      <c r="G30" s="23" t="s">
        <v>171</v>
      </c>
      <c r="H30" s="25"/>
      <c r="I30" s="25"/>
      <c r="J30" s="25"/>
      <c r="K30" s="25">
        <f>760.63+91.28</f>
        <v>851.91</v>
      </c>
      <c r="L30" s="26"/>
      <c r="M30" s="27">
        <f t="shared" si="0"/>
        <v>760.63392857142844</v>
      </c>
      <c r="N30" s="27">
        <f t="shared" si="1"/>
        <v>91.276071428571413</v>
      </c>
      <c r="O30" s="27">
        <f t="shared" si="2"/>
        <v>0</v>
      </c>
      <c r="P30" s="27">
        <v>760.63</v>
      </c>
      <c r="Q30" s="28"/>
      <c r="R30" s="28"/>
      <c r="S30" s="29"/>
      <c r="T30" s="29"/>
      <c r="U30" s="29"/>
      <c r="V30" s="29"/>
      <c r="W30" s="29"/>
      <c r="X30" s="28"/>
      <c r="Y30" s="28"/>
      <c r="Z30" s="28"/>
      <c r="AA30" s="28"/>
      <c r="AB30" s="29"/>
      <c r="AC30" s="29"/>
      <c r="AD30" s="28"/>
      <c r="AE30" s="28"/>
      <c r="AF30" s="27">
        <f>-SUM(N30:AE30)</f>
        <v>-851.90607142857141</v>
      </c>
      <c r="AG30" s="30">
        <f>SUM(H30:K30)+AF30+O30</f>
        <v>3.9285714285597351E-3</v>
      </c>
    </row>
    <row r="31" spans="1:33" s="31" customFormat="1" ht="23.25" customHeight="1" x14ac:dyDescent="0.2">
      <c r="A31" s="20">
        <v>43819</v>
      </c>
      <c r="B31" s="21"/>
      <c r="C31" s="22" t="s">
        <v>45</v>
      </c>
      <c r="D31" s="22" t="s">
        <v>46</v>
      </c>
      <c r="E31" s="22" t="s">
        <v>47</v>
      </c>
      <c r="F31" s="23">
        <v>284454</v>
      </c>
      <c r="G31" s="23" t="s">
        <v>172</v>
      </c>
      <c r="H31" s="25"/>
      <c r="I31" s="25"/>
      <c r="J31" s="25">
        <v>1013.15</v>
      </c>
      <c r="K31" s="25"/>
      <c r="L31" s="26"/>
      <c r="M31" s="27">
        <f t="shared" si="0"/>
        <v>1013.15</v>
      </c>
      <c r="N31" s="27">
        <f t="shared" si="1"/>
        <v>0</v>
      </c>
      <c r="O31" s="27">
        <f t="shared" si="2"/>
        <v>0</v>
      </c>
      <c r="P31" s="27">
        <v>1013.15</v>
      </c>
      <c r="Q31" s="28"/>
      <c r="R31" s="28"/>
      <c r="S31" s="29"/>
      <c r="T31" s="29"/>
      <c r="U31" s="29"/>
      <c r="V31" s="29"/>
      <c r="W31" s="29"/>
      <c r="X31" s="28"/>
      <c r="Y31" s="28"/>
      <c r="Z31" s="28"/>
      <c r="AA31" s="28"/>
      <c r="AB31" s="29"/>
      <c r="AC31" s="29"/>
      <c r="AD31" s="28"/>
      <c r="AE31" s="28"/>
      <c r="AF31" s="27">
        <f>-SUM(N31:AE31)</f>
        <v>-1013.15</v>
      </c>
      <c r="AG31" s="30">
        <f>SUM(H31:K31)+AF31+O31</f>
        <v>0</v>
      </c>
    </row>
    <row r="32" spans="1:33" s="31" customFormat="1" ht="23.25" customHeight="1" x14ac:dyDescent="0.2">
      <c r="A32" s="20">
        <v>43819</v>
      </c>
      <c r="B32" s="21"/>
      <c r="C32" s="22" t="s">
        <v>64</v>
      </c>
      <c r="D32" s="22" t="s">
        <v>65</v>
      </c>
      <c r="E32" s="22" t="s">
        <v>66</v>
      </c>
      <c r="F32" s="23">
        <v>138481</v>
      </c>
      <c r="G32" s="23" t="s">
        <v>146</v>
      </c>
      <c r="H32" s="25"/>
      <c r="I32" s="25"/>
      <c r="J32" s="25"/>
      <c r="K32" s="25">
        <v>240</v>
      </c>
      <c r="L32" s="26"/>
      <c r="M32" s="27">
        <f t="shared" si="0"/>
        <v>214.28571428571428</v>
      </c>
      <c r="N32" s="27">
        <f t="shared" si="1"/>
        <v>25.714285714285712</v>
      </c>
      <c r="O32" s="27">
        <f t="shared" si="2"/>
        <v>0</v>
      </c>
      <c r="P32" s="27">
        <v>214.29</v>
      </c>
      <c r="Q32" s="28"/>
      <c r="R32" s="28"/>
      <c r="S32" s="29"/>
      <c r="T32" s="29"/>
      <c r="U32" s="29"/>
      <c r="V32" s="29"/>
      <c r="W32" s="29"/>
      <c r="X32" s="28"/>
      <c r="Y32" s="28"/>
      <c r="Z32" s="28"/>
      <c r="AA32" s="28"/>
      <c r="AB32" s="29"/>
      <c r="AC32" s="29"/>
      <c r="AD32" s="28"/>
      <c r="AE32" s="28"/>
      <c r="AF32" s="27">
        <f>-SUM(N32:AE32)</f>
        <v>-240.00428571428571</v>
      </c>
      <c r="AG32" s="30">
        <f>SUM(H32:K32)+AF32+O32</f>
        <v>-4.2857142857144481E-3</v>
      </c>
    </row>
    <row r="33" spans="1:33" s="31" customFormat="1" ht="23.25" customHeight="1" x14ac:dyDescent="0.2">
      <c r="A33" s="20">
        <v>43819</v>
      </c>
      <c r="B33" s="21"/>
      <c r="C33" s="22" t="s">
        <v>45</v>
      </c>
      <c r="D33" s="22" t="s">
        <v>46</v>
      </c>
      <c r="E33" s="22" t="s">
        <v>47</v>
      </c>
      <c r="F33" s="23">
        <v>205484</v>
      </c>
      <c r="G33" s="23" t="s">
        <v>173</v>
      </c>
      <c r="H33" s="25"/>
      <c r="I33" s="25"/>
      <c r="J33" s="25">
        <v>756.65</v>
      </c>
      <c r="K33" s="25"/>
      <c r="L33" s="26"/>
      <c r="M33" s="27">
        <f t="shared" si="0"/>
        <v>756.65</v>
      </c>
      <c r="N33" s="27">
        <f t="shared" si="1"/>
        <v>0</v>
      </c>
      <c r="O33" s="27">
        <f t="shared" si="2"/>
        <v>0</v>
      </c>
      <c r="P33" s="27">
        <v>756.65</v>
      </c>
      <c r="Q33" s="28"/>
      <c r="R33" s="28"/>
      <c r="S33" s="29"/>
      <c r="T33" s="29"/>
      <c r="U33" s="29"/>
      <c r="V33" s="29"/>
      <c r="W33" s="29"/>
      <c r="X33" s="28"/>
      <c r="Y33" s="28"/>
      <c r="Z33" s="28"/>
      <c r="AA33" s="28"/>
      <c r="AB33" s="29"/>
      <c r="AC33" s="29"/>
      <c r="AD33" s="28"/>
      <c r="AE33" s="28"/>
      <c r="AF33" s="27">
        <f>-SUM(N33:AE33)</f>
        <v>-756.65</v>
      </c>
      <c r="AG33" s="30">
        <f>SUM(H33:K33)+AF33+O33</f>
        <v>0</v>
      </c>
    </row>
    <row r="34" spans="1:33" s="31" customFormat="1" ht="23.25" customHeight="1" x14ac:dyDescent="0.2">
      <c r="A34" s="20">
        <v>43819</v>
      </c>
      <c r="B34" s="21"/>
      <c r="C34" s="22" t="s">
        <v>45</v>
      </c>
      <c r="D34" s="22" t="s">
        <v>46</v>
      </c>
      <c r="E34" s="22" t="s">
        <v>47</v>
      </c>
      <c r="F34" s="23">
        <v>205484</v>
      </c>
      <c r="G34" s="23" t="s">
        <v>174</v>
      </c>
      <c r="H34" s="25"/>
      <c r="I34" s="25"/>
      <c r="J34" s="25"/>
      <c r="K34" s="25">
        <f>363.84+43.66</f>
        <v>407.5</v>
      </c>
      <c r="L34" s="26"/>
      <c r="M34" s="27">
        <f t="shared" si="0"/>
        <v>363.83928571428567</v>
      </c>
      <c r="N34" s="27">
        <f t="shared" si="1"/>
        <v>43.660714285714278</v>
      </c>
      <c r="O34" s="27">
        <f t="shared" si="2"/>
        <v>0</v>
      </c>
      <c r="P34" s="27">
        <v>363.84</v>
      </c>
      <c r="Q34" s="28"/>
      <c r="R34" s="28"/>
      <c r="S34" s="29"/>
      <c r="T34" s="29"/>
      <c r="U34" s="29"/>
      <c r="V34" s="29"/>
      <c r="W34" s="29"/>
      <c r="X34" s="28"/>
      <c r="Y34" s="28"/>
      <c r="Z34" s="28"/>
      <c r="AA34" s="28"/>
      <c r="AB34" s="29"/>
      <c r="AC34" s="29"/>
      <c r="AD34" s="28"/>
      <c r="AE34" s="28"/>
      <c r="AF34" s="27">
        <f>-SUM(N34:AE34)</f>
        <v>-407.50071428571425</v>
      </c>
      <c r="AG34" s="30">
        <f>SUM(H34:K34)+AF34+O34</f>
        <v>-7.1428571425258269E-4</v>
      </c>
    </row>
    <row r="35" spans="1:33" s="31" customFormat="1" ht="23.25" customHeight="1" x14ac:dyDescent="0.2">
      <c r="A35" s="20">
        <v>43819</v>
      </c>
      <c r="B35" s="21"/>
      <c r="C35" s="22" t="s">
        <v>52</v>
      </c>
      <c r="D35" s="22" t="s">
        <v>53</v>
      </c>
      <c r="E35" s="22" t="s">
        <v>54</v>
      </c>
      <c r="F35" s="23">
        <v>209496</v>
      </c>
      <c r="G35" s="23" t="s">
        <v>55</v>
      </c>
      <c r="H35" s="25"/>
      <c r="I35" s="25"/>
      <c r="J35" s="25"/>
      <c r="K35" s="25">
        <v>180</v>
      </c>
      <c r="L35" s="26"/>
      <c r="M35" s="27">
        <f t="shared" si="0"/>
        <v>160.71428571428569</v>
      </c>
      <c r="N35" s="27">
        <f t="shared" si="1"/>
        <v>19.285714285714281</v>
      </c>
      <c r="O35" s="27">
        <f t="shared" si="2"/>
        <v>0</v>
      </c>
      <c r="P35" s="27"/>
      <c r="Q35" s="28">
        <v>160.71</v>
      </c>
      <c r="R35" s="28"/>
      <c r="S35" s="29"/>
      <c r="T35" s="29"/>
      <c r="U35" s="29"/>
      <c r="V35" s="29"/>
      <c r="W35" s="29"/>
      <c r="X35" s="28"/>
      <c r="Y35" s="28"/>
      <c r="Z35" s="28"/>
      <c r="AA35" s="28"/>
      <c r="AB35" s="29"/>
      <c r="AC35" s="29"/>
      <c r="AD35" s="28"/>
      <c r="AE35" s="28"/>
      <c r="AF35" s="27">
        <f>-SUM(N35:AE35)</f>
        <v>-179.99571428571429</v>
      </c>
      <c r="AG35" s="30">
        <f>SUM(H35:K35)+AF35+O35</f>
        <v>4.2857142857144481E-3</v>
      </c>
    </row>
    <row r="36" spans="1:33" s="31" customFormat="1" ht="23.25" customHeight="1" x14ac:dyDescent="0.2">
      <c r="A36" s="20">
        <v>43822</v>
      </c>
      <c r="B36" s="21"/>
      <c r="C36" s="22" t="s">
        <v>52</v>
      </c>
      <c r="D36" s="22" t="s">
        <v>53</v>
      </c>
      <c r="E36" s="22" t="s">
        <v>54</v>
      </c>
      <c r="F36" s="23">
        <v>214641</v>
      </c>
      <c r="G36" s="23" t="s">
        <v>55</v>
      </c>
      <c r="H36" s="25"/>
      <c r="I36" s="25"/>
      <c r="J36" s="25"/>
      <c r="K36" s="25">
        <v>180</v>
      </c>
      <c r="L36" s="26"/>
      <c r="M36" s="27">
        <f t="shared" si="0"/>
        <v>160.71428571428569</v>
      </c>
      <c r="N36" s="27">
        <f t="shared" si="1"/>
        <v>19.285714285714281</v>
      </c>
      <c r="O36" s="27">
        <f t="shared" si="2"/>
        <v>0</v>
      </c>
      <c r="P36" s="27"/>
      <c r="Q36" s="28">
        <v>160.71</v>
      </c>
      <c r="R36" s="28"/>
      <c r="S36" s="29"/>
      <c r="T36" s="29"/>
      <c r="U36" s="29"/>
      <c r="V36" s="29"/>
      <c r="W36" s="29"/>
      <c r="X36" s="28"/>
      <c r="Y36" s="28"/>
      <c r="Z36" s="28"/>
      <c r="AA36" s="28"/>
      <c r="AB36" s="29"/>
      <c r="AC36" s="29"/>
      <c r="AD36" s="28"/>
      <c r="AE36" s="28"/>
      <c r="AF36" s="27">
        <f>-SUM(N36:AE36)</f>
        <v>-179.99571428571429</v>
      </c>
      <c r="AG36" s="30">
        <f>SUM(H36:K36)+AF36+O36</f>
        <v>4.2857142857144481E-3</v>
      </c>
    </row>
    <row r="37" spans="1:33" s="31" customFormat="1" ht="23.25" customHeight="1" x14ac:dyDescent="0.2">
      <c r="A37" s="20">
        <v>43825</v>
      </c>
      <c r="B37" s="21"/>
      <c r="C37" s="22" t="s">
        <v>41</v>
      </c>
      <c r="D37" s="22" t="s">
        <v>42</v>
      </c>
      <c r="E37" s="22" t="s">
        <v>43</v>
      </c>
      <c r="F37" s="23">
        <v>3385</v>
      </c>
      <c r="G37" s="24" t="s">
        <v>175</v>
      </c>
      <c r="H37" s="25"/>
      <c r="I37" s="25"/>
      <c r="J37" s="25">
        <v>459</v>
      </c>
      <c r="K37" s="25"/>
      <c r="L37" s="26"/>
      <c r="M37" s="27">
        <f t="shared" ref="M37:M53" si="3">SUM(H37:J37,K37/1.12)</f>
        <v>459</v>
      </c>
      <c r="N37" s="27">
        <f t="shared" ref="N37:N53" si="4">K37/1.12*0.12</f>
        <v>0</v>
      </c>
      <c r="O37" s="27">
        <f t="shared" ref="O37:O53" si="5">-SUM(I37:J37,K37/1.12)*L37</f>
        <v>0</v>
      </c>
      <c r="P37" s="28">
        <v>459</v>
      </c>
      <c r="Q37" s="28"/>
      <c r="R37" s="28"/>
      <c r="S37" s="29"/>
      <c r="T37" s="29"/>
      <c r="U37" s="29"/>
      <c r="V37" s="29"/>
      <c r="W37" s="29"/>
      <c r="X37" s="28"/>
      <c r="Y37" s="28"/>
      <c r="Z37" s="28"/>
      <c r="AA37" s="28"/>
      <c r="AB37" s="29"/>
      <c r="AC37" s="29"/>
      <c r="AD37" s="28"/>
      <c r="AE37" s="28"/>
      <c r="AF37" s="27">
        <f>-SUM(N37:AE37)</f>
        <v>-459</v>
      </c>
      <c r="AG37" s="30">
        <f>SUM(H37:K37)+AF37+O37</f>
        <v>0</v>
      </c>
    </row>
    <row r="38" spans="1:33" s="31" customFormat="1" ht="23.25" customHeight="1" x14ac:dyDescent="0.2">
      <c r="A38" s="20">
        <v>43825</v>
      </c>
      <c r="B38" s="21"/>
      <c r="C38" s="22" t="s">
        <v>50</v>
      </c>
      <c r="D38" s="22"/>
      <c r="E38" s="22"/>
      <c r="F38" s="23"/>
      <c r="G38" s="24" t="s">
        <v>176</v>
      </c>
      <c r="H38" s="25">
        <v>50</v>
      </c>
      <c r="I38" s="25"/>
      <c r="J38" s="25"/>
      <c r="K38" s="25"/>
      <c r="L38" s="26"/>
      <c r="M38" s="27">
        <f t="shared" si="3"/>
        <v>50</v>
      </c>
      <c r="N38" s="27">
        <f t="shared" si="4"/>
        <v>0</v>
      </c>
      <c r="O38" s="27">
        <f t="shared" si="5"/>
        <v>0</v>
      </c>
      <c r="P38" s="28"/>
      <c r="Q38" s="28"/>
      <c r="R38" s="28"/>
      <c r="S38" s="29"/>
      <c r="T38" s="29"/>
      <c r="U38" s="29"/>
      <c r="V38" s="29"/>
      <c r="W38" s="29"/>
      <c r="X38" s="28"/>
      <c r="Y38" s="28"/>
      <c r="Z38" s="28"/>
      <c r="AA38" s="28">
        <v>50</v>
      </c>
      <c r="AB38" s="29"/>
      <c r="AC38" s="29"/>
      <c r="AD38" s="28"/>
      <c r="AE38" s="28"/>
      <c r="AF38" s="27">
        <f>-SUM(N38:AE38)</f>
        <v>-50</v>
      </c>
      <c r="AG38" s="30">
        <f>SUM(H38:K38)+AF38+O38</f>
        <v>0</v>
      </c>
    </row>
    <row r="39" spans="1:33" s="31" customFormat="1" ht="23.25" customHeight="1" x14ac:dyDescent="0.2">
      <c r="A39" s="20">
        <v>43825</v>
      </c>
      <c r="B39" s="21"/>
      <c r="C39" s="22" t="s">
        <v>64</v>
      </c>
      <c r="D39" s="22" t="s">
        <v>65</v>
      </c>
      <c r="E39" s="22" t="s">
        <v>66</v>
      </c>
      <c r="F39" s="23">
        <v>100609</v>
      </c>
      <c r="G39" s="24" t="s">
        <v>177</v>
      </c>
      <c r="H39" s="25"/>
      <c r="I39" s="25"/>
      <c r="J39" s="25"/>
      <c r="K39" s="25">
        <v>396</v>
      </c>
      <c r="L39" s="26"/>
      <c r="M39" s="27">
        <f t="shared" si="3"/>
        <v>353.57142857142856</v>
      </c>
      <c r="N39" s="27">
        <f t="shared" si="4"/>
        <v>42.428571428571423</v>
      </c>
      <c r="O39" s="27">
        <f t="shared" si="5"/>
        <v>0</v>
      </c>
      <c r="P39" s="28">
        <v>353.57</v>
      </c>
      <c r="Q39" s="28"/>
      <c r="R39" s="28"/>
      <c r="S39" s="29"/>
      <c r="T39" s="29"/>
      <c r="U39" s="29"/>
      <c r="V39" s="29"/>
      <c r="W39" s="29"/>
      <c r="X39" s="28"/>
      <c r="Y39" s="28"/>
      <c r="Z39" s="28"/>
      <c r="AA39" s="28"/>
      <c r="AB39" s="29"/>
      <c r="AC39" s="29"/>
      <c r="AD39" s="28"/>
      <c r="AE39" s="28"/>
      <c r="AF39" s="27">
        <f>-SUM(N39:AE39)</f>
        <v>-395.99857142857144</v>
      </c>
      <c r="AG39" s="30">
        <f>SUM(H39:K39)+AF39+O39</f>
        <v>1.4285714285620088E-3</v>
      </c>
    </row>
    <row r="40" spans="1:33" s="31" customFormat="1" ht="23.25" customHeight="1" x14ac:dyDescent="0.2">
      <c r="A40" s="20">
        <v>43825</v>
      </c>
      <c r="B40" s="21"/>
      <c r="C40" s="22" t="s">
        <v>45</v>
      </c>
      <c r="D40" s="22" t="s">
        <v>46</v>
      </c>
      <c r="E40" s="22" t="s">
        <v>47</v>
      </c>
      <c r="F40" s="23">
        <v>184015</v>
      </c>
      <c r="G40" s="24" t="s">
        <v>178</v>
      </c>
      <c r="H40" s="25"/>
      <c r="I40" s="25"/>
      <c r="J40" s="25"/>
      <c r="K40" s="25">
        <v>973.25</v>
      </c>
      <c r="L40" s="26"/>
      <c r="M40" s="27">
        <f t="shared" si="3"/>
        <v>868.97321428571422</v>
      </c>
      <c r="N40" s="27">
        <f t="shared" si="4"/>
        <v>104.27678571428571</v>
      </c>
      <c r="O40" s="27">
        <f t="shared" si="5"/>
        <v>0</v>
      </c>
      <c r="P40" s="28">
        <v>868.97</v>
      </c>
      <c r="Q40" s="28"/>
      <c r="R40" s="28"/>
      <c r="S40" s="29"/>
      <c r="T40" s="29"/>
      <c r="U40" s="29"/>
      <c r="V40" s="29"/>
      <c r="W40" s="29"/>
      <c r="X40" s="28"/>
      <c r="Y40" s="28"/>
      <c r="Z40" s="28"/>
      <c r="AA40" s="28"/>
      <c r="AB40" s="29"/>
      <c r="AC40" s="29"/>
      <c r="AD40" s="28"/>
      <c r="AE40" s="28"/>
      <c r="AF40" s="27">
        <f>-SUM(N40:AE40)</f>
        <v>-973.24678571428569</v>
      </c>
      <c r="AG40" s="30">
        <f>SUM(H40:K40)+AF40+O40</f>
        <v>3.2142857143071524E-3</v>
      </c>
    </row>
    <row r="41" spans="1:33" s="31" customFormat="1" ht="23.25" customHeight="1" x14ac:dyDescent="0.2">
      <c r="A41" s="20">
        <v>43825</v>
      </c>
      <c r="B41" s="21"/>
      <c r="C41" s="22" t="s">
        <v>179</v>
      </c>
      <c r="D41" s="22"/>
      <c r="E41" s="22"/>
      <c r="F41" s="23"/>
      <c r="G41" s="24" t="s">
        <v>180</v>
      </c>
      <c r="H41" s="25">
        <v>88.77</v>
      </c>
      <c r="I41" s="25"/>
      <c r="J41" s="25"/>
      <c r="K41" s="25"/>
      <c r="L41" s="26"/>
      <c r="M41" s="27">
        <f t="shared" si="3"/>
        <v>88.77</v>
      </c>
      <c r="N41" s="27">
        <f t="shared" si="4"/>
        <v>0</v>
      </c>
      <c r="O41" s="27">
        <f t="shared" si="5"/>
        <v>0</v>
      </c>
      <c r="P41" s="28"/>
      <c r="Q41" s="28"/>
      <c r="R41" s="28"/>
      <c r="S41" s="29"/>
      <c r="T41" s="29"/>
      <c r="U41" s="29"/>
      <c r="V41" s="29"/>
      <c r="W41" s="29"/>
      <c r="X41" s="28"/>
      <c r="Y41" s="28"/>
      <c r="Z41" s="28"/>
      <c r="AA41" s="28"/>
      <c r="AB41" s="29"/>
      <c r="AC41" s="29"/>
      <c r="AD41" s="28">
        <v>88.77</v>
      </c>
      <c r="AE41" s="28"/>
      <c r="AF41" s="27">
        <f>-SUM(N41:AE41)</f>
        <v>-88.77</v>
      </c>
      <c r="AG41" s="30">
        <f>SUM(H41:K41)+AF41+O41</f>
        <v>0</v>
      </c>
    </row>
    <row r="42" spans="1:33" s="31" customFormat="1" ht="23.25" customHeight="1" x14ac:dyDescent="0.2">
      <c r="A42" s="20">
        <v>43825</v>
      </c>
      <c r="B42" s="21"/>
      <c r="C42" s="22" t="s">
        <v>45</v>
      </c>
      <c r="D42" s="22" t="s">
        <v>46</v>
      </c>
      <c r="E42" s="22" t="s">
        <v>47</v>
      </c>
      <c r="F42" s="23">
        <v>243662</v>
      </c>
      <c r="G42" s="23" t="s">
        <v>181</v>
      </c>
      <c r="H42" s="25"/>
      <c r="I42" s="25"/>
      <c r="J42" s="25"/>
      <c r="K42" s="25">
        <f>1012.23+121.47</f>
        <v>1133.7</v>
      </c>
      <c r="L42" s="26"/>
      <c r="M42" s="27">
        <f t="shared" si="3"/>
        <v>1012.2321428571428</v>
      </c>
      <c r="N42" s="27">
        <f t="shared" si="4"/>
        <v>121.46785714285713</v>
      </c>
      <c r="O42" s="27">
        <f t="shared" si="5"/>
        <v>0</v>
      </c>
      <c r="P42" s="27">
        <v>1012.23</v>
      </c>
      <c r="Q42" s="28"/>
      <c r="R42" s="28"/>
      <c r="S42" s="29"/>
      <c r="T42" s="29"/>
      <c r="U42" s="29"/>
      <c r="V42" s="29"/>
      <c r="W42" s="29"/>
      <c r="X42" s="28"/>
      <c r="Y42" s="28"/>
      <c r="Z42" s="28"/>
      <c r="AA42" s="28"/>
      <c r="AB42" s="29"/>
      <c r="AC42" s="29"/>
      <c r="AD42" s="28"/>
      <c r="AE42" s="28"/>
      <c r="AF42" s="27">
        <f>-SUM(N42:AE42)</f>
        <v>-1133.6978571428572</v>
      </c>
      <c r="AG42" s="30">
        <f>SUM(H42:K42)+AF42+O42</f>
        <v>2.1428571428714349E-3</v>
      </c>
    </row>
    <row r="43" spans="1:33" s="31" customFormat="1" ht="23.25" customHeight="1" x14ac:dyDescent="0.2">
      <c r="A43" s="20">
        <v>43825</v>
      </c>
      <c r="B43" s="21"/>
      <c r="C43" s="22" t="s">
        <v>45</v>
      </c>
      <c r="D43" s="22" t="s">
        <v>46</v>
      </c>
      <c r="E43" s="22" t="s">
        <v>47</v>
      </c>
      <c r="F43" s="23">
        <v>243662</v>
      </c>
      <c r="G43" s="24" t="s">
        <v>182</v>
      </c>
      <c r="H43" s="25"/>
      <c r="I43" s="25"/>
      <c r="J43" s="25">
        <v>311.89999999999998</v>
      </c>
      <c r="K43" s="25"/>
      <c r="L43" s="26"/>
      <c r="M43" s="27">
        <f t="shared" si="3"/>
        <v>311.89999999999998</v>
      </c>
      <c r="N43" s="27">
        <f t="shared" si="4"/>
        <v>0</v>
      </c>
      <c r="O43" s="27">
        <f t="shared" si="5"/>
        <v>0</v>
      </c>
      <c r="P43" s="27">
        <v>311.89999999999998</v>
      </c>
      <c r="Q43" s="28"/>
      <c r="R43" s="28"/>
      <c r="S43" s="29"/>
      <c r="T43" s="29"/>
      <c r="U43" s="29"/>
      <c r="V43" s="29"/>
      <c r="W43" s="29"/>
      <c r="X43" s="28"/>
      <c r="Y43" s="28"/>
      <c r="Z43" s="28"/>
      <c r="AA43" s="28"/>
      <c r="AB43" s="29"/>
      <c r="AC43" s="29"/>
      <c r="AD43" s="28"/>
      <c r="AE43" s="28"/>
      <c r="AF43" s="27">
        <f>-SUM(N43:AE43)</f>
        <v>-311.89999999999998</v>
      </c>
      <c r="AG43" s="30">
        <f>SUM(H43:K43)+AF43+O43</f>
        <v>0</v>
      </c>
    </row>
    <row r="44" spans="1:33" s="54" customFormat="1" ht="23.25" customHeight="1" x14ac:dyDescent="0.2">
      <c r="A44" s="43">
        <v>43825</v>
      </c>
      <c r="B44" s="44"/>
      <c r="C44" s="45" t="s">
        <v>64</v>
      </c>
      <c r="D44" s="45" t="s">
        <v>65</v>
      </c>
      <c r="E44" s="45" t="s">
        <v>66</v>
      </c>
      <c r="F44" s="46">
        <v>100618</v>
      </c>
      <c r="G44" s="47" t="s">
        <v>111</v>
      </c>
      <c r="H44" s="48"/>
      <c r="I44" s="48"/>
      <c r="J44" s="48"/>
      <c r="K44" s="48">
        <v>273</v>
      </c>
      <c r="L44" s="49"/>
      <c r="M44" s="50">
        <f t="shared" si="3"/>
        <v>243.74999999999997</v>
      </c>
      <c r="N44" s="50">
        <f t="shared" si="4"/>
        <v>29.249999999999996</v>
      </c>
      <c r="O44" s="50">
        <f t="shared" si="5"/>
        <v>0</v>
      </c>
      <c r="P44" s="50">
        <v>243.75</v>
      </c>
      <c r="Q44" s="51"/>
      <c r="R44" s="51"/>
      <c r="S44" s="52"/>
      <c r="T44" s="52"/>
      <c r="U44" s="52"/>
      <c r="V44" s="52"/>
      <c r="W44" s="52"/>
      <c r="X44" s="51"/>
      <c r="Y44" s="51"/>
      <c r="Z44" s="51"/>
      <c r="AA44" s="51"/>
      <c r="AB44" s="52"/>
      <c r="AC44" s="52"/>
      <c r="AD44" s="51"/>
      <c r="AE44" s="51"/>
      <c r="AF44" s="50">
        <f>-SUM(N44:AE44)</f>
        <v>-273</v>
      </c>
      <c r="AG44" s="53">
        <f>SUM(H44:K44)+AF44+O44</f>
        <v>0</v>
      </c>
    </row>
    <row r="45" spans="1:33" s="31" customFormat="1" ht="23.25" hidden="1" customHeight="1" x14ac:dyDescent="0.2">
      <c r="A45" s="20"/>
      <c r="B45" s="21"/>
      <c r="C45" s="22"/>
      <c r="D45" s="22"/>
      <c r="E45" s="22"/>
      <c r="F45" s="23"/>
      <c r="G45" s="24"/>
      <c r="H45" s="25"/>
      <c r="I45" s="25"/>
      <c r="J45" s="25"/>
      <c r="K45" s="25"/>
      <c r="L45" s="26"/>
      <c r="M45" s="27">
        <f t="shared" si="3"/>
        <v>0</v>
      </c>
      <c r="N45" s="27">
        <f t="shared" si="4"/>
        <v>0</v>
      </c>
      <c r="O45" s="27">
        <f t="shared" si="5"/>
        <v>0</v>
      </c>
      <c r="P45" s="27"/>
      <c r="Q45" s="28"/>
      <c r="R45" s="28"/>
      <c r="S45" s="29"/>
      <c r="T45" s="29"/>
      <c r="U45" s="29"/>
      <c r="V45" s="29"/>
      <c r="W45" s="29"/>
      <c r="X45" s="28"/>
      <c r="Y45" s="28"/>
      <c r="Z45" s="28"/>
      <c r="AA45" s="28"/>
      <c r="AB45" s="29"/>
      <c r="AC45" s="29"/>
      <c r="AD45" s="28"/>
      <c r="AE45" s="28"/>
      <c r="AF45" s="27">
        <f>-SUM(N45:AE45)</f>
        <v>0</v>
      </c>
      <c r="AG45" s="30">
        <f>SUM(H45:K45)+AF45+O45</f>
        <v>0</v>
      </c>
    </row>
    <row r="46" spans="1:33" s="31" customFormat="1" ht="23.25" hidden="1" customHeight="1" x14ac:dyDescent="0.2">
      <c r="A46" s="20"/>
      <c r="B46" s="21"/>
      <c r="C46" s="22"/>
      <c r="D46" s="22"/>
      <c r="E46" s="22"/>
      <c r="F46" s="23"/>
      <c r="G46" s="23"/>
      <c r="H46" s="25"/>
      <c r="I46" s="25"/>
      <c r="J46" s="25"/>
      <c r="K46" s="25"/>
      <c r="L46" s="26"/>
      <c r="M46" s="27">
        <f t="shared" si="3"/>
        <v>0</v>
      </c>
      <c r="N46" s="27">
        <f t="shared" si="4"/>
        <v>0</v>
      </c>
      <c r="O46" s="27">
        <f t="shared" si="5"/>
        <v>0</v>
      </c>
      <c r="P46" s="28"/>
      <c r="Q46" s="28"/>
      <c r="R46" s="28"/>
      <c r="S46" s="29"/>
      <c r="T46" s="29"/>
      <c r="U46" s="29"/>
      <c r="V46" s="29"/>
      <c r="W46" s="29"/>
      <c r="X46" s="28"/>
      <c r="Y46" s="28"/>
      <c r="Z46" s="28"/>
      <c r="AA46" s="28"/>
      <c r="AB46" s="29"/>
      <c r="AC46" s="29"/>
      <c r="AD46" s="28"/>
      <c r="AE46" s="28"/>
      <c r="AF46" s="27">
        <f>-SUM(N46:AE46)</f>
        <v>0</v>
      </c>
      <c r="AG46" s="30">
        <f>SUM(H46:K46)+AF46+O46</f>
        <v>0</v>
      </c>
    </row>
    <row r="47" spans="1:33" s="31" customFormat="1" ht="23.25" customHeight="1" x14ac:dyDescent="0.2">
      <c r="A47" s="20">
        <v>43826</v>
      </c>
      <c r="B47" s="21"/>
      <c r="C47" s="22" t="s">
        <v>45</v>
      </c>
      <c r="D47" s="22" t="s">
        <v>46</v>
      </c>
      <c r="E47" s="22" t="s">
        <v>47</v>
      </c>
      <c r="F47" s="23">
        <v>224742</v>
      </c>
      <c r="G47" s="23" t="s">
        <v>183</v>
      </c>
      <c r="H47" s="25"/>
      <c r="I47" s="25"/>
      <c r="J47" s="25"/>
      <c r="K47" s="25">
        <v>396.45</v>
      </c>
      <c r="L47" s="26"/>
      <c r="M47" s="27">
        <f t="shared" si="3"/>
        <v>353.97321428571422</v>
      </c>
      <c r="N47" s="27">
        <f t="shared" si="4"/>
        <v>42.476785714285704</v>
      </c>
      <c r="O47" s="27">
        <f t="shared" si="5"/>
        <v>0</v>
      </c>
      <c r="P47" s="27">
        <v>353.97</v>
      </c>
      <c r="Q47" s="28"/>
      <c r="R47" s="28"/>
      <c r="S47" s="29"/>
      <c r="T47" s="29"/>
      <c r="U47" s="29"/>
      <c r="V47" s="29"/>
      <c r="W47" s="29"/>
      <c r="X47" s="28"/>
      <c r="Y47" s="28"/>
      <c r="Z47" s="28"/>
      <c r="AA47" s="28"/>
      <c r="AB47" s="29"/>
      <c r="AC47" s="29"/>
      <c r="AD47" s="28"/>
      <c r="AE47" s="28"/>
      <c r="AF47" s="27">
        <f>-SUM(N47:AE47)</f>
        <v>-396.44678571428574</v>
      </c>
      <c r="AG47" s="30">
        <f>SUM(H47:K47)+AF47+O47</f>
        <v>3.214285714250309E-3</v>
      </c>
    </row>
    <row r="48" spans="1:33" s="31" customFormat="1" ht="23.25" customHeight="1" x14ac:dyDescent="0.2">
      <c r="A48" s="20">
        <v>43826</v>
      </c>
      <c r="B48" s="21"/>
      <c r="C48" s="22" t="s">
        <v>52</v>
      </c>
      <c r="D48" s="22" t="s">
        <v>53</v>
      </c>
      <c r="E48" s="22" t="s">
        <v>54</v>
      </c>
      <c r="F48" s="23">
        <v>214733</v>
      </c>
      <c r="G48" s="23" t="s">
        <v>55</v>
      </c>
      <c r="H48" s="25"/>
      <c r="I48" s="25"/>
      <c r="J48" s="25"/>
      <c r="K48" s="25">
        <v>180</v>
      </c>
      <c r="L48" s="26"/>
      <c r="M48" s="27">
        <f t="shared" si="3"/>
        <v>160.71428571428569</v>
      </c>
      <c r="N48" s="27">
        <f t="shared" si="4"/>
        <v>19.285714285714281</v>
      </c>
      <c r="O48" s="27">
        <f t="shared" si="5"/>
        <v>0</v>
      </c>
      <c r="P48" s="27"/>
      <c r="Q48" s="28">
        <v>160.71</v>
      </c>
      <c r="R48" s="28"/>
      <c r="S48" s="29"/>
      <c r="T48" s="29"/>
      <c r="U48" s="29"/>
      <c r="V48" s="29"/>
      <c r="W48" s="29"/>
      <c r="X48" s="28"/>
      <c r="Y48" s="28"/>
      <c r="Z48" s="28"/>
      <c r="AA48" s="28"/>
      <c r="AB48" s="29"/>
      <c r="AC48" s="29"/>
      <c r="AD48" s="28"/>
      <c r="AE48" s="28"/>
      <c r="AF48" s="27">
        <f>-SUM(N48:AE48)</f>
        <v>-179.99571428571429</v>
      </c>
      <c r="AG48" s="30">
        <f>SUM(H48:K48)+AF48+O48</f>
        <v>4.2857142857144481E-3</v>
      </c>
    </row>
    <row r="49" spans="1:33" s="31" customFormat="1" ht="23.25" customHeight="1" x14ac:dyDescent="0.2">
      <c r="A49" s="20">
        <v>43826</v>
      </c>
      <c r="B49" s="21"/>
      <c r="C49" s="22" t="s">
        <v>184</v>
      </c>
      <c r="D49" s="22" t="s">
        <v>185</v>
      </c>
      <c r="E49" s="22" t="s">
        <v>186</v>
      </c>
      <c r="F49" s="23">
        <v>398701</v>
      </c>
      <c r="G49" s="23" t="s">
        <v>67</v>
      </c>
      <c r="H49" s="25"/>
      <c r="I49" s="25"/>
      <c r="J49" s="25"/>
      <c r="K49" s="25">
        <v>130</v>
      </c>
      <c r="L49" s="26"/>
      <c r="M49" s="27">
        <f t="shared" si="3"/>
        <v>116.07142857142856</v>
      </c>
      <c r="N49" s="27">
        <f t="shared" si="4"/>
        <v>13.928571428571425</v>
      </c>
      <c r="O49" s="27">
        <f t="shared" si="5"/>
        <v>0</v>
      </c>
      <c r="P49" s="27">
        <v>116.07</v>
      </c>
      <c r="Q49" s="28"/>
      <c r="R49" s="28"/>
      <c r="S49" s="29"/>
      <c r="T49" s="29"/>
      <c r="U49" s="29"/>
      <c r="V49" s="29"/>
      <c r="W49" s="29"/>
      <c r="X49" s="28"/>
      <c r="Y49" s="28"/>
      <c r="Z49" s="28"/>
      <c r="AA49" s="28"/>
      <c r="AB49" s="29"/>
      <c r="AC49" s="29"/>
      <c r="AD49" s="28"/>
      <c r="AE49" s="28"/>
      <c r="AF49" s="27">
        <f>-SUM(N49:AE49)</f>
        <v>-129.99857142857141</v>
      </c>
      <c r="AG49" s="30">
        <f>SUM(H49:K49)+AF49+O49</f>
        <v>1.4285714285904305E-3</v>
      </c>
    </row>
    <row r="50" spans="1:33" s="31" customFormat="1" ht="23.25" customHeight="1" x14ac:dyDescent="0.2">
      <c r="A50" s="20">
        <v>43826</v>
      </c>
      <c r="B50" s="21"/>
      <c r="C50" s="22" t="s">
        <v>187</v>
      </c>
      <c r="D50" s="22" t="s">
        <v>188</v>
      </c>
      <c r="E50" s="22" t="s">
        <v>43</v>
      </c>
      <c r="F50" s="23">
        <v>10663</v>
      </c>
      <c r="G50" s="23" t="s">
        <v>189</v>
      </c>
      <c r="H50" s="25"/>
      <c r="I50" s="25"/>
      <c r="J50" s="25">
        <v>220</v>
      </c>
      <c r="K50" s="25"/>
      <c r="L50" s="26"/>
      <c r="M50" s="27">
        <f t="shared" si="3"/>
        <v>220</v>
      </c>
      <c r="N50" s="27">
        <f t="shared" si="4"/>
        <v>0</v>
      </c>
      <c r="O50" s="27">
        <f t="shared" si="5"/>
        <v>0</v>
      </c>
      <c r="P50" s="27">
        <v>220</v>
      </c>
      <c r="Q50" s="28"/>
      <c r="R50" s="28"/>
      <c r="S50" s="29"/>
      <c r="T50" s="29"/>
      <c r="U50" s="29"/>
      <c r="V50" s="29"/>
      <c r="W50" s="29"/>
      <c r="X50" s="28"/>
      <c r="Y50" s="28"/>
      <c r="Z50" s="28"/>
      <c r="AA50" s="28"/>
      <c r="AB50" s="29"/>
      <c r="AC50" s="29"/>
      <c r="AD50" s="28"/>
      <c r="AE50" s="28"/>
      <c r="AF50" s="27">
        <f>-SUM(N50:AE50)</f>
        <v>-220</v>
      </c>
      <c r="AG50" s="30">
        <f>SUM(H50:K50)+AF50+O50</f>
        <v>0</v>
      </c>
    </row>
    <row r="51" spans="1:33" s="31" customFormat="1" ht="23.25" customHeight="1" x14ac:dyDescent="0.2">
      <c r="A51" s="20">
        <v>43826</v>
      </c>
      <c r="B51" s="21"/>
      <c r="C51" s="22" t="s">
        <v>64</v>
      </c>
      <c r="D51" s="22" t="s">
        <v>65</v>
      </c>
      <c r="E51" s="22" t="s">
        <v>66</v>
      </c>
      <c r="F51" s="23">
        <v>90477</v>
      </c>
      <c r="G51" s="23" t="s">
        <v>190</v>
      </c>
      <c r="H51" s="25"/>
      <c r="I51" s="25"/>
      <c r="J51" s="25"/>
      <c r="K51" s="25">
        <v>694.5</v>
      </c>
      <c r="L51" s="26"/>
      <c r="M51" s="27">
        <f t="shared" si="3"/>
        <v>620.08928571428567</v>
      </c>
      <c r="N51" s="27">
        <f t="shared" si="4"/>
        <v>74.410714285714278</v>
      </c>
      <c r="O51" s="27">
        <f t="shared" si="5"/>
        <v>0</v>
      </c>
      <c r="P51" s="27">
        <v>620.09</v>
      </c>
      <c r="Q51" s="28"/>
      <c r="R51" s="28"/>
      <c r="S51" s="29"/>
      <c r="T51" s="29"/>
      <c r="U51" s="29"/>
      <c r="V51" s="29"/>
      <c r="W51" s="29"/>
      <c r="X51" s="28"/>
      <c r="Y51" s="28"/>
      <c r="Z51" s="28"/>
      <c r="AA51" s="28"/>
      <c r="AB51" s="29"/>
      <c r="AC51" s="29"/>
      <c r="AD51" s="28"/>
      <c r="AE51" s="28"/>
      <c r="AF51" s="27">
        <f>-SUM(N51:AE51)</f>
        <v>-694.50071428571437</v>
      </c>
      <c r="AG51" s="30">
        <f>SUM(H51:K51)+AF51+O51</f>
        <v>-7.1428571436626953E-4</v>
      </c>
    </row>
    <row r="52" spans="1:33" s="31" customFormat="1" ht="23.25" customHeight="1" x14ac:dyDescent="0.2">
      <c r="A52" s="20">
        <v>43826</v>
      </c>
      <c r="B52" s="21"/>
      <c r="C52" s="22" t="s">
        <v>161</v>
      </c>
      <c r="D52" s="22" t="s">
        <v>162</v>
      </c>
      <c r="E52" s="22" t="s">
        <v>66</v>
      </c>
      <c r="F52" s="23">
        <v>745627</v>
      </c>
      <c r="G52" s="23" t="s">
        <v>191</v>
      </c>
      <c r="H52" s="25"/>
      <c r="I52" s="25"/>
      <c r="J52" s="25"/>
      <c r="K52" s="25">
        <v>48.5</v>
      </c>
      <c r="L52" s="26"/>
      <c r="M52" s="27">
        <f t="shared" si="3"/>
        <v>43.303571428571423</v>
      </c>
      <c r="N52" s="27">
        <f t="shared" si="4"/>
        <v>5.1964285714285703</v>
      </c>
      <c r="O52" s="27">
        <f t="shared" si="5"/>
        <v>0</v>
      </c>
      <c r="P52" s="27"/>
      <c r="Q52" s="28"/>
      <c r="R52" s="28"/>
      <c r="S52" s="29"/>
      <c r="T52" s="29">
        <v>43.3</v>
      </c>
      <c r="U52" s="29"/>
      <c r="V52" s="29"/>
      <c r="W52" s="29"/>
      <c r="X52" s="28"/>
      <c r="Y52" s="28"/>
      <c r="Z52" s="28"/>
      <c r="AA52" s="28"/>
      <c r="AB52" s="29"/>
      <c r="AC52" s="29"/>
      <c r="AD52" s="28"/>
      <c r="AE52" s="28"/>
      <c r="AF52" s="27">
        <f>-SUM(N52:AE52)</f>
        <v>-48.496428571428567</v>
      </c>
      <c r="AG52" s="30">
        <f>SUM(H52:K52)+AF52+O52</f>
        <v>3.5714285714334437E-3</v>
      </c>
    </row>
    <row r="53" spans="1:33" s="31" customFormat="1" ht="23.25" customHeight="1" x14ac:dyDescent="0.2">
      <c r="A53" s="20">
        <v>43826</v>
      </c>
      <c r="B53" s="21"/>
      <c r="C53" s="22" t="s">
        <v>73</v>
      </c>
      <c r="D53" s="22" t="s">
        <v>74</v>
      </c>
      <c r="E53" s="22" t="s">
        <v>47</v>
      </c>
      <c r="F53" s="23">
        <v>204658</v>
      </c>
      <c r="G53" s="23" t="s">
        <v>192</v>
      </c>
      <c r="H53" s="25"/>
      <c r="I53" s="25"/>
      <c r="J53" s="25"/>
      <c r="K53" s="25">
        <v>1256</v>
      </c>
      <c r="L53" s="26"/>
      <c r="M53" s="27">
        <f t="shared" si="3"/>
        <v>1121.4285714285713</v>
      </c>
      <c r="N53" s="27">
        <f t="shared" si="4"/>
        <v>134.57142857142856</v>
      </c>
      <c r="O53" s="27">
        <f t="shared" si="5"/>
        <v>0</v>
      </c>
      <c r="P53" s="27">
        <v>1121.43</v>
      </c>
      <c r="Q53" s="28"/>
      <c r="R53" s="28"/>
      <c r="S53" s="29"/>
      <c r="T53" s="29"/>
      <c r="U53" s="29"/>
      <c r="V53" s="29"/>
      <c r="W53" s="29"/>
      <c r="X53" s="28"/>
      <c r="Y53" s="28"/>
      <c r="Z53" s="28"/>
      <c r="AA53" s="28"/>
      <c r="AB53" s="29"/>
      <c r="AC53" s="29"/>
      <c r="AD53" s="28"/>
      <c r="AE53" s="28"/>
      <c r="AF53" s="27">
        <f>-SUM(N53:AE53)</f>
        <v>-1256.0014285714287</v>
      </c>
      <c r="AG53" s="30">
        <f>SUM(H53:K53)+AF53+O53</f>
        <v>-1.4285714287325391E-3</v>
      </c>
    </row>
    <row r="54" spans="1:33" s="31" customFormat="1" ht="23.25" customHeight="1" x14ac:dyDescent="0.2">
      <c r="A54" s="20"/>
      <c r="B54" s="21"/>
      <c r="C54" s="22"/>
      <c r="D54" s="22"/>
      <c r="E54" s="22"/>
      <c r="F54" s="23"/>
      <c r="G54" s="24"/>
      <c r="H54" s="25"/>
      <c r="I54" s="25"/>
      <c r="J54" s="25"/>
      <c r="K54" s="25"/>
      <c r="L54" s="26"/>
      <c r="M54" s="27"/>
      <c r="N54" s="27"/>
      <c r="O54" s="27"/>
      <c r="P54" s="28"/>
      <c r="Q54" s="28"/>
      <c r="R54" s="28"/>
      <c r="S54" s="29"/>
      <c r="T54" s="29"/>
      <c r="U54" s="29"/>
      <c r="V54" s="29"/>
      <c r="W54" s="29"/>
      <c r="X54" s="28"/>
      <c r="Y54" s="28"/>
      <c r="Z54" s="28"/>
      <c r="AA54" s="28"/>
      <c r="AB54" s="29"/>
      <c r="AC54" s="29"/>
      <c r="AD54" s="28"/>
      <c r="AE54" s="28"/>
      <c r="AF54" s="27"/>
      <c r="AG54" s="30"/>
    </row>
    <row r="55" spans="1:33" s="31" customFormat="1" ht="23.25" customHeight="1" x14ac:dyDescent="0.2">
      <c r="A55" s="20"/>
      <c r="B55" s="21"/>
      <c r="C55" s="22"/>
      <c r="D55" s="22"/>
      <c r="E55" s="22"/>
      <c r="F55" s="23"/>
      <c r="G55" s="24"/>
      <c r="H55" s="25"/>
      <c r="I55" s="25"/>
      <c r="J55" s="25"/>
      <c r="K55" s="25"/>
      <c r="L55" s="26"/>
      <c r="M55" s="27">
        <f>SUM(H55:J55,K55/1.12)</f>
        <v>0</v>
      </c>
      <c r="N55" s="27">
        <f>K55/1.12*0.12</f>
        <v>0</v>
      </c>
      <c r="O55" s="27">
        <f>-SUM(I55:J55,K55/1.12)*L55</f>
        <v>0</v>
      </c>
      <c r="P55" s="27"/>
      <c r="Q55" s="28"/>
      <c r="R55" s="28"/>
      <c r="S55" s="29"/>
      <c r="T55" s="29"/>
      <c r="U55" s="29"/>
      <c r="V55" s="29"/>
      <c r="W55" s="29"/>
      <c r="X55" s="28"/>
      <c r="Y55" s="28"/>
      <c r="Z55" s="28"/>
      <c r="AA55" s="28"/>
      <c r="AB55" s="29"/>
      <c r="AC55" s="29"/>
      <c r="AD55" s="28"/>
      <c r="AE55" s="28"/>
      <c r="AF55" s="27">
        <f>-SUM(N55:AE55)</f>
        <v>0</v>
      </c>
      <c r="AG55" s="30">
        <f>SUM(H55:K55)+AF55+O55</f>
        <v>0</v>
      </c>
    </row>
    <row r="56" spans="1:33" s="39" customFormat="1" ht="12" customHeight="1" x14ac:dyDescent="0.2">
      <c r="A56" s="33"/>
      <c r="B56" s="34"/>
      <c r="C56" s="35"/>
      <c r="D56" s="36"/>
      <c r="E56" s="36"/>
      <c r="F56" s="37"/>
      <c r="G56" s="35"/>
      <c r="H56" s="38">
        <f t="shared" ref="H56:O56" si="6">SUM(H5:H55)</f>
        <v>916.77</v>
      </c>
      <c r="I56" s="38">
        <f t="shared" si="6"/>
        <v>0</v>
      </c>
      <c r="J56" s="38">
        <f t="shared" si="6"/>
        <v>5962.4899999999989</v>
      </c>
      <c r="K56" s="38">
        <f t="shared" si="6"/>
        <v>17010.04</v>
      </c>
      <c r="L56" s="38">
        <f t="shared" si="6"/>
        <v>0</v>
      </c>
      <c r="M56" s="38">
        <f t="shared" si="6"/>
        <v>22066.795714285712</v>
      </c>
      <c r="N56" s="38">
        <f t="shared" si="6"/>
        <v>1822.5042857142853</v>
      </c>
      <c r="O56" s="38">
        <f t="shared" si="6"/>
        <v>0</v>
      </c>
      <c r="P56" s="38">
        <f t="shared" ref="P56:AG56" si="7">SUM(P5:P55)</f>
        <v>19527.29</v>
      </c>
      <c r="Q56" s="38">
        <f t="shared" si="7"/>
        <v>1347.25</v>
      </c>
      <c r="R56" s="38">
        <f t="shared" si="7"/>
        <v>0</v>
      </c>
      <c r="S56" s="38">
        <f t="shared" si="7"/>
        <v>0</v>
      </c>
      <c r="T56" s="38">
        <f t="shared" si="7"/>
        <v>275.44</v>
      </c>
      <c r="U56" s="38">
        <f t="shared" si="7"/>
        <v>0</v>
      </c>
      <c r="V56" s="38">
        <f t="shared" si="7"/>
        <v>0</v>
      </c>
      <c r="W56" s="38">
        <f t="shared" si="7"/>
        <v>0</v>
      </c>
      <c r="X56" s="38">
        <f t="shared" si="7"/>
        <v>0</v>
      </c>
      <c r="Y56" s="38">
        <f t="shared" si="7"/>
        <v>0</v>
      </c>
      <c r="Z56" s="38">
        <f t="shared" si="7"/>
        <v>0</v>
      </c>
      <c r="AA56" s="38">
        <f t="shared" si="7"/>
        <v>328</v>
      </c>
      <c r="AB56" s="38">
        <f t="shared" si="7"/>
        <v>0</v>
      </c>
      <c r="AC56" s="38">
        <f t="shared" si="7"/>
        <v>0</v>
      </c>
      <c r="AD56" s="38">
        <f t="shared" si="7"/>
        <v>588.77</v>
      </c>
      <c r="AE56" s="38">
        <f t="shared" si="7"/>
        <v>0</v>
      </c>
      <c r="AF56" s="38">
        <f t="shared" si="7"/>
        <v>-23889.25428571428</v>
      </c>
      <c r="AG56" s="38">
        <f t="shared" si="7"/>
        <v>4.5714285714495873E-2</v>
      </c>
    </row>
    <row r="57" spans="1:33" ht="12" customHeight="1" x14ac:dyDescent="0.25"/>
    <row r="58" spans="1:33" x14ac:dyDescent="0.25">
      <c r="K58" s="40">
        <f>H56+I56+J56+K56</f>
        <v>23889.3</v>
      </c>
      <c r="AF58" s="40">
        <f>+AF56</f>
        <v>-23889.25428571428</v>
      </c>
    </row>
    <row r="60" spans="1:33" x14ac:dyDescent="0.25">
      <c r="C60" s="41" t="s">
        <v>76</v>
      </c>
      <c r="G60" s="39"/>
      <c r="K60" s="1"/>
      <c r="L60" s="1"/>
      <c r="M60" s="1"/>
    </row>
    <row r="62" spans="1:33" x14ac:dyDescent="0.25">
      <c r="J62" s="6">
        <f>'Dec 2-5'!J24</f>
        <v>3364.5</v>
      </c>
      <c r="K62" s="6">
        <f>'Dec 2-5'!K24/1.12</f>
        <v>5596.4999999999991</v>
      </c>
      <c r="N62" s="6">
        <f>'Dec 2-5'!N24</f>
        <v>671.58000000000015</v>
      </c>
      <c r="O62"/>
    </row>
    <row r="63" spans="1:33" s="4" customFormat="1" ht="11.25" x14ac:dyDescent="0.2">
      <c r="J63" s="55">
        <f>'Dec 5-12'!J46</f>
        <v>5429.6500000000005</v>
      </c>
      <c r="K63" s="55">
        <f>'Dec 5-12'!K46/1.12</f>
        <v>8578.3392857142844</v>
      </c>
      <c r="L63" s="7"/>
      <c r="M63" s="6"/>
      <c r="N63" s="55">
        <f>'Dec 5-12'!N46</f>
        <v>1029.4007142857142</v>
      </c>
      <c r="Y63" s="6"/>
    </row>
    <row r="64" spans="1:33" x14ac:dyDescent="0.25">
      <c r="J64" s="6">
        <f>'Dec 12-17'!J36</f>
        <v>3267.05</v>
      </c>
      <c r="K64" s="6">
        <f>'Dec 12-17'!K36/1.12</f>
        <v>8250.6607142857138</v>
      </c>
      <c r="N64" s="56">
        <f>'Dec 12-17'!N36</f>
        <v>990.07928571428556</v>
      </c>
    </row>
    <row r="65" spans="10:17" x14ac:dyDescent="0.25">
      <c r="J65" s="6">
        <f>J56</f>
        <v>5962.4899999999989</v>
      </c>
      <c r="K65" s="6">
        <f>K56/1.12</f>
        <v>15187.535714285714</v>
      </c>
      <c r="N65" s="6">
        <f>N56</f>
        <v>1822.5042857142853</v>
      </c>
    </row>
    <row r="67" spans="10:17" x14ac:dyDescent="0.25">
      <c r="J67" s="6">
        <f>SUM(J62:J66)</f>
        <v>18023.689999999999</v>
      </c>
      <c r="K67" s="6">
        <f>SUM(K62:K66)</f>
        <v>37613.03571428571</v>
      </c>
      <c r="N67" s="6">
        <f>SUM(N62:N66)</f>
        <v>4513.5642857142848</v>
      </c>
    </row>
    <row r="69" spans="10:17" x14ac:dyDescent="0.25">
      <c r="J69" s="6" t="s">
        <v>77</v>
      </c>
    </row>
    <row r="70" spans="10:17" x14ac:dyDescent="0.25">
      <c r="Q70" s="6">
        <v>0</v>
      </c>
    </row>
  </sheetData>
  <mergeCells count="1">
    <mergeCell ref="K60:M60"/>
  </mergeCells>
  <pageMargins left="0.7" right="0.7" top="0.75" bottom="0.75" header="0.51180555555555496" footer="0.51180555555555496"/>
  <pageSetup paperSize="5" scale="7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Dec 2-5</vt:lpstr>
      <vt:lpstr>Dec 5-12</vt:lpstr>
      <vt:lpstr>Dec 12-17</vt:lpstr>
      <vt:lpstr>Dec23-27</vt:lpstr>
      <vt:lpstr>'Dec 12-17'!Print_Area</vt:lpstr>
      <vt:lpstr>'Dec 5-12'!Print_Area</vt:lpstr>
      <vt:lpstr>'Dec23-27'!Print_Area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default</cp:lastModifiedBy>
  <cp:revision>2</cp:revision>
  <cp:lastPrinted>2020-01-04T10:06:25Z</cp:lastPrinted>
  <dcterms:created xsi:type="dcterms:W3CDTF">2014-11-05T03:52:28Z</dcterms:created>
  <dcterms:modified xsi:type="dcterms:W3CDTF">2020-05-27T23:52:10Z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