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19\Python\excel files\"/>
    </mc:Choice>
  </mc:AlternateContent>
  <bookViews>
    <workbookView xWindow="0" yWindow="0" windowWidth="24000" windowHeight="10875" activeTab="2"/>
  </bookViews>
  <sheets>
    <sheet name="BS" sheetId="14" r:id="rId1"/>
    <sheet name="IS" sheetId="15" r:id="rId2"/>
    <sheet name="WTB" sheetId="13" r:id="rId3"/>
    <sheet name="sales" sheetId="10" r:id="rId4"/>
    <sheet name="cd" sheetId="6" r:id="rId5"/>
    <sheet name="ap" sheetId="3" r:id="rId6"/>
    <sheet name="pcf" sheetId="9" r:id="rId7"/>
    <sheet name="direct" sheetId="8" r:id="rId8"/>
    <sheet name="spoilage" sheetId="11" r:id="rId9"/>
    <sheet name="payroll_1" sheetId="2" r:id="rId10"/>
    <sheet name="payroll_2" sheetId="4" r:id="rId11"/>
    <sheet name="contri" sheetId="7" r:id="rId12"/>
    <sheet name="sc_2" sheetId="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q" localSheetId="0">#REF!</definedName>
    <definedName name="\q" localSheetId="1">#REF!</definedName>
    <definedName name="\q">#REF!</definedName>
    <definedName name="_001_0_000413_7_0001" localSheetId="0">#REF!</definedName>
    <definedName name="_001_0_000413_7_0001" localSheetId="1">#REF!</definedName>
    <definedName name="_001_0_000413_7_0001">#REF!</definedName>
    <definedName name="_001_1_840600_3_3071" localSheetId="0">#REF!</definedName>
    <definedName name="_001_1_840600_3_3071" localSheetId="1">#REF!</definedName>
    <definedName name="_001_1_840600_3_3071">#REF!</definedName>
    <definedName name="_1001PATTAYA" localSheetId="0">#REF!</definedName>
    <definedName name="_1001PATTAYA" localSheetId="1">#REF!</definedName>
    <definedName name="_1001PATTAYA">#REF!</definedName>
    <definedName name="_1023CHIENGINN" localSheetId="0">#REF!</definedName>
    <definedName name="_1023CHIENGINN" localSheetId="1">#REF!</definedName>
    <definedName name="_1023CHIENGINN">#REF!</definedName>
    <definedName name="_1024CHONBURI" localSheetId="0">#REF!</definedName>
    <definedName name="_1024CHONBURI" localSheetId="1">#REF!</definedName>
    <definedName name="_1024CHONBURI">#REF!</definedName>
    <definedName name="_1032HADYAI" localSheetId="0">#REF!</definedName>
    <definedName name="_1032HADYAI" localSheetId="1">#REF!</definedName>
    <definedName name="_1032HADYAI">#REF!</definedName>
    <definedName name="_1037PITSANULOK" localSheetId="0">#REF!</definedName>
    <definedName name="_1037PITSANULOK" localSheetId="1">#REF!</definedName>
    <definedName name="_1037PITSANULOK">#REF!</definedName>
    <definedName name="_1039LOTUS_PATTAYA" localSheetId="0">#REF!</definedName>
    <definedName name="_1039LOTUS_PATTAYA" localSheetId="1">#REF!</definedName>
    <definedName name="_1039LOTUS_PATTAYA">#REF!</definedName>
    <definedName name="_1040KHONKAEN" localSheetId="0">#REF!</definedName>
    <definedName name="_1040KHONKAEN" localSheetId="1">#REF!</definedName>
    <definedName name="_1040KHONKAEN">#REF!</definedName>
    <definedName name="_1041UDON" localSheetId="0">#REF!</definedName>
    <definedName name="_1041UDON" localSheetId="1">#REF!</definedName>
    <definedName name="_1041UDON">#REF!</definedName>
    <definedName name="_1042SARABURI" localSheetId="0">#REF!</definedName>
    <definedName name="_1042SARABURI" localSheetId="1">#REF!</definedName>
    <definedName name="_1042SARABURI">#REF!</definedName>
    <definedName name="_1043RAYONG" localSheetId="0">#REF!</definedName>
    <definedName name="_1043RAYONG" localSheetId="1">#REF!</definedName>
    <definedName name="_1043RAYONG">#REF!</definedName>
    <definedName name="_1045SRIRACHA" localSheetId="0">#REF!</definedName>
    <definedName name="_1045SRIRACHA" localSheetId="1">#REF!</definedName>
    <definedName name="_1045SRIRACHA">#REF!</definedName>
    <definedName name="_1046PHUKET" localSheetId="0">#REF!</definedName>
    <definedName name="_1046PHUKET" localSheetId="1">#REF!</definedName>
    <definedName name="_1046PHUKET">#REF!</definedName>
    <definedName name="_1047LUMPANG" localSheetId="0">#REF!</definedName>
    <definedName name="_1047LUMPANG" localSheetId="1">#REF!</definedName>
    <definedName name="_1047LUMPANG">#REF!</definedName>
    <definedName name="_1048NAKHONSAWAN" localSheetId="0">#REF!</definedName>
    <definedName name="_1048NAKHONSAWAN" localSheetId="1">#REF!</definedName>
    <definedName name="_1048NAKHONSAWAN">#REF!</definedName>
    <definedName name="_1051NAKORNPATHOM" localSheetId="0">#REF!</definedName>
    <definedName name="_1051NAKORNPATHOM" localSheetId="1">#REF!</definedName>
    <definedName name="_1051NAKORNPATHOM">#REF!</definedName>
    <definedName name="_1052JOMSURANG" localSheetId="0">#REF!</definedName>
    <definedName name="_1052JOMSURANG" localSheetId="1">#REF!</definedName>
    <definedName name="_1052JOMSURANG">#REF!</definedName>
    <definedName name="_1053CHIENGRAI" localSheetId="0">#REF!</definedName>
    <definedName name="_1053CHIENGRAI" localSheetId="1">#REF!</definedName>
    <definedName name="_1053CHIENGRAI">#REF!</definedName>
    <definedName name="_1054UBON" localSheetId="0">#REF!</definedName>
    <definedName name="_1054UBON" localSheetId="1">#REF!</definedName>
    <definedName name="_1054UBON">#REF!</definedName>
    <definedName name="_30302307100.531020" localSheetId="0">#REF!</definedName>
    <definedName name="_30302307100.531020" localSheetId="1">#REF!</definedName>
    <definedName name="_30302307100.531020">#REF!</definedName>
    <definedName name="_30302307100_531020" localSheetId="0">#REF!</definedName>
    <definedName name="_30302307100_531020" localSheetId="1">#REF!</definedName>
    <definedName name="_30302307100_531020">#REF!</definedName>
    <definedName name="_a2" localSheetId="0">#REF!</definedName>
    <definedName name="_a2" localSheetId="1">#REF!</definedName>
    <definedName name="_a2">#REF!</definedName>
    <definedName name="_b2">{"'Summary'!$A$5:$H$42"}</definedName>
    <definedName name="_b6">{"'Summary'!$A$5:$H$42"}</definedName>
    <definedName name="_bud1" localSheetId="0">#REF!</definedName>
    <definedName name="_bud1" localSheetId="1">#REF!</definedName>
    <definedName name="_bud1">#REF!</definedName>
    <definedName name="_CPR2" localSheetId="0">#REF!</definedName>
    <definedName name="_CPR2" localSheetId="1">#REF!</definedName>
    <definedName name="_CPR2">#REF!</definedName>
    <definedName name="_Fill">#N/A</definedName>
    <definedName name="_xlnm._FilterDatabase" localSheetId="0">#REF!</definedName>
    <definedName name="_xlnm._FilterDatabase" localSheetId="1">#REF!</definedName>
    <definedName name="_xlnm._FilterDatabase">#REF!</definedName>
    <definedName name="_Key1" localSheetId="0">#REF!</definedName>
    <definedName name="_Key1" localSheetId="1">#REF!</definedName>
    <definedName name="_Key1">#REF!</definedName>
    <definedName name="_KNB1" localSheetId="0">#REF!</definedName>
    <definedName name="_KNB1" localSheetId="1">#REF!</definedName>
    <definedName name="_KNB1">#REF!</definedName>
    <definedName name="_Mob1" localSheetId="0">#REF!</definedName>
    <definedName name="_Mob1" localSheetId="1">#REF!</definedName>
    <definedName name="_Mob1">#REF!</definedName>
    <definedName name="_Mob2" localSheetId="0">#REF!</definedName>
    <definedName name="_Mob2" localSheetId="1">#REF!</definedName>
    <definedName name="_Mob2">#REF!</definedName>
    <definedName name="_Mob3" localSheetId="0">#REF!</definedName>
    <definedName name="_Mob3" localSheetId="1">#REF!</definedName>
    <definedName name="_Mob3">#REF!</definedName>
    <definedName name="_Mob4" localSheetId="0">#REF!</definedName>
    <definedName name="_Mob4" localSheetId="1">#REF!</definedName>
    <definedName name="_Mob4">#REF!</definedName>
    <definedName name="_Mob5" localSheetId="0">#REF!</definedName>
    <definedName name="_Mob5" localSheetId="1">#REF!</definedName>
    <definedName name="_Mob5">#REF!</definedName>
    <definedName name="_Mob6" localSheetId="0">#REF!</definedName>
    <definedName name="_Mob6" localSheetId="1">#REF!</definedName>
    <definedName name="_Mob6">#REF!</definedName>
    <definedName name="_Mob7" localSheetId="0">#REF!</definedName>
    <definedName name="_Mob7" localSheetId="1">#REF!</definedName>
    <definedName name="_Mob7">#REF!</definedName>
    <definedName name="_OC1" localSheetId="6">[1]MAIN!$D$25</definedName>
    <definedName name="_OC1">[2]MAIN!$D$25</definedName>
    <definedName name="_OC10" localSheetId="6">[1]MAIN!$D$34</definedName>
    <definedName name="_OC10">[2]MAIN!$D$34</definedName>
    <definedName name="_OC11" localSheetId="6">[1]MAIN!$D$35</definedName>
    <definedName name="_OC11">[2]MAIN!$D$35</definedName>
    <definedName name="_OC12" localSheetId="6">[1]MAIN!$D$36</definedName>
    <definedName name="_OC12">[2]MAIN!$D$36</definedName>
    <definedName name="_OC13" localSheetId="6">[1]MAIN!$D$37</definedName>
    <definedName name="_OC13">[2]MAIN!$D$37</definedName>
    <definedName name="_OC14" localSheetId="6">[1]MAIN!$D$38</definedName>
    <definedName name="_OC14">[2]MAIN!$D$38</definedName>
    <definedName name="_OC15" localSheetId="6">[1]MAIN!$D$39</definedName>
    <definedName name="_OC15">[2]MAIN!$D$39</definedName>
    <definedName name="_OC2" localSheetId="6">[1]MAIN!$D$26</definedName>
    <definedName name="_OC2">[2]MAIN!$D$26</definedName>
    <definedName name="_OC3" localSheetId="6">[1]MAIN!$D$27</definedName>
    <definedName name="_OC3">[2]MAIN!$D$27</definedName>
    <definedName name="_OC4" localSheetId="6">[1]MAIN!$D$28</definedName>
    <definedName name="_OC4">[2]MAIN!$D$28</definedName>
    <definedName name="_OC5" localSheetId="6">[1]MAIN!$D$29</definedName>
    <definedName name="_OC5">[2]MAIN!$D$29</definedName>
    <definedName name="_OC6" localSheetId="6">[1]MAIN!$D$30</definedName>
    <definedName name="_OC6">[2]MAIN!$D$30</definedName>
    <definedName name="_OC7" localSheetId="6">[1]MAIN!$D$31</definedName>
    <definedName name="_OC7">[2]MAIN!$D$31</definedName>
    <definedName name="_OC8" localSheetId="6">[1]MAIN!$D$32</definedName>
    <definedName name="_OC8">[2]MAIN!$D$32</definedName>
    <definedName name="_OC9" localSheetId="6">[1]MAIN!$D$33</definedName>
    <definedName name="_OC9">[2]MAIN!$D$33</definedName>
    <definedName name="_Order1">255</definedName>
    <definedName name="_Order2">255</definedName>
    <definedName name="_PP1005" localSheetId="0">#REF!</definedName>
    <definedName name="_PP1005" localSheetId="1">#REF!</definedName>
    <definedName name="_PP1005">#REF!</definedName>
    <definedName name="_PR333" localSheetId="0">#REF!</definedName>
    <definedName name="_PR333" localSheetId="1">#REF!</definedName>
    <definedName name="_PR333">#REF!</definedName>
    <definedName name="_PZ1" localSheetId="0">#REF!</definedName>
    <definedName name="_PZ1" localSheetId="1">#REF!</definedName>
    <definedName name="_PZ1">#REF!</definedName>
    <definedName name="_PZ123" localSheetId="0">#REF!</definedName>
    <definedName name="_PZ123" localSheetId="1">#REF!</definedName>
    <definedName name="_PZ123">#REF!</definedName>
    <definedName name="_PZ333" localSheetId="0">#REF!</definedName>
    <definedName name="_PZ333" localSheetId="1">#REF!</definedName>
    <definedName name="_PZ333">#REF!</definedName>
    <definedName name="_SC85">'[3]SC sched'!$H$41</definedName>
    <definedName name="_Sort" localSheetId="0">#REF!</definedName>
    <definedName name="_Sort" localSheetId="1">#REF!</definedName>
    <definedName name="_Sort">#REF!</definedName>
    <definedName name="_TB0107" localSheetId="0">#REF!</definedName>
    <definedName name="_TB0107" localSheetId="1">#REF!</definedName>
    <definedName name="_TB0107">#REF!</definedName>
    <definedName name="_TB0207" localSheetId="0">#REF!</definedName>
    <definedName name="_TB0207" localSheetId="1">#REF!</definedName>
    <definedName name="_TB0207">#REF!</definedName>
    <definedName name="_TB0307" localSheetId="0">#REF!</definedName>
    <definedName name="_TB0307" localSheetId="1">#REF!</definedName>
    <definedName name="_TB0307">#REF!</definedName>
    <definedName name="_TB0406" localSheetId="0">#REF!</definedName>
    <definedName name="_TB0406" localSheetId="1">#REF!</definedName>
    <definedName name="_TB0406">#REF!</definedName>
    <definedName name="_TB0407" localSheetId="0">#REF!</definedName>
    <definedName name="_TB0407" localSheetId="1">#REF!</definedName>
    <definedName name="_TB0407">#REF!</definedName>
    <definedName name="_TB0506" localSheetId="0">#REF!</definedName>
    <definedName name="_TB0506" localSheetId="1">#REF!</definedName>
    <definedName name="_TB0506">#REF!</definedName>
    <definedName name="_TB0507" localSheetId="0">#REF!</definedName>
    <definedName name="_TB0507" localSheetId="1">#REF!</definedName>
    <definedName name="_TB0507">#REF!</definedName>
    <definedName name="_TB0606" localSheetId="0">#REF!</definedName>
    <definedName name="_TB0606" localSheetId="1">#REF!</definedName>
    <definedName name="_TB0606">#REF!</definedName>
    <definedName name="_TB0607" localSheetId="0">#REF!</definedName>
    <definedName name="_TB0607" localSheetId="1">#REF!</definedName>
    <definedName name="_TB0607">#REF!</definedName>
    <definedName name="_TB0706" localSheetId="0">#REF!</definedName>
    <definedName name="_TB0706" localSheetId="1">#REF!</definedName>
    <definedName name="_TB0706">#REF!</definedName>
    <definedName name="_TB0806" localSheetId="0">#REF!</definedName>
    <definedName name="_TB0806" localSheetId="1">#REF!</definedName>
    <definedName name="_TB0806">#REF!</definedName>
    <definedName name="_TB0906" localSheetId="0">#REF!</definedName>
    <definedName name="_TB0906" localSheetId="1">#REF!</definedName>
    <definedName name="_TB0906">#REF!</definedName>
    <definedName name="_TB1006" localSheetId="0">#REF!</definedName>
    <definedName name="_TB1006" localSheetId="1">#REF!</definedName>
    <definedName name="_TB1006">#REF!</definedName>
    <definedName name="_TB1106" localSheetId="0">#REF!</definedName>
    <definedName name="_TB1106" localSheetId="1">#REF!</definedName>
    <definedName name="_TB1106">#REF!</definedName>
    <definedName name="_TB1206" localSheetId="0">#REF!</definedName>
    <definedName name="_TB1206" localSheetId="1">#REF!</definedName>
    <definedName name="_TB1206">#REF!</definedName>
    <definedName name="_TB1207" localSheetId="0">#REF!</definedName>
    <definedName name="_TB1207" localSheetId="1">#REF!</definedName>
    <definedName name="_TB1207">#REF!</definedName>
    <definedName name="_WO0805" localSheetId="0">#REF!</definedName>
    <definedName name="_WO0805" localSheetId="1">#REF!</definedName>
    <definedName name="_WO0805">#REF!</definedName>
    <definedName name="_wo09" localSheetId="0">#REF!</definedName>
    <definedName name="_wo09" localSheetId="1">#REF!</definedName>
    <definedName name="_wo09">#REF!</definedName>
    <definedName name="_wo0905" localSheetId="0">#REF!</definedName>
    <definedName name="_wo0905" localSheetId="1">#REF!</definedName>
    <definedName name="_wo0905">#REF!</definedName>
    <definedName name="_WO1005" localSheetId="0">#REF!</definedName>
    <definedName name="_WO1005" localSheetId="1">#REF!</definedName>
    <definedName name="_WO1005">#REF!</definedName>
    <definedName name="_wo1105" localSheetId="0">#REF!</definedName>
    <definedName name="_wo1105" localSheetId="1">#REF!</definedName>
    <definedName name="_wo1105">#REF!</definedName>
    <definedName name="AA" localSheetId="0">#REF!</definedName>
    <definedName name="AA" localSheetId="1">#REF!</definedName>
    <definedName name="AA">#REF!</definedName>
    <definedName name="aaa" localSheetId="0">#REF!</definedName>
    <definedName name="aaa" localSheetId="1">#REF!</definedName>
    <definedName name="aaa">#REF!</definedName>
    <definedName name="ABC_Graphs" localSheetId="0">#REF!</definedName>
    <definedName name="ABC_Graphs" localSheetId="1">#REF!</definedName>
    <definedName name="ABC_Graphs">#REF!</definedName>
    <definedName name="ABC_Graphs2" localSheetId="0">#REF!</definedName>
    <definedName name="ABC_Graphs2" localSheetId="1">#REF!</definedName>
    <definedName name="ABC_Graphs2">#REF!</definedName>
    <definedName name="ABC_Worksheet" localSheetId="0">#REF!</definedName>
    <definedName name="ABC_Worksheet" localSheetId="1">#REF!</definedName>
    <definedName name="ABC_Worksheet">#REF!</definedName>
    <definedName name="ACCFB" localSheetId="0">#REF!</definedName>
    <definedName name="ACCFB" localSheetId="1">#REF!</definedName>
    <definedName name="ACCFB">#REF!</definedName>
    <definedName name="ACCJAN" localSheetId="0">#REF!</definedName>
    <definedName name="ACCJAN" localSheetId="1">#REF!</definedName>
    <definedName name="ACCJAN">#REF!</definedName>
    <definedName name="accode" localSheetId="0">#REF!</definedName>
    <definedName name="accode" localSheetId="1">#REF!</definedName>
    <definedName name="accode">#REF!</definedName>
    <definedName name="ACCRU" localSheetId="0">#REF!</definedName>
    <definedName name="ACCRU" localSheetId="1">#REF!</definedName>
    <definedName name="ACCRU">#REF!</definedName>
    <definedName name="AcqType" localSheetId="0">#REF!</definedName>
    <definedName name="AcqType" localSheetId="1">#REF!</definedName>
    <definedName name="AcqType">#REF!</definedName>
    <definedName name="Add_Capital" localSheetId="0">#REF!</definedName>
    <definedName name="Add_Capital" localSheetId="1">#REF!</definedName>
    <definedName name="Add_Capital">#REF!</definedName>
    <definedName name="AllaFalseIShipTo" localSheetId="0">#REF!</definedName>
    <definedName name="AllaFalseIShipTo" localSheetId="1">#REF!</definedName>
    <definedName name="AllaFalseIShipTo">#REF!</definedName>
    <definedName name="AMEXS" localSheetId="0">#REF!</definedName>
    <definedName name="AMEXS" localSheetId="1">#REF!</definedName>
    <definedName name="AMEXS">#REF!</definedName>
    <definedName name="AnalDate" localSheetId="0">#REF!</definedName>
    <definedName name="AnalDate" localSheetId="1">#REF!</definedName>
    <definedName name="AnalDate">#REF!</definedName>
    <definedName name="AREA" localSheetId="0">#REF!</definedName>
    <definedName name="AREA" localSheetId="1">#REF!</definedName>
    <definedName name="AREA">#REF!</definedName>
    <definedName name="AUG" localSheetId="0">#REF!</definedName>
    <definedName name="AUG" localSheetId="1">#REF!</definedName>
    <definedName name="AUG">#REF!</definedName>
    <definedName name="bbb" localSheetId="0">#REF!</definedName>
    <definedName name="bbb" localSheetId="1">#REF!</definedName>
    <definedName name="bbb">#REF!</definedName>
    <definedName name="BBR" localSheetId="0">#REF!</definedName>
    <definedName name="BBR" localSheetId="1">#REF!</definedName>
    <definedName name="BBR">#REF!</definedName>
    <definedName name="beau">{"'Summary'!$A$5:$H$42"}</definedName>
    <definedName name="beau1">{"'Summary'!$A$5:$H$42"}</definedName>
    <definedName name="beau2">{"'Summary'!$A$5:$H$42"}</definedName>
    <definedName name="beau3">{"'Summary'!$A$5:$H$42"}</definedName>
    <definedName name="beau4">{"'Summary'!$A$5:$H$42"}</definedName>
    <definedName name="BFTAX" localSheetId="0">#REF!</definedName>
    <definedName name="BFTAX" localSheetId="1">#REF!</definedName>
    <definedName name="BFTAX">#REF!</definedName>
    <definedName name="BR" localSheetId="0">#REF!</definedName>
    <definedName name="BR" localSheetId="1">#REF!</definedName>
    <definedName name="BR">#REF!</definedName>
    <definedName name="BRA" localSheetId="0">#REF!</definedName>
    <definedName name="BRA" localSheetId="1">#REF!</definedName>
    <definedName name="BRA">#REF!</definedName>
    <definedName name="bran" localSheetId="0">#REF!</definedName>
    <definedName name="bran" localSheetId="1">#REF!</definedName>
    <definedName name="bran">#REF!</definedName>
    <definedName name="BTWACC" localSheetId="0">#REF!</definedName>
    <definedName name="BTWACC" localSheetId="1">#REF!</definedName>
    <definedName name="BTWACC">#REF!</definedName>
    <definedName name="bud" localSheetId="0">#REF!</definedName>
    <definedName name="bud" localSheetId="1">#REF!</definedName>
    <definedName name="bud">#REF!</definedName>
    <definedName name="BuiltIn_AutoFilter___1" localSheetId="0">#REF!</definedName>
    <definedName name="BuiltIn_AutoFilter___1" localSheetId="1">#REF!</definedName>
    <definedName name="BuiltIn_AutoFilter___1">#REF!</definedName>
    <definedName name="BuiltIn_AutoFilter___10" localSheetId="0">#REF!</definedName>
    <definedName name="BuiltIn_AutoFilter___10" localSheetId="1">#REF!</definedName>
    <definedName name="BuiltIn_AutoFilter___10">#REF!</definedName>
    <definedName name="BuiltIn_AutoFilter___11" localSheetId="0">#REF!</definedName>
    <definedName name="BuiltIn_AutoFilter___11" localSheetId="1">#REF!</definedName>
    <definedName name="BuiltIn_AutoFilter___11">#REF!</definedName>
    <definedName name="BuiltIn_AutoFilter___12" localSheetId="0">#REF!</definedName>
    <definedName name="BuiltIn_AutoFilter___12" localSheetId="1">#REF!</definedName>
    <definedName name="BuiltIn_AutoFilter___12">#REF!</definedName>
    <definedName name="BuiltIn_AutoFilter___13" localSheetId="0">#REF!</definedName>
    <definedName name="BuiltIn_AutoFilter___13" localSheetId="1">#REF!</definedName>
    <definedName name="BuiltIn_AutoFilter___13">#REF!</definedName>
    <definedName name="BuiltIn_AutoFilter___6" localSheetId="0">#REF!</definedName>
    <definedName name="BuiltIn_AutoFilter___6" localSheetId="1">#REF!</definedName>
    <definedName name="BuiltIn_AutoFilter___6">#REF!</definedName>
    <definedName name="BuiltIn_AutoFilter___9" localSheetId="0">#REF!</definedName>
    <definedName name="BuiltIn_AutoFilter___9" localSheetId="1">#REF!</definedName>
    <definedName name="BuiltIn_AutoFilter___9">#REF!</definedName>
    <definedName name="BuiltIn_Print_Titles___0" localSheetId="0">#REF!</definedName>
    <definedName name="BuiltIn_Print_Titles___0" localSheetId="1">#REF!</definedName>
    <definedName name="BuiltIn_Print_Titles___0">#REF!</definedName>
    <definedName name="Capital" localSheetId="0">#REF!</definedName>
    <definedName name="Capital" localSheetId="1">#REF!</definedName>
    <definedName name="Capital">#REF!</definedName>
    <definedName name="Capital_Summary" localSheetId="0">#REF!</definedName>
    <definedName name="Capital_Summary" localSheetId="1">#REF!</definedName>
    <definedName name="Capital_Summary">#REF!</definedName>
    <definedName name="CAPRISK" localSheetId="0">#REF!</definedName>
    <definedName name="CAPRISK" localSheetId="1">#REF!</definedName>
    <definedName name="CAPRISK">#REF!</definedName>
    <definedName name="card" localSheetId="0">#REF!</definedName>
    <definedName name="card" localSheetId="1">#REF!</definedName>
    <definedName name="card">#REF!</definedName>
    <definedName name="ccc" localSheetId="0">#REF!</definedName>
    <definedName name="ccc" localSheetId="1">#REF!</definedName>
    <definedName name="ccc">#REF!</definedName>
    <definedName name="CCCC" localSheetId="0">#REF!</definedName>
    <definedName name="CCCC" localSheetId="1">#REF!</definedName>
    <definedName name="CCCC">#REF!</definedName>
    <definedName name="celMonth" localSheetId="6">'[4]Company Setup'!$K$5</definedName>
    <definedName name="celMonth">'[5]Company Setup'!$K$5</definedName>
    <definedName name="celYear" localSheetId="6">'[4]Company Setup'!$K$3</definedName>
    <definedName name="celYear">'[5]Company Setup'!$K$3</definedName>
    <definedName name="Choices_Wrapper">#N/A</definedName>
    <definedName name="CODE" localSheetId="0">#REF!</definedName>
    <definedName name="CODE" localSheetId="1">#REF!</definedName>
    <definedName name="CODE">#REF!</definedName>
    <definedName name="Company" localSheetId="0">#REF!</definedName>
    <definedName name="Company" localSheetId="1">#REF!</definedName>
    <definedName name="Company">#REF!</definedName>
    <definedName name="CORP" localSheetId="0">#REF!</definedName>
    <definedName name="CORP" localSheetId="1">#REF!</definedName>
    <definedName name="CORP">#REF!</definedName>
    <definedName name="cr_minorfood_grosssales_01_2003_sheet1" localSheetId="0">#REF!</definedName>
    <definedName name="cr_minorfood_grosssales_01_2003_sheet1" localSheetId="1">#REF!</definedName>
    <definedName name="cr_minorfood_grosssales_01_2003_sheet1">#REF!</definedName>
    <definedName name="CSC" localSheetId="0">#REF!</definedName>
    <definedName name="CSC" localSheetId="1">#REF!</definedName>
    <definedName name="CSC">#REF!</definedName>
    <definedName name="cscamex" localSheetId="0">#REF!</definedName>
    <definedName name="cscamex" localSheetId="1">#REF!</definedName>
    <definedName name="cscamex">#REF!</definedName>
    <definedName name="Cuminfla1" localSheetId="0">#REF!</definedName>
    <definedName name="Cuminfla1" localSheetId="1">#REF!</definedName>
    <definedName name="Cuminfla1">#REF!</definedName>
    <definedName name="Cuminfla2" localSheetId="0">#REF!</definedName>
    <definedName name="Cuminfla2" localSheetId="1">#REF!</definedName>
    <definedName name="Cuminfla2">#REF!</definedName>
    <definedName name="Cuminfla3" localSheetId="0">#REF!</definedName>
    <definedName name="Cuminfla3" localSheetId="1">#REF!</definedName>
    <definedName name="Cuminfla3">#REF!</definedName>
    <definedName name="Cuminfla4" localSheetId="0">#REF!</definedName>
    <definedName name="Cuminfla4" localSheetId="1">#REF!</definedName>
    <definedName name="Cuminfla4">#REF!</definedName>
    <definedName name="Cumsalary1" localSheetId="0">#REF!</definedName>
    <definedName name="Cumsalary1" localSheetId="1">#REF!</definedName>
    <definedName name="Cumsalary1">#REF!</definedName>
    <definedName name="Cumsalary2" localSheetId="0">#REF!</definedName>
    <definedName name="Cumsalary2" localSheetId="1">#REF!</definedName>
    <definedName name="Cumsalary2">#REF!</definedName>
    <definedName name="Cumsalary3" localSheetId="0">#REF!</definedName>
    <definedName name="Cumsalary3" localSheetId="1">#REF!</definedName>
    <definedName name="Cumsalary3">#REF!</definedName>
    <definedName name="Cumsalary4" localSheetId="0">#REF!</definedName>
    <definedName name="Cumsalary4" localSheetId="1">#REF!</definedName>
    <definedName name="Cumsalary4">#REF!</definedName>
    <definedName name="_xlnm.Database" localSheetId="0">#REF!</definedName>
    <definedName name="_xlnm.Database" localSheetId="1">#REF!</definedName>
    <definedName name="_xlnm.Database">#REF!</definedName>
    <definedName name="DAY_OF_PERIOD" localSheetId="0">#REF!</definedName>
    <definedName name="DAY_OF_PERIOD" localSheetId="1">#REF!</definedName>
    <definedName name="DAY_OF_PERIOD">#REF!</definedName>
    <definedName name="DD" localSheetId="0">#REF!</definedName>
    <definedName name="DD" localSheetId="1">#REF!</definedName>
    <definedName name="DD">#REF!</definedName>
    <definedName name="DED" localSheetId="0">#REF!</definedName>
    <definedName name="DED" localSheetId="1">#REF!</definedName>
    <definedName name="DED">#REF!</definedName>
    <definedName name="Dep_Schedule" localSheetId="0">#REF!</definedName>
    <definedName name="Dep_Schedule" localSheetId="1">#REF!</definedName>
    <definedName name="Dep_Schedule">#REF!</definedName>
    <definedName name="des" localSheetId="0">#REF!</definedName>
    <definedName name="des" localSheetId="1">#REF!</definedName>
    <definedName name="des">#REF!</definedName>
    <definedName name="DOCKET" localSheetId="0">#REF!</definedName>
    <definedName name="DOCKET" localSheetId="1">#REF!</definedName>
    <definedName name="DOCKET">#REF!</definedName>
    <definedName name="ds" localSheetId="0">#REF!</definedName>
    <definedName name="ds" localSheetId="1">#REF!</definedName>
    <definedName name="ds">#REF!</definedName>
    <definedName name="EngAddress" localSheetId="0">#REF!</definedName>
    <definedName name="EngAddress" localSheetId="1">#REF!</definedName>
    <definedName name="EngAddress">#REF!</definedName>
    <definedName name="Excel_BuiltIn_Print_Titles_4">(#REF!,#REF!)</definedName>
    <definedName name="ExRate" localSheetId="0">#REF!</definedName>
    <definedName name="ExRate" localSheetId="1">#REF!</definedName>
    <definedName name="ExRate">#REF!</definedName>
    <definedName name="F1aaa" localSheetId="0">#REF!</definedName>
    <definedName name="F1aaa" localSheetId="1">#REF!</definedName>
    <definedName name="F1aaa">#REF!</definedName>
    <definedName name="FADE" localSheetId="0">#REF!</definedName>
    <definedName name="FADE" localSheetId="1">#REF!</definedName>
    <definedName name="FADE">#REF!</definedName>
    <definedName name="FBTAX" localSheetId="0">#REF!</definedName>
    <definedName name="FBTAX" localSheetId="1">#REF!</definedName>
    <definedName name="FBTAX">#REF!</definedName>
    <definedName name="fd" localSheetId="0">#REF!</definedName>
    <definedName name="fd" localSheetId="1">#REF!</definedName>
    <definedName name="fd">#REF!</definedName>
    <definedName name="FFB" localSheetId="0">#REF!</definedName>
    <definedName name="FFB" localSheetId="1">#REF!</definedName>
    <definedName name="FFB">#REF!</definedName>
    <definedName name="ffff" localSheetId="0">#REF!</definedName>
    <definedName name="ffff" localSheetId="1">#REF!</definedName>
    <definedName name="ffff">#REF!</definedName>
    <definedName name="Final" localSheetId="0">#REF!</definedName>
    <definedName name="Final" localSheetId="1">#REF!</definedName>
    <definedName name="Final">#REF!</definedName>
    <definedName name="FirstTime" localSheetId="0">#REF!</definedName>
    <definedName name="FirstTime" localSheetId="1">#REF!</definedName>
    <definedName name="FirstTime">#REF!</definedName>
    <definedName name="FixedTerm" localSheetId="0">#REF!</definedName>
    <definedName name="FixedTerm" localSheetId="1">#REF!</definedName>
    <definedName name="FixedTerm">#REF!</definedName>
    <definedName name="FOOD1205" localSheetId="0">#REF!</definedName>
    <definedName name="FOOD1205" localSheetId="1">#REF!</definedName>
    <definedName name="FOOD1205">#REF!</definedName>
    <definedName name="fsamex" localSheetId="0">#REF!</definedName>
    <definedName name="fsamex" localSheetId="1">#REF!</definedName>
    <definedName name="fsamex">#REF!</definedName>
    <definedName name="FSBR1" localSheetId="0">#REF!</definedName>
    <definedName name="FSBR1" localSheetId="1">#REF!</definedName>
    <definedName name="FSBR1">#REF!</definedName>
    <definedName name="G4S" localSheetId="0">#REF!</definedName>
    <definedName name="G4S" localSheetId="1">#REF!</definedName>
    <definedName name="G4S">#REF!</definedName>
    <definedName name="G4t" localSheetId="0">#REF!</definedName>
    <definedName name="G4t" localSheetId="1">#REF!</definedName>
    <definedName name="G4t">#REF!</definedName>
    <definedName name="General_Information" localSheetId="0">#REF!</definedName>
    <definedName name="General_Information" localSheetId="1">#REF!</definedName>
    <definedName name="General_Information">#REF!</definedName>
    <definedName name="hfd" localSheetId="0">#REF!</definedName>
    <definedName name="hfd" localSheetId="1">#REF!</definedName>
    <definedName name="hfd">#REF!</definedName>
    <definedName name="hhh" localSheetId="0">#REF!</definedName>
    <definedName name="hhh" localSheetId="1">#REF!</definedName>
    <definedName name="hhh">#REF!</definedName>
    <definedName name="HHV" localSheetId="0">#REF!</definedName>
    <definedName name="HHV" localSheetId="1">#REF!</definedName>
    <definedName name="HHV">#REF!</definedName>
    <definedName name="hhv." localSheetId="0">#REF!</definedName>
    <definedName name="hhv." localSheetId="1">#REF!</definedName>
    <definedName name="hhv.">#REF!</definedName>
    <definedName name="HOUSE" localSheetId="0">#REF!</definedName>
    <definedName name="HOUSE" localSheetId="1">#REF!</definedName>
    <definedName name="HOUSE">#REF!</definedName>
    <definedName name="housing" localSheetId="0">#REF!</definedName>
    <definedName name="housing" localSheetId="1">#REF!</definedName>
    <definedName name="housing">#REF!</definedName>
    <definedName name="housing2005" localSheetId="0">#REF!</definedName>
    <definedName name="housing2005" localSheetId="1">#REF!</definedName>
    <definedName name="housing2005">#REF!</definedName>
    <definedName name="HTML_CodePage">874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0">#REF!</definedName>
    <definedName name="infla1" localSheetId="1">#REF!</definedName>
    <definedName name="infla1">#REF!</definedName>
    <definedName name="infla2" localSheetId="0">#REF!</definedName>
    <definedName name="infla2" localSheetId="1">#REF!</definedName>
    <definedName name="infla2">#REF!</definedName>
    <definedName name="infla3" localSheetId="0">#REF!</definedName>
    <definedName name="infla3" localSheetId="1">#REF!</definedName>
    <definedName name="infla3">#REF!</definedName>
    <definedName name="infla4" localSheetId="0">#REF!</definedName>
    <definedName name="infla4" localSheetId="1">#REF!</definedName>
    <definedName name="infla4">#REF!</definedName>
    <definedName name="InfRate" localSheetId="0">#REF!</definedName>
    <definedName name="InfRate" localSheetId="1">#REF!</definedName>
    <definedName name="InfRate">#REF!</definedName>
    <definedName name="InTrm" localSheetId="0">#REF!</definedName>
    <definedName name="InTrm" localSheetId="1">#REF!</definedName>
    <definedName name="InTrm">#REF!</definedName>
    <definedName name="InvAdv" localSheetId="0">#REF!</definedName>
    <definedName name="InvAdv" localSheetId="1">#REF!</definedName>
    <definedName name="InvAdv">#REF!</definedName>
    <definedName name="IRR" localSheetId="0">#REF!</definedName>
    <definedName name="IRR" localSheetId="1">#REF!</definedName>
    <definedName name="IRR">#REF!</definedName>
    <definedName name="irr_table" localSheetId="0">#REF!</definedName>
    <definedName name="irr_table" localSheetId="1">#REF!</definedName>
    <definedName name="irr_table">#REF!</definedName>
    <definedName name="JJJ" localSheetId="0">#REF!</definedName>
    <definedName name="JJJ" localSheetId="1">#REF!</definedName>
    <definedName name="JJJ">#REF!</definedName>
    <definedName name="jjjj" localSheetId="0">#REF!</definedName>
    <definedName name="jjjj" localSheetId="1">#REF!</definedName>
    <definedName name="jjjj">#REF!</definedName>
    <definedName name="JULY" localSheetId="0">#REF!</definedName>
    <definedName name="JULY" localSheetId="1">#REF!</definedName>
    <definedName name="JULY">#REF!</definedName>
    <definedName name="JUNE" localSheetId="0">#REF!</definedName>
    <definedName name="JUNE" localSheetId="1">#REF!</definedName>
    <definedName name="JUNE">#REF!</definedName>
    <definedName name="jvbranch" localSheetId="0">#REF!</definedName>
    <definedName name="jvbranch" localSheetId="1">#REF!</definedName>
    <definedName name="jvbranch">#REF!</definedName>
    <definedName name="JVFB0805" localSheetId="0">#REF!</definedName>
    <definedName name="JVFB0805" localSheetId="1">#REF!</definedName>
    <definedName name="JVFB0805">#REF!</definedName>
    <definedName name="kidamex" localSheetId="0">#REF!</definedName>
    <definedName name="kidamex" localSheetId="1">#REF!</definedName>
    <definedName name="kidamex">#REF!</definedName>
    <definedName name="KNVK" localSheetId="0">#REF!</definedName>
    <definedName name="KNVK" localSheetId="1">#REF!</definedName>
    <definedName name="KNVK">#REF!</definedName>
    <definedName name="KNVV" localSheetId="0">#REF!</definedName>
    <definedName name="KNVV" localSheetId="1">#REF!</definedName>
    <definedName name="KNVV">#REF!</definedName>
    <definedName name="Lease" localSheetId="0">#REF!</definedName>
    <definedName name="Lease" localSheetId="1">#REF!</definedName>
    <definedName name="Lease">#REF!</definedName>
    <definedName name="license" localSheetId="0">#REF!</definedName>
    <definedName name="license" localSheetId="1">#REF!</definedName>
    <definedName name="license">#REF!</definedName>
    <definedName name="Life" localSheetId="0">#REF!</definedName>
    <definedName name="Life" localSheetId="1">#REF!</definedName>
    <definedName name="Life">#REF!</definedName>
    <definedName name="LIMIT1" localSheetId="6">[6]MAIN!$F$25</definedName>
    <definedName name="LIMIT1">[7]MAIN!$F$25</definedName>
    <definedName name="LIMIT10" localSheetId="6">[6]MAIN!$F$34</definedName>
    <definedName name="LIMIT10">[7]MAIN!$F$34</definedName>
    <definedName name="LIMIT11" localSheetId="6">[6]MAIN!$F$35</definedName>
    <definedName name="LIMIT11">[7]MAIN!$F$35</definedName>
    <definedName name="LIMIT12" localSheetId="6">[6]MAIN!$F$36</definedName>
    <definedName name="LIMIT12">[7]MAIN!$F$36</definedName>
    <definedName name="LIMIT13" localSheetId="6">[6]MAIN!$F$37</definedName>
    <definedName name="LIMIT13">[7]MAIN!$F$37</definedName>
    <definedName name="LIMIT14" localSheetId="6">[6]MAIN!$F$38</definedName>
    <definedName name="LIMIT14">[7]MAIN!$F$38</definedName>
    <definedName name="LIMIT15" localSheetId="6">[6]MAIN!$F$39</definedName>
    <definedName name="LIMIT15">[7]MAIN!$F$39</definedName>
    <definedName name="LIMIT2" localSheetId="6">[6]MAIN!$F$26</definedName>
    <definedName name="LIMIT2">[7]MAIN!$F$26</definedName>
    <definedName name="LIMIT3" localSheetId="6">[6]MAIN!$F$27</definedName>
    <definedName name="LIMIT3">[7]MAIN!$F$27</definedName>
    <definedName name="LIMIT4" localSheetId="6">[6]MAIN!$F$28</definedName>
    <definedName name="LIMIT4">[7]MAIN!$F$28</definedName>
    <definedName name="LIMIT5" localSheetId="6">[6]MAIN!$F$29</definedName>
    <definedName name="LIMIT5">[7]MAIN!$F$29</definedName>
    <definedName name="LIMIT6" localSheetId="6">[6]MAIN!$F$30</definedName>
    <definedName name="LIMIT6">[7]MAIN!$F$30</definedName>
    <definedName name="LIMIT7" localSheetId="6">[6]MAIN!$F$31</definedName>
    <definedName name="LIMIT7">[7]MAIN!$F$31</definedName>
    <definedName name="LIMIT8" localSheetId="6">[6]MAIN!$F$32</definedName>
    <definedName name="LIMIT8">[7]MAIN!$F$32</definedName>
    <definedName name="LIMIT9" localSheetId="6">[6]MAIN!$F$33</definedName>
    <definedName name="LIMIT9">[7]MAIN!$F$33</definedName>
    <definedName name="LOC" localSheetId="0">#REF!</definedName>
    <definedName name="LOC" localSheetId="1">#REF!</definedName>
    <definedName name="LOC">#REF!</definedName>
    <definedName name="Logistics" localSheetId="0">#REF!</definedName>
    <definedName name="Logistics" localSheetId="1">#REF!</definedName>
    <definedName name="Logistics">#REF!</definedName>
    <definedName name="MASTER" localSheetId="0">#REF!</definedName>
    <definedName name="MASTER" localSheetId="1">#REF!</definedName>
    <definedName name="MASTER">#REF!</definedName>
    <definedName name="MAY" localSheetId="0">#REF!</definedName>
    <definedName name="MAY" localSheetId="1">#REF!</definedName>
    <definedName name="MAY">#REF!</definedName>
    <definedName name="mgt_fee" localSheetId="0">#REF!</definedName>
    <definedName name="mgt_fee" localSheetId="1">#REF!</definedName>
    <definedName name="mgt_fee">#REF!</definedName>
    <definedName name="MKTYIELD" localSheetId="0">#REF!</definedName>
    <definedName name="MKTYIELD" localSheetId="1">#REF!</definedName>
    <definedName name="MKTYIELD">#REF!</definedName>
    <definedName name="MobEq" localSheetId="0">#REF!</definedName>
    <definedName name="MobEq" localSheetId="1">#REF!</definedName>
    <definedName name="MobEq">#REF!</definedName>
    <definedName name="Monthly_Sales_for_Acct" localSheetId="0">#REF!</definedName>
    <definedName name="Monthly_Sales_for_Acct" localSheetId="1">#REF!</definedName>
    <definedName name="Monthly_Sales_for_Acct">#REF!</definedName>
    <definedName name="MTD" localSheetId="0">#REF!</definedName>
    <definedName name="MTD" localSheetId="1">#REF!</definedName>
    <definedName name="MTD">#REF!</definedName>
    <definedName name="name" localSheetId="0">#REF!</definedName>
    <definedName name="name" localSheetId="1">#REF!</definedName>
    <definedName name="name">#REF!</definedName>
    <definedName name="NAME1" localSheetId="0">#REF!</definedName>
    <definedName name="NAME1" localSheetId="1">#REF!</definedName>
    <definedName name="NAME1">#REF!</definedName>
    <definedName name="NAPAPORN" localSheetId="0">#REF!</definedName>
    <definedName name="NAPAPORN" localSheetId="1">#REF!</definedName>
    <definedName name="NAPAPORN">#REF!</definedName>
    <definedName name="Newest" localSheetId="0">#REF!</definedName>
    <definedName name="Newest" localSheetId="1">#REF!</definedName>
    <definedName name="Newest">#REF!</definedName>
    <definedName name="nittaya_su">{"'Summary'!$A$5:$H$42"}</definedName>
    <definedName name="NoWeeks">52</definedName>
    <definedName name="NUM" localSheetId="0">#REF!</definedName>
    <definedName name="NUM" localSheetId="1">#REF!</definedName>
    <definedName name="NUM">#REF!</definedName>
    <definedName name="OOO" localSheetId="0">#REF!</definedName>
    <definedName name="OOO" localSheetId="1">#REF!</definedName>
    <definedName name="OOO">#REF!</definedName>
    <definedName name="OpenforUser2">#N/A</definedName>
    <definedName name="OpenForUser3">#N/A</definedName>
    <definedName name="OpenForUser4">#N/A</definedName>
    <definedName name="OptTrm" localSheetId="0">#REF!</definedName>
    <definedName name="OptTrm" localSheetId="1">#REF!</definedName>
    <definedName name="OptTrm">#REF!</definedName>
    <definedName name="OPTYN" localSheetId="0">#REF!</definedName>
    <definedName name="OPTYN" localSheetId="1">#REF!</definedName>
    <definedName name="OPTYN">#REF!</definedName>
    <definedName name="OUTSA" localSheetId="0">#REF!</definedName>
    <definedName name="OUTSA" localSheetId="1">#REF!</definedName>
    <definedName name="OUTSA">#REF!</definedName>
    <definedName name="page1" localSheetId="0">#REF!</definedName>
    <definedName name="page1" localSheetId="1">#REF!</definedName>
    <definedName name="page1">#REF!</definedName>
    <definedName name="Payback" localSheetId="0">#REF!</definedName>
    <definedName name="Payback" localSheetId="1">#REF!</definedName>
    <definedName name="Payback">#REF!</definedName>
    <definedName name="PayerEngAddress" localSheetId="0">#REF!</definedName>
    <definedName name="PayerEngAddress" localSheetId="1">#REF!</definedName>
    <definedName name="PayerEngAddress">#REF!</definedName>
    <definedName name="PayerSoldTo" localSheetId="0">#REF!</definedName>
    <definedName name="PayerSoldTo" localSheetId="1">#REF!</definedName>
    <definedName name="PayerSoldTo">#REF!</definedName>
    <definedName name="PL" localSheetId="0">#REF!</definedName>
    <definedName name="PL" localSheetId="1">#REF!</definedName>
    <definedName name="PL">#REF!</definedName>
    <definedName name="PLT" localSheetId="0">#REF!</definedName>
    <definedName name="PLT" localSheetId="1">#REF!</definedName>
    <definedName name="PLT">#REF!</definedName>
    <definedName name="POD" localSheetId="0">#REF!</definedName>
    <definedName name="POD" localSheetId="1">#REF!</definedName>
    <definedName name="POD">#REF!</definedName>
    <definedName name="ppp" localSheetId="0">#REF!</definedName>
    <definedName name="ppp" localSheetId="1">#REF!</definedName>
    <definedName name="ppp">#REF!</definedName>
    <definedName name="PPWO" localSheetId="0">#REF!</definedName>
    <definedName name="PPWO" localSheetId="1">#REF!</definedName>
    <definedName name="PPWO">#REF!</definedName>
    <definedName name="PRE" localSheetId="0">#REF!</definedName>
    <definedName name="PRE" localSheetId="1">#REF!</definedName>
    <definedName name="PRE">#REF!</definedName>
    <definedName name="PrepBy" localSheetId="0">#REF!</definedName>
    <definedName name="PrepBy" localSheetId="1">#REF!</definedName>
    <definedName name="PrepBy">#REF!</definedName>
    <definedName name="Pricing" localSheetId="0">#REF!</definedName>
    <definedName name="Pricing" localSheetId="1">#REF!</definedName>
    <definedName name="Pricing">#REF!</definedName>
    <definedName name="_xlnm.Print_Area" localSheetId="0">#REF!</definedName>
    <definedName name="_xlnm.Print_Area" localSheetId="1">#REF!</definedName>
    <definedName name="_xlnm.Print_Area" localSheetId="9">payroll_1!$A$1:$Y$76</definedName>
    <definedName name="_xlnm.Print_Area" localSheetId="10">payroll_2!$A$1:$Y$76</definedName>
    <definedName name="_xlnm.Print_Area">#REF!</definedName>
    <definedName name="_xlnm.Print_Titles" localSheetId="0">#REF!</definedName>
    <definedName name="_xlnm.Print_Titles" localSheetId="1">#REF!</definedName>
    <definedName name="_xlnm.Print_Titles">#REF!</definedName>
    <definedName name="Print_Titles_MI" localSheetId="0">#REF!</definedName>
    <definedName name="Print_Titles_MI" localSheetId="1">#REF!</definedName>
    <definedName name="Print_Titles_MI">#REF!</definedName>
    <definedName name="PROPRISK" localSheetId="0">#REF!</definedName>
    <definedName name="PROPRISK" localSheetId="1">#REF!</definedName>
    <definedName name="PROPRISK">#REF!</definedName>
    <definedName name="PROPUP" localSheetId="0">#REF!</definedName>
    <definedName name="PROPUP" localSheetId="1">#REF!</definedName>
    <definedName name="PROPUP">#REF!</definedName>
    <definedName name="pv" localSheetId="0">#REF!</definedName>
    <definedName name="pv" localSheetId="1">#REF!</definedName>
    <definedName name="pv">#REF!</definedName>
    <definedName name="PZAMEX" localSheetId="0">#REF!</definedName>
    <definedName name="PZAMEX" localSheetId="1">#REF!</definedName>
    <definedName name="PZAMEX">#REF!</definedName>
    <definedName name="RBD_UPC" localSheetId="0">#REF!</definedName>
    <definedName name="RBD_UPC" localSheetId="1">#REF!</definedName>
    <definedName name="RBD_UPC">#REF!</definedName>
    <definedName name="RECELEC" localSheetId="0">#REF!</definedName>
    <definedName name="RECELEC" localSheetId="1">#REF!</definedName>
    <definedName name="RECELEC">#REF!</definedName>
    <definedName name="RepCur" localSheetId="0">#REF!</definedName>
    <definedName name="RepCur" localSheetId="1">#REF!</definedName>
    <definedName name="RepCur">#REF!</definedName>
    <definedName name="ReqIrr" localSheetId="0">#REF!</definedName>
    <definedName name="ReqIrr" localSheetId="1">#REF!</definedName>
    <definedName name="ReqIrr">#REF!</definedName>
    <definedName name="ReqPayback" localSheetId="0">#REF!</definedName>
    <definedName name="ReqPayback" localSheetId="1">#REF!</definedName>
    <definedName name="ReqPayback">#REF!</definedName>
    <definedName name="ReqROSHF" localSheetId="0">#REF!</definedName>
    <definedName name="ReqROSHF" localSheetId="1">#REF!</definedName>
    <definedName name="ReqROSHF">#REF!</definedName>
    <definedName name="ROA" localSheetId="0">#REF!</definedName>
    <definedName name="ROA" localSheetId="1">#REF!</definedName>
    <definedName name="ROA">#REF!</definedName>
    <definedName name="ROSHF" localSheetId="0">#REF!</definedName>
    <definedName name="ROSHF" localSheetId="1">#REF!</definedName>
    <definedName name="ROSHF">#REF!</definedName>
    <definedName name="SALES" localSheetId="0">#REF!</definedName>
    <definedName name="SALES" localSheetId="1">#REF!</definedName>
    <definedName name="SALES">#REF!</definedName>
    <definedName name="SAUDI" localSheetId="0">#REF!</definedName>
    <definedName name="SAUDI" localSheetId="1">#REF!</definedName>
    <definedName name="SAUDI">#REF!</definedName>
    <definedName name="SC85_4">'[8]SC sched'!$H$41</definedName>
    <definedName name="SCASH" localSheetId="0">#REF!</definedName>
    <definedName name="SCASH" localSheetId="1">#REF!</definedName>
    <definedName name="SCASH">#REF!</definedName>
    <definedName name="Scen" localSheetId="0">#REF!</definedName>
    <definedName name="Scen" localSheetId="1">#REF!</definedName>
    <definedName name="Scen">#REF!</definedName>
    <definedName name="sdfrserfe" localSheetId="0">#REF!</definedName>
    <definedName name="sdfrserfe" localSheetId="1">#REF!</definedName>
    <definedName name="sdfrserfe">#REF!</definedName>
    <definedName name="sep" localSheetId="0">#REF!</definedName>
    <definedName name="sep" localSheetId="1">#REF!</definedName>
    <definedName name="sep">#REF!</definedName>
    <definedName name="ShipTo" localSheetId="0">#REF!</definedName>
    <definedName name="ShipTo" localSheetId="1">#REF!</definedName>
    <definedName name="ShipTo">#REF!</definedName>
    <definedName name="ShipToSoldTo" localSheetId="0">#REF!</definedName>
    <definedName name="ShipToSoldTo" localSheetId="1">#REF!</definedName>
    <definedName name="ShipToSoldTo">#REF!</definedName>
    <definedName name="Sign" localSheetId="0">#REF!</definedName>
    <definedName name="Sign" localSheetId="1">#REF!</definedName>
    <definedName name="Sign">#REF!</definedName>
    <definedName name="SM" localSheetId="0">#REF!</definedName>
    <definedName name="SM" localSheetId="1">#REF!</definedName>
    <definedName name="SM">#REF!</definedName>
    <definedName name="SO" localSheetId="0">#REF!</definedName>
    <definedName name="SO" localSheetId="1">#REF!</definedName>
    <definedName name="SO">#REF!</definedName>
    <definedName name="SoldTo" localSheetId="0">#REF!</definedName>
    <definedName name="SoldTo" localSheetId="1">#REF!</definedName>
    <definedName name="SoldTo">#REF!</definedName>
    <definedName name="SoldToPayer" localSheetId="0">#REF!</definedName>
    <definedName name="SoldToPayer" localSheetId="1">#REF!</definedName>
    <definedName name="SoldToPayer">#REF!</definedName>
    <definedName name="SoldToShipTo" localSheetId="0">#REF!</definedName>
    <definedName name="SoldToShipTo" localSheetId="1">#REF!</definedName>
    <definedName name="SoldToShipTo">#REF!</definedName>
    <definedName name="SUB_TOTAL" localSheetId="0">#REF!</definedName>
    <definedName name="SUB_TOTAL" localSheetId="1">#REF!</definedName>
    <definedName name="SUB_TOTAL">#REF!</definedName>
    <definedName name="Sum_report_PZ_test2" localSheetId="0">#REF!</definedName>
    <definedName name="Sum_report_PZ_test2" localSheetId="1">#REF!</definedName>
    <definedName name="Sum_report_PZ_test2">#REF!</definedName>
    <definedName name="sw" localSheetId="0">#REF!</definedName>
    <definedName name="sw" localSheetId="1">#REF!</definedName>
    <definedName name="sw">#REF!</definedName>
    <definedName name="TB1206A" localSheetId="0">#REF!</definedName>
    <definedName name="TB1206A" localSheetId="1">#REF!</definedName>
    <definedName name="TB1206A">#REF!</definedName>
    <definedName name="TBMFG" localSheetId="0">#REF!</definedName>
    <definedName name="TBMFG" localSheetId="1">#REF!</definedName>
    <definedName name="TBMFG">#REF!</definedName>
    <definedName name="ten_yr_depre" localSheetId="0">#REF!</definedName>
    <definedName name="ten_yr_depre" localSheetId="1">#REF!</definedName>
    <definedName name="ten_yr_depre">#REF!</definedName>
    <definedName name="TermMethod" localSheetId="0">#REF!</definedName>
    <definedName name="TermMethod" localSheetId="1">#REF!</definedName>
    <definedName name="TermMethod">#REF!</definedName>
    <definedName name="tfb" localSheetId="0">#REF!</definedName>
    <definedName name="tfb" localSheetId="1">#REF!</definedName>
    <definedName name="tfb">#REF!</definedName>
    <definedName name="TFBV" localSheetId="0">#REF!</definedName>
    <definedName name="TFBV" localSheetId="1">#REF!</definedName>
    <definedName name="TFBV">#REF!</definedName>
    <definedName name="tsa" localSheetId="0">#REF!</definedName>
    <definedName name="tsa" localSheetId="1">#REF!</definedName>
    <definedName name="tsa">#REF!</definedName>
    <definedName name="tumbon" localSheetId="0">#REF!</definedName>
    <definedName name="tumbon" localSheetId="1">#REF!</definedName>
    <definedName name="tumbon">#REF!</definedName>
    <definedName name="two_yr_depre" localSheetId="0">#REF!</definedName>
    <definedName name="two_yr_depre" localSheetId="1">#REF!</definedName>
    <definedName name="two_yr_depre">#REF!</definedName>
    <definedName name="type" localSheetId="0">#REF!</definedName>
    <definedName name="type" localSheetId="1">#REF!</definedName>
    <definedName name="type">#REF!</definedName>
    <definedName name="Unit" localSheetId="0">#REF!</definedName>
    <definedName name="Unit" localSheetId="1">#REF!</definedName>
    <definedName name="Unit">#REF!</definedName>
    <definedName name="UnitMeasure" localSheetId="0">#REF!</definedName>
    <definedName name="UnitMeasure" localSheetId="1">#REF!</definedName>
    <definedName name="UnitMeasure">#REF!</definedName>
    <definedName name="UnitMeaure" localSheetId="0">#REF!</definedName>
    <definedName name="UnitMeaure" localSheetId="1">#REF!</definedName>
    <definedName name="UnitMeaure">#REF!</definedName>
    <definedName name="UUU" localSheetId="0">#REF!</definedName>
    <definedName name="UUU" localSheetId="1">#REF!</definedName>
    <definedName name="UUU">#REF!</definedName>
    <definedName name="vk" localSheetId="0">#REF!</definedName>
    <definedName name="vk" localSheetId="1">#REF!</definedName>
    <definedName name="vk">#REF!</definedName>
    <definedName name="WATER" localSheetId="0">#REF!</definedName>
    <definedName name="WATER" localSheetId="1">#REF!</definedName>
    <definedName name="WATER">#REF!</definedName>
    <definedName name="wflicense" localSheetId="0">#REF!</definedName>
    <definedName name="wflicense" localSheetId="1">#REF!</definedName>
    <definedName name="wflicense">#REF!</definedName>
    <definedName name="wfood" localSheetId="0">#REF!</definedName>
    <definedName name="wfood" localSheetId="1">#REF!</definedName>
    <definedName name="wfood">#REF!</definedName>
    <definedName name="WIRTE" localSheetId="0">#REF!</definedName>
    <definedName name="WIRTE" localSheetId="1">#REF!</definedName>
    <definedName name="WIRTE">#REF!</definedName>
    <definedName name="write" localSheetId="0">#REF!</definedName>
    <definedName name="write" localSheetId="1">#REF!</definedName>
    <definedName name="write">#REF!</definedName>
    <definedName name="wro" localSheetId="0">#REF!</definedName>
    <definedName name="wro" localSheetId="1">#REF!</definedName>
    <definedName name="wro">#REF!</definedName>
    <definedName name="wsignd" localSheetId="0">#REF!</definedName>
    <definedName name="wsignd" localSheetId="1">#REF!</definedName>
    <definedName name="wsignd">#REF!</definedName>
    <definedName name="x" localSheetId="0">#REF!</definedName>
    <definedName name="x" localSheetId="1">#REF!</definedName>
    <definedName name="x">#REF!</definedName>
    <definedName name="years" localSheetId="0">#REF!</definedName>
    <definedName name="years" localSheetId="1">#REF!</definedName>
    <definedName name="years">#REF!</definedName>
    <definedName name="YTD" localSheetId="0">#REF!</definedName>
    <definedName name="YTD" localSheetId="1">#REF!</definedName>
    <definedName name="YTD">#REF!</definedName>
    <definedName name="ฟ1" localSheetId="0">#REF!</definedName>
    <definedName name="ฟ1" localSheetId="1">#REF!</definedName>
    <definedName name="ฟ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3" l="1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E38" i="13" l="1"/>
  <c r="E37" i="13"/>
  <c r="E36" i="13"/>
  <c r="E14" i="13"/>
  <c r="E49" i="13"/>
  <c r="E48" i="13"/>
  <c r="E47" i="13"/>
  <c r="E46" i="13"/>
  <c r="E91" i="13"/>
  <c r="E20" i="13"/>
  <c r="E12" i="13"/>
  <c r="E13" i="13"/>
  <c r="E50" i="13"/>
  <c r="E95" i="13"/>
  <c r="E8" i="13"/>
  <c r="L28" i="13" l="1"/>
  <c r="K28" i="13"/>
  <c r="L27" i="13"/>
  <c r="K27" i="13"/>
  <c r="G28" i="15"/>
  <c r="G25" i="14"/>
  <c r="G27" i="14" s="1"/>
  <c r="K9" i="13"/>
  <c r="L9" i="13" s="1"/>
  <c r="G10" i="14" s="1"/>
  <c r="K11" i="13"/>
  <c r="L11" i="13" s="1"/>
  <c r="G12" i="14" s="1"/>
  <c r="K12" i="13"/>
  <c r="L12" i="13" s="1"/>
  <c r="G13" i="14" s="1"/>
  <c r="K15" i="13"/>
  <c r="L15" i="13" s="1"/>
  <c r="K16" i="13"/>
  <c r="L16" i="13" s="1"/>
  <c r="G17" i="14" s="1"/>
  <c r="K17" i="13"/>
  <c r="L17" i="13" s="1"/>
  <c r="G18" i="14" s="1"/>
  <c r="K19" i="13"/>
  <c r="L19" i="13" s="1"/>
  <c r="G20" i="14" s="1"/>
  <c r="K20" i="13"/>
  <c r="L20" i="13" s="1"/>
  <c r="G21" i="14" s="1"/>
  <c r="K23" i="13"/>
  <c r="L23" i="13" s="1"/>
  <c r="K24" i="13"/>
  <c r="L24" i="13"/>
  <c r="G39" i="14" s="1"/>
  <c r="K25" i="13"/>
  <c r="L25" i="13" s="1"/>
  <c r="G40" i="14" s="1"/>
  <c r="G42" i="14"/>
  <c r="G43" i="14"/>
  <c r="K31" i="13"/>
  <c r="L31" i="13" s="1"/>
  <c r="G48" i="14" s="1"/>
  <c r="K32" i="13"/>
  <c r="L32" i="13" s="1"/>
  <c r="G49" i="14" s="1"/>
  <c r="K33" i="13"/>
  <c r="L33" i="13" s="1"/>
  <c r="G50" i="14" s="1"/>
  <c r="K35" i="13"/>
  <c r="L35" i="13" s="1"/>
  <c r="G52" i="14" s="1"/>
  <c r="K36" i="13"/>
  <c r="L36" i="13" s="1"/>
  <c r="G53" i="14" s="1"/>
  <c r="K39" i="13"/>
  <c r="L39" i="13" s="1"/>
  <c r="G63" i="14" s="1"/>
  <c r="K40" i="13"/>
  <c r="L40" i="13"/>
  <c r="G65" i="14" s="1"/>
  <c r="K41" i="13"/>
  <c r="L41" i="13" s="1"/>
  <c r="G64" i="14" s="1"/>
  <c r="D99" i="13"/>
  <c r="K44" i="13"/>
  <c r="L44" i="13" s="1"/>
  <c r="G10" i="15" s="1"/>
  <c r="K45" i="13"/>
  <c r="L45" i="13" s="1"/>
  <c r="G11" i="15" s="1"/>
  <c r="K48" i="13"/>
  <c r="L48" i="13" s="1"/>
  <c r="G16" i="15" s="1"/>
  <c r="K49" i="13"/>
  <c r="L49" i="13" s="1"/>
  <c r="G17" i="15" s="1"/>
  <c r="K52" i="13"/>
  <c r="L52" i="13" s="1"/>
  <c r="G29" i="15" s="1"/>
  <c r="K53" i="13"/>
  <c r="L53" i="13" s="1"/>
  <c r="G32" i="15" s="1"/>
  <c r="K54" i="13"/>
  <c r="L54" i="13" s="1"/>
  <c r="G30" i="15" s="1"/>
  <c r="K56" i="13"/>
  <c r="L56" i="13" s="1"/>
  <c r="G34" i="15" s="1"/>
  <c r="K57" i="13"/>
  <c r="L57" i="13" s="1"/>
  <c r="G56" i="15" s="1"/>
  <c r="K58" i="13"/>
  <c r="L58" i="13" s="1"/>
  <c r="G41" i="15" s="1"/>
  <c r="K60" i="13"/>
  <c r="L60" i="13" s="1"/>
  <c r="G43" i="15" s="1"/>
  <c r="K61" i="13"/>
  <c r="L61" i="13" s="1"/>
  <c r="G44" i="15" s="1"/>
  <c r="K62" i="13"/>
  <c r="L62" i="13" s="1"/>
  <c r="G45" i="15" s="1"/>
  <c r="K64" i="13"/>
  <c r="L64" i="13" s="1"/>
  <c r="G47" i="15" s="1"/>
  <c r="K65" i="13"/>
  <c r="L65" i="13" s="1"/>
  <c r="G48" i="15" s="1"/>
  <c r="K66" i="13"/>
  <c r="L66" i="13" s="1"/>
  <c r="G49" i="15" s="1"/>
  <c r="K68" i="13"/>
  <c r="L68" i="13" s="1"/>
  <c r="K69" i="13"/>
  <c r="L69" i="13" s="1"/>
  <c r="G53" i="15" s="1"/>
  <c r="K70" i="13"/>
  <c r="L70" i="13" s="1"/>
  <c r="G54" i="15" s="1"/>
  <c r="K72" i="13"/>
  <c r="L72" i="13" s="1"/>
  <c r="G57" i="15" s="1"/>
  <c r="K73" i="13"/>
  <c r="L73" i="13" s="1"/>
  <c r="G58" i="15" s="1"/>
  <c r="K74" i="13"/>
  <c r="L74" i="13" s="1"/>
  <c r="G59" i="15" s="1"/>
  <c r="K76" i="13"/>
  <c r="L76" i="13" s="1"/>
  <c r="G61" i="15" s="1"/>
  <c r="K77" i="13"/>
  <c r="L77" i="13" s="1"/>
  <c r="G62" i="15" s="1"/>
  <c r="K78" i="13"/>
  <c r="L78" i="13" s="1"/>
  <c r="G63" i="15" s="1"/>
  <c r="K80" i="13"/>
  <c r="L80" i="13" s="1"/>
  <c r="G65" i="15" s="1"/>
  <c r="K81" i="13"/>
  <c r="L81" i="13" s="1"/>
  <c r="G66" i="15" s="1"/>
  <c r="K82" i="13"/>
  <c r="L82" i="13" s="1"/>
  <c r="G67" i="15" s="1"/>
  <c r="K84" i="13"/>
  <c r="L84" i="13" s="1"/>
  <c r="G72" i="15" s="1"/>
  <c r="K85" i="13"/>
  <c r="L85" i="13" s="1"/>
  <c r="G69" i="15" s="1"/>
  <c r="K86" i="13"/>
  <c r="L86" i="13" s="1"/>
  <c r="G70" i="15" s="1"/>
  <c r="K88" i="13"/>
  <c r="L88" i="13" s="1"/>
  <c r="G73" i="15" s="1"/>
  <c r="K89" i="13"/>
  <c r="L89" i="13" s="1"/>
  <c r="G74" i="15" s="1"/>
  <c r="K90" i="13"/>
  <c r="L90" i="13" s="1"/>
  <c r="G75" i="15" s="1"/>
  <c r="K92" i="13"/>
  <c r="L92" i="13" s="1"/>
  <c r="G51" i="15" s="1"/>
  <c r="K93" i="13"/>
  <c r="L93" i="13" s="1"/>
  <c r="G52" i="15" s="1"/>
  <c r="K94" i="13"/>
  <c r="L94" i="13" s="1"/>
  <c r="G77" i="15" s="1"/>
  <c r="K96" i="13"/>
  <c r="L96" i="13" s="1"/>
  <c r="G79" i="15" s="1"/>
  <c r="F99" i="13"/>
  <c r="I99" i="13"/>
  <c r="J99" i="13"/>
  <c r="G38" i="14" l="1"/>
  <c r="G35" i="15"/>
  <c r="H35" i="15" s="1"/>
  <c r="G16" i="14"/>
  <c r="K34" i="13"/>
  <c r="L34" i="13" s="1"/>
  <c r="G51" i="14" s="1"/>
  <c r="K26" i="13"/>
  <c r="L26" i="13" s="1"/>
  <c r="G41" i="14" s="1"/>
  <c r="K95" i="13"/>
  <c r="L95" i="13" s="1"/>
  <c r="G78" i="15" s="1"/>
  <c r="K87" i="13"/>
  <c r="L87" i="13" s="1"/>
  <c r="G71" i="15" s="1"/>
  <c r="K75" i="13"/>
  <c r="L75" i="13" s="1"/>
  <c r="G60" i="15" s="1"/>
  <c r="K71" i="13"/>
  <c r="L71" i="13" s="1"/>
  <c r="G55" i="15" s="1"/>
  <c r="K67" i="13"/>
  <c r="L67" i="13" s="1"/>
  <c r="G50" i="15" s="1"/>
  <c r="K63" i="13"/>
  <c r="L63" i="13" s="1"/>
  <c r="G46" i="15" s="1"/>
  <c r="K59" i="13"/>
  <c r="L59" i="13" s="1"/>
  <c r="G42" i="15" s="1"/>
  <c r="K55" i="13"/>
  <c r="L55" i="13" s="1"/>
  <c r="G33" i="15" s="1"/>
  <c r="K51" i="13"/>
  <c r="L51" i="13" s="1"/>
  <c r="G22" i="15" s="1"/>
  <c r="K50" i="13"/>
  <c r="L50" i="13" s="1"/>
  <c r="G21" i="15" s="1"/>
  <c r="K47" i="13"/>
  <c r="L47" i="13" s="1"/>
  <c r="G15" i="15" s="1"/>
  <c r="K46" i="13"/>
  <c r="L46" i="13" s="1"/>
  <c r="G14" i="15" s="1"/>
  <c r="K43" i="13"/>
  <c r="L43" i="13" s="1"/>
  <c r="G9" i="15" s="1"/>
  <c r="G12" i="15" s="1"/>
  <c r="K42" i="13"/>
  <c r="L42" i="13" s="1"/>
  <c r="K37" i="13"/>
  <c r="L37" i="13" s="1"/>
  <c r="G56" i="14" s="1"/>
  <c r="K29" i="13"/>
  <c r="L29" i="13" s="1"/>
  <c r="G46" i="14" s="1"/>
  <c r="K21" i="13"/>
  <c r="L21" i="13" s="1"/>
  <c r="G34" i="14" s="1"/>
  <c r="K13" i="13"/>
  <c r="L13" i="13" s="1"/>
  <c r="G14" i="14" s="1"/>
  <c r="H99" i="13"/>
  <c r="G44" i="14"/>
  <c r="K18" i="13"/>
  <c r="L18" i="13" s="1"/>
  <c r="G19" i="14" s="1"/>
  <c r="K10" i="13"/>
  <c r="L10" i="13" s="1"/>
  <c r="G11" i="14" s="1"/>
  <c r="K91" i="13"/>
  <c r="L91" i="13" s="1"/>
  <c r="G76" i="15" s="1"/>
  <c r="K83" i="13"/>
  <c r="L83" i="13" s="1"/>
  <c r="G68" i="15" s="1"/>
  <c r="K79" i="13"/>
  <c r="L79" i="13" s="1"/>
  <c r="G64" i="15" s="1"/>
  <c r="E99" i="13"/>
  <c r="K38" i="13"/>
  <c r="L38" i="13" s="1"/>
  <c r="G57" i="14" s="1"/>
  <c r="K30" i="13"/>
  <c r="L30" i="13" s="1"/>
  <c r="G47" i="14" s="1"/>
  <c r="K22" i="13"/>
  <c r="L22" i="13" s="1"/>
  <c r="G35" i="14" s="1"/>
  <c r="K14" i="13"/>
  <c r="L14" i="13" s="1"/>
  <c r="G15" i="14" s="1"/>
  <c r="G99" i="13"/>
  <c r="G31" i="15"/>
  <c r="K8" i="13"/>
  <c r="G36" i="15" l="1"/>
  <c r="H36" i="15" s="1"/>
  <c r="G23" i="15"/>
  <c r="G66" i="14"/>
  <c r="G68" i="14" s="1"/>
  <c r="G80" i="15"/>
  <c r="G54" i="14"/>
  <c r="G18" i="15"/>
  <c r="G19" i="15" s="1"/>
  <c r="K99" i="13"/>
  <c r="L8" i="13"/>
  <c r="G36" i="14"/>
  <c r="G58" i="14"/>
  <c r="G24" i="15" l="1"/>
  <c r="G38" i="15" s="1"/>
  <c r="G82" i="15" s="1"/>
  <c r="G60" i="14"/>
  <c r="G70" i="14" s="1"/>
  <c r="L99" i="13"/>
  <c r="G9" i="14"/>
  <c r="G22" i="14" s="1"/>
  <c r="G29" i="14" s="1"/>
  <c r="G72" i="14" l="1"/>
  <c r="G6" i="11"/>
  <c r="G105" i="11" s="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9" i="10" l="1"/>
  <c r="H9" i="10"/>
  <c r="M9" i="10"/>
  <c r="N9" i="10"/>
  <c r="O9" i="10"/>
  <c r="O11" i="10" s="1"/>
  <c r="P9" i="10"/>
  <c r="T9" i="10"/>
  <c r="T11" i="10" s="1"/>
  <c r="U9" i="10"/>
  <c r="U11" i="10" s="1"/>
  <c r="V9" i="10"/>
  <c r="W9" i="10"/>
  <c r="AG9" i="10"/>
  <c r="AG11" i="10" s="1"/>
  <c r="AH9" i="10"/>
  <c r="AI9" i="10"/>
  <c r="AI11" i="10" s="1"/>
  <c r="AL9" i="10"/>
  <c r="AM9" i="10"/>
  <c r="AM11" i="10" s="1"/>
  <c r="AN9" i="10"/>
  <c r="AZ9" i="10"/>
  <c r="AZ11" i="10" s="1"/>
  <c r="BC9" i="10"/>
  <c r="BD9" i="10"/>
  <c r="G10" i="10"/>
  <c r="H10" i="10"/>
  <c r="M10" i="10"/>
  <c r="N10" i="10"/>
  <c r="O10" i="10"/>
  <c r="P10" i="10"/>
  <c r="T10" i="10"/>
  <c r="U10" i="10"/>
  <c r="V10" i="10"/>
  <c r="W10" i="10"/>
  <c r="AG10" i="10"/>
  <c r="AH10" i="10"/>
  <c r="AI10" i="10"/>
  <c r="AK10" i="10"/>
  <c r="AL10" i="10"/>
  <c r="AL11" i="10" s="1"/>
  <c r="AM10" i="10"/>
  <c r="AN10" i="10"/>
  <c r="AN11" i="10" s="1"/>
  <c r="AZ10" i="10"/>
  <c r="BD10" i="10"/>
  <c r="BR10" i="10"/>
  <c r="C11" i="10"/>
  <c r="D11" i="10"/>
  <c r="E11" i="10"/>
  <c r="H11" i="10"/>
  <c r="I11" i="10"/>
  <c r="J11" i="10"/>
  <c r="K11" i="10"/>
  <c r="L11" i="10"/>
  <c r="P11" i="10"/>
  <c r="R11" i="10"/>
  <c r="S11" i="10"/>
  <c r="W11" i="10"/>
  <c r="Y11" i="10"/>
  <c r="AJ11" i="10"/>
  <c r="AK11" i="10"/>
  <c r="AO11" i="10"/>
  <c r="AP11" i="10"/>
  <c r="AQ11" i="10"/>
  <c r="AR11" i="10"/>
  <c r="AS11" i="10"/>
  <c r="AT11" i="10"/>
  <c r="AU11" i="10"/>
  <c r="AV11" i="10"/>
  <c r="AW11" i="10"/>
  <c r="AX11" i="10"/>
  <c r="AY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A12" i="10"/>
  <c r="G12" i="10"/>
  <c r="G14" i="10" s="1"/>
  <c r="H12" i="10"/>
  <c r="M12" i="10"/>
  <c r="N12" i="10"/>
  <c r="O12" i="10"/>
  <c r="T12" i="10"/>
  <c r="U12" i="10"/>
  <c r="W12" i="10"/>
  <c r="W14" i="10" s="1"/>
  <c r="AG12" i="10"/>
  <c r="AH12" i="10"/>
  <c r="AI12" i="10"/>
  <c r="AK12" i="10"/>
  <c r="AL12" i="10" s="1"/>
  <c r="AZ12" i="10"/>
  <c r="BC12" i="10"/>
  <c r="BR12" i="10" s="1"/>
  <c r="BR14" i="10" s="1"/>
  <c r="BD12" i="10"/>
  <c r="G13" i="10"/>
  <c r="H13" i="10"/>
  <c r="M13" i="10"/>
  <c r="N13" i="10"/>
  <c r="P13" i="10"/>
  <c r="T13" i="10"/>
  <c r="U13" i="10"/>
  <c r="W13" i="10"/>
  <c r="AG13" i="10"/>
  <c r="AH13" i="10"/>
  <c r="AH14" i="10" s="1"/>
  <c r="AI13" i="10"/>
  <c r="AK13" i="10"/>
  <c r="AL13" i="10" s="1"/>
  <c r="AM13" i="10"/>
  <c r="AN13" i="10"/>
  <c r="AZ13" i="10"/>
  <c r="BR13" i="10" s="1"/>
  <c r="C14" i="10"/>
  <c r="D14" i="10"/>
  <c r="E14" i="10"/>
  <c r="I14" i="10"/>
  <c r="J14" i="10"/>
  <c r="K14" i="10"/>
  <c r="L14" i="10"/>
  <c r="M14" i="10"/>
  <c r="N14" i="10"/>
  <c r="P14" i="10"/>
  <c r="R14" i="10"/>
  <c r="S14" i="10"/>
  <c r="U14" i="10"/>
  <c r="Y14" i="10"/>
  <c r="AG14" i="10"/>
  <c r="AI14" i="10"/>
  <c r="AJ14" i="10"/>
  <c r="AO14" i="10"/>
  <c r="AP14" i="10"/>
  <c r="AQ14" i="10"/>
  <c r="AR14" i="10"/>
  <c r="AS14" i="10"/>
  <c r="AT14" i="10"/>
  <c r="AU14" i="10"/>
  <c r="AV14" i="10"/>
  <c r="AW14" i="10"/>
  <c r="AX14" i="10"/>
  <c r="AY14" i="10"/>
  <c r="BA14" i="10"/>
  <c r="BB14" i="10"/>
  <c r="BC14" i="10"/>
  <c r="BE14" i="10"/>
  <c r="BF14" i="10"/>
  <c r="BG14" i="10"/>
  <c r="BG104" i="10" s="1"/>
  <c r="BG105" i="10" s="1"/>
  <c r="BH14" i="10"/>
  <c r="BH104" i="10" s="1"/>
  <c r="BH105" i="10" s="1"/>
  <c r="BI14" i="10"/>
  <c r="BJ14" i="10"/>
  <c r="BK14" i="10"/>
  <c r="BK104" i="10" s="1"/>
  <c r="BK105" i="10" s="1"/>
  <c r="BL14" i="10"/>
  <c r="BM14" i="10"/>
  <c r="BN14" i="10"/>
  <c r="BO14" i="10"/>
  <c r="BP14" i="10"/>
  <c r="BQ14" i="10"/>
  <c r="A15" i="10"/>
  <c r="G15" i="10"/>
  <c r="H15" i="10"/>
  <c r="M15" i="10"/>
  <c r="N15" i="10"/>
  <c r="O15" i="10"/>
  <c r="P15" i="10"/>
  <c r="T15" i="10"/>
  <c r="U15" i="10"/>
  <c r="U17" i="10" s="1"/>
  <c r="V15" i="10"/>
  <c r="W15" i="10"/>
  <c r="Z15" i="10"/>
  <c r="AG15" i="10"/>
  <c r="AG17" i="10" s="1"/>
  <c r="AH15" i="10"/>
  <c r="AI15" i="10"/>
  <c r="AK15" i="10"/>
  <c r="AL15" i="10"/>
  <c r="AM15" i="10"/>
  <c r="AN15" i="10" s="1"/>
  <c r="AZ15" i="10"/>
  <c r="BR15" i="10" s="1"/>
  <c r="BR17" i="10" s="1"/>
  <c r="BC15" i="10"/>
  <c r="BD15" i="10"/>
  <c r="BD17" i="10" s="1"/>
  <c r="G16" i="10"/>
  <c r="H16" i="10"/>
  <c r="H17" i="10" s="1"/>
  <c r="M16" i="10"/>
  <c r="N16" i="10"/>
  <c r="P16" i="10"/>
  <c r="O16" i="10" s="1"/>
  <c r="T16" i="10"/>
  <c r="U16" i="10"/>
  <c r="W16" i="10"/>
  <c r="W17" i="10" s="1"/>
  <c r="AG16" i="10"/>
  <c r="AH16" i="10"/>
  <c r="AI16" i="10"/>
  <c r="AI17" i="10" s="1"/>
  <c r="AK16" i="10"/>
  <c r="AL16" i="10" s="1"/>
  <c r="AM16" i="10" s="1"/>
  <c r="AN16" i="10" s="1"/>
  <c r="AZ16" i="10"/>
  <c r="BR16" i="10"/>
  <c r="C17" i="10"/>
  <c r="D17" i="10"/>
  <c r="E17" i="10"/>
  <c r="G17" i="10"/>
  <c r="I17" i="10"/>
  <c r="J17" i="10"/>
  <c r="K17" i="10"/>
  <c r="M17" i="10" s="1"/>
  <c r="L17" i="10"/>
  <c r="N17" i="10"/>
  <c r="P17" i="10"/>
  <c r="R17" i="10"/>
  <c r="S17" i="10"/>
  <c r="T17" i="10"/>
  <c r="Y17" i="10"/>
  <c r="Y103" i="10" s="1"/>
  <c r="AH17" i="10"/>
  <c r="AJ17" i="10"/>
  <c r="AM17" i="10"/>
  <c r="AO17" i="10"/>
  <c r="AP17" i="10"/>
  <c r="AQ17" i="10"/>
  <c r="AR17" i="10"/>
  <c r="AS17" i="10"/>
  <c r="AT17" i="10"/>
  <c r="AU17" i="10"/>
  <c r="AV17" i="10"/>
  <c r="AW17" i="10"/>
  <c r="AX17" i="10"/>
  <c r="AY17" i="10"/>
  <c r="BA17" i="10"/>
  <c r="BB17" i="10"/>
  <c r="BC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A18" i="10"/>
  <c r="A21" i="10" s="1"/>
  <c r="A24" i="10" s="1"/>
  <c r="A27" i="10" s="1"/>
  <c r="A30" i="10" s="1"/>
  <c r="A33" i="10" s="1"/>
  <c r="A36" i="10" s="1"/>
  <c r="A39" i="10" s="1"/>
  <c r="A42" i="10" s="1"/>
  <c r="A45" i="10" s="1"/>
  <c r="A48" i="10" s="1"/>
  <c r="A51" i="10" s="1"/>
  <c r="A54" i="10" s="1"/>
  <c r="A57" i="10" s="1"/>
  <c r="A60" i="10" s="1"/>
  <c r="A63" i="10" s="1"/>
  <c r="A66" i="10" s="1"/>
  <c r="A69" i="10" s="1"/>
  <c r="A72" i="10" s="1"/>
  <c r="A75" i="10" s="1"/>
  <c r="A78" i="10" s="1"/>
  <c r="A81" i="10" s="1"/>
  <c r="A84" i="10" s="1"/>
  <c r="A87" i="10" s="1"/>
  <c r="A90" i="10" s="1"/>
  <c r="A93" i="10" s="1"/>
  <c r="A96" i="10" s="1"/>
  <c r="G18" i="10"/>
  <c r="H18" i="10"/>
  <c r="M18" i="10"/>
  <c r="O18" i="10" s="1"/>
  <c r="N18" i="10"/>
  <c r="AG18" i="10"/>
  <c r="AH18" i="10"/>
  <c r="AI18" i="10"/>
  <c r="AI20" i="10" s="1"/>
  <c r="AK18" i="10"/>
  <c r="AL18" i="10" s="1"/>
  <c r="AM18" i="10" s="1"/>
  <c r="AN18" i="10"/>
  <c r="AZ18" i="10"/>
  <c r="AZ20" i="10" s="1"/>
  <c r="BC18" i="10"/>
  <c r="BD18" i="10"/>
  <c r="BD20" i="10" s="1"/>
  <c r="G19" i="10"/>
  <c r="H19" i="10"/>
  <c r="M19" i="10"/>
  <c r="N19" i="10"/>
  <c r="O19" i="10"/>
  <c r="Z19" i="10"/>
  <c r="AG19" i="10"/>
  <c r="AH19" i="10"/>
  <c r="AI19" i="10"/>
  <c r="AK19" i="10"/>
  <c r="AL19" i="10"/>
  <c r="AM19" i="10"/>
  <c r="AN19" i="10"/>
  <c r="AZ19" i="10"/>
  <c r="BR19" i="10"/>
  <c r="C20" i="10"/>
  <c r="D20" i="10"/>
  <c r="E20" i="10"/>
  <c r="H20" i="10"/>
  <c r="I20" i="10"/>
  <c r="J20" i="10"/>
  <c r="K20" i="10"/>
  <c r="N20" i="10" s="1"/>
  <c r="L20" i="10"/>
  <c r="P20" i="10" s="1"/>
  <c r="M20" i="10"/>
  <c r="O20" i="10"/>
  <c r="R20" i="10"/>
  <c r="S20" i="10"/>
  <c r="T20" i="10"/>
  <c r="U20" i="10"/>
  <c r="V20" i="10"/>
  <c r="W20" i="10"/>
  <c r="Y20" i="10"/>
  <c r="AG20" i="10"/>
  <c r="AH20" i="10"/>
  <c r="AK20" i="10"/>
  <c r="AL20" i="10"/>
  <c r="AO20" i="10"/>
  <c r="AP20" i="10"/>
  <c r="AQ20" i="10"/>
  <c r="AR20" i="10"/>
  <c r="AS20" i="10"/>
  <c r="AT20" i="10"/>
  <c r="AU20" i="10"/>
  <c r="AV20" i="10"/>
  <c r="AW20" i="10"/>
  <c r="AX20" i="10"/>
  <c r="AY20" i="10"/>
  <c r="BA20" i="10"/>
  <c r="BB20" i="10"/>
  <c r="BC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G21" i="10"/>
  <c r="H21" i="10"/>
  <c r="H23" i="10" s="1"/>
  <c r="M21" i="10"/>
  <c r="N21" i="10"/>
  <c r="AG21" i="10"/>
  <c r="AG23" i="10" s="1"/>
  <c r="AH21" i="10"/>
  <c r="AH23" i="10" s="1"/>
  <c r="AI21" i="10"/>
  <c r="AL21" i="10"/>
  <c r="AM21" i="10"/>
  <c r="AN21" i="10"/>
  <c r="AZ21" i="10"/>
  <c r="BC21" i="10"/>
  <c r="BD21" i="10"/>
  <c r="BR21" i="10"/>
  <c r="BR23" i="10" s="1"/>
  <c r="G22" i="10"/>
  <c r="G23" i="10" s="1"/>
  <c r="H22" i="10"/>
  <c r="M22" i="10"/>
  <c r="N22" i="10"/>
  <c r="AG22" i="10"/>
  <c r="AH22" i="10"/>
  <c r="AI22" i="10"/>
  <c r="AI23" i="10" s="1"/>
  <c r="AK22" i="10"/>
  <c r="AZ22" i="10"/>
  <c r="BR22" i="10" s="1"/>
  <c r="C23" i="10"/>
  <c r="D23" i="10"/>
  <c r="E23" i="10"/>
  <c r="I23" i="10"/>
  <c r="J23" i="10"/>
  <c r="K23" i="10"/>
  <c r="L23" i="10"/>
  <c r="N23" i="10"/>
  <c r="P23" i="10"/>
  <c r="R23" i="10"/>
  <c r="S23" i="10"/>
  <c r="T23" i="10"/>
  <c r="U23" i="10"/>
  <c r="V23" i="10"/>
  <c r="W23" i="10"/>
  <c r="Y23" i="10"/>
  <c r="AO23" i="10"/>
  <c r="AP23" i="10"/>
  <c r="AQ23" i="10"/>
  <c r="AR23" i="10"/>
  <c r="AS23" i="10"/>
  <c r="AT23" i="10"/>
  <c r="AU23" i="10"/>
  <c r="AV23" i="10"/>
  <c r="AW23" i="10"/>
  <c r="AX23" i="10"/>
  <c r="AY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G24" i="10"/>
  <c r="H24" i="10"/>
  <c r="M24" i="10"/>
  <c r="N24" i="10"/>
  <c r="O24" i="10"/>
  <c r="O26" i="10" s="1"/>
  <c r="AG24" i="10"/>
  <c r="AG26" i="10" s="1"/>
  <c r="AH24" i="10"/>
  <c r="AI24" i="10"/>
  <c r="AL24" i="10"/>
  <c r="AM24" i="10"/>
  <c r="AZ24" i="10"/>
  <c r="BR24" i="10" s="1"/>
  <c r="BR26" i="10" s="1"/>
  <c r="BC24" i="10"/>
  <c r="BD24" i="10"/>
  <c r="G25" i="10"/>
  <c r="G26" i="10" s="1"/>
  <c r="H25" i="10"/>
  <c r="H26" i="10" s="1"/>
  <c r="M25" i="10"/>
  <c r="M26" i="10" s="1"/>
  <c r="N25" i="10"/>
  <c r="O25" i="10"/>
  <c r="AG25" i="10"/>
  <c r="AH25" i="10"/>
  <c r="AH26" i="10" s="1"/>
  <c r="AI25" i="10"/>
  <c r="AK25" i="10"/>
  <c r="AK26" i="10" s="1"/>
  <c r="AL25" i="10"/>
  <c r="AM25" i="10" s="1"/>
  <c r="AN25" i="10" s="1"/>
  <c r="BC25" i="10"/>
  <c r="BD25" i="10"/>
  <c r="BR25" i="10"/>
  <c r="C26" i="10"/>
  <c r="D26" i="10"/>
  <c r="I26" i="10"/>
  <c r="J26" i="10"/>
  <c r="K26" i="10"/>
  <c r="L26" i="10"/>
  <c r="N26" i="10"/>
  <c r="P26" i="10"/>
  <c r="R26" i="10"/>
  <c r="S26" i="10"/>
  <c r="T26" i="10"/>
  <c r="U26" i="10"/>
  <c r="V26" i="10"/>
  <c r="W26" i="10"/>
  <c r="Y26" i="10"/>
  <c r="AI26" i="10"/>
  <c r="AL26" i="10"/>
  <c r="AO26" i="10"/>
  <c r="AP26" i="10"/>
  <c r="AQ26" i="10"/>
  <c r="AR26" i="10"/>
  <c r="AS26" i="10"/>
  <c r="AT26" i="10"/>
  <c r="AU26" i="10"/>
  <c r="AV26" i="10"/>
  <c r="AW26" i="10"/>
  <c r="AX26" i="10"/>
  <c r="AY26" i="10"/>
  <c r="BA26" i="10"/>
  <c r="BB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H27" i="10"/>
  <c r="M27" i="10"/>
  <c r="N27" i="10"/>
  <c r="N29" i="10" s="1"/>
  <c r="AG27" i="10"/>
  <c r="AH27" i="10"/>
  <c r="AI27" i="10"/>
  <c r="AI29" i="10" s="1"/>
  <c r="AK27" i="10"/>
  <c r="AL27" i="10"/>
  <c r="AM27" i="10" s="1"/>
  <c r="AN27" i="10"/>
  <c r="AZ27" i="10"/>
  <c r="BC27" i="10"/>
  <c r="BC29" i="10" s="1"/>
  <c r="BD27" i="10"/>
  <c r="BR27" i="10"/>
  <c r="H28" i="10"/>
  <c r="M28" i="10"/>
  <c r="N28" i="10"/>
  <c r="O28" i="10"/>
  <c r="AG28" i="10"/>
  <c r="AH28" i="10"/>
  <c r="AI28" i="10"/>
  <c r="AK28" i="10"/>
  <c r="AL28" i="10" s="1"/>
  <c r="AM28" i="10"/>
  <c r="AN28" i="10" s="1"/>
  <c r="AZ28" i="10"/>
  <c r="BD28" i="10"/>
  <c r="BR28" i="10"/>
  <c r="C29" i="10"/>
  <c r="D29" i="10"/>
  <c r="E29" i="10"/>
  <c r="G29" i="10"/>
  <c r="H29" i="10"/>
  <c r="I29" i="10"/>
  <c r="J29" i="10"/>
  <c r="K29" i="10"/>
  <c r="L29" i="10"/>
  <c r="P29" i="10"/>
  <c r="R29" i="10"/>
  <c r="S29" i="10"/>
  <c r="T29" i="10"/>
  <c r="U29" i="10"/>
  <c r="V29" i="10"/>
  <c r="W29" i="10"/>
  <c r="Y29" i="10"/>
  <c r="AG29" i="10"/>
  <c r="AH29" i="10"/>
  <c r="AJ29" i="10"/>
  <c r="AL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G30" i="10"/>
  <c r="H30" i="10"/>
  <c r="H32" i="10" s="1"/>
  <c r="M30" i="10"/>
  <c r="M32" i="10" s="1"/>
  <c r="N30" i="10"/>
  <c r="AG30" i="10"/>
  <c r="AG32" i="10" s="1"/>
  <c r="AH30" i="10"/>
  <c r="AH32" i="10" s="1"/>
  <c r="AI30" i="10"/>
  <c r="AK30" i="10"/>
  <c r="AL30" i="10"/>
  <c r="AM30" i="10"/>
  <c r="AN30" i="10" s="1"/>
  <c r="AZ30" i="10"/>
  <c r="BC30" i="10"/>
  <c r="BD30" i="10"/>
  <c r="BD32" i="10" s="1"/>
  <c r="G31" i="10"/>
  <c r="G32" i="10" s="1"/>
  <c r="H31" i="10"/>
  <c r="M31" i="10"/>
  <c r="N31" i="10"/>
  <c r="O31" i="10"/>
  <c r="AG31" i="10"/>
  <c r="AH31" i="10"/>
  <c r="AI31" i="10"/>
  <c r="AK31" i="10"/>
  <c r="AL31" i="10" s="1"/>
  <c r="AM31" i="10" s="1"/>
  <c r="AN31" i="10" s="1"/>
  <c r="AZ31" i="10"/>
  <c r="AZ32" i="10" s="1"/>
  <c r="BR31" i="10"/>
  <c r="C32" i="10"/>
  <c r="D32" i="10"/>
  <c r="E32" i="10"/>
  <c r="I32" i="10"/>
  <c r="J32" i="10"/>
  <c r="K32" i="10"/>
  <c r="L32" i="10"/>
  <c r="N32" i="10"/>
  <c r="P32" i="10"/>
  <c r="R32" i="10"/>
  <c r="S32" i="10"/>
  <c r="T32" i="10"/>
  <c r="U32" i="10"/>
  <c r="V32" i="10"/>
  <c r="W32" i="10"/>
  <c r="Y32" i="10"/>
  <c r="AI32" i="10"/>
  <c r="AJ32" i="10"/>
  <c r="AO32" i="10"/>
  <c r="AP32" i="10"/>
  <c r="AQ32" i="10"/>
  <c r="AR32" i="10"/>
  <c r="AS32" i="10"/>
  <c r="AT32" i="10"/>
  <c r="AU32" i="10"/>
  <c r="AV32" i="10"/>
  <c r="AW32" i="10"/>
  <c r="AX32" i="10"/>
  <c r="AY32" i="10"/>
  <c r="BA32" i="10"/>
  <c r="BB32" i="10"/>
  <c r="BC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G33" i="10"/>
  <c r="H33" i="10"/>
  <c r="M33" i="10"/>
  <c r="N33" i="10"/>
  <c r="O33" i="10"/>
  <c r="AG33" i="10"/>
  <c r="AH33" i="10"/>
  <c r="AI33" i="10"/>
  <c r="AK33" i="10"/>
  <c r="AL33" i="10" s="1"/>
  <c r="AZ33" i="10"/>
  <c r="BC33" i="10"/>
  <c r="BC35" i="10" s="1"/>
  <c r="BD33" i="10"/>
  <c r="BR33" i="10"/>
  <c r="BR35" i="10" s="1"/>
  <c r="G34" i="10"/>
  <c r="H34" i="10"/>
  <c r="M34" i="10"/>
  <c r="N34" i="10"/>
  <c r="O34" i="10" s="1"/>
  <c r="AG34" i="10"/>
  <c r="AG35" i="10" s="1"/>
  <c r="AH34" i="10"/>
  <c r="AI34" i="10"/>
  <c r="AK34" i="10"/>
  <c r="AL34" i="10" s="1"/>
  <c r="AM34" i="10" s="1"/>
  <c r="AN34" i="10" s="1"/>
  <c r="AZ34" i="10"/>
  <c r="BR34" i="10"/>
  <c r="C35" i="10"/>
  <c r="D35" i="10"/>
  <c r="E35" i="10"/>
  <c r="G35" i="10"/>
  <c r="I35" i="10"/>
  <c r="J35" i="10"/>
  <c r="K35" i="10"/>
  <c r="L35" i="10"/>
  <c r="M35" i="10"/>
  <c r="P35" i="10"/>
  <c r="Q35" i="10"/>
  <c r="R35" i="10"/>
  <c r="S35" i="10"/>
  <c r="T35" i="10"/>
  <c r="U35" i="10"/>
  <c r="V35" i="10"/>
  <c r="W35" i="10"/>
  <c r="X35" i="10"/>
  <c r="Y35" i="10"/>
  <c r="AH35" i="10"/>
  <c r="AJ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G36" i="10"/>
  <c r="H36" i="10"/>
  <c r="M36" i="10"/>
  <c r="M38" i="10" s="1"/>
  <c r="N36" i="10"/>
  <c r="P36" i="10"/>
  <c r="T36" i="10"/>
  <c r="T38" i="10" s="1"/>
  <c r="U36" i="10"/>
  <c r="W36" i="10"/>
  <c r="AG36" i="10"/>
  <c r="AG38" i="10" s="1"/>
  <c r="AH36" i="10"/>
  <c r="AI36" i="10"/>
  <c r="AK36" i="10"/>
  <c r="AL36" i="10"/>
  <c r="AZ36" i="10"/>
  <c r="BC36" i="10"/>
  <c r="BD36" i="10"/>
  <c r="BR36" i="10"/>
  <c r="G37" i="10"/>
  <c r="H37" i="10"/>
  <c r="M37" i="10"/>
  <c r="N37" i="10"/>
  <c r="O37" i="10" s="1"/>
  <c r="P37" i="10"/>
  <c r="T37" i="10"/>
  <c r="U37" i="10"/>
  <c r="V37" i="10" s="1"/>
  <c r="W37" i="10"/>
  <c r="AG37" i="10"/>
  <c r="AH37" i="10"/>
  <c r="AH38" i="10" s="1"/>
  <c r="AI37" i="10"/>
  <c r="AK37" i="10"/>
  <c r="AL37" i="10" s="1"/>
  <c r="AM37" i="10"/>
  <c r="AN37" i="10" s="1"/>
  <c r="AO37" i="10"/>
  <c r="AZ37" i="10" s="1"/>
  <c r="BA37" i="10"/>
  <c r="BR37" i="10"/>
  <c r="C38" i="10"/>
  <c r="D38" i="10"/>
  <c r="E38" i="10"/>
  <c r="G38" i="10"/>
  <c r="H38" i="10"/>
  <c r="I38" i="10"/>
  <c r="J38" i="10"/>
  <c r="K38" i="10"/>
  <c r="L38" i="10"/>
  <c r="P38" i="10"/>
  <c r="R38" i="10"/>
  <c r="S38" i="10"/>
  <c r="W38" i="10"/>
  <c r="Y38" i="10"/>
  <c r="AI38" i="10"/>
  <c r="AJ38" i="10"/>
  <c r="AK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G39" i="10"/>
  <c r="H39" i="10"/>
  <c r="H41" i="10" s="1"/>
  <c r="M39" i="10"/>
  <c r="N39" i="10"/>
  <c r="O39" i="10" s="1"/>
  <c r="AG39" i="10"/>
  <c r="AG41" i="10" s="1"/>
  <c r="AH39" i="10"/>
  <c r="AI39" i="10"/>
  <c r="AK39" i="10"/>
  <c r="AL39" i="10"/>
  <c r="AM39" i="10" s="1"/>
  <c r="AN39" i="10"/>
  <c r="AZ39" i="10"/>
  <c r="AZ41" i="10" s="1"/>
  <c r="BC39" i="10"/>
  <c r="BD39" i="10"/>
  <c r="BR39" i="10"/>
  <c r="G40" i="10"/>
  <c r="H40" i="10"/>
  <c r="M40" i="10"/>
  <c r="N40" i="10"/>
  <c r="O40" i="10" s="1"/>
  <c r="O41" i="10" s="1"/>
  <c r="AG40" i="10"/>
  <c r="AH40" i="10"/>
  <c r="AI40" i="10"/>
  <c r="AK40" i="10"/>
  <c r="AL40" i="10" s="1"/>
  <c r="AM40" i="10" s="1"/>
  <c r="AN40" i="10" s="1"/>
  <c r="AZ40" i="10"/>
  <c r="BR40" i="10"/>
  <c r="C41" i="10"/>
  <c r="D41" i="10"/>
  <c r="E41" i="10"/>
  <c r="G41" i="10"/>
  <c r="I41" i="10"/>
  <c r="J41" i="10"/>
  <c r="K41" i="10"/>
  <c r="L41" i="10"/>
  <c r="M41" i="10"/>
  <c r="P41" i="10"/>
  <c r="R41" i="10"/>
  <c r="S41" i="10"/>
  <c r="T41" i="10"/>
  <c r="U41" i="10"/>
  <c r="V41" i="10"/>
  <c r="W41" i="10"/>
  <c r="Y41" i="10"/>
  <c r="AH41" i="10"/>
  <c r="AJ41" i="10"/>
  <c r="AO41" i="10"/>
  <c r="AP41" i="10"/>
  <c r="AQ41" i="10"/>
  <c r="AR41" i="10"/>
  <c r="AS41" i="10"/>
  <c r="AT41" i="10"/>
  <c r="AU41" i="10"/>
  <c r="AV41" i="10"/>
  <c r="AW41" i="10"/>
  <c r="AX41" i="10"/>
  <c r="AY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G42" i="10"/>
  <c r="H42" i="10"/>
  <c r="M42" i="10"/>
  <c r="O42" i="10" s="1"/>
  <c r="N42" i="10"/>
  <c r="N44" i="10" s="1"/>
  <c r="AG42" i="10"/>
  <c r="AH42" i="10"/>
  <c r="AI42" i="10"/>
  <c r="AI44" i="10" s="1"/>
  <c r="AL42" i="10"/>
  <c r="AM42" i="10" s="1"/>
  <c r="AN42" i="10"/>
  <c r="AZ42" i="10"/>
  <c r="BR42" i="10" s="1"/>
  <c r="BC42" i="10"/>
  <c r="BC44" i="10" s="1"/>
  <c r="BD42" i="10"/>
  <c r="G43" i="10"/>
  <c r="G44" i="10" s="1"/>
  <c r="H43" i="10"/>
  <c r="H44" i="10" s="1"/>
  <c r="M43" i="10"/>
  <c r="N43" i="10"/>
  <c r="O43" i="10"/>
  <c r="AG43" i="10"/>
  <c r="AG44" i="10" s="1"/>
  <c r="AH43" i="10"/>
  <c r="AI43" i="10"/>
  <c r="AK43" i="10"/>
  <c r="AK44" i="10" s="1"/>
  <c r="AL43" i="10"/>
  <c r="AM43" i="10" s="1"/>
  <c r="AN43" i="10" s="1"/>
  <c r="AZ43" i="10"/>
  <c r="BR43" i="10" s="1"/>
  <c r="C44" i="10"/>
  <c r="D44" i="10"/>
  <c r="E44" i="10"/>
  <c r="I44" i="10"/>
  <c r="J44" i="10"/>
  <c r="K44" i="10"/>
  <c r="L44" i="10"/>
  <c r="O44" i="10"/>
  <c r="P44" i="10"/>
  <c r="R44" i="10"/>
  <c r="S44" i="10"/>
  <c r="T44" i="10"/>
  <c r="U44" i="10"/>
  <c r="V44" i="10"/>
  <c r="W44" i="10"/>
  <c r="Y44" i="10"/>
  <c r="AH44" i="10"/>
  <c r="AJ44" i="10"/>
  <c r="AL44" i="10"/>
  <c r="AO44" i="10"/>
  <c r="AP44" i="10"/>
  <c r="AQ44" i="10"/>
  <c r="AR44" i="10"/>
  <c r="AS44" i="10"/>
  <c r="AT44" i="10"/>
  <c r="AU44" i="10"/>
  <c r="AV44" i="10"/>
  <c r="AW44" i="10"/>
  <c r="AX44" i="10"/>
  <c r="AY44" i="10"/>
  <c r="BA44" i="10"/>
  <c r="BB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H45" i="10"/>
  <c r="H47" i="10" s="1"/>
  <c r="M45" i="10"/>
  <c r="N45" i="10"/>
  <c r="O45" i="10" s="1"/>
  <c r="AG45" i="10"/>
  <c r="AH45" i="10"/>
  <c r="AI45" i="10"/>
  <c r="AI47" i="10" s="1"/>
  <c r="AL45" i="10"/>
  <c r="AM45" i="10" s="1"/>
  <c r="AZ45" i="10"/>
  <c r="BC45" i="10"/>
  <c r="BC47" i="10" s="1"/>
  <c r="BD45" i="10"/>
  <c r="BD47" i="10" s="1"/>
  <c r="G46" i="10"/>
  <c r="H46" i="10"/>
  <c r="M46" i="10"/>
  <c r="M47" i="10" s="1"/>
  <c r="N46" i="10"/>
  <c r="AG46" i="10"/>
  <c r="AH46" i="10"/>
  <c r="AH47" i="10" s="1"/>
  <c r="AI46" i="10"/>
  <c r="AK46" i="10"/>
  <c r="AL46" i="10" s="1"/>
  <c r="AM46" i="10"/>
  <c r="AN46" i="10" s="1"/>
  <c r="AZ46" i="10"/>
  <c r="BR46" i="10" s="1"/>
  <c r="C47" i="10"/>
  <c r="D47" i="10"/>
  <c r="E47" i="10"/>
  <c r="G47" i="10"/>
  <c r="I47" i="10"/>
  <c r="J47" i="10"/>
  <c r="K47" i="10"/>
  <c r="L47" i="10"/>
  <c r="P47" i="10"/>
  <c r="R47" i="10"/>
  <c r="S47" i="10"/>
  <c r="T47" i="10"/>
  <c r="U47" i="10"/>
  <c r="V47" i="10"/>
  <c r="W47" i="10"/>
  <c r="Y47" i="10"/>
  <c r="AG47" i="10"/>
  <c r="AJ47" i="10"/>
  <c r="AK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H48" i="10"/>
  <c r="M48" i="10"/>
  <c r="N48" i="10"/>
  <c r="N50" i="10" s="1"/>
  <c r="AG48" i="10"/>
  <c r="AG50" i="10" s="1"/>
  <c r="AH48" i="10"/>
  <c r="AI48" i="10"/>
  <c r="AK48" i="10"/>
  <c r="AL48" i="10"/>
  <c r="AM48" i="10" s="1"/>
  <c r="AZ48" i="10"/>
  <c r="BC48" i="10"/>
  <c r="BC50" i="10" s="1"/>
  <c r="BD48" i="10"/>
  <c r="BD50" i="10" s="1"/>
  <c r="H49" i="10"/>
  <c r="M49" i="10"/>
  <c r="O49" i="10" s="1"/>
  <c r="N49" i="10"/>
  <c r="AG49" i="10"/>
  <c r="AH49" i="10"/>
  <c r="AH50" i="10" s="1"/>
  <c r="AI49" i="10"/>
  <c r="AK49" i="10"/>
  <c r="AL49" i="10" s="1"/>
  <c r="AM49" i="10"/>
  <c r="AN49" i="10" s="1"/>
  <c r="AZ49" i="10"/>
  <c r="C50" i="10"/>
  <c r="D50" i="10"/>
  <c r="E50" i="10"/>
  <c r="G50" i="10"/>
  <c r="H50" i="10"/>
  <c r="I50" i="10"/>
  <c r="J50" i="10"/>
  <c r="K50" i="10"/>
  <c r="L50" i="10"/>
  <c r="M50" i="10"/>
  <c r="P50" i="10"/>
  <c r="R50" i="10"/>
  <c r="S50" i="10"/>
  <c r="T50" i="10"/>
  <c r="U50" i="10"/>
  <c r="V50" i="10"/>
  <c r="W50" i="10"/>
  <c r="Y50" i="10"/>
  <c r="AI50" i="10"/>
  <c r="AJ50" i="10"/>
  <c r="AO50" i="10"/>
  <c r="AP50" i="10"/>
  <c r="AQ50" i="10"/>
  <c r="AR50" i="10"/>
  <c r="AS50" i="10"/>
  <c r="AT50" i="10"/>
  <c r="AU50" i="10"/>
  <c r="AV50" i="10"/>
  <c r="AW50" i="10"/>
  <c r="AX50" i="10"/>
  <c r="AY50" i="10"/>
  <c r="BA50" i="10"/>
  <c r="BB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G51" i="10"/>
  <c r="H51" i="10"/>
  <c r="M51" i="10"/>
  <c r="O51" i="10" s="1"/>
  <c r="N51" i="10"/>
  <c r="N53" i="10" s="1"/>
  <c r="Z51" i="10"/>
  <c r="AG51" i="10"/>
  <c r="AG53" i="10" s="1"/>
  <c r="AH51" i="10"/>
  <c r="AH53" i="10" s="1"/>
  <c r="AI51" i="10"/>
  <c r="AK51" i="10"/>
  <c r="AL51" i="10"/>
  <c r="AM51" i="10"/>
  <c r="AN51" i="10" s="1"/>
  <c r="AZ51" i="10"/>
  <c r="BR51" i="10" s="1"/>
  <c r="BC51" i="10"/>
  <c r="BD51" i="10"/>
  <c r="BD53" i="10" s="1"/>
  <c r="G52" i="10"/>
  <c r="G53" i="10" s="1"/>
  <c r="H52" i="10"/>
  <c r="M52" i="10"/>
  <c r="N52" i="10"/>
  <c r="O52" i="10"/>
  <c r="Z52" i="10"/>
  <c r="AG52" i="10"/>
  <c r="AH52" i="10"/>
  <c r="AI52" i="10"/>
  <c r="AI53" i="10" s="1"/>
  <c r="AK52" i="10"/>
  <c r="AL52" i="10" s="1"/>
  <c r="AZ52" i="10"/>
  <c r="BR52" i="10" s="1"/>
  <c r="BR53" i="10" s="1"/>
  <c r="C53" i="10"/>
  <c r="D53" i="10"/>
  <c r="E53" i="10"/>
  <c r="I53" i="10"/>
  <c r="J53" i="10"/>
  <c r="K53" i="10"/>
  <c r="L53" i="10"/>
  <c r="O53" i="10"/>
  <c r="P53" i="10"/>
  <c r="R53" i="10"/>
  <c r="S53" i="10"/>
  <c r="T53" i="10"/>
  <c r="U53" i="10"/>
  <c r="V53" i="10"/>
  <c r="W53" i="10"/>
  <c r="Y53" i="10"/>
  <c r="AJ53" i="10"/>
  <c r="AO53" i="10"/>
  <c r="AP53" i="10"/>
  <c r="AQ53" i="10"/>
  <c r="AR53" i="10"/>
  <c r="AS53" i="10"/>
  <c r="AT53" i="10"/>
  <c r="AU53" i="10"/>
  <c r="AV53" i="10"/>
  <c r="AW53" i="10"/>
  <c r="AX53" i="10"/>
  <c r="AY53" i="10"/>
  <c r="BA53" i="10"/>
  <c r="BB53" i="10"/>
  <c r="BC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G54" i="10"/>
  <c r="H54" i="10"/>
  <c r="M54" i="10"/>
  <c r="M56" i="10" s="1"/>
  <c r="N54" i="10"/>
  <c r="N56" i="10" s="1"/>
  <c r="AG54" i="10"/>
  <c r="AH54" i="10"/>
  <c r="AI54" i="10"/>
  <c r="AK54" i="10"/>
  <c r="AL54" i="10" s="1"/>
  <c r="AM54" i="10"/>
  <c r="AN54" i="10"/>
  <c r="AZ54" i="10"/>
  <c r="BC54" i="10"/>
  <c r="BD54" i="10"/>
  <c r="BD56" i="10" s="1"/>
  <c r="BR54" i="10"/>
  <c r="BR56" i="10" s="1"/>
  <c r="G55" i="10"/>
  <c r="H55" i="10"/>
  <c r="M55" i="10"/>
  <c r="N55" i="10"/>
  <c r="O55" i="10" s="1"/>
  <c r="AG55" i="10"/>
  <c r="AH55" i="10"/>
  <c r="AI55" i="10"/>
  <c r="AI56" i="10" s="1"/>
  <c r="AK55" i="10"/>
  <c r="AL55" i="10" s="1"/>
  <c r="AM55" i="10" s="1"/>
  <c r="AZ55" i="10"/>
  <c r="BR55" i="10" s="1"/>
  <c r="C56" i="10"/>
  <c r="D56" i="10"/>
  <c r="E56" i="10"/>
  <c r="H56" i="10"/>
  <c r="I56" i="10"/>
  <c r="J56" i="10"/>
  <c r="K56" i="10"/>
  <c r="L56" i="10"/>
  <c r="P56" i="10"/>
  <c r="R56" i="10"/>
  <c r="S56" i="10"/>
  <c r="T56" i="10"/>
  <c r="U56" i="10"/>
  <c r="V56" i="10"/>
  <c r="W56" i="10"/>
  <c r="Y56" i="10"/>
  <c r="AG56" i="10"/>
  <c r="AH56" i="10"/>
  <c r="AJ56" i="10"/>
  <c r="AL56" i="10"/>
  <c r="AO56" i="10"/>
  <c r="AP56" i="10"/>
  <c r="AQ56" i="10"/>
  <c r="AR56" i="10"/>
  <c r="AS56" i="10"/>
  <c r="AT56" i="10"/>
  <c r="AU56" i="10"/>
  <c r="AV56" i="10"/>
  <c r="AW56" i="10"/>
  <c r="AX56" i="10"/>
  <c r="AY56" i="10"/>
  <c r="BA56" i="10"/>
  <c r="BB56" i="10"/>
  <c r="BC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H57" i="10"/>
  <c r="M57" i="10"/>
  <c r="N57" i="10"/>
  <c r="N59" i="10" s="1"/>
  <c r="P57" i="10"/>
  <c r="T57" i="10"/>
  <c r="V57" i="10" s="1"/>
  <c r="U57" i="10"/>
  <c r="W57" i="10"/>
  <c r="AG57" i="10"/>
  <c r="AG59" i="10" s="1"/>
  <c r="AH57" i="10"/>
  <c r="AH59" i="10" s="1"/>
  <c r="AI57" i="10"/>
  <c r="AK57" i="10"/>
  <c r="AL57" i="10"/>
  <c r="AZ57" i="10"/>
  <c r="BC57" i="10"/>
  <c r="BC59" i="10" s="1"/>
  <c r="BD57" i="10"/>
  <c r="BR57" i="10" s="1"/>
  <c r="BR59" i="10" s="1"/>
  <c r="H58" i="10"/>
  <c r="M58" i="10"/>
  <c r="O58" i="10" s="1"/>
  <c r="N58" i="10"/>
  <c r="P58" i="10"/>
  <c r="T58" i="10"/>
  <c r="V58" i="10" s="1"/>
  <c r="U58" i="10"/>
  <c r="W58" i="10"/>
  <c r="Z58" i="10"/>
  <c r="AG58" i="10"/>
  <c r="AH58" i="10"/>
  <c r="AI58" i="10"/>
  <c r="AK58" i="10"/>
  <c r="AZ58" i="10"/>
  <c r="BR58" i="10"/>
  <c r="C59" i="10"/>
  <c r="D59" i="10"/>
  <c r="E59" i="10"/>
  <c r="G59" i="10"/>
  <c r="H59" i="10"/>
  <c r="I59" i="10"/>
  <c r="J59" i="10"/>
  <c r="K59" i="10"/>
  <c r="L59" i="10"/>
  <c r="P59" i="10"/>
  <c r="R59" i="10"/>
  <c r="S59" i="10"/>
  <c r="U59" i="10"/>
  <c r="W59" i="10"/>
  <c r="Y59" i="10"/>
  <c r="AI59" i="10"/>
  <c r="AJ59" i="10"/>
  <c r="AO59" i="10"/>
  <c r="AP59" i="10"/>
  <c r="AQ59" i="10"/>
  <c r="AR59" i="10"/>
  <c r="AR103" i="10" s="1"/>
  <c r="AR105" i="10" s="1"/>
  <c r="AR106" i="10" s="1"/>
  <c r="AS59" i="10"/>
  <c r="AT59" i="10"/>
  <c r="AU59" i="10"/>
  <c r="AV59" i="10"/>
  <c r="AW59" i="10"/>
  <c r="AX59" i="10"/>
  <c r="AY59" i="10"/>
  <c r="AZ59" i="10"/>
  <c r="BA59" i="10"/>
  <c r="BB59" i="10"/>
  <c r="BD59" i="10"/>
  <c r="BE59" i="10"/>
  <c r="BF59" i="10"/>
  <c r="BG59" i="10"/>
  <c r="BH59" i="10"/>
  <c r="BH107" i="10" s="1"/>
  <c r="BH108" i="10" s="1"/>
  <c r="BI59" i="10"/>
  <c r="BJ59" i="10"/>
  <c r="BK59" i="10"/>
  <c r="BL59" i="10"/>
  <c r="BM59" i="10"/>
  <c r="BN59" i="10"/>
  <c r="BO59" i="10"/>
  <c r="BP59" i="10"/>
  <c r="BP107" i="10" s="1"/>
  <c r="BP108" i="10" s="1"/>
  <c r="BQ59" i="10"/>
  <c r="H60" i="10"/>
  <c r="M60" i="10"/>
  <c r="O60" i="10" s="1"/>
  <c r="O62" i="10" s="1"/>
  <c r="N60" i="10"/>
  <c r="Z60" i="10"/>
  <c r="AG60" i="10"/>
  <c r="AG62" i="10" s="1"/>
  <c r="AH60" i="10"/>
  <c r="AI60" i="10"/>
  <c r="AK60" i="10"/>
  <c r="AL60" i="10"/>
  <c r="AZ60" i="10"/>
  <c r="BC60" i="10"/>
  <c r="BD60" i="10"/>
  <c r="BR60" i="10"/>
  <c r="H61" i="10"/>
  <c r="M61" i="10"/>
  <c r="N61" i="10"/>
  <c r="O61" i="10"/>
  <c r="P61" i="10"/>
  <c r="T61" i="10"/>
  <c r="T62" i="10" s="1"/>
  <c r="U61" i="10"/>
  <c r="V61" i="10"/>
  <c r="V62" i="10" s="1"/>
  <c r="W61" i="10"/>
  <c r="Z61" i="10"/>
  <c r="AG61" i="10"/>
  <c r="AH61" i="10"/>
  <c r="AH62" i="10" s="1"/>
  <c r="AI61" i="10"/>
  <c r="AK61" i="10"/>
  <c r="AL61" i="10" s="1"/>
  <c r="AM61" i="10"/>
  <c r="AN61" i="10" s="1"/>
  <c r="AZ61" i="10"/>
  <c r="BR61" i="10" s="1"/>
  <c r="C62" i="10"/>
  <c r="D62" i="10"/>
  <c r="E62" i="10"/>
  <c r="G62" i="10"/>
  <c r="H62" i="10"/>
  <c r="I62" i="10"/>
  <c r="J62" i="10"/>
  <c r="K62" i="10"/>
  <c r="L62" i="10"/>
  <c r="M62" i="10"/>
  <c r="N62" i="10"/>
  <c r="P62" i="10"/>
  <c r="R62" i="10"/>
  <c r="S62" i="10"/>
  <c r="U62" i="10"/>
  <c r="W62" i="10"/>
  <c r="Y62" i="10"/>
  <c r="AI62" i="10"/>
  <c r="AJ62" i="10"/>
  <c r="AK62" i="10"/>
  <c r="AO62" i="10"/>
  <c r="AP62" i="10"/>
  <c r="AQ62" i="10"/>
  <c r="AR62" i="10"/>
  <c r="AS62" i="10"/>
  <c r="AT62" i="10"/>
  <c r="AU62" i="10"/>
  <c r="AV62" i="10"/>
  <c r="AW62" i="10"/>
  <c r="AX62" i="10"/>
  <c r="AY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G63" i="10"/>
  <c r="H63" i="10"/>
  <c r="M63" i="10"/>
  <c r="N63" i="10"/>
  <c r="AG63" i="10"/>
  <c r="AH63" i="10"/>
  <c r="AI63" i="10"/>
  <c r="AI65" i="10" s="1"/>
  <c r="AL63" i="10"/>
  <c r="AM63" i="10"/>
  <c r="AN63" i="10"/>
  <c r="AZ63" i="10"/>
  <c r="BC63" i="10"/>
  <c r="BD63" i="10"/>
  <c r="BD65" i="10" s="1"/>
  <c r="G64" i="10"/>
  <c r="G65" i="10" s="1"/>
  <c r="H64" i="10"/>
  <c r="M64" i="10"/>
  <c r="N64" i="10"/>
  <c r="O64" i="10"/>
  <c r="AG64" i="10"/>
  <c r="AH64" i="10"/>
  <c r="AI64" i="10"/>
  <c r="AK64" i="10"/>
  <c r="AZ64" i="10"/>
  <c r="BR64" i="10" s="1"/>
  <c r="C65" i="10"/>
  <c r="D65" i="10"/>
  <c r="E65" i="10"/>
  <c r="H65" i="10"/>
  <c r="I65" i="10"/>
  <c r="J65" i="10"/>
  <c r="K65" i="10"/>
  <c r="L65" i="10"/>
  <c r="N65" i="10"/>
  <c r="P65" i="10"/>
  <c r="R65" i="10"/>
  <c r="S65" i="10"/>
  <c r="T65" i="10"/>
  <c r="U65" i="10"/>
  <c r="V65" i="10"/>
  <c r="W65" i="10"/>
  <c r="Y65" i="10"/>
  <c r="AG65" i="10"/>
  <c r="AH65" i="10"/>
  <c r="AJ65" i="10"/>
  <c r="AO65" i="10"/>
  <c r="AP65" i="10"/>
  <c r="AQ65" i="10"/>
  <c r="AR65" i="10"/>
  <c r="AS65" i="10"/>
  <c r="AT65" i="10"/>
  <c r="AU65" i="10"/>
  <c r="AV65" i="10"/>
  <c r="AW65" i="10"/>
  <c r="AX65" i="10"/>
  <c r="AY65" i="10"/>
  <c r="BA65" i="10"/>
  <c r="BB65" i="10"/>
  <c r="BC65" i="10"/>
  <c r="BE65" i="10"/>
  <c r="BF65" i="10"/>
  <c r="BG65" i="10"/>
  <c r="BI65" i="10"/>
  <c r="BJ65" i="10"/>
  <c r="BK65" i="10"/>
  <c r="BL65" i="10"/>
  <c r="BM65" i="10"/>
  <c r="BN65" i="10"/>
  <c r="BO65" i="10"/>
  <c r="BP65" i="10"/>
  <c r="BQ65" i="10"/>
  <c r="G66" i="10"/>
  <c r="G68" i="10" s="1"/>
  <c r="H66" i="10"/>
  <c r="M66" i="10"/>
  <c r="M68" i="10" s="1"/>
  <c r="N66" i="10"/>
  <c r="O66" i="10" s="1"/>
  <c r="O68" i="10" s="1"/>
  <c r="AG66" i="10"/>
  <c r="AH66" i="10"/>
  <c r="AH68" i="10" s="1"/>
  <c r="AI66" i="10"/>
  <c r="AI68" i="10" s="1"/>
  <c r="AL66" i="10"/>
  <c r="AZ66" i="10"/>
  <c r="BC66" i="10"/>
  <c r="BC68" i="10" s="1"/>
  <c r="BD66" i="10"/>
  <c r="G67" i="10"/>
  <c r="H67" i="10"/>
  <c r="H68" i="10" s="1"/>
  <c r="M67" i="10"/>
  <c r="N67" i="10"/>
  <c r="O67" i="10"/>
  <c r="AG67" i="10"/>
  <c r="AG68" i="10" s="1"/>
  <c r="AH67" i="10"/>
  <c r="AI67" i="10"/>
  <c r="AL67" i="10"/>
  <c r="AM67" i="10"/>
  <c r="AN67" i="10" s="1"/>
  <c r="AZ67" i="10"/>
  <c r="BR67" i="10" s="1"/>
  <c r="C68" i="10"/>
  <c r="D68" i="10"/>
  <c r="E68" i="10"/>
  <c r="I68" i="10"/>
  <c r="J68" i="10"/>
  <c r="K68" i="10"/>
  <c r="L68" i="10"/>
  <c r="N68" i="10"/>
  <c r="P68" i="10"/>
  <c r="R68" i="10"/>
  <c r="S68" i="10"/>
  <c r="T68" i="10"/>
  <c r="U68" i="10"/>
  <c r="V68" i="10"/>
  <c r="W68" i="10"/>
  <c r="Y68" i="10"/>
  <c r="AJ68" i="10"/>
  <c r="AK68" i="10"/>
  <c r="AO68" i="10"/>
  <c r="AO103" i="10" s="1"/>
  <c r="AO105" i="10" s="1"/>
  <c r="AO106" i="10" s="1"/>
  <c r="AP68" i="10"/>
  <c r="AQ68" i="10"/>
  <c r="AR68" i="10"/>
  <c r="AS68" i="10"/>
  <c r="AT68" i="10"/>
  <c r="AU68" i="10"/>
  <c r="AV68" i="10"/>
  <c r="AW68" i="10"/>
  <c r="AW103" i="10" s="1"/>
  <c r="AW105" i="10" s="1"/>
  <c r="AW106" i="10" s="1"/>
  <c r="AX68" i="10"/>
  <c r="AY68" i="10"/>
  <c r="BA68" i="10"/>
  <c r="BB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G69" i="10"/>
  <c r="H69" i="10"/>
  <c r="H71" i="10" s="1"/>
  <c r="M69" i="10"/>
  <c r="N69" i="10"/>
  <c r="O69" i="10" s="1"/>
  <c r="AG69" i="10"/>
  <c r="AG71" i="10" s="1"/>
  <c r="AH69" i="10"/>
  <c r="AI69" i="10"/>
  <c r="AI71" i="10" s="1"/>
  <c r="AK69" i="10"/>
  <c r="AL69" i="10"/>
  <c r="AM69" i="10" s="1"/>
  <c r="AN69" i="10"/>
  <c r="AZ69" i="10"/>
  <c r="BC69" i="10"/>
  <c r="BD69" i="10"/>
  <c r="BR69" i="10"/>
  <c r="BR71" i="10" s="1"/>
  <c r="G70" i="10"/>
  <c r="H70" i="10"/>
  <c r="M70" i="10"/>
  <c r="N70" i="10"/>
  <c r="O70" i="10" s="1"/>
  <c r="O71" i="10" s="1"/>
  <c r="AG70" i="10"/>
  <c r="AH70" i="10"/>
  <c r="AI70" i="10"/>
  <c r="AK70" i="10"/>
  <c r="AL70" i="10" s="1"/>
  <c r="AM70" i="10" s="1"/>
  <c r="AZ70" i="10"/>
  <c r="BR70" i="10" s="1"/>
  <c r="C71" i="10"/>
  <c r="D71" i="10"/>
  <c r="E71" i="10"/>
  <c r="G71" i="10"/>
  <c r="I71" i="10"/>
  <c r="J71" i="10"/>
  <c r="K71" i="10"/>
  <c r="L71" i="10"/>
  <c r="M71" i="10"/>
  <c r="P71" i="10"/>
  <c r="R71" i="10"/>
  <c r="S71" i="10"/>
  <c r="T71" i="10"/>
  <c r="U71" i="10"/>
  <c r="V71" i="10"/>
  <c r="W71" i="10"/>
  <c r="Y71" i="10"/>
  <c r="AH71" i="10"/>
  <c r="AJ71" i="10"/>
  <c r="AO71" i="10"/>
  <c r="AP71" i="10"/>
  <c r="AQ71" i="10"/>
  <c r="AR71" i="10"/>
  <c r="AS71" i="10"/>
  <c r="AT71" i="10"/>
  <c r="AU71" i="10"/>
  <c r="AV71" i="10"/>
  <c r="AW71" i="10"/>
  <c r="AX71" i="10"/>
  <c r="AY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G72" i="10"/>
  <c r="H72" i="10"/>
  <c r="M72" i="10"/>
  <c r="N72" i="10"/>
  <c r="AG72" i="10"/>
  <c r="AH72" i="10"/>
  <c r="AH74" i="10" s="1"/>
  <c r="AI72" i="10"/>
  <c r="AI74" i="10" s="1"/>
  <c r="AK72" i="10"/>
  <c r="AZ72" i="10"/>
  <c r="AZ74" i="10" s="1"/>
  <c r="BC72" i="10"/>
  <c r="BD72" i="10"/>
  <c r="BR72" i="10"/>
  <c r="G73" i="10"/>
  <c r="H73" i="10"/>
  <c r="M73" i="10"/>
  <c r="N73" i="10"/>
  <c r="O73" i="10" s="1"/>
  <c r="Z73" i="10"/>
  <c r="AG73" i="10"/>
  <c r="AG74" i="10" s="1"/>
  <c r="AH73" i="10"/>
  <c r="AI73" i="10"/>
  <c r="AK73" i="10"/>
  <c r="AL73" i="10"/>
  <c r="AM73" i="10"/>
  <c r="AN73" i="10" s="1"/>
  <c r="AZ73" i="10"/>
  <c r="BC73" i="10"/>
  <c r="BC74" i="10" s="1"/>
  <c r="BD73" i="10"/>
  <c r="C74" i="10"/>
  <c r="D74" i="10"/>
  <c r="E74" i="10"/>
  <c r="G74" i="10"/>
  <c r="H74" i="10"/>
  <c r="I74" i="10"/>
  <c r="J74" i="10"/>
  <c r="K74" i="10"/>
  <c r="L74" i="10"/>
  <c r="N74" i="10"/>
  <c r="P74" i="10"/>
  <c r="R74" i="10"/>
  <c r="S74" i="10"/>
  <c r="T74" i="10"/>
  <c r="U74" i="10"/>
  <c r="V74" i="10"/>
  <c r="W74" i="10"/>
  <c r="Y74" i="10"/>
  <c r="AJ74" i="10"/>
  <c r="AJ103" i="10" s="1"/>
  <c r="AL106" i="10" s="1"/>
  <c r="AO74" i="10"/>
  <c r="AP74" i="10"/>
  <c r="AQ74" i="10"/>
  <c r="AR74" i="10"/>
  <c r="AS74" i="10"/>
  <c r="AT74" i="10"/>
  <c r="AU74" i="10"/>
  <c r="AV74" i="10"/>
  <c r="AW74" i="10"/>
  <c r="AX74" i="10"/>
  <c r="AY74" i="10"/>
  <c r="BA74" i="10"/>
  <c r="BB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H75" i="10"/>
  <c r="M75" i="10"/>
  <c r="N75" i="10"/>
  <c r="O75" i="10" s="1"/>
  <c r="AG75" i="10"/>
  <c r="AH75" i="10"/>
  <c r="AI75" i="10"/>
  <c r="AK75" i="10"/>
  <c r="AL75" i="10"/>
  <c r="AZ75" i="10"/>
  <c r="BC75" i="10"/>
  <c r="BD75" i="10"/>
  <c r="BR75" i="10"/>
  <c r="BR77" i="10" s="1"/>
  <c r="H76" i="10"/>
  <c r="M76" i="10"/>
  <c r="M77" i="10" s="1"/>
  <c r="N76" i="10"/>
  <c r="O76" i="10"/>
  <c r="AG76" i="10"/>
  <c r="AH76" i="10"/>
  <c r="AH77" i="10" s="1"/>
  <c r="AI76" i="10"/>
  <c r="AK76" i="10"/>
  <c r="AZ76" i="10"/>
  <c r="BR76" i="10"/>
  <c r="C77" i="10"/>
  <c r="D77" i="10"/>
  <c r="E77" i="10"/>
  <c r="G77" i="10"/>
  <c r="H77" i="10"/>
  <c r="I77" i="10"/>
  <c r="J77" i="10"/>
  <c r="K77" i="10"/>
  <c r="L77" i="10"/>
  <c r="P77" i="10"/>
  <c r="R77" i="10"/>
  <c r="S77" i="10"/>
  <c r="T77" i="10"/>
  <c r="U77" i="10"/>
  <c r="V77" i="10"/>
  <c r="W77" i="10"/>
  <c r="Y77" i="10"/>
  <c r="AG77" i="10"/>
  <c r="AI77" i="10"/>
  <c r="AJ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G78" i="10"/>
  <c r="G80" i="10" s="1"/>
  <c r="H78" i="10"/>
  <c r="H80" i="10" s="1"/>
  <c r="M78" i="10"/>
  <c r="N78" i="10"/>
  <c r="O78" i="10"/>
  <c r="O80" i="10" s="1"/>
  <c r="P78" i="10"/>
  <c r="T78" i="10"/>
  <c r="U78" i="10"/>
  <c r="V78" i="10"/>
  <c r="V80" i="10" s="1"/>
  <c r="W78" i="10"/>
  <c r="W80" i="10" s="1"/>
  <c r="AG78" i="10"/>
  <c r="AH78" i="10"/>
  <c r="AI78" i="10"/>
  <c r="AI80" i="10" s="1"/>
  <c r="AK78" i="10"/>
  <c r="AL78" i="10" s="1"/>
  <c r="AM78" i="10" s="1"/>
  <c r="AZ78" i="10"/>
  <c r="BC78" i="10"/>
  <c r="BD78" i="10"/>
  <c r="G79" i="10"/>
  <c r="H79" i="10"/>
  <c r="M79" i="10"/>
  <c r="N79" i="10"/>
  <c r="O79" i="10"/>
  <c r="P79" i="10"/>
  <c r="T79" i="10"/>
  <c r="U79" i="10"/>
  <c r="V79" i="10"/>
  <c r="W79" i="10"/>
  <c r="Z79" i="10"/>
  <c r="AG79" i="10"/>
  <c r="AH79" i="10"/>
  <c r="AH80" i="10" s="1"/>
  <c r="AI79" i="10"/>
  <c r="AK79" i="10"/>
  <c r="AL79" i="10"/>
  <c r="AM79" i="10"/>
  <c r="AN79" i="10" s="1"/>
  <c r="AZ79" i="10"/>
  <c r="BR79" i="10" s="1"/>
  <c r="C80" i="10"/>
  <c r="D80" i="10"/>
  <c r="E80" i="10"/>
  <c r="J80" i="10"/>
  <c r="K80" i="10"/>
  <c r="L80" i="10"/>
  <c r="M80" i="10"/>
  <c r="P80" i="10"/>
  <c r="R80" i="10"/>
  <c r="S80" i="10"/>
  <c r="T80" i="10"/>
  <c r="U80" i="10"/>
  <c r="Y80" i="10"/>
  <c r="AG80" i="10"/>
  <c r="AJ80" i="10"/>
  <c r="AL80" i="10"/>
  <c r="AO80" i="10"/>
  <c r="AP80" i="10"/>
  <c r="AQ80" i="10"/>
  <c r="AR80" i="10"/>
  <c r="AS80" i="10"/>
  <c r="AT80" i="10"/>
  <c r="AU80" i="10"/>
  <c r="AV80" i="10"/>
  <c r="AW80" i="10"/>
  <c r="AX80" i="10"/>
  <c r="AY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G81" i="10"/>
  <c r="G83" i="10" s="1"/>
  <c r="H81" i="10"/>
  <c r="M81" i="10"/>
  <c r="N81" i="10"/>
  <c r="O81" i="10"/>
  <c r="P81" i="10"/>
  <c r="P83" i="10" s="1"/>
  <c r="Z81" i="10"/>
  <c r="AG81" i="10"/>
  <c r="AH81" i="10"/>
  <c r="AH83" i="10" s="1"/>
  <c r="AI81" i="10"/>
  <c r="AK81" i="10"/>
  <c r="AL81" i="10" s="1"/>
  <c r="AM81" i="10"/>
  <c r="AN81" i="10"/>
  <c r="AZ81" i="10"/>
  <c r="BC81" i="10"/>
  <c r="BD81" i="10"/>
  <c r="BR81" i="10"/>
  <c r="BR83" i="10" s="1"/>
  <c r="G82" i="10"/>
  <c r="H82" i="10"/>
  <c r="M82" i="10"/>
  <c r="N82" i="10"/>
  <c r="P82" i="10"/>
  <c r="Z82" i="10"/>
  <c r="AG82" i="10"/>
  <c r="AG83" i="10" s="1"/>
  <c r="AH82" i="10"/>
  <c r="AI82" i="10"/>
  <c r="AK82" i="10"/>
  <c r="AK83" i="10" s="1"/>
  <c r="AL82" i="10"/>
  <c r="AM82" i="10" s="1"/>
  <c r="AZ82" i="10"/>
  <c r="BR82" i="10"/>
  <c r="C83" i="10"/>
  <c r="D83" i="10"/>
  <c r="E83" i="10"/>
  <c r="H83" i="10"/>
  <c r="I83" i="10"/>
  <c r="J83" i="10"/>
  <c r="K83" i="10"/>
  <c r="L83" i="10"/>
  <c r="R83" i="10"/>
  <c r="S83" i="10"/>
  <c r="T83" i="10"/>
  <c r="U83" i="10"/>
  <c r="V83" i="10"/>
  <c r="W83" i="10"/>
  <c r="Y83" i="10"/>
  <c r="AI83" i="10"/>
  <c r="AJ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B83" i="10"/>
  <c r="BC83" i="10"/>
  <c r="BD83" i="10"/>
  <c r="BE83" i="10"/>
  <c r="BE103" i="10" s="1"/>
  <c r="BF83" i="10"/>
  <c r="BH83" i="10"/>
  <c r="BI83" i="10"/>
  <c r="BJ83" i="10"/>
  <c r="BK83" i="10"/>
  <c r="BL83" i="10"/>
  <c r="BM83" i="10"/>
  <c r="BN83" i="10"/>
  <c r="BO83" i="10"/>
  <c r="BP83" i="10"/>
  <c r="BQ83" i="10"/>
  <c r="G84" i="10"/>
  <c r="H84" i="10"/>
  <c r="M84" i="10"/>
  <c r="O84" i="10" s="1"/>
  <c r="O86" i="10" s="1"/>
  <c r="N84" i="10"/>
  <c r="AG84" i="10"/>
  <c r="AH84" i="10"/>
  <c r="AI84" i="10"/>
  <c r="AL84" i="10"/>
  <c r="AM84" i="10"/>
  <c r="AN84" i="10"/>
  <c r="AZ84" i="10"/>
  <c r="BC84" i="10"/>
  <c r="BD84" i="10"/>
  <c r="BD86" i="10" s="1"/>
  <c r="G85" i="10"/>
  <c r="G86" i="10" s="1"/>
  <c r="H85" i="10"/>
  <c r="M85" i="10"/>
  <c r="N85" i="10"/>
  <c r="O85" i="10"/>
  <c r="AG85" i="10"/>
  <c r="AH85" i="10"/>
  <c r="AI85" i="10"/>
  <c r="AK85" i="10"/>
  <c r="AZ85" i="10"/>
  <c r="BR85" i="10" s="1"/>
  <c r="C86" i="10"/>
  <c r="C103" i="10" s="1"/>
  <c r="D86" i="10"/>
  <c r="E86" i="10"/>
  <c r="H86" i="10"/>
  <c r="I86" i="10"/>
  <c r="J86" i="10"/>
  <c r="K86" i="10"/>
  <c r="L86" i="10"/>
  <c r="M86" i="10"/>
  <c r="N86" i="10"/>
  <c r="P86" i="10"/>
  <c r="R86" i="10"/>
  <c r="S86" i="10"/>
  <c r="T86" i="10"/>
  <c r="U86" i="10"/>
  <c r="V86" i="10"/>
  <c r="W86" i="10"/>
  <c r="Y86" i="10"/>
  <c r="AG86" i="10"/>
  <c r="AH86" i="10"/>
  <c r="AI86" i="10"/>
  <c r="AJ86" i="10"/>
  <c r="AO86" i="10"/>
  <c r="AP86" i="10"/>
  <c r="AQ86" i="10"/>
  <c r="AR86" i="10"/>
  <c r="AS86" i="10"/>
  <c r="AT86" i="10"/>
  <c r="AU86" i="10"/>
  <c r="AV86" i="10"/>
  <c r="AW86" i="10"/>
  <c r="AX86" i="10"/>
  <c r="AY86" i="10"/>
  <c r="BA86" i="10"/>
  <c r="BB86" i="10"/>
  <c r="BC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G87" i="10"/>
  <c r="H87" i="10"/>
  <c r="M87" i="10"/>
  <c r="N87" i="10"/>
  <c r="AG87" i="10"/>
  <c r="AH87" i="10"/>
  <c r="AI87" i="10"/>
  <c r="AI89" i="10" s="1"/>
  <c r="AL87" i="10"/>
  <c r="AM87" i="10"/>
  <c r="AN87" i="10"/>
  <c r="AZ87" i="10"/>
  <c r="BC87" i="10"/>
  <c r="BD87" i="10"/>
  <c r="BD89" i="10" s="1"/>
  <c r="G88" i="10"/>
  <c r="G89" i="10" s="1"/>
  <c r="H88" i="10"/>
  <c r="M88" i="10"/>
  <c r="N88" i="10"/>
  <c r="O88" i="10"/>
  <c r="AG88" i="10"/>
  <c r="AH88" i="10"/>
  <c r="AI88" i="10"/>
  <c r="AK88" i="10"/>
  <c r="AZ88" i="10"/>
  <c r="BR88" i="10" s="1"/>
  <c r="C89" i="10"/>
  <c r="D89" i="10"/>
  <c r="E89" i="10"/>
  <c r="H89" i="10"/>
  <c r="I89" i="10"/>
  <c r="J89" i="10"/>
  <c r="K89" i="10"/>
  <c r="L89" i="10"/>
  <c r="N89" i="10"/>
  <c r="P89" i="10"/>
  <c r="R89" i="10"/>
  <c r="S89" i="10"/>
  <c r="T89" i="10"/>
  <c r="U89" i="10"/>
  <c r="V89" i="10"/>
  <c r="W89" i="10"/>
  <c r="Y89" i="10"/>
  <c r="AG89" i="10"/>
  <c r="AH89" i="10"/>
  <c r="AJ89" i="10"/>
  <c r="AO89" i="10"/>
  <c r="AP89" i="10"/>
  <c r="AQ89" i="10"/>
  <c r="AR89" i="10"/>
  <c r="AS89" i="10"/>
  <c r="AT89" i="10"/>
  <c r="AU89" i="10"/>
  <c r="AV89" i="10"/>
  <c r="AW89" i="10"/>
  <c r="AX89" i="10"/>
  <c r="AY89" i="10"/>
  <c r="BA89" i="10"/>
  <c r="BB89" i="10"/>
  <c r="BC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G90" i="10"/>
  <c r="H90" i="10"/>
  <c r="M90" i="10"/>
  <c r="N90" i="10"/>
  <c r="N92" i="10" s="1"/>
  <c r="Z90" i="10"/>
  <c r="AG90" i="10"/>
  <c r="AH90" i="10"/>
  <c r="AH92" i="10" s="1"/>
  <c r="AI90" i="10"/>
  <c r="AK90" i="10"/>
  <c r="AL90" i="10"/>
  <c r="AM90" i="10"/>
  <c r="AN90" i="10" s="1"/>
  <c r="AZ90" i="10"/>
  <c r="BR90" i="10" s="1"/>
  <c r="BC90" i="10"/>
  <c r="BD90" i="10"/>
  <c r="G91" i="10"/>
  <c r="H91" i="10"/>
  <c r="M91" i="10"/>
  <c r="N91" i="10"/>
  <c r="O91" i="10"/>
  <c r="AG91" i="10"/>
  <c r="AH91" i="10"/>
  <c r="AI91" i="10"/>
  <c r="AK91" i="10"/>
  <c r="AZ91" i="10"/>
  <c r="BR91" i="10"/>
  <c r="C92" i="10"/>
  <c r="D92" i="10"/>
  <c r="E92" i="10"/>
  <c r="G92" i="10"/>
  <c r="H92" i="10"/>
  <c r="I92" i="10"/>
  <c r="J92" i="10"/>
  <c r="K92" i="10"/>
  <c r="L92" i="10"/>
  <c r="P92" i="10"/>
  <c r="R92" i="10"/>
  <c r="S92" i="10"/>
  <c r="T92" i="10"/>
  <c r="U92" i="10"/>
  <c r="V92" i="10"/>
  <c r="W92" i="10"/>
  <c r="Y92" i="10"/>
  <c r="AG92" i="10"/>
  <c r="AI92" i="10"/>
  <c r="AJ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G93" i="10"/>
  <c r="G95" i="10" s="1"/>
  <c r="H93" i="10"/>
  <c r="M93" i="10"/>
  <c r="N93" i="10"/>
  <c r="O93" i="10"/>
  <c r="O95" i="10" s="1"/>
  <c r="AG93" i="10"/>
  <c r="AH93" i="10"/>
  <c r="AI93" i="10"/>
  <c r="AK93" i="10"/>
  <c r="AZ93" i="10"/>
  <c r="BR93" i="10" s="1"/>
  <c r="BR95" i="10" s="1"/>
  <c r="BC93" i="10"/>
  <c r="BC95" i="10" s="1"/>
  <c r="BD93" i="10"/>
  <c r="G94" i="10"/>
  <c r="H94" i="10"/>
  <c r="M94" i="10"/>
  <c r="N94" i="10"/>
  <c r="O94" i="10"/>
  <c r="AG94" i="10"/>
  <c r="AH94" i="10"/>
  <c r="AI94" i="10"/>
  <c r="AK94" i="10"/>
  <c r="AL94" i="10"/>
  <c r="AM94" i="10" s="1"/>
  <c r="AN94" i="10" s="1"/>
  <c r="AZ94" i="10"/>
  <c r="BR94" i="10"/>
  <c r="C95" i="10"/>
  <c r="D95" i="10"/>
  <c r="E95" i="10"/>
  <c r="I95" i="10"/>
  <c r="J95" i="10"/>
  <c r="K95" i="10"/>
  <c r="L95" i="10"/>
  <c r="M95" i="10"/>
  <c r="N95" i="10"/>
  <c r="P95" i="10"/>
  <c r="R95" i="10"/>
  <c r="S95" i="10"/>
  <c r="T95" i="10"/>
  <c r="U95" i="10"/>
  <c r="V95" i="10"/>
  <c r="W95" i="10"/>
  <c r="Y95" i="10"/>
  <c r="AH95" i="10"/>
  <c r="AI95" i="10"/>
  <c r="AJ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G96" i="10"/>
  <c r="G98" i="10" s="1"/>
  <c r="H96" i="10"/>
  <c r="M96" i="10"/>
  <c r="N96" i="10"/>
  <c r="O96" i="10"/>
  <c r="Z96" i="10"/>
  <c r="AG96" i="10"/>
  <c r="AH96" i="10"/>
  <c r="AH98" i="10" s="1"/>
  <c r="AI96" i="10"/>
  <c r="AI98" i="10" s="1"/>
  <c r="AK96" i="10"/>
  <c r="AL96" i="10"/>
  <c r="AM96" i="10"/>
  <c r="AN96" i="10"/>
  <c r="AZ96" i="10"/>
  <c r="BC96" i="10"/>
  <c r="BD96" i="10"/>
  <c r="BR96" i="10"/>
  <c r="G97" i="10"/>
  <c r="H97" i="10"/>
  <c r="H98" i="10" s="1"/>
  <c r="M97" i="10"/>
  <c r="N97" i="10"/>
  <c r="Z97" i="10"/>
  <c r="AG97" i="10"/>
  <c r="AH97" i="10"/>
  <c r="AI97" i="10"/>
  <c r="AK97" i="10"/>
  <c r="AK98" i="10" s="1"/>
  <c r="AZ97" i="10"/>
  <c r="BA97" i="10"/>
  <c r="C98" i="10"/>
  <c r="D98" i="10"/>
  <c r="E98" i="10"/>
  <c r="I98" i="10"/>
  <c r="J98" i="10"/>
  <c r="K98" i="10"/>
  <c r="L98" i="10"/>
  <c r="M98" i="10"/>
  <c r="N98" i="10"/>
  <c r="P98" i="10"/>
  <c r="R98" i="10"/>
  <c r="S98" i="10"/>
  <c r="T98" i="10"/>
  <c r="U98" i="10"/>
  <c r="V98" i="10"/>
  <c r="W98" i="10"/>
  <c r="Y98" i="10"/>
  <c r="AJ98" i="10"/>
  <c r="AO98" i="10"/>
  <c r="AP98" i="10"/>
  <c r="AQ98" i="10"/>
  <c r="AR98" i="10"/>
  <c r="AS98" i="10"/>
  <c r="AT98" i="10"/>
  <c r="AU98" i="10"/>
  <c r="AV98" i="10"/>
  <c r="AW98" i="10"/>
  <c r="AX98" i="10"/>
  <c r="AY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G99" i="10"/>
  <c r="H99" i="10"/>
  <c r="M99" i="10"/>
  <c r="N99" i="10"/>
  <c r="P99" i="10"/>
  <c r="T99" i="10"/>
  <c r="U99" i="10"/>
  <c r="U101" i="10" s="1"/>
  <c r="W99" i="10"/>
  <c r="Z99" i="10"/>
  <c r="AG99" i="10"/>
  <c r="AG101" i="10" s="1"/>
  <c r="AH99" i="10"/>
  <c r="AI99" i="10"/>
  <c r="AK99" i="10"/>
  <c r="AZ99" i="10"/>
  <c r="BC99" i="10"/>
  <c r="BD99" i="10"/>
  <c r="G100" i="10"/>
  <c r="G101" i="10" s="1"/>
  <c r="H100" i="10"/>
  <c r="H101" i="10" s="1"/>
  <c r="M100" i="10"/>
  <c r="N100" i="10"/>
  <c r="O100" i="10"/>
  <c r="P100" i="10"/>
  <c r="P101" i="10" s="1"/>
  <c r="T100" i="10"/>
  <c r="U100" i="10"/>
  <c r="V100" i="10"/>
  <c r="W100" i="10"/>
  <c r="AG100" i="10"/>
  <c r="AH100" i="10"/>
  <c r="AI100" i="10"/>
  <c r="AI101" i="10" s="1"/>
  <c r="AK100" i="10"/>
  <c r="AL100" i="10" s="1"/>
  <c r="AM100" i="10" s="1"/>
  <c r="AN100" i="10"/>
  <c r="AZ100" i="10"/>
  <c r="BR100" i="10" s="1"/>
  <c r="C101" i="10"/>
  <c r="D101" i="10"/>
  <c r="E101" i="10"/>
  <c r="I101" i="10"/>
  <c r="J101" i="10"/>
  <c r="K101" i="10"/>
  <c r="L101" i="10"/>
  <c r="N101" i="10"/>
  <c r="R101" i="10"/>
  <c r="R103" i="10" s="1"/>
  <c r="S101" i="10"/>
  <c r="W101" i="10"/>
  <c r="Y101" i="10"/>
  <c r="AH101" i="10"/>
  <c r="AJ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L103" i="10"/>
  <c r="W103" i="10"/>
  <c r="AA103" i="10"/>
  <c r="AB103" i="10"/>
  <c r="AC103" i="10"/>
  <c r="AE103" i="10"/>
  <c r="AF103" i="10"/>
  <c r="AS103" i="10"/>
  <c r="AS105" i="10" s="1"/>
  <c r="AV103" i="10"/>
  <c r="AV105" i="10" s="1"/>
  <c r="AV106" i="10" s="1"/>
  <c r="BA103" i="10"/>
  <c r="C107" i="10" s="1"/>
  <c r="BH103" i="10"/>
  <c r="BI103" i="10"/>
  <c r="BL103" i="10"/>
  <c r="BM103" i="10"/>
  <c r="BP103" i="10"/>
  <c r="BQ103" i="10"/>
  <c r="BE104" i="10"/>
  <c r="BF104" i="10"/>
  <c r="BI104" i="10"/>
  <c r="BJ104" i="10"/>
  <c r="BJ105" i="10" s="1"/>
  <c r="BF105" i="10"/>
  <c r="BI105" i="10"/>
  <c r="BL105" i="10"/>
  <c r="BM105" i="10"/>
  <c r="BN105" i="10"/>
  <c r="BO105" i="10"/>
  <c r="BP105" i="10"/>
  <c r="BQ105" i="10"/>
  <c r="AS106" i="10"/>
  <c r="BE107" i="10"/>
  <c r="BI107" i="10"/>
  <c r="BI108" i="10" s="1"/>
  <c r="BL107" i="10"/>
  <c r="BL108" i="10" s="1"/>
  <c r="BM107" i="10"/>
  <c r="BM108" i="10" s="1"/>
  <c r="BQ107" i="10"/>
  <c r="BQ108" i="10" s="1"/>
  <c r="BE108" i="10" l="1"/>
  <c r="AZ89" i="10"/>
  <c r="BR87" i="10"/>
  <c r="BR89" i="10" s="1"/>
  <c r="O87" i="10"/>
  <c r="O89" i="10" s="1"/>
  <c r="M89" i="10"/>
  <c r="O82" i="10"/>
  <c r="O83" i="10" s="1"/>
  <c r="N83" i="10"/>
  <c r="O99" i="10"/>
  <c r="O101" i="10" s="1"/>
  <c r="M101" i="10"/>
  <c r="O98" i="10"/>
  <c r="AM56" i="10"/>
  <c r="AN56" i="10" s="1"/>
  <c r="AN55" i="10"/>
  <c r="BR104" i="10"/>
  <c r="BE105" i="10"/>
  <c r="BR105" i="10" s="1"/>
  <c r="AZ71" i="10"/>
  <c r="AZ65" i="10"/>
  <c r="BR63" i="10"/>
  <c r="BR65" i="10" s="1"/>
  <c r="O63" i="10"/>
  <c r="O65" i="10" s="1"/>
  <c r="M65" i="10"/>
  <c r="AM60" i="10"/>
  <c r="AL62" i="10"/>
  <c r="E103" i="10"/>
  <c r="AZ101" i="10"/>
  <c r="BR99" i="10"/>
  <c r="BR101" i="10" s="1"/>
  <c r="V99" i="10"/>
  <c r="V101" i="10" s="1"/>
  <c r="T101" i="10"/>
  <c r="AK95" i="10"/>
  <c r="AL93" i="10"/>
  <c r="AL88" i="10"/>
  <c r="AK89" i="10"/>
  <c r="BR66" i="10"/>
  <c r="BR68" i="10" s="1"/>
  <c r="AL64" i="10"/>
  <c r="AK65" i="10"/>
  <c r="AL99" i="10"/>
  <c r="AK101" i="10"/>
  <c r="BR97" i="10"/>
  <c r="BR98" i="10" s="1"/>
  <c r="AZ98" i="10"/>
  <c r="AL91" i="10"/>
  <c r="AM91" i="10" s="1"/>
  <c r="AN91" i="10" s="1"/>
  <c r="AK92" i="10"/>
  <c r="O90" i="10"/>
  <c r="O92" i="10" s="1"/>
  <c r="M92" i="10"/>
  <c r="AZ86" i="10"/>
  <c r="BR84" i="10"/>
  <c r="BR86" i="10" s="1"/>
  <c r="AZ80" i="10"/>
  <c r="BR78" i="10"/>
  <c r="BR80" i="10" s="1"/>
  <c r="BO107" i="10"/>
  <c r="BO108" i="10" s="1"/>
  <c r="BK107" i="10"/>
  <c r="BK108" i="10" s="1"/>
  <c r="BG107" i="10"/>
  <c r="BG108" i="10" s="1"/>
  <c r="S103" i="10"/>
  <c r="I103" i="10"/>
  <c r="D103" i="10"/>
  <c r="BR44" i="10"/>
  <c r="O35" i="10"/>
  <c r="AY103" i="10"/>
  <c r="AU103" i="10"/>
  <c r="AU105" i="10" s="1"/>
  <c r="AU106" i="10" s="1"/>
  <c r="AQ103" i="10"/>
  <c r="AQ105" i="10" s="1"/>
  <c r="AQ106" i="10" s="1"/>
  <c r="AX103" i="10"/>
  <c r="AX105" i="10" s="1"/>
  <c r="AX106" i="10" s="1"/>
  <c r="AT103" i="10"/>
  <c r="AT105" i="10" s="1"/>
  <c r="AT106" i="10" s="1"/>
  <c r="AP103" i="10"/>
  <c r="AP105" i="10" s="1"/>
  <c r="AP106" i="10" s="1"/>
  <c r="AM92" i="10"/>
  <c r="AN92" i="10" s="1"/>
  <c r="AL85" i="10"/>
  <c r="AK86" i="10"/>
  <c r="AM80" i="10"/>
  <c r="AN80" i="10" s="1"/>
  <c r="AN78" i="10"/>
  <c r="O77" i="10"/>
  <c r="BR73" i="10"/>
  <c r="BD74" i="10"/>
  <c r="BD103" i="10" s="1"/>
  <c r="C105" i="10" s="1"/>
  <c r="O72" i="10"/>
  <c r="O74" i="10" s="1"/>
  <c r="M74" i="10"/>
  <c r="AL71" i="10"/>
  <c r="V59" i="10"/>
  <c r="BN107" i="10"/>
  <c r="BN108" i="10" s="1"/>
  <c r="BJ107" i="10"/>
  <c r="BJ108" i="10" s="1"/>
  <c r="BF107" i="10"/>
  <c r="BF108" i="10" s="1"/>
  <c r="AM52" i="10"/>
  <c r="AN52" i="10" s="1"/>
  <c r="AL53" i="10"/>
  <c r="Z103" i="10"/>
  <c r="BO103" i="10"/>
  <c r="BB103" i="10"/>
  <c r="AM12" i="10"/>
  <c r="AL14" i="10"/>
  <c r="AN45" i="10"/>
  <c r="AM47" i="10"/>
  <c r="AN47" i="10" s="1"/>
  <c r="K103" i="10"/>
  <c r="AN82" i="10"/>
  <c r="AM83" i="10"/>
  <c r="AN83" i="10" s="1"/>
  <c r="AL76" i="10"/>
  <c r="AM76" i="10" s="1"/>
  <c r="AN76" i="10" s="1"/>
  <c r="AK77" i="10"/>
  <c r="BR74" i="10"/>
  <c r="AM71" i="10"/>
  <c r="AN71" i="10" s="1"/>
  <c r="AN70" i="10"/>
  <c r="AL58" i="10"/>
  <c r="AM58" i="10" s="1"/>
  <c r="AN58" i="10" s="1"/>
  <c r="AK59" i="10"/>
  <c r="AN48" i="10"/>
  <c r="AM50" i="10"/>
  <c r="BN103" i="10"/>
  <c r="BJ103" i="10"/>
  <c r="BF103" i="10"/>
  <c r="J103" i="10"/>
  <c r="AL59" i="10"/>
  <c r="M59" i="10"/>
  <c r="AM36" i="10"/>
  <c r="AL38" i="10"/>
  <c r="BR29" i="10"/>
  <c r="AN24" i="10"/>
  <c r="AM26" i="10"/>
  <c r="AN26" i="10" s="1"/>
  <c r="O22" i="10"/>
  <c r="M23" i="10"/>
  <c r="AL17" i="10"/>
  <c r="AN17" i="10" s="1"/>
  <c r="V16" i="10"/>
  <c r="V17" i="10" s="1"/>
  <c r="G11" i="10"/>
  <c r="G103" i="10" s="1"/>
  <c r="BR9" i="10"/>
  <c r="AH11" i="10"/>
  <c r="N11" i="10"/>
  <c r="BK103" i="10"/>
  <c r="BG103" i="10"/>
  <c r="O97" i="10"/>
  <c r="AL92" i="10"/>
  <c r="AK80" i="10"/>
  <c r="N80" i="10"/>
  <c r="AM75" i="10"/>
  <c r="AL77" i="10"/>
  <c r="N71" i="10"/>
  <c r="AZ68" i="10"/>
  <c r="T59" i="10"/>
  <c r="AK56" i="10"/>
  <c r="H53" i="10"/>
  <c r="AL50" i="10"/>
  <c r="BR48" i="10"/>
  <c r="O48" i="10"/>
  <c r="O50" i="10" s="1"/>
  <c r="AL47" i="10"/>
  <c r="M44" i="10"/>
  <c r="AM41" i="10"/>
  <c r="AK35" i="10"/>
  <c r="AM33" i="10"/>
  <c r="AL35" i="10"/>
  <c r="AL32" i="10"/>
  <c r="AK29" i="10"/>
  <c r="AM29" i="10"/>
  <c r="AN29" i="10" s="1"/>
  <c r="BR18" i="10"/>
  <c r="BR20" i="10" s="1"/>
  <c r="O13" i="10"/>
  <c r="T14" i="10"/>
  <c r="V12" i="10"/>
  <c r="H14" i="10"/>
  <c r="H103" i="10" s="1"/>
  <c r="M11" i="10"/>
  <c r="AH103" i="10"/>
  <c r="T103" i="10"/>
  <c r="N103" i="10"/>
  <c r="AL97" i="10"/>
  <c r="AG98" i="10"/>
  <c r="AL83" i="10"/>
  <c r="M83" i="10"/>
  <c r="N77" i="10"/>
  <c r="AL72" i="10"/>
  <c r="AK74" i="10"/>
  <c r="AK71" i="10"/>
  <c r="AZ62" i="10"/>
  <c r="O57" i="10"/>
  <c r="O59" i="10" s="1"/>
  <c r="O54" i="10"/>
  <c r="O56" i="10" s="1"/>
  <c r="G56" i="10"/>
  <c r="AZ53" i="10"/>
  <c r="M53" i="10"/>
  <c r="AK53" i="10"/>
  <c r="AK50" i="10"/>
  <c r="BR49" i="10"/>
  <c r="AZ50" i="10"/>
  <c r="N47" i="10"/>
  <c r="O46" i="10"/>
  <c r="AZ44" i="10"/>
  <c r="AL41" i="10"/>
  <c r="N41" i="10"/>
  <c r="U38" i="10"/>
  <c r="U103" i="10" s="1"/>
  <c r="N38" i="10"/>
  <c r="V36" i="10"/>
  <c r="V38" i="10" s="1"/>
  <c r="O36" i="10"/>
  <c r="O38" i="10" s="1"/>
  <c r="AI35" i="10"/>
  <c r="AI103" i="10" s="1"/>
  <c r="N35" i="10"/>
  <c r="AM32" i="10"/>
  <c r="AN32" i="10" s="1"/>
  <c r="O30" i="10"/>
  <c r="O32" i="10" s="1"/>
  <c r="AZ26" i="10"/>
  <c r="AZ23" i="10"/>
  <c r="AM20" i="10"/>
  <c r="AN20" i="10" s="1"/>
  <c r="G20" i="10"/>
  <c r="AZ17" i="10"/>
  <c r="O17" i="10"/>
  <c r="AK14" i="10"/>
  <c r="O14" i="10"/>
  <c r="V13" i="10"/>
  <c r="AG95" i="10"/>
  <c r="AG103" i="10" s="1"/>
  <c r="H95" i="10"/>
  <c r="BR92" i="10"/>
  <c r="AM66" i="10"/>
  <c r="AL68" i="10"/>
  <c r="AM57" i="10"/>
  <c r="AZ56" i="10"/>
  <c r="AM53" i="10"/>
  <c r="AN53" i="10" s="1"/>
  <c r="AM44" i="10"/>
  <c r="AN44" i="10" s="1"/>
  <c r="AI41" i="10"/>
  <c r="BR38" i="10"/>
  <c r="AK32" i="10"/>
  <c r="O27" i="10"/>
  <c r="O29" i="10" s="1"/>
  <c r="M29" i="10"/>
  <c r="V11" i="10"/>
  <c r="BR45" i="10"/>
  <c r="BR47" i="10" s="1"/>
  <c r="AK41" i="10"/>
  <c r="H35" i="10"/>
  <c r="BR30" i="10"/>
  <c r="BR32" i="10" s="1"/>
  <c r="BC26" i="10"/>
  <c r="BC103" i="10" s="1"/>
  <c r="C106" i="10" s="1"/>
  <c r="AL22" i="10"/>
  <c r="AK23" i="10"/>
  <c r="O21" i="10"/>
  <c r="O23" i="10" s="1"/>
  <c r="AK17" i="10"/>
  <c r="AZ14" i="10"/>
  <c r="AN66" i="10" l="1"/>
  <c r="AM68" i="10"/>
  <c r="AM14" i="10"/>
  <c r="AN12" i="10"/>
  <c r="AM85" i="10"/>
  <c r="AL86" i="10"/>
  <c r="AM88" i="10"/>
  <c r="AL89" i="10"/>
  <c r="V14" i="10"/>
  <c r="AM35" i="10"/>
  <c r="AN33" i="10"/>
  <c r="AM93" i="10"/>
  <c r="AL95" i="10"/>
  <c r="AN60" i="10"/>
  <c r="AM62" i="10"/>
  <c r="AN57" i="10"/>
  <c r="AM59" i="10"/>
  <c r="AK103" i="10"/>
  <c r="AL74" i="10"/>
  <c r="AM72" i="10"/>
  <c r="AM38" i="10"/>
  <c r="AN38" i="10" s="1"/>
  <c r="AN36" i="10"/>
  <c r="O47" i="10"/>
  <c r="O103" i="10" s="1"/>
  <c r="BR108" i="10"/>
  <c r="BR11" i="10"/>
  <c r="BR103" i="10" s="1"/>
  <c r="AM64" i="10"/>
  <c r="AL65" i="10"/>
  <c r="AZ103" i="10"/>
  <c r="C104" i="10" s="1"/>
  <c r="C108" i="10" s="1"/>
  <c r="AM22" i="10"/>
  <c r="AL23" i="10"/>
  <c r="AL98" i="10"/>
  <c r="AM97" i="10"/>
  <c r="M103" i="10"/>
  <c r="AN41" i="10"/>
  <c r="BR50" i="10"/>
  <c r="AN75" i="10"/>
  <c r="AM77" i="10"/>
  <c r="AN50" i="10"/>
  <c r="AM99" i="10"/>
  <c r="AL101" i="10"/>
  <c r="BR107" i="10"/>
  <c r="AL103" i="10" l="1"/>
  <c r="AL105" i="10" s="1"/>
  <c r="AL107" i="10" s="1"/>
  <c r="AN85" i="10"/>
  <c r="AM86" i="10"/>
  <c r="AN68" i="10"/>
  <c r="AN77" i="10"/>
  <c r="AM23" i="10"/>
  <c r="AM103" i="10" s="1"/>
  <c r="AN22" i="10"/>
  <c r="AN93" i="10"/>
  <c r="AM95" i="10"/>
  <c r="AN97" i="10"/>
  <c r="AM98" i="10"/>
  <c r="AN64" i="10"/>
  <c r="AM65" i="10"/>
  <c r="AN59" i="10"/>
  <c r="AN62" i="10"/>
  <c r="AN88" i="10"/>
  <c r="AM89" i="10"/>
  <c r="AM101" i="10"/>
  <c r="AN101" i="10" s="1"/>
  <c r="AN99" i="10"/>
  <c r="V103" i="10"/>
  <c r="AM74" i="10"/>
  <c r="AN72" i="10"/>
  <c r="AN35" i="10"/>
  <c r="AN14" i="10"/>
  <c r="AN74" i="10" l="1"/>
  <c r="AN89" i="10"/>
  <c r="AN98" i="10"/>
  <c r="AN65" i="10"/>
  <c r="AN23" i="10"/>
  <c r="AN103" i="10" s="1"/>
  <c r="AN95" i="10"/>
  <c r="AN86" i="10"/>
  <c r="AM107" i="10"/>
  <c r="M5" i="9" l="1"/>
  <c r="N5" i="9"/>
  <c r="O5" i="9"/>
  <c r="AG5" i="9"/>
  <c r="AH5" i="9"/>
  <c r="M6" i="9"/>
  <c r="N6" i="9"/>
  <c r="O6" i="9"/>
  <c r="AG6" i="9"/>
  <c r="AH6" i="9" s="1"/>
  <c r="K7" i="9"/>
  <c r="O7" i="9" s="1"/>
  <c r="M7" i="9"/>
  <c r="N7" i="9"/>
  <c r="AG7" i="9" s="1"/>
  <c r="AH7" i="9"/>
  <c r="M8" i="9"/>
  <c r="N8" i="9"/>
  <c r="O8" i="9"/>
  <c r="AG8" i="9"/>
  <c r="AH8" i="9" s="1"/>
  <c r="M9" i="9"/>
  <c r="N9" i="9"/>
  <c r="O9" i="9"/>
  <c r="AG9" i="9" s="1"/>
  <c r="M10" i="9"/>
  <c r="N10" i="9"/>
  <c r="O10" i="9"/>
  <c r="M11" i="9"/>
  <c r="N11" i="9"/>
  <c r="AG11" i="9" s="1"/>
  <c r="O11" i="9"/>
  <c r="AH11" i="9"/>
  <c r="M12" i="9"/>
  <c r="N12" i="9"/>
  <c r="O12" i="9"/>
  <c r="AG12" i="9"/>
  <c r="AH12" i="9" s="1"/>
  <c r="M13" i="9"/>
  <c r="N13" i="9"/>
  <c r="O13" i="9"/>
  <c r="AG13" i="9" s="1"/>
  <c r="AH13" i="9" s="1"/>
  <c r="M14" i="9"/>
  <c r="N14" i="9"/>
  <c r="O14" i="9"/>
  <c r="M15" i="9"/>
  <c r="N15" i="9"/>
  <c r="AG15" i="9" s="1"/>
  <c r="O15" i="9"/>
  <c r="AH15" i="9"/>
  <c r="M16" i="9"/>
  <c r="N16" i="9"/>
  <c r="O16" i="9"/>
  <c r="AG16" i="9"/>
  <c r="AH16" i="9" s="1"/>
  <c r="M17" i="9"/>
  <c r="N17" i="9"/>
  <c r="O17" i="9"/>
  <c r="AG17" i="9" s="1"/>
  <c r="AH17" i="9" s="1"/>
  <c r="M18" i="9"/>
  <c r="N18" i="9"/>
  <c r="O18" i="9"/>
  <c r="M19" i="9"/>
  <c r="N19" i="9"/>
  <c r="AG19" i="9" s="1"/>
  <c r="O19" i="9"/>
  <c r="AH19" i="9"/>
  <c r="K20" i="9"/>
  <c r="O20" i="9"/>
  <c r="M21" i="9"/>
  <c r="N21" i="9"/>
  <c r="O21" i="9"/>
  <c r="M22" i="9"/>
  <c r="N22" i="9"/>
  <c r="AG22" i="9" s="1"/>
  <c r="AH22" i="9" s="1"/>
  <c r="O22" i="9"/>
  <c r="K23" i="9"/>
  <c r="M23" i="9" s="1"/>
  <c r="N23" i="9"/>
  <c r="M24" i="9"/>
  <c r="N24" i="9"/>
  <c r="AG24" i="9" s="1"/>
  <c r="AH24" i="9" s="1"/>
  <c r="O24" i="9"/>
  <c r="M25" i="9"/>
  <c r="N25" i="9"/>
  <c r="AG25" i="9" s="1"/>
  <c r="AH25" i="9" s="1"/>
  <c r="O25" i="9"/>
  <c r="M26" i="9"/>
  <c r="N26" i="9"/>
  <c r="O26" i="9"/>
  <c r="AG26" i="9"/>
  <c r="AH26" i="9"/>
  <c r="M27" i="9"/>
  <c r="N27" i="9"/>
  <c r="O27" i="9"/>
  <c r="AG27" i="9"/>
  <c r="AH27" i="9" s="1"/>
  <c r="K28" i="9"/>
  <c r="O28" i="9" s="1"/>
  <c r="M28" i="9"/>
  <c r="N28" i="9"/>
  <c r="AG28" i="9"/>
  <c r="AH28" i="9" s="1"/>
  <c r="M29" i="9"/>
  <c r="N29" i="9"/>
  <c r="O29" i="9"/>
  <c r="AG29" i="9" s="1"/>
  <c r="AH29" i="9" s="1"/>
  <c r="M30" i="9"/>
  <c r="N30" i="9"/>
  <c r="AG30" i="9" s="1"/>
  <c r="AH30" i="9" s="1"/>
  <c r="O30" i="9"/>
  <c r="M31" i="9"/>
  <c r="N31" i="9"/>
  <c r="AG31" i="9" s="1"/>
  <c r="AH31" i="9" s="1"/>
  <c r="O31" i="9"/>
  <c r="M32" i="9"/>
  <c r="N32" i="9"/>
  <c r="AG32" i="9" s="1"/>
  <c r="AH32" i="9" s="1"/>
  <c r="O32" i="9"/>
  <c r="M33" i="9"/>
  <c r="N33" i="9"/>
  <c r="AG33" i="9"/>
  <c r="AH33" i="9"/>
  <c r="M34" i="9"/>
  <c r="N34" i="9"/>
  <c r="AG34" i="9"/>
  <c r="AH34" i="9"/>
  <c r="J35" i="9"/>
  <c r="N35" i="9"/>
  <c r="AG35" i="9"/>
  <c r="M36" i="9"/>
  <c r="N36" i="9"/>
  <c r="AG36" i="9"/>
  <c r="AH36" i="9"/>
  <c r="M37" i="9"/>
  <c r="N37" i="9"/>
  <c r="AG37" i="9"/>
  <c r="AH37" i="9"/>
  <c r="M38" i="9"/>
  <c r="N38" i="9"/>
  <c r="AG38" i="9"/>
  <c r="AH38" i="9"/>
  <c r="J39" i="9"/>
  <c r="M39" i="9"/>
  <c r="N39" i="9"/>
  <c r="AG39" i="9"/>
  <c r="AH39" i="9" s="1"/>
  <c r="M40" i="9"/>
  <c r="N40" i="9"/>
  <c r="AG40" i="9"/>
  <c r="AH40" i="9" s="1"/>
  <c r="M41" i="9"/>
  <c r="N41" i="9"/>
  <c r="AG41" i="9" s="1"/>
  <c r="AH41" i="9" s="1"/>
  <c r="M42" i="9"/>
  <c r="N42" i="9"/>
  <c r="AG42" i="9"/>
  <c r="AH42" i="9" s="1"/>
  <c r="M43" i="9"/>
  <c r="N43" i="9"/>
  <c r="AG43" i="9"/>
  <c r="AH43" i="9" s="1"/>
  <c r="M44" i="9"/>
  <c r="N44" i="9"/>
  <c r="AG44" i="9"/>
  <c r="AH44" i="9" s="1"/>
  <c r="M45" i="9"/>
  <c r="N45" i="9"/>
  <c r="AG45" i="9" s="1"/>
  <c r="AH45" i="9" s="1"/>
  <c r="M46" i="9"/>
  <c r="N46" i="9"/>
  <c r="AG46" i="9"/>
  <c r="AH46" i="9" s="1"/>
  <c r="M47" i="9"/>
  <c r="N47" i="9"/>
  <c r="AG47" i="9"/>
  <c r="AH47" i="9" s="1"/>
  <c r="M48" i="9"/>
  <c r="N48" i="9"/>
  <c r="AG48" i="9"/>
  <c r="AH48" i="9" s="1"/>
  <c r="J49" i="9"/>
  <c r="AH49" i="9" s="1"/>
  <c r="M49" i="9"/>
  <c r="N49" i="9"/>
  <c r="AG49" i="9" s="1"/>
  <c r="K50" i="9"/>
  <c r="N50" i="9" s="1"/>
  <c r="AG50" i="9" s="1"/>
  <c r="AH50" i="9" s="1"/>
  <c r="M50" i="9"/>
  <c r="M51" i="9"/>
  <c r="N51" i="9"/>
  <c r="AG51" i="9"/>
  <c r="AH51" i="9"/>
  <c r="M52" i="9"/>
  <c r="N52" i="9"/>
  <c r="AG52" i="9"/>
  <c r="AH52" i="9"/>
  <c r="M53" i="9"/>
  <c r="N53" i="9"/>
  <c r="AG53" i="9"/>
  <c r="AH53" i="9"/>
  <c r="M54" i="9"/>
  <c r="N54" i="9"/>
  <c r="O54" i="9"/>
  <c r="AG54" i="9"/>
  <c r="AH54" i="9"/>
  <c r="K55" i="9"/>
  <c r="M55" i="9"/>
  <c r="N55" i="9"/>
  <c r="O55" i="9"/>
  <c r="K56" i="9"/>
  <c r="N56" i="9" s="1"/>
  <c r="M56" i="9"/>
  <c r="O56" i="9"/>
  <c r="AG56" i="9"/>
  <c r="AH56" i="9" s="1"/>
  <c r="M57" i="9"/>
  <c r="N57" i="9"/>
  <c r="AG57" i="9" s="1"/>
  <c r="AH57" i="9" s="1"/>
  <c r="O57" i="9"/>
  <c r="M58" i="9"/>
  <c r="N58" i="9"/>
  <c r="O58" i="9"/>
  <c r="M59" i="9"/>
  <c r="N59" i="9"/>
  <c r="AG59" i="9" s="1"/>
  <c r="AH59" i="9" s="1"/>
  <c r="O59" i="9"/>
  <c r="M60" i="9"/>
  <c r="N60" i="9"/>
  <c r="O60" i="9"/>
  <c r="AG60" i="9"/>
  <c r="AH60" i="9"/>
  <c r="M61" i="9"/>
  <c r="N61" i="9"/>
  <c r="O61" i="9"/>
  <c r="AG61" i="9"/>
  <c r="AH61" i="9" s="1"/>
  <c r="M62" i="9"/>
  <c r="N62" i="9"/>
  <c r="O62" i="9"/>
  <c r="M63" i="9"/>
  <c r="N63" i="9"/>
  <c r="O63" i="9"/>
  <c r="AG63" i="9"/>
  <c r="AH63" i="9"/>
  <c r="K64" i="9"/>
  <c r="M64" i="9" s="1"/>
  <c r="N64" i="9"/>
  <c r="O64" i="9"/>
  <c r="AG64" i="9"/>
  <c r="AH64" i="9" s="1"/>
  <c r="M65" i="9"/>
  <c r="N65" i="9"/>
  <c r="O65" i="9"/>
  <c r="M66" i="9"/>
  <c r="N66" i="9"/>
  <c r="O66" i="9"/>
  <c r="AG66" i="9"/>
  <c r="AH66" i="9" s="1"/>
  <c r="M67" i="9"/>
  <c r="N67" i="9"/>
  <c r="O67" i="9"/>
  <c r="AG67" i="9" s="1"/>
  <c r="AH67" i="9" s="1"/>
  <c r="M68" i="9"/>
  <c r="N68" i="9"/>
  <c r="AG68" i="9" s="1"/>
  <c r="AH68" i="9" s="1"/>
  <c r="O68" i="9"/>
  <c r="M69" i="9"/>
  <c r="N69" i="9"/>
  <c r="AG69" i="9" s="1"/>
  <c r="AH69" i="9" s="1"/>
  <c r="O69" i="9"/>
  <c r="M70" i="9"/>
  <c r="N70" i="9"/>
  <c r="AG70" i="9" s="1"/>
  <c r="AH70" i="9" s="1"/>
  <c r="O70" i="9"/>
  <c r="M71" i="9"/>
  <c r="N71" i="9"/>
  <c r="O71" i="9"/>
  <c r="AG71" i="9"/>
  <c r="AH71" i="9"/>
  <c r="K72" i="9"/>
  <c r="M72" i="9"/>
  <c r="N72" i="9"/>
  <c r="O72" i="9"/>
  <c r="M73" i="9"/>
  <c r="N73" i="9"/>
  <c r="AG73" i="9" s="1"/>
  <c r="AH73" i="9" s="1"/>
  <c r="O73" i="9"/>
  <c r="M74" i="9"/>
  <c r="N74" i="9"/>
  <c r="O74" i="9"/>
  <c r="AG74" i="9"/>
  <c r="AH74" i="9"/>
  <c r="M75" i="9"/>
  <c r="N75" i="9"/>
  <c r="O75" i="9"/>
  <c r="AG75" i="9"/>
  <c r="AH75" i="9" s="1"/>
  <c r="M76" i="9"/>
  <c r="N76" i="9"/>
  <c r="O76" i="9"/>
  <c r="K77" i="9"/>
  <c r="N77" i="9" s="1"/>
  <c r="M78" i="9"/>
  <c r="N78" i="9"/>
  <c r="O78" i="9"/>
  <c r="AG78" i="9"/>
  <c r="AH78" i="9" s="1"/>
  <c r="M79" i="9"/>
  <c r="N79" i="9"/>
  <c r="O79" i="9"/>
  <c r="M80" i="9"/>
  <c r="N80" i="9"/>
  <c r="O80" i="9"/>
  <c r="AG80" i="9"/>
  <c r="AH80" i="9" s="1"/>
  <c r="K81" i="9"/>
  <c r="M81" i="9" s="1"/>
  <c r="N81" i="9"/>
  <c r="AG81" i="9" s="1"/>
  <c r="AH81" i="9" s="1"/>
  <c r="O81" i="9"/>
  <c r="M82" i="9"/>
  <c r="N82" i="9"/>
  <c r="O82" i="9"/>
  <c r="M83" i="9"/>
  <c r="N83" i="9"/>
  <c r="AG83" i="9" s="1"/>
  <c r="AH83" i="9" s="1"/>
  <c r="O83" i="9"/>
  <c r="M84" i="9"/>
  <c r="N84" i="9"/>
  <c r="O84" i="9"/>
  <c r="AG84" i="9"/>
  <c r="AH84" i="9"/>
  <c r="M85" i="9"/>
  <c r="N85" i="9"/>
  <c r="O85" i="9"/>
  <c r="AG85" i="9"/>
  <c r="AH85" i="9" s="1"/>
  <c r="M86" i="9"/>
  <c r="N86" i="9"/>
  <c r="O86" i="9"/>
  <c r="M87" i="9"/>
  <c r="N87" i="9"/>
  <c r="O87" i="9"/>
  <c r="AG87" i="9"/>
  <c r="AH87" i="9"/>
  <c r="M88" i="9"/>
  <c r="N88" i="9"/>
  <c r="O88" i="9"/>
  <c r="AG88" i="9"/>
  <c r="AH88" i="9" s="1"/>
  <c r="M89" i="9"/>
  <c r="N89" i="9"/>
  <c r="AG89" i="9" s="1"/>
  <c r="AH89" i="9" s="1"/>
  <c r="O89" i="9"/>
  <c r="M90" i="9"/>
  <c r="N90" i="9"/>
  <c r="O90" i="9"/>
  <c r="M91" i="9"/>
  <c r="N91" i="9"/>
  <c r="AG91" i="9" s="1"/>
  <c r="AH91" i="9" s="1"/>
  <c r="O91" i="9"/>
  <c r="M92" i="9"/>
  <c r="N92" i="9"/>
  <c r="O92" i="9"/>
  <c r="AG92" i="9"/>
  <c r="AH92" i="9"/>
  <c r="M93" i="9"/>
  <c r="N93" i="9"/>
  <c r="O93" i="9"/>
  <c r="AG93" i="9"/>
  <c r="AH93" i="9" s="1"/>
  <c r="M94" i="9"/>
  <c r="N94" i="9"/>
  <c r="O94" i="9"/>
  <c r="M95" i="9"/>
  <c r="N95" i="9"/>
  <c r="O95" i="9"/>
  <c r="AG95" i="9"/>
  <c r="AH95" i="9"/>
  <c r="M96" i="9"/>
  <c r="N96" i="9"/>
  <c r="O96" i="9"/>
  <c r="AG96" i="9"/>
  <c r="AH96" i="9" s="1"/>
  <c r="M97" i="9"/>
  <c r="N97" i="9"/>
  <c r="AG97" i="9" s="1"/>
  <c r="AH97" i="9" s="1"/>
  <c r="O97" i="9"/>
  <c r="M98" i="9"/>
  <c r="N98" i="9"/>
  <c r="O98" i="9"/>
  <c r="M99" i="9"/>
  <c r="N99" i="9"/>
  <c r="AG99" i="9" s="1"/>
  <c r="AH99" i="9" s="1"/>
  <c r="O99" i="9"/>
  <c r="M100" i="9"/>
  <c r="N100" i="9"/>
  <c r="O100" i="9"/>
  <c r="AG100" i="9"/>
  <c r="AH100" i="9"/>
  <c r="M101" i="9"/>
  <c r="N101" i="9"/>
  <c r="O101" i="9"/>
  <c r="AG101" i="9"/>
  <c r="AH101" i="9" s="1"/>
  <c r="M102" i="9"/>
  <c r="N102" i="9"/>
  <c r="O102" i="9"/>
  <c r="M103" i="9"/>
  <c r="N103" i="9"/>
  <c r="O103" i="9"/>
  <c r="AG103" i="9"/>
  <c r="AH103" i="9"/>
  <c r="M104" i="9"/>
  <c r="N104" i="9"/>
  <c r="O104" i="9"/>
  <c r="AG104" i="9"/>
  <c r="AH104" i="9" s="1"/>
  <c r="K105" i="9"/>
  <c r="M105" i="9"/>
  <c r="N105" i="9"/>
  <c r="AG105" i="9" s="1"/>
  <c r="AH105" i="9" s="1"/>
  <c r="O105" i="9"/>
  <c r="M106" i="9"/>
  <c r="N106" i="9"/>
  <c r="AG106" i="9" s="1"/>
  <c r="AH106" i="9" s="1"/>
  <c r="O106" i="9"/>
  <c r="M107" i="9"/>
  <c r="N107" i="9"/>
  <c r="O107" i="9"/>
  <c r="AG107" i="9"/>
  <c r="AH107" i="9"/>
  <c r="M108" i="9"/>
  <c r="N108" i="9"/>
  <c r="O108" i="9"/>
  <c r="AG108" i="9"/>
  <c r="AH108" i="9" s="1"/>
  <c r="M109" i="9"/>
  <c r="N109" i="9"/>
  <c r="O109" i="9"/>
  <c r="M110" i="9"/>
  <c r="N110" i="9"/>
  <c r="O110" i="9"/>
  <c r="AG110" i="9"/>
  <c r="AH110" i="9" s="1"/>
  <c r="M111" i="9"/>
  <c r="N111" i="9"/>
  <c r="O111" i="9"/>
  <c r="AG111" i="9" s="1"/>
  <c r="AH111" i="9" s="1"/>
  <c r="K112" i="9"/>
  <c r="M112" i="9"/>
  <c r="N112" i="9"/>
  <c r="O112" i="9"/>
  <c r="M113" i="9"/>
  <c r="N113" i="9"/>
  <c r="O113" i="9"/>
  <c r="AG113" i="9"/>
  <c r="AH113" i="9"/>
  <c r="M114" i="9"/>
  <c r="N114" i="9"/>
  <c r="O114" i="9"/>
  <c r="AG114" i="9"/>
  <c r="AH114" i="9" s="1"/>
  <c r="M115" i="9"/>
  <c r="N115" i="9"/>
  <c r="AG115" i="9" s="1"/>
  <c r="AH115" i="9" s="1"/>
  <c r="O115" i="9"/>
  <c r="M116" i="9"/>
  <c r="N116" i="9"/>
  <c r="AG116" i="9"/>
  <c r="AH116" i="9" s="1"/>
  <c r="M117" i="9"/>
  <c r="N117" i="9"/>
  <c r="AG117" i="9"/>
  <c r="AH117" i="9" s="1"/>
  <c r="M118" i="9"/>
  <c r="N118" i="9"/>
  <c r="O118" i="9"/>
  <c r="M119" i="9"/>
  <c r="N119" i="9"/>
  <c r="O119" i="9"/>
  <c r="AG119" i="9"/>
  <c r="AH119" i="9"/>
  <c r="M120" i="9"/>
  <c r="N120" i="9"/>
  <c r="O120" i="9"/>
  <c r="AG120" i="9"/>
  <c r="AH120" i="9" s="1"/>
  <c r="M121" i="9"/>
  <c r="N121" i="9"/>
  <c r="AG121" i="9"/>
  <c r="AH121" i="9" s="1"/>
  <c r="M122" i="9"/>
  <c r="N122" i="9"/>
  <c r="AG122" i="9"/>
  <c r="AH122" i="9" s="1"/>
  <c r="K123" i="9"/>
  <c r="M123" i="9"/>
  <c r="N123" i="9"/>
  <c r="AG123" i="9" s="1"/>
  <c r="AH123" i="9" s="1"/>
  <c r="O123" i="9"/>
  <c r="M124" i="9"/>
  <c r="N124" i="9"/>
  <c r="AG124" i="9" s="1"/>
  <c r="AH124" i="9" s="1"/>
  <c r="O124" i="9"/>
  <c r="M125" i="9"/>
  <c r="N125" i="9"/>
  <c r="O125" i="9"/>
  <c r="AG125" i="9"/>
  <c r="AH125" i="9"/>
  <c r="M126" i="9"/>
  <c r="N126" i="9"/>
  <c r="O126" i="9"/>
  <c r="AG126" i="9"/>
  <c r="AH126" i="9" s="1"/>
  <c r="M127" i="9"/>
  <c r="N127" i="9"/>
  <c r="O127" i="9"/>
  <c r="H128" i="9"/>
  <c r="I128" i="9"/>
  <c r="L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23" i="9" l="1"/>
  <c r="AH23" i="9" s="1"/>
  <c r="AH9" i="9"/>
  <c r="M35" i="9"/>
  <c r="J128" i="9"/>
  <c r="K130" i="9" s="1"/>
  <c r="K128" i="9"/>
  <c r="AG98" i="9"/>
  <c r="AH98" i="9" s="1"/>
  <c r="AG90" i="9"/>
  <c r="AH90" i="9" s="1"/>
  <c r="AG82" i="9"/>
  <c r="AH82" i="9" s="1"/>
  <c r="AG72" i="9"/>
  <c r="AH72" i="9" s="1"/>
  <c r="AG58" i="9"/>
  <c r="AH58" i="9" s="1"/>
  <c r="AH35" i="9"/>
  <c r="AG18" i="9"/>
  <c r="AH18" i="9" s="1"/>
  <c r="AG14" i="9"/>
  <c r="AH14" i="9" s="1"/>
  <c r="AG10" i="9"/>
  <c r="AH10" i="9" s="1"/>
  <c r="AG127" i="9"/>
  <c r="AH127" i="9" s="1"/>
  <c r="AG109" i="9"/>
  <c r="AH109" i="9" s="1"/>
  <c r="AG79" i="9"/>
  <c r="AH79" i="9" s="1"/>
  <c r="O77" i="9"/>
  <c r="AG77" i="9" s="1"/>
  <c r="AH77" i="9" s="1"/>
  <c r="AG65" i="9"/>
  <c r="AH65" i="9" s="1"/>
  <c r="AG55" i="9"/>
  <c r="AH55" i="9" s="1"/>
  <c r="AG118" i="9"/>
  <c r="AH118" i="9" s="1"/>
  <c r="AG112" i="9"/>
  <c r="AH112" i="9" s="1"/>
  <c r="AG102" i="9"/>
  <c r="AH102" i="9" s="1"/>
  <c r="AG94" i="9"/>
  <c r="AH94" i="9" s="1"/>
  <c r="AG86" i="9"/>
  <c r="AH86" i="9" s="1"/>
  <c r="M77" i="9"/>
  <c r="AG76" i="9"/>
  <c r="AH76" i="9" s="1"/>
  <c r="AG62" i="9"/>
  <c r="AH62" i="9" s="1"/>
  <c r="O23" i="9"/>
  <c r="O128" i="9" s="1"/>
  <c r="AG21" i="9"/>
  <c r="AH21" i="9" s="1"/>
  <c r="M20" i="9"/>
  <c r="M128" i="9" s="1"/>
  <c r="N20" i="9"/>
  <c r="AG20" i="9" s="1"/>
  <c r="AH20" i="9" s="1"/>
  <c r="E7" i="8"/>
  <c r="F7" i="8" s="1"/>
  <c r="E11" i="8"/>
  <c r="F11" i="8"/>
  <c r="E14" i="8"/>
  <c r="F14" i="8" s="1"/>
  <c r="D19" i="8"/>
  <c r="F19" i="8" s="1"/>
  <c r="E19" i="8"/>
  <c r="E20" i="8"/>
  <c r="F20" i="8"/>
  <c r="E32" i="8"/>
  <c r="F32" i="8" s="1"/>
  <c r="E33" i="8"/>
  <c r="F33" i="8"/>
  <c r="E36" i="8"/>
  <c r="AH128" i="9" l="1"/>
  <c r="N128" i="9"/>
  <c r="AG128" i="9"/>
  <c r="AG130" i="9" s="1"/>
  <c r="I8" i="7"/>
  <c r="I15" i="7" s="1"/>
  <c r="M8" i="7"/>
  <c r="O8" i="7"/>
  <c r="A9" i="7"/>
  <c r="I9" i="7"/>
  <c r="M9" i="7"/>
  <c r="O9" i="7"/>
  <c r="A10" i="7"/>
  <c r="I10" i="7"/>
  <c r="M10" i="7"/>
  <c r="O10" i="7"/>
  <c r="A11" i="7"/>
  <c r="I11" i="7"/>
  <c r="M11" i="7"/>
  <c r="O11" i="7"/>
  <c r="A12" i="7"/>
  <c r="I12" i="7"/>
  <c r="M12" i="7"/>
  <c r="O12" i="7"/>
  <c r="A13" i="7"/>
  <c r="I13" i="7"/>
  <c r="M13" i="7"/>
  <c r="O13" i="7"/>
  <c r="A14" i="7"/>
  <c r="I14" i="7"/>
  <c r="M14" i="7"/>
  <c r="O14" i="7"/>
  <c r="G15" i="7"/>
  <c r="H15" i="7"/>
  <c r="J15" i="7"/>
  <c r="K15" i="7"/>
  <c r="L15" i="7"/>
  <c r="J16" i="7" s="1"/>
  <c r="J19" i="7" s="1"/>
  <c r="M15" i="7"/>
  <c r="N15" i="7"/>
  <c r="O15" i="7"/>
  <c r="P15" i="7"/>
  <c r="P16" i="7" s="1"/>
  <c r="P19" i="7" s="1"/>
  <c r="Q15" i="7"/>
  <c r="R15" i="7"/>
  <c r="S15" i="7"/>
  <c r="T15" i="7"/>
  <c r="U15" i="7"/>
  <c r="W15" i="7"/>
  <c r="N16" i="7"/>
  <c r="R16" i="7"/>
  <c r="S16" i="7"/>
  <c r="T16" i="7"/>
  <c r="U16" i="7"/>
  <c r="W16" i="7"/>
  <c r="N19" i="7"/>
  <c r="R19" i="7"/>
  <c r="S19" i="7"/>
  <c r="T19" i="7"/>
  <c r="U19" i="7"/>
  <c r="W19" i="7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D7" i="6"/>
  <c r="D8" i="6"/>
  <c r="D10" i="6"/>
  <c r="D11" i="6"/>
  <c r="D12" i="6" s="1"/>
  <c r="D14" i="6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7" i="6"/>
  <c r="B29" i="6"/>
  <c r="B30" i="6" s="1"/>
  <c r="B31" i="6" s="1"/>
  <c r="B32" i="6" s="1"/>
  <c r="B33" i="6" s="1"/>
  <c r="B34" i="6" s="1"/>
  <c r="B35" i="6" s="1"/>
  <c r="B36" i="6" s="1"/>
  <c r="D29" i="6"/>
  <c r="D30" i="6" s="1"/>
  <c r="D31" i="6"/>
  <c r="D32" i="6" s="1"/>
  <c r="D33" i="6"/>
  <c r="D34" i="6" s="1"/>
  <c r="D35" i="6"/>
  <c r="B38" i="6"/>
  <c r="D38" i="6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D41" i="6"/>
  <c r="D42" i="6" s="1"/>
  <c r="D46" i="6"/>
  <c r="D47" i="6"/>
  <c r="D48" i="6" s="1"/>
  <c r="D50" i="6"/>
  <c r="D51" i="6"/>
  <c r="D52" i="6" s="1"/>
  <c r="D53" i="6" s="1"/>
  <c r="D54" i="6" s="1"/>
  <c r="D55" i="6" s="1"/>
  <c r="D56" i="6" s="1"/>
  <c r="D57" i="6" s="1"/>
  <c r="D58" i="6" s="1"/>
  <c r="D59" i="6"/>
  <c r="D61" i="6"/>
  <c r="D62" i="6"/>
  <c r="D64" i="6"/>
  <c r="D65" i="6" s="1"/>
  <c r="D66" i="6"/>
  <c r="D67" i="6" s="1"/>
  <c r="B69" i="6"/>
  <c r="D69" i="6"/>
  <c r="D70" i="6" s="1"/>
  <c r="B70" i="6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D71" i="6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B89" i="6"/>
  <c r="B90" i="6" s="1"/>
  <c r="D89" i="6"/>
  <c r="D90" i="6"/>
  <c r="D91" i="6" s="1"/>
  <c r="D92" i="6" s="1"/>
  <c r="D93" i="6" s="1"/>
  <c r="D94" i="6" s="1"/>
  <c r="D95" i="6" s="1"/>
  <c r="B91" i="6"/>
  <c r="B92" i="6" s="1"/>
  <c r="B93" i="6" s="1"/>
  <c r="B94" i="6" s="1"/>
  <c r="B95" i="6" s="1"/>
  <c r="G101" i="6"/>
  <c r="G143" i="6"/>
  <c r="J1" i="5" l="1"/>
  <c r="D5" i="5"/>
  <c r="D6" i="5"/>
  <c r="D8" i="5"/>
  <c r="E13" i="5"/>
  <c r="G13" i="5"/>
  <c r="M13" i="5"/>
  <c r="E14" i="5"/>
  <c r="H14" i="5" s="1"/>
  <c r="G14" i="5"/>
  <c r="M14" i="5"/>
  <c r="E15" i="5"/>
  <c r="H15" i="5" s="1"/>
  <c r="G15" i="5"/>
  <c r="M15" i="5"/>
  <c r="E16" i="5"/>
  <c r="H16" i="5" s="1"/>
  <c r="G16" i="5"/>
  <c r="M16" i="5"/>
  <c r="E17" i="5"/>
  <c r="H17" i="5" s="1"/>
  <c r="G17" i="5"/>
  <c r="M17" i="5"/>
  <c r="A18" i="5"/>
  <c r="E18" i="5"/>
  <c r="H18" i="5" s="1"/>
  <c r="G18" i="5"/>
  <c r="M18" i="5"/>
  <c r="A19" i="5"/>
  <c r="A20" i="5" s="1"/>
  <c r="A21" i="5" s="1"/>
  <c r="E19" i="5"/>
  <c r="H19" i="5" s="1"/>
  <c r="G19" i="5"/>
  <c r="M19" i="5"/>
  <c r="E20" i="5"/>
  <c r="M9" i="5" s="1"/>
  <c r="G20" i="5"/>
  <c r="K20" i="5"/>
  <c r="L20" i="5" s="1"/>
  <c r="M20" i="5"/>
  <c r="G21" i="5"/>
  <c r="I21" i="5" s="1"/>
  <c r="H21" i="5"/>
  <c r="K21" i="5"/>
  <c r="L21" i="5"/>
  <c r="M21" i="5"/>
  <c r="E22" i="5"/>
  <c r="H22" i="5" s="1"/>
  <c r="G22" i="5"/>
  <c r="K22" i="5"/>
  <c r="L22" i="5" s="1"/>
  <c r="A23" i="5"/>
  <c r="E23" i="5"/>
  <c r="H23" i="5" s="1"/>
  <c r="G23" i="5"/>
  <c r="K23" i="5"/>
  <c r="L23" i="5" s="1"/>
  <c r="A24" i="5"/>
  <c r="G24" i="5"/>
  <c r="I24" i="5" s="1"/>
  <c r="J24" i="5" s="1"/>
  <c r="H24" i="5"/>
  <c r="K24" i="5"/>
  <c r="L24" i="5" s="1"/>
  <c r="M24" i="5"/>
  <c r="A25" i="5"/>
  <c r="G25" i="5"/>
  <c r="I25" i="5" s="1"/>
  <c r="J25" i="5" s="1"/>
  <c r="H25" i="5"/>
  <c r="K25" i="5"/>
  <c r="L25" i="5" s="1"/>
  <c r="M25" i="5"/>
  <c r="A26" i="5"/>
  <c r="G26" i="5"/>
  <c r="I26" i="5" s="1"/>
  <c r="J26" i="5" s="1"/>
  <c r="H26" i="5"/>
  <c r="K26" i="5"/>
  <c r="L26" i="5" s="1"/>
  <c r="M26" i="5"/>
  <c r="I27" i="5"/>
  <c r="J27" i="5" s="1"/>
  <c r="K27" i="5"/>
  <c r="L27" i="5" s="1"/>
  <c r="M27" i="5"/>
  <c r="F28" i="5"/>
  <c r="N28" i="5"/>
  <c r="J2" i="5" s="1"/>
  <c r="P28" i="5"/>
  <c r="T28" i="5"/>
  <c r="O27" i="5" l="1"/>
  <c r="Q27" i="5" s="1"/>
  <c r="S27" i="5" s="1"/>
  <c r="U27" i="5" s="1"/>
  <c r="O25" i="5"/>
  <c r="Q25" i="5" s="1"/>
  <c r="S25" i="5" s="1"/>
  <c r="U25" i="5" s="1"/>
  <c r="O24" i="5"/>
  <c r="Q24" i="5" s="1"/>
  <c r="S24" i="5" s="1"/>
  <c r="U24" i="5" s="1"/>
  <c r="O26" i="5"/>
  <c r="Q26" i="5" s="1"/>
  <c r="S26" i="5" s="1"/>
  <c r="U26" i="5" s="1"/>
  <c r="H20" i="5"/>
  <c r="J21" i="5"/>
  <c r="O21" i="5" s="1"/>
  <c r="Q21" i="5" s="1"/>
  <c r="S21" i="5" s="1"/>
  <c r="U21" i="5" s="1"/>
  <c r="G28" i="5"/>
  <c r="J4" i="5" s="1"/>
  <c r="E28" i="5"/>
  <c r="M8" i="5"/>
  <c r="J3" i="5"/>
  <c r="H13" i="5"/>
  <c r="M7" i="5" l="1"/>
  <c r="J5" i="5"/>
  <c r="I14" i="5" l="1"/>
  <c r="J14" i="5" s="1"/>
  <c r="I15" i="5"/>
  <c r="J15" i="5" s="1"/>
  <c r="I19" i="5"/>
  <c r="J19" i="5" s="1"/>
  <c r="I18" i="5"/>
  <c r="J18" i="5" s="1"/>
  <c r="I17" i="5"/>
  <c r="J17" i="5" s="1"/>
  <c r="I16" i="5"/>
  <c r="J16" i="5" s="1"/>
  <c r="I23" i="5"/>
  <c r="J23" i="5" s="1"/>
  <c r="I13" i="5"/>
  <c r="J13" i="5" s="1"/>
  <c r="I22" i="5"/>
  <c r="J22" i="5" s="1"/>
  <c r="I20" i="5"/>
  <c r="J20" i="5" s="1"/>
  <c r="O20" i="5" s="1"/>
  <c r="Q20" i="5" s="1"/>
  <c r="S20" i="5" s="1"/>
  <c r="U20" i="5" s="1"/>
  <c r="R16" i="5" l="1"/>
  <c r="R15" i="5"/>
  <c r="R13" i="5"/>
  <c r="J28" i="5"/>
  <c r="K28" i="5" s="1"/>
  <c r="R14" i="5"/>
  <c r="R28" i="5" l="1"/>
  <c r="K14" i="5"/>
  <c r="L14" i="5" s="1"/>
  <c r="O14" i="5" s="1"/>
  <c r="Q14" i="5" s="1"/>
  <c r="S14" i="5" s="1"/>
  <c r="U14" i="5" s="1"/>
  <c r="K18" i="5"/>
  <c r="L18" i="5" s="1"/>
  <c r="O18" i="5" s="1"/>
  <c r="Q18" i="5" s="1"/>
  <c r="S18" i="5" s="1"/>
  <c r="U18" i="5" s="1"/>
  <c r="K15" i="5"/>
  <c r="L15" i="5" s="1"/>
  <c r="O15" i="5" s="1"/>
  <c r="Q15" i="5" s="1"/>
  <c r="S15" i="5" s="1"/>
  <c r="U15" i="5" s="1"/>
  <c r="K19" i="5"/>
  <c r="L19" i="5" s="1"/>
  <c r="O19" i="5" s="1"/>
  <c r="Q19" i="5" s="1"/>
  <c r="S19" i="5" s="1"/>
  <c r="U19" i="5" s="1"/>
  <c r="K16" i="5"/>
  <c r="L16" i="5" s="1"/>
  <c r="O16" i="5" s="1"/>
  <c r="Q16" i="5" s="1"/>
  <c r="S16" i="5" s="1"/>
  <c r="U16" i="5" s="1"/>
  <c r="K17" i="5"/>
  <c r="L17" i="5" s="1"/>
  <c r="O17" i="5" s="1"/>
  <c r="Q17" i="5" s="1"/>
  <c r="S17" i="5" s="1"/>
  <c r="U17" i="5" s="1"/>
  <c r="K13" i="5"/>
  <c r="L13" i="5" s="1"/>
  <c r="L28" i="5" l="1"/>
  <c r="M28" i="5" s="1"/>
  <c r="O13" i="5"/>
  <c r="M22" i="5" l="1"/>
  <c r="O22" i="5" s="1"/>
  <c r="Q22" i="5" s="1"/>
  <c r="S22" i="5" s="1"/>
  <c r="U22" i="5" s="1"/>
  <c r="M23" i="5"/>
  <c r="O23" i="5" s="1"/>
  <c r="Q23" i="5" s="1"/>
  <c r="S23" i="5" s="1"/>
  <c r="U23" i="5" s="1"/>
  <c r="Q13" i="5"/>
  <c r="O28" i="5" l="1"/>
  <c r="S13" i="5"/>
  <c r="Q28" i="5"/>
  <c r="U13" i="5" l="1"/>
  <c r="U28" i="5" s="1"/>
  <c r="S31" i="5" s="1"/>
  <c r="S28" i="5"/>
  <c r="E7" i="4" l="1"/>
  <c r="G7" i="4"/>
  <c r="K7" i="4"/>
  <c r="H7" i="4" s="1"/>
  <c r="M7" i="4"/>
  <c r="N7" i="4"/>
  <c r="O7" i="4"/>
  <c r="S7" i="4"/>
  <c r="E8" i="4"/>
  <c r="G8" i="4"/>
  <c r="K8" i="4"/>
  <c r="H8" i="4" s="1"/>
  <c r="N8" i="4"/>
  <c r="O8" i="4"/>
  <c r="R8" i="4"/>
  <c r="S8" i="4"/>
  <c r="T8" i="4"/>
  <c r="V8" i="4"/>
  <c r="D9" i="4"/>
  <c r="E9" i="4"/>
  <c r="G9" i="4"/>
  <c r="I9" i="4"/>
  <c r="L9" i="4"/>
  <c r="H9" i="4" s="1"/>
  <c r="M9" i="4"/>
  <c r="N9" i="4"/>
  <c r="O9" i="4"/>
  <c r="R9" i="4"/>
  <c r="S9" i="4"/>
  <c r="T9" i="4" s="1"/>
  <c r="V9" i="4"/>
  <c r="E10" i="4"/>
  <c r="G10" i="4"/>
  <c r="L10" i="4"/>
  <c r="H10" i="4" s="1"/>
  <c r="M10" i="4"/>
  <c r="N10" i="4"/>
  <c r="P10" i="4" s="1"/>
  <c r="O10" i="4"/>
  <c r="S10" i="4"/>
  <c r="V10" i="4"/>
  <c r="E11" i="4"/>
  <c r="G11" i="4"/>
  <c r="K11" i="4"/>
  <c r="L11" i="4"/>
  <c r="N11" i="4"/>
  <c r="O11" i="4"/>
  <c r="R11" i="4"/>
  <c r="S11" i="4"/>
  <c r="T11" i="4"/>
  <c r="V11" i="4"/>
  <c r="E12" i="4"/>
  <c r="G12" i="4"/>
  <c r="K12" i="4"/>
  <c r="L12" i="4"/>
  <c r="N12" i="4"/>
  <c r="O12" i="4"/>
  <c r="P12" i="4" s="1"/>
  <c r="R12" i="4"/>
  <c r="T12" i="4"/>
  <c r="V12" i="4"/>
  <c r="E13" i="4"/>
  <c r="K13" i="4"/>
  <c r="L13" i="4"/>
  <c r="N13" i="4"/>
  <c r="O13" i="4"/>
  <c r="E14" i="4"/>
  <c r="G14" i="4"/>
  <c r="H14" i="4"/>
  <c r="T14" i="4"/>
  <c r="E15" i="4"/>
  <c r="G15" i="4"/>
  <c r="H15" i="4"/>
  <c r="T15" i="4"/>
  <c r="E16" i="4"/>
  <c r="G16" i="4"/>
  <c r="H16" i="4"/>
  <c r="R16" i="4"/>
  <c r="T16" i="4"/>
  <c r="X17" i="4"/>
  <c r="D18" i="4"/>
  <c r="I18" i="4"/>
  <c r="R21" i="4"/>
  <c r="B22" i="4"/>
  <c r="C22" i="4"/>
  <c r="C56" i="4" s="1"/>
  <c r="E22" i="4"/>
  <c r="P35" i="4" s="1"/>
  <c r="K56" i="4" s="1"/>
  <c r="F22" i="4"/>
  <c r="B23" i="4"/>
  <c r="C23" i="4"/>
  <c r="C57" i="4" s="1"/>
  <c r="E23" i="4"/>
  <c r="P36" i="4" s="1"/>
  <c r="K57" i="4" s="1"/>
  <c r="F23" i="4"/>
  <c r="H23" i="4"/>
  <c r="B24" i="4"/>
  <c r="B58" i="4" s="1"/>
  <c r="C24" i="4"/>
  <c r="C58" i="4" s="1"/>
  <c r="F24" i="4"/>
  <c r="H24" i="4"/>
  <c r="B25" i="4"/>
  <c r="C25" i="4"/>
  <c r="B26" i="4"/>
  <c r="C26" i="4"/>
  <c r="F26" i="4"/>
  <c r="H26" i="4"/>
  <c r="B27" i="4"/>
  <c r="C27" i="4"/>
  <c r="F27" i="4"/>
  <c r="H27" i="4"/>
  <c r="B28" i="4"/>
  <c r="B62" i="4" s="1"/>
  <c r="C28" i="4"/>
  <c r="C62" i="4" s="1"/>
  <c r="B29" i="4"/>
  <c r="M42" i="4" s="1"/>
  <c r="C29" i="4"/>
  <c r="C63" i="4" s="1"/>
  <c r="B30" i="4"/>
  <c r="C30" i="4"/>
  <c r="C64" i="4" s="1"/>
  <c r="B31" i="4"/>
  <c r="M44" i="4" s="1"/>
  <c r="C31" i="4"/>
  <c r="F31" i="4"/>
  <c r="H31" i="4"/>
  <c r="I33" i="4"/>
  <c r="J33" i="4"/>
  <c r="K33" i="4"/>
  <c r="L33" i="4"/>
  <c r="M33" i="4"/>
  <c r="N33" i="4"/>
  <c r="O33" i="4"/>
  <c r="M35" i="4"/>
  <c r="O35" i="4"/>
  <c r="J56" i="4" s="1"/>
  <c r="M36" i="4"/>
  <c r="A37" i="4"/>
  <c r="D37" i="4"/>
  <c r="M37" i="4"/>
  <c r="O37" i="4"/>
  <c r="M38" i="4"/>
  <c r="O38" i="4"/>
  <c r="J59" i="4" s="1"/>
  <c r="P38" i="4"/>
  <c r="M39" i="4"/>
  <c r="M41" i="4"/>
  <c r="M43" i="4"/>
  <c r="B56" i="4"/>
  <c r="L56" i="4"/>
  <c r="B57" i="4"/>
  <c r="J57" i="4"/>
  <c r="L57" i="4"/>
  <c r="G58" i="4"/>
  <c r="J58" i="4"/>
  <c r="K58" i="4"/>
  <c r="L58" i="4"/>
  <c r="B59" i="4"/>
  <c r="C59" i="4"/>
  <c r="G59" i="4"/>
  <c r="K59" i="4"/>
  <c r="L59" i="4"/>
  <c r="B60" i="4"/>
  <c r="C60" i="4"/>
  <c r="J60" i="4"/>
  <c r="K60" i="4"/>
  <c r="L60" i="4"/>
  <c r="C61" i="4"/>
  <c r="B64" i="4"/>
  <c r="B65" i="4"/>
  <c r="C65" i="4"/>
  <c r="E66" i="4"/>
  <c r="D67" i="4"/>
  <c r="E67" i="4"/>
  <c r="F67" i="4"/>
  <c r="H67" i="4"/>
  <c r="P8" i="4" l="1"/>
  <c r="E33" i="4"/>
  <c r="P11" i="4"/>
  <c r="X11" i="4" s="1"/>
  <c r="D26" i="4" s="1"/>
  <c r="R26" i="4"/>
  <c r="X12" i="4"/>
  <c r="D27" i="4" s="1"/>
  <c r="I61" i="4" s="1"/>
  <c r="N61" i="4" s="1"/>
  <c r="R23" i="4"/>
  <c r="X8" i="4"/>
  <c r="D23" i="4" s="1"/>
  <c r="H18" i="4"/>
  <c r="V15" i="4"/>
  <c r="H30" i="4"/>
  <c r="P15" i="4"/>
  <c r="G13" i="4"/>
  <c r="V13" i="4"/>
  <c r="P13" i="4"/>
  <c r="F28" i="4"/>
  <c r="F33" i="4" s="1"/>
  <c r="E18" i="4"/>
  <c r="T7" i="4"/>
  <c r="P7" i="4"/>
  <c r="V7" i="4"/>
  <c r="F30" i="4"/>
  <c r="M40" i="4"/>
  <c r="B61" i="4"/>
  <c r="R15" i="4"/>
  <c r="X15" i="4" s="1"/>
  <c r="D30" i="4" s="1"/>
  <c r="V14" i="4"/>
  <c r="F29" i="4"/>
  <c r="P14" i="4"/>
  <c r="R29" i="4" s="1"/>
  <c r="H29" i="4"/>
  <c r="R27" i="4"/>
  <c r="P9" i="4"/>
  <c r="R24" i="4" s="1"/>
  <c r="G18" i="4"/>
  <c r="G67" i="4"/>
  <c r="R31" i="4"/>
  <c r="R14" i="4"/>
  <c r="T13" i="4"/>
  <c r="F25" i="4"/>
  <c r="T10" i="4"/>
  <c r="H25" i="4"/>
  <c r="R7" i="4"/>
  <c r="H28" i="4"/>
  <c r="H22" i="4"/>
  <c r="H33" i="4" s="1"/>
  <c r="V16" i="4"/>
  <c r="P16" i="4"/>
  <c r="X16" i="4" s="1"/>
  <c r="D31" i="4" s="1"/>
  <c r="R13" i="4"/>
  <c r="R10" i="4"/>
  <c r="B63" i="4"/>
  <c r="P27" i="4" l="1"/>
  <c r="S40" i="4" s="1"/>
  <c r="I60" i="4"/>
  <c r="N60" i="4" s="1"/>
  <c r="P26" i="4"/>
  <c r="S39" i="4" s="1"/>
  <c r="X9" i="4"/>
  <c r="D24" i="4" s="1"/>
  <c r="P31" i="4"/>
  <c r="S44" i="4" s="1"/>
  <c r="I65" i="4"/>
  <c r="P30" i="4"/>
  <c r="S43" i="4" s="1"/>
  <c r="I64" i="4"/>
  <c r="R28" i="4"/>
  <c r="X13" i="4"/>
  <c r="D28" i="4" s="1"/>
  <c r="V18" i="4"/>
  <c r="X14" i="4"/>
  <c r="D29" i="4" s="1"/>
  <c r="I58" i="4"/>
  <c r="N58" i="4" s="1"/>
  <c r="P24" i="4"/>
  <c r="S37" i="4" s="1"/>
  <c r="R22" i="4"/>
  <c r="P18" i="4"/>
  <c r="X7" i="4"/>
  <c r="R30" i="4"/>
  <c r="X10" i="4"/>
  <c r="D25" i="4" s="1"/>
  <c r="R25" i="4"/>
  <c r="R18" i="4"/>
  <c r="T18" i="4"/>
  <c r="P23" i="4"/>
  <c r="S36" i="4" s="1"/>
  <c r="I57" i="4"/>
  <c r="N57" i="4" s="1"/>
  <c r="I59" i="4" l="1"/>
  <c r="N59" i="4" s="1"/>
  <c r="P25" i="4"/>
  <c r="S38" i="4" s="1"/>
  <c r="P29" i="4"/>
  <c r="S42" i="4" s="1"/>
  <c r="I63" i="4"/>
  <c r="X18" i="4"/>
  <c r="D22" i="4"/>
  <c r="I62" i="4"/>
  <c r="N62" i="4" s="1"/>
  <c r="P28" i="4"/>
  <c r="S41" i="4" s="1"/>
  <c r="P22" i="4" l="1"/>
  <c r="I56" i="4"/>
  <c r="D33" i="4"/>
  <c r="N56" i="4" l="1"/>
  <c r="N67" i="4" s="1"/>
  <c r="I67" i="4"/>
  <c r="P33" i="4"/>
  <c r="P46" i="4" s="1"/>
  <c r="S35" i="4"/>
  <c r="M5" i="3" l="1"/>
  <c r="N5" i="3"/>
  <c r="O5" i="3"/>
  <c r="O98" i="3" s="1"/>
  <c r="V5" i="3"/>
  <c r="M6" i="3"/>
  <c r="V6" i="3" s="1"/>
  <c r="N6" i="3"/>
  <c r="O6" i="3"/>
  <c r="AI6" i="3"/>
  <c r="AJ6" i="3" s="1"/>
  <c r="M7" i="3"/>
  <c r="N7" i="3"/>
  <c r="O7" i="3"/>
  <c r="Z7" i="3"/>
  <c r="M8" i="3"/>
  <c r="P8" i="3" s="1"/>
  <c r="N8" i="3"/>
  <c r="AI8" i="3" s="1"/>
  <c r="AJ8" i="3" s="1"/>
  <c r="O8" i="3"/>
  <c r="M9" i="3"/>
  <c r="N9" i="3"/>
  <c r="AI9" i="3" s="1"/>
  <c r="AJ9" i="3" s="1"/>
  <c r="O9" i="3"/>
  <c r="Q9" i="3"/>
  <c r="M10" i="3"/>
  <c r="P10" i="3" s="1"/>
  <c r="N10" i="3"/>
  <c r="AI10" i="3" s="1"/>
  <c r="AJ10" i="3" s="1"/>
  <c r="O10" i="3"/>
  <c r="M11" i="3"/>
  <c r="N11" i="3"/>
  <c r="O11" i="3"/>
  <c r="Z11" i="3"/>
  <c r="M12" i="3"/>
  <c r="S12" i="3" s="1"/>
  <c r="S98" i="3" s="1"/>
  <c r="N12" i="3"/>
  <c r="O12" i="3"/>
  <c r="M13" i="3"/>
  <c r="N13" i="3"/>
  <c r="O13" i="3"/>
  <c r="P13" i="3"/>
  <c r="M14" i="3"/>
  <c r="U14" i="3" s="1"/>
  <c r="N14" i="3"/>
  <c r="O14" i="3"/>
  <c r="AI14" i="3"/>
  <c r="AJ14" i="3" s="1"/>
  <c r="M15" i="3"/>
  <c r="N15" i="3"/>
  <c r="O15" i="3"/>
  <c r="P15" i="3"/>
  <c r="M16" i="3"/>
  <c r="P16" i="3" s="1"/>
  <c r="N16" i="3"/>
  <c r="AI16" i="3" s="1"/>
  <c r="AJ16" i="3" s="1"/>
  <c r="O16" i="3"/>
  <c r="M17" i="3"/>
  <c r="N17" i="3"/>
  <c r="AI17" i="3" s="1"/>
  <c r="AJ17" i="3" s="1"/>
  <c r="O17" i="3"/>
  <c r="AH17" i="3"/>
  <c r="M18" i="3"/>
  <c r="P18" i="3" s="1"/>
  <c r="N18" i="3"/>
  <c r="AI18" i="3" s="1"/>
  <c r="AJ18" i="3" s="1"/>
  <c r="O18" i="3"/>
  <c r="M19" i="3"/>
  <c r="N19" i="3"/>
  <c r="O19" i="3"/>
  <c r="P19" i="3"/>
  <c r="M20" i="3"/>
  <c r="Q20" i="3" s="1"/>
  <c r="AI20" i="3" s="1"/>
  <c r="AJ20" i="3" s="1"/>
  <c r="N20" i="3"/>
  <c r="O20" i="3"/>
  <c r="M21" i="3"/>
  <c r="N21" i="3"/>
  <c r="O21" i="3"/>
  <c r="P21" i="3"/>
  <c r="M22" i="3"/>
  <c r="P22" i="3" s="1"/>
  <c r="N22" i="3"/>
  <c r="O22" i="3"/>
  <c r="AI22" i="3"/>
  <c r="AJ22" i="3" s="1"/>
  <c r="M23" i="3"/>
  <c r="N23" i="3"/>
  <c r="O23" i="3"/>
  <c r="Z23" i="3"/>
  <c r="M24" i="3"/>
  <c r="P24" i="3" s="1"/>
  <c r="N24" i="3"/>
  <c r="AI24" i="3" s="1"/>
  <c r="AJ24" i="3" s="1"/>
  <c r="O24" i="3"/>
  <c r="M25" i="3"/>
  <c r="N25" i="3"/>
  <c r="AI25" i="3" s="1"/>
  <c r="AJ25" i="3" s="1"/>
  <c r="O25" i="3"/>
  <c r="Z25" i="3"/>
  <c r="M26" i="3"/>
  <c r="P26" i="3" s="1"/>
  <c r="N26" i="3"/>
  <c r="AI26" i="3" s="1"/>
  <c r="AJ26" i="3" s="1"/>
  <c r="O26" i="3"/>
  <c r="M27" i="3"/>
  <c r="N27" i="3"/>
  <c r="O27" i="3"/>
  <c r="P27" i="3"/>
  <c r="M28" i="3"/>
  <c r="P28" i="3" s="1"/>
  <c r="AI28" i="3" s="1"/>
  <c r="AJ28" i="3" s="1"/>
  <c r="N28" i="3"/>
  <c r="O28" i="3"/>
  <c r="M29" i="3"/>
  <c r="N29" i="3"/>
  <c r="O29" i="3"/>
  <c r="P29" i="3"/>
  <c r="M30" i="3"/>
  <c r="P30" i="3" s="1"/>
  <c r="N30" i="3"/>
  <c r="O30" i="3"/>
  <c r="AI30" i="3"/>
  <c r="AJ30" i="3" s="1"/>
  <c r="M31" i="3"/>
  <c r="N31" i="3"/>
  <c r="O31" i="3"/>
  <c r="W31" i="3"/>
  <c r="M32" i="3"/>
  <c r="P32" i="3" s="1"/>
  <c r="N32" i="3"/>
  <c r="AI32" i="3" s="1"/>
  <c r="AJ32" i="3" s="1"/>
  <c r="O32" i="3"/>
  <c r="M33" i="3"/>
  <c r="N33" i="3"/>
  <c r="AI33" i="3" s="1"/>
  <c r="AJ33" i="3" s="1"/>
  <c r="O33" i="3"/>
  <c r="P33" i="3"/>
  <c r="M34" i="3"/>
  <c r="Z34" i="3" s="1"/>
  <c r="N34" i="3"/>
  <c r="AI34" i="3" s="1"/>
  <c r="AJ34" i="3" s="1"/>
  <c r="O34" i="3"/>
  <c r="M35" i="3"/>
  <c r="N35" i="3"/>
  <c r="O35" i="3"/>
  <c r="Z35" i="3"/>
  <c r="M36" i="3"/>
  <c r="P36" i="3" s="1"/>
  <c r="AI36" i="3" s="1"/>
  <c r="AJ36" i="3" s="1"/>
  <c r="N36" i="3"/>
  <c r="O36" i="3"/>
  <c r="M37" i="3"/>
  <c r="N37" i="3"/>
  <c r="O37" i="3"/>
  <c r="Y37" i="3"/>
  <c r="Y98" i="3" s="1"/>
  <c r="M38" i="3"/>
  <c r="W38" i="3" s="1"/>
  <c r="N38" i="3"/>
  <c r="O38" i="3"/>
  <c r="AI38" i="3"/>
  <c r="AJ38" i="3" s="1"/>
  <c r="M39" i="3"/>
  <c r="N39" i="3"/>
  <c r="O39" i="3"/>
  <c r="W39" i="3"/>
  <c r="M40" i="3"/>
  <c r="P40" i="3" s="1"/>
  <c r="N40" i="3"/>
  <c r="O40" i="3"/>
  <c r="M41" i="3"/>
  <c r="N41" i="3"/>
  <c r="O41" i="3"/>
  <c r="Q41" i="3"/>
  <c r="M42" i="3"/>
  <c r="N42" i="3"/>
  <c r="AI42" i="3" s="1"/>
  <c r="AJ42" i="3" s="1"/>
  <c r="O42" i="3"/>
  <c r="AH42" i="3"/>
  <c r="M43" i="3"/>
  <c r="N43" i="3"/>
  <c r="O43" i="3"/>
  <c r="P43" i="3"/>
  <c r="M44" i="3"/>
  <c r="N44" i="3"/>
  <c r="O44" i="3"/>
  <c r="P44" i="3"/>
  <c r="AI44" i="3" s="1"/>
  <c r="AJ44" i="3" s="1"/>
  <c r="M45" i="3"/>
  <c r="N45" i="3"/>
  <c r="AI45" i="3" s="1"/>
  <c r="AJ45" i="3" s="1"/>
  <c r="O45" i="3"/>
  <c r="P45" i="3"/>
  <c r="M46" i="3"/>
  <c r="Z46" i="3" s="1"/>
  <c r="AI46" i="3" s="1"/>
  <c r="AJ46" i="3" s="1"/>
  <c r="N46" i="3"/>
  <c r="O46" i="3"/>
  <c r="M47" i="3"/>
  <c r="N47" i="3"/>
  <c r="O47" i="3"/>
  <c r="Z47" i="3"/>
  <c r="M48" i="3"/>
  <c r="P48" i="3" s="1"/>
  <c r="N48" i="3"/>
  <c r="AI48" i="3" s="1"/>
  <c r="AJ48" i="3" s="1"/>
  <c r="O48" i="3"/>
  <c r="M49" i="3"/>
  <c r="N49" i="3"/>
  <c r="O49" i="3"/>
  <c r="P49" i="3"/>
  <c r="M50" i="3"/>
  <c r="P50" i="3" s="1"/>
  <c r="N50" i="3"/>
  <c r="AI50" i="3" s="1"/>
  <c r="AJ50" i="3" s="1"/>
  <c r="O50" i="3"/>
  <c r="M51" i="3"/>
  <c r="N51" i="3"/>
  <c r="O51" i="3"/>
  <c r="P51" i="3"/>
  <c r="M52" i="3"/>
  <c r="N52" i="3"/>
  <c r="AI52" i="3" s="1"/>
  <c r="AJ52" i="3" s="1"/>
  <c r="O52" i="3"/>
  <c r="P52" i="3"/>
  <c r="M53" i="3"/>
  <c r="N53" i="3"/>
  <c r="AI53" i="3" s="1"/>
  <c r="AJ53" i="3" s="1"/>
  <c r="O53" i="3"/>
  <c r="P53" i="3"/>
  <c r="M54" i="3"/>
  <c r="W54" i="3" s="1"/>
  <c r="N54" i="3"/>
  <c r="O54" i="3"/>
  <c r="M55" i="3"/>
  <c r="N55" i="3"/>
  <c r="O55" i="3"/>
  <c r="V55" i="3"/>
  <c r="M56" i="3"/>
  <c r="V56" i="3" s="1"/>
  <c r="N56" i="3"/>
  <c r="O56" i="3"/>
  <c r="M57" i="3"/>
  <c r="N57" i="3"/>
  <c r="O57" i="3"/>
  <c r="W57" i="3"/>
  <c r="M58" i="3"/>
  <c r="W58" i="3" s="1"/>
  <c r="N58" i="3"/>
  <c r="AI58" i="3" s="1"/>
  <c r="AJ58" i="3" s="1"/>
  <c r="O58" i="3"/>
  <c r="M59" i="3"/>
  <c r="N59" i="3"/>
  <c r="O59" i="3"/>
  <c r="P59" i="3"/>
  <c r="M60" i="3"/>
  <c r="N60" i="3"/>
  <c r="AI60" i="3" s="1"/>
  <c r="AJ60" i="3" s="1"/>
  <c r="O60" i="3"/>
  <c r="Q60" i="3"/>
  <c r="M61" i="3"/>
  <c r="N61" i="3"/>
  <c r="AI61" i="3" s="1"/>
  <c r="AJ61" i="3" s="1"/>
  <c r="O61" i="3"/>
  <c r="P61" i="3"/>
  <c r="M62" i="3"/>
  <c r="P62" i="3" s="1"/>
  <c r="AI62" i="3" s="1"/>
  <c r="AJ62" i="3" s="1"/>
  <c r="N62" i="3"/>
  <c r="O62" i="3"/>
  <c r="M63" i="3"/>
  <c r="N63" i="3"/>
  <c r="O63" i="3"/>
  <c r="Z63" i="3"/>
  <c r="M64" i="3"/>
  <c r="Z64" i="3" s="1"/>
  <c r="N64" i="3"/>
  <c r="O64" i="3"/>
  <c r="M65" i="3"/>
  <c r="N65" i="3"/>
  <c r="O65" i="3"/>
  <c r="P65" i="3"/>
  <c r="M66" i="3"/>
  <c r="P66" i="3" s="1"/>
  <c r="N66" i="3"/>
  <c r="O66" i="3"/>
  <c r="M67" i="3"/>
  <c r="N67" i="3"/>
  <c r="O67" i="3"/>
  <c r="P67" i="3"/>
  <c r="M68" i="3"/>
  <c r="N68" i="3"/>
  <c r="AI68" i="3" s="1"/>
  <c r="AJ68" i="3" s="1"/>
  <c r="O68" i="3"/>
  <c r="P68" i="3"/>
  <c r="M69" i="3"/>
  <c r="N69" i="3"/>
  <c r="AI69" i="3" s="1"/>
  <c r="AJ69" i="3" s="1"/>
  <c r="O69" i="3"/>
  <c r="P69" i="3"/>
  <c r="M70" i="3"/>
  <c r="AH70" i="3" s="1"/>
  <c r="AI70" i="3" s="1"/>
  <c r="AJ70" i="3" s="1"/>
  <c r="N70" i="3"/>
  <c r="O70" i="3"/>
  <c r="M71" i="3"/>
  <c r="N71" i="3"/>
  <c r="O71" i="3"/>
  <c r="P71" i="3"/>
  <c r="M72" i="3"/>
  <c r="N72" i="3"/>
  <c r="AI72" i="3" s="1"/>
  <c r="AJ72" i="3" s="1"/>
  <c r="O72" i="3"/>
  <c r="M73" i="3"/>
  <c r="N73" i="3"/>
  <c r="O73" i="3"/>
  <c r="AI73" i="3"/>
  <c r="AJ73" i="3"/>
  <c r="M74" i="3"/>
  <c r="N74" i="3"/>
  <c r="O74" i="3"/>
  <c r="AI74" i="3"/>
  <c r="AJ74" i="3" s="1"/>
  <c r="M75" i="3"/>
  <c r="N75" i="3"/>
  <c r="O75" i="3"/>
  <c r="M76" i="3"/>
  <c r="N76" i="3"/>
  <c r="O76" i="3"/>
  <c r="AI76" i="3"/>
  <c r="AJ76" i="3" s="1"/>
  <c r="M77" i="3"/>
  <c r="N77" i="3"/>
  <c r="O77" i="3"/>
  <c r="AI77" i="3" s="1"/>
  <c r="AJ77" i="3" s="1"/>
  <c r="M78" i="3"/>
  <c r="N78" i="3"/>
  <c r="AI78" i="3" s="1"/>
  <c r="AJ78" i="3" s="1"/>
  <c r="O78" i="3"/>
  <c r="M79" i="3"/>
  <c r="N79" i="3"/>
  <c r="AI79" i="3" s="1"/>
  <c r="AJ79" i="3" s="1"/>
  <c r="O79" i="3"/>
  <c r="M80" i="3"/>
  <c r="N80" i="3"/>
  <c r="AI80" i="3" s="1"/>
  <c r="AJ80" i="3" s="1"/>
  <c r="O80" i="3"/>
  <c r="M81" i="3"/>
  <c r="N81" i="3"/>
  <c r="O81" i="3"/>
  <c r="AI81" i="3"/>
  <c r="AJ81" i="3"/>
  <c r="M82" i="3"/>
  <c r="N82" i="3"/>
  <c r="O82" i="3"/>
  <c r="AI82" i="3"/>
  <c r="AJ82" i="3" s="1"/>
  <c r="M83" i="3"/>
  <c r="N83" i="3"/>
  <c r="O83" i="3"/>
  <c r="M84" i="3"/>
  <c r="N84" i="3"/>
  <c r="O84" i="3"/>
  <c r="AI84" i="3"/>
  <c r="AJ84" i="3" s="1"/>
  <c r="M85" i="3"/>
  <c r="N85" i="3"/>
  <c r="O85" i="3"/>
  <c r="AI85" i="3" s="1"/>
  <c r="AJ85" i="3" s="1"/>
  <c r="M86" i="3"/>
  <c r="N86" i="3"/>
  <c r="AI86" i="3" s="1"/>
  <c r="AJ86" i="3" s="1"/>
  <c r="O86" i="3"/>
  <c r="M87" i="3"/>
  <c r="N87" i="3"/>
  <c r="AI87" i="3" s="1"/>
  <c r="AJ87" i="3" s="1"/>
  <c r="O87" i="3"/>
  <c r="M88" i="3"/>
  <c r="N88" i="3"/>
  <c r="AI88" i="3" s="1"/>
  <c r="AJ88" i="3" s="1"/>
  <c r="O88" i="3"/>
  <c r="M89" i="3"/>
  <c r="N89" i="3"/>
  <c r="O89" i="3"/>
  <c r="AI89" i="3"/>
  <c r="AJ89" i="3"/>
  <c r="M90" i="3"/>
  <c r="N90" i="3"/>
  <c r="O90" i="3"/>
  <c r="AI90" i="3"/>
  <c r="AJ90" i="3" s="1"/>
  <c r="M91" i="3"/>
  <c r="N91" i="3"/>
  <c r="O91" i="3"/>
  <c r="M92" i="3"/>
  <c r="N92" i="3"/>
  <c r="O92" i="3"/>
  <c r="AI92" i="3"/>
  <c r="AJ92" i="3" s="1"/>
  <c r="M93" i="3"/>
  <c r="N93" i="3"/>
  <c r="O93" i="3"/>
  <c r="AI93" i="3" s="1"/>
  <c r="AJ93" i="3" s="1"/>
  <c r="M94" i="3"/>
  <c r="N94" i="3"/>
  <c r="AI94" i="3" s="1"/>
  <c r="AJ94" i="3" s="1"/>
  <c r="O94" i="3"/>
  <c r="M95" i="3"/>
  <c r="N95" i="3"/>
  <c r="AI95" i="3" s="1"/>
  <c r="AJ95" i="3" s="1"/>
  <c r="O95" i="3"/>
  <c r="M96" i="3"/>
  <c r="N96" i="3"/>
  <c r="AI96" i="3" s="1"/>
  <c r="AJ96" i="3" s="1"/>
  <c r="O96" i="3"/>
  <c r="H98" i="3"/>
  <c r="I98" i="3"/>
  <c r="J98" i="3"/>
  <c r="K98" i="3"/>
  <c r="R98" i="3"/>
  <c r="T98" i="3"/>
  <c r="U98" i="3"/>
  <c r="X98" i="3"/>
  <c r="AA98" i="3"/>
  <c r="AB98" i="3"/>
  <c r="AC98" i="3"/>
  <c r="AD98" i="3"/>
  <c r="AE98" i="3"/>
  <c r="AF98" i="3"/>
  <c r="AG98" i="3"/>
  <c r="K100" i="3"/>
  <c r="G7" i="2"/>
  <c r="K7" i="2"/>
  <c r="H7" i="2" s="1"/>
  <c r="M7" i="2"/>
  <c r="N7" i="2"/>
  <c r="O7" i="2"/>
  <c r="R7" i="2"/>
  <c r="S7" i="2"/>
  <c r="T7" i="2" s="1"/>
  <c r="V7" i="2"/>
  <c r="G8" i="2"/>
  <c r="K8" i="2"/>
  <c r="L8" i="2"/>
  <c r="N8" i="2"/>
  <c r="P8" i="2" s="1"/>
  <c r="O8" i="2"/>
  <c r="R8" i="2"/>
  <c r="T8" i="2"/>
  <c r="V8" i="2"/>
  <c r="D9" i="2"/>
  <c r="G9" i="2" s="1"/>
  <c r="E9" i="2"/>
  <c r="H9" i="2"/>
  <c r="I9" i="2"/>
  <c r="I18" i="2" s="1"/>
  <c r="M9" i="2"/>
  <c r="N9" i="2"/>
  <c r="O9" i="2"/>
  <c r="R9" i="2"/>
  <c r="R18" i="2" s="1"/>
  <c r="S9" i="2"/>
  <c r="G10" i="2"/>
  <c r="K10" i="2"/>
  <c r="H10" i="2" s="1"/>
  <c r="M10" i="2"/>
  <c r="N10" i="2"/>
  <c r="O10" i="2"/>
  <c r="R10" i="2"/>
  <c r="T10" i="2"/>
  <c r="V10" i="2"/>
  <c r="G11" i="2"/>
  <c r="H11" i="2"/>
  <c r="K11" i="2"/>
  <c r="L11" i="2"/>
  <c r="N11" i="2"/>
  <c r="O11" i="2"/>
  <c r="R11" i="2"/>
  <c r="T11" i="2"/>
  <c r="V11" i="2"/>
  <c r="G12" i="2"/>
  <c r="H12" i="2"/>
  <c r="K12" i="2"/>
  <c r="L12" i="2"/>
  <c r="N12" i="2"/>
  <c r="O12" i="2"/>
  <c r="R12" i="2"/>
  <c r="T12" i="2"/>
  <c r="V12" i="2"/>
  <c r="G13" i="2"/>
  <c r="H13" i="2"/>
  <c r="K13" i="2"/>
  <c r="L13" i="2"/>
  <c r="N13" i="2"/>
  <c r="P13" i="2" s="1"/>
  <c r="X13" i="2" s="1"/>
  <c r="D28" i="2" s="1"/>
  <c r="O13" i="2"/>
  <c r="R13" i="2"/>
  <c r="T13" i="2"/>
  <c r="V13" i="2"/>
  <c r="E14" i="2"/>
  <c r="G14" i="2"/>
  <c r="H14" i="2"/>
  <c r="P14" i="2"/>
  <c r="R14" i="2"/>
  <c r="T14" i="2"/>
  <c r="V14" i="2"/>
  <c r="X14" i="2"/>
  <c r="E15" i="2"/>
  <c r="G15" i="2"/>
  <c r="H15" i="2"/>
  <c r="P15" i="2"/>
  <c r="R15" i="2"/>
  <c r="T15" i="2"/>
  <c r="V15" i="2"/>
  <c r="X15" i="2"/>
  <c r="D30" i="2" s="1"/>
  <c r="E16" i="2"/>
  <c r="G16" i="2"/>
  <c r="H16" i="2"/>
  <c r="P16" i="2"/>
  <c r="R16" i="2"/>
  <c r="T16" i="2"/>
  <c r="V16" i="2"/>
  <c r="X16" i="2"/>
  <c r="D31" i="2" s="1"/>
  <c r="X17" i="2"/>
  <c r="G18" i="2"/>
  <c r="R21" i="2"/>
  <c r="B22" i="2"/>
  <c r="C22" i="2"/>
  <c r="C56" i="2" s="1"/>
  <c r="E22" i="2"/>
  <c r="H22" i="2"/>
  <c r="B23" i="2"/>
  <c r="C23" i="2"/>
  <c r="E23" i="2"/>
  <c r="F23" i="2" s="1"/>
  <c r="G23" i="2"/>
  <c r="H23" i="2"/>
  <c r="B24" i="2"/>
  <c r="C24" i="2"/>
  <c r="B25" i="2"/>
  <c r="C25" i="2"/>
  <c r="F25" i="2"/>
  <c r="H25" i="2"/>
  <c r="B26" i="2"/>
  <c r="B60" i="2" s="1"/>
  <c r="C26" i="2"/>
  <c r="F26" i="2"/>
  <c r="H26" i="2"/>
  <c r="B27" i="2"/>
  <c r="C27" i="2"/>
  <c r="C61" i="2" s="1"/>
  <c r="F27" i="2"/>
  <c r="G27" i="2"/>
  <c r="H27" i="2"/>
  <c r="B28" i="2"/>
  <c r="B62" i="2" s="1"/>
  <c r="C28" i="2"/>
  <c r="C62" i="2" s="1"/>
  <c r="F28" i="2"/>
  <c r="H28" i="2"/>
  <c r="B29" i="2"/>
  <c r="M42" i="2" s="1"/>
  <c r="C29" i="2"/>
  <c r="C63" i="2" s="1"/>
  <c r="D29" i="2"/>
  <c r="P29" i="2" s="1"/>
  <c r="S42" i="2" s="1"/>
  <c r="F29" i="2"/>
  <c r="H29" i="2"/>
  <c r="R29" i="2"/>
  <c r="B30" i="2"/>
  <c r="C30" i="2"/>
  <c r="C64" i="2" s="1"/>
  <c r="F30" i="2"/>
  <c r="H30" i="2"/>
  <c r="R30" i="2"/>
  <c r="B31" i="2"/>
  <c r="M44" i="2" s="1"/>
  <c r="C31" i="2"/>
  <c r="F31" i="2"/>
  <c r="H31" i="2"/>
  <c r="I33" i="2"/>
  <c r="J33" i="2"/>
  <c r="K33" i="2"/>
  <c r="L33" i="2"/>
  <c r="M33" i="2"/>
  <c r="N33" i="2"/>
  <c r="O33" i="2"/>
  <c r="M35" i="2"/>
  <c r="O35" i="2"/>
  <c r="J56" i="2" s="1"/>
  <c r="M36" i="2"/>
  <c r="A37" i="2"/>
  <c r="D37" i="2"/>
  <c r="M37" i="2"/>
  <c r="O37" i="2"/>
  <c r="M38" i="2"/>
  <c r="O38" i="2"/>
  <c r="J59" i="2" s="1"/>
  <c r="P38" i="2"/>
  <c r="M41" i="2"/>
  <c r="M43" i="2"/>
  <c r="B56" i="2"/>
  <c r="L56" i="2"/>
  <c r="B57" i="2"/>
  <c r="C57" i="2"/>
  <c r="J57" i="2"/>
  <c r="L57" i="2"/>
  <c r="B58" i="2"/>
  <c r="C58" i="2"/>
  <c r="G58" i="2"/>
  <c r="G67" i="2" s="1"/>
  <c r="J58" i="2"/>
  <c r="K58" i="2"/>
  <c r="L58" i="2"/>
  <c r="B59" i="2"/>
  <c r="C59" i="2"/>
  <c r="G59" i="2"/>
  <c r="K59" i="2"/>
  <c r="L59" i="2"/>
  <c r="C60" i="2"/>
  <c r="J60" i="2"/>
  <c r="K60" i="2"/>
  <c r="L60" i="2"/>
  <c r="I63" i="2"/>
  <c r="B64" i="2"/>
  <c r="B65" i="2"/>
  <c r="C65" i="2"/>
  <c r="D67" i="2"/>
  <c r="E67" i="2"/>
  <c r="F67" i="2"/>
  <c r="H67" i="2"/>
  <c r="E33" i="2" l="1"/>
  <c r="P10" i="2"/>
  <c r="X10" i="2" s="1"/>
  <c r="D25" i="2" s="1"/>
  <c r="P28" i="2"/>
  <c r="S41" i="2" s="1"/>
  <c r="I62" i="2"/>
  <c r="N62" i="2" s="1"/>
  <c r="P11" i="2"/>
  <c r="X11" i="2" s="1"/>
  <c r="D26" i="2" s="1"/>
  <c r="H8" i="2"/>
  <c r="H18" i="2" s="1"/>
  <c r="R28" i="2"/>
  <c r="AI64" i="3"/>
  <c r="AJ64" i="3" s="1"/>
  <c r="AI40" i="3"/>
  <c r="AJ40" i="3" s="1"/>
  <c r="P98" i="3"/>
  <c r="P100" i="3" s="1"/>
  <c r="AI66" i="3"/>
  <c r="AJ66" i="3" s="1"/>
  <c r="AI56" i="3"/>
  <c r="AJ56" i="3" s="1"/>
  <c r="AI54" i="3"/>
  <c r="AJ54" i="3" s="1"/>
  <c r="W98" i="3"/>
  <c r="AI49" i="3"/>
  <c r="AJ49" i="3" s="1"/>
  <c r="AI41" i="3"/>
  <c r="AJ41" i="3" s="1"/>
  <c r="AI37" i="3"/>
  <c r="AJ37" i="3" s="1"/>
  <c r="AI29" i="3"/>
  <c r="AJ29" i="3" s="1"/>
  <c r="AI21" i="3"/>
  <c r="AJ21" i="3" s="1"/>
  <c r="AH98" i="3"/>
  <c r="AI13" i="3"/>
  <c r="AJ13" i="3" s="1"/>
  <c r="AI5" i="3"/>
  <c r="M98" i="3"/>
  <c r="V98" i="3"/>
  <c r="Q98" i="3"/>
  <c r="AI71" i="3"/>
  <c r="AJ71" i="3" s="1"/>
  <c r="AI63" i="3"/>
  <c r="AJ63" i="3" s="1"/>
  <c r="AI55" i="3"/>
  <c r="AJ55" i="3" s="1"/>
  <c r="AI47" i="3"/>
  <c r="AJ47" i="3" s="1"/>
  <c r="AI39" i="3"/>
  <c r="AJ39" i="3" s="1"/>
  <c r="AI31" i="3"/>
  <c r="AJ31" i="3" s="1"/>
  <c r="AI23" i="3"/>
  <c r="AJ23" i="3" s="1"/>
  <c r="AI15" i="3"/>
  <c r="AJ15" i="3" s="1"/>
  <c r="AI12" i="3"/>
  <c r="AJ12" i="3" s="1"/>
  <c r="AI7" i="3"/>
  <c r="AJ7" i="3" s="1"/>
  <c r="AI91" i="3"/>
  <c r="AJ91" i="3" s="1"/>
  <c r="AI83" i="3"/>
  <c r="AJ83" i="3" s="1"/>
  <c r="AI75" i="3"/>
  <c r="AJ75" i="3" s="1"/>
  <c r="AI65" i="3"/>
  <c r="AJ65" i="3" s="1"/>
  <c r="AI57" i="3"/>
  <c r="AJ57" i="3" s="1"/>
  <c r="AI67" i="3"/>
  <c r="AJ67" i="3" s="1"/>
  <c r="AI59" i="3"/>
  <c r="AJ59" i="3" s="1"/>
  <c r="AI51" i="3"/>
  <c r="AJ51" i="3" s="1"/>
  <c r="AI43" i="3"/>
  <c r="AJ43" i="3" s="1"/>
  <c r="AI35" i="3"/>
  <c r="AJ35" i="3" s="1"/>
  <c r="AI27" i="3"/>
  <c r="AJ27" i="3" s="1"/>
  <c r="AI19" i="3"/>
  <c r="AJ19" i="3" s="1"/>
  <c r="AI11" i="3"/>
  <c r="AJ11" i="3" s="1"/>
  <c r="Z98" i="3"/>
  <c r="N98" i="3"/>
  <c r="P30" i="2"/>
  <c r="S43" i="2" s="1"/>
  <c r="I64" i="2"/>
  <c r="P12" i="2"/>
  <c r="X12" i="2" s="1"/>
  <c r="D27" i="2" s="1"/>
  <c r="R25" i="2"/>
  <c r="M40" i="2"/>
  <c r="B61" i="2"/>
  <c r="P31" i="2"/>
  <c r="S44" i="2" s="1"/>
  <c r="I65" i="2"/>
  <c r="R26" i="2"/>
  <c r="P7" i="2"/>
  <c r="M39" i="2"/>
  <c r="P36" i="2"/>
  <c r="K57" i="2" s="1"/>
  <c r="F22" i="2"/>
  <c r="F33" i="2" s="1"/>
  <c r="P35" i="2"/>
  <c r="K56" i="2" s="1"/>
  <c r="R31" i="2"/>
  <c r="F24" i="2"/>
  <c r="T9" i="2"/>
  <c r="T18" i="2" s="1"/>
  <c r="H24" i="2"/>
  <c r="H33" i="2" s="1"/>
  <c r="P9" i="2"/>
  <c r="X9" i="2" s="1"/>
  <c r="D24" i="2" s="1"/>
  <c r="V9" i="2"/>
  <c r="V18" i="2" s="1"/>
  <c r="E18" i="2"/>
  <c r="D18" i="2"/>
  <c r="B63" i="2"/>
  <c r="R23" i="2" l="1"/>
  <c r="X8" i="2"/>
  <c r="D23" i="2" s="1"/>
  <c r="I57" i="2" s="1"/>
  <c r="N57" i="2" s="1"/>
  <c r="N100" i="3"/>
  <c r="AJ5" i="3"/>
  <c r="AI98" i="3"/>
  <c r="P27" i="2"/>
  <c r="S40" i="2" s="1"/>
  <c r="I61" i="2"/>
  <c r="N61" i="2" s="1"/>
  <c r="P26" i="2"/>
  <c r="S39" i="2" s="1"/>
  <c r="I60" i="2"/>
  <c r="N60" i="2" s="1"/>
  <c r="I58" i="2"/>
  <c r="N58" i="2" s="1"/>
  <c r="P24" i="2"/>
  <c r="S37" i="2" s="1"/>
  <c r="P18" i="2"/>
  <c r="R22" i="2"/>
  <c r="R24" i="2"/>
  <c r="I59" i="2"/>
  <c r="N59" i="2" s="1"/>
  <c r="P25" i="2"/>
  <c r="S38" i="2" s="1"/>
  <c r="X7" i="2"/>
  <c r="R27" i="2"/>
  <c r="P23" i="2" l="1"/>
  <c r="S36" i="2" s="1"/>
  <c r="AI99" i="3"/>
  <c r="AI100" i="3" s="1"/>
  <c r="X18" i="2"/>
  <c r="D22" i="2"/>
  <c r="I56" i="2" l="1"/>
  <c r="P22" i="2"/>
  <c r="D33" i="2"/>
  <c r="N56" i="2" l="1"/>
  <c r="N67" i="2" s="1"/>
  <c r="I67" i="2"/>
  <c r="P33" i="2"/>
  <c r="P46" i="2" s="1"/>
  <c r="S35" i="2"/>
</calcChain>
</file>

<file path=xl/comments1.xml><?xml version="1.0" encoding="utf-8"?>
<comments xmlns="http://schemas.openxmlformats.org/spreadsheetml/2006/main">
  <authors>
    <author>admin</author>
  </authors>
  <commentList>
    <comment ref="K2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1st deduction SSS Loan payment (622.96)
1,245.91/month</t>
        </r>
      </text>
    </comment>
  </commentList>
</comments>
</file>

<file path=xl/sharedStrings.xml><?xml version="1.0" encoding="utf-8"?>
<sst xmlns="http://schemas.openxmlformats.org/spreadsheetml/2006/main" count="1832" uniqueCount="797">
  <si>
    <t>SEC</t>
  </si>
  <si>
    <t>AUB</t>
  </si>
  <si>
    <t>AMOUNT RECEIVED</t>
  </si>
  <si>
    <t>HOUSING</t>
  </si>
  <si>
    <t>FIXED</t>
  </si>
  <si>
    <t>PHONE</t>
  </si>
  <si>
    <t>TOTAL</t>
  </si>
  <si>
    <t>FINISHED GTS PAYMENT</t>
  </si>
  <si>
    <t>BANK LOAN</t>
  </si>
  <si>
    <t>OTHER DEDUCTION</t>
  </si>
  <si>
    <t>EMPLOYEE CHARGES</t>
  </si>
  <si>
    <t>POSITION</t>
  </si>
  <si>
    <t>NAME</t>
  </si>
  <si>
    <t>Store Manager</t>
  </si>
  <si>
    <t>MT Bookkeeper</t>
  </si>
  <si>
    <t>Approved by:</t>
  </si>
  <si>
    <t>Checked by:</t>
  </si>
  <si>
    <t>Prepared by:</t>
  </si>
  <si>
    <t>FOR CONTRIBUTION PURPOSES</t>
  </si>
  <si>
    <t>W/TAX</t>
  </si>
  <si>
    <t>HDMF LOAN</t>
  </si>
  <si>
    <t>HDMF</t>
  </si>
  <si>
    <t>PHEALTH</t>
  </si>
  <si>
    <t>SSS LOAN</t>
  </si>
  <si>
    <t>SSS</t>
  </si>
  <si>
    <t>CHARGE LATE</t>
  </si>
  <si>
    <t>AMOUNT</t>
  </si>
  <si>
    <t>UT/LATE</t>
  </si>
  <si>
    <t>ABSENT</t>
  </si>
  <si>
    <t>Cashier</t>
  </si>
  <si>
    <t>Pantoja,Nancy</t>
  </si>
  <si>
    <t>Cook</t>
  </si>
  <si>
    <t>Cahilig,Benzen</t>
  </si>
  <si>
    <t>Asst. Cook</t>
  </si>
  <si>
    <t>Briones, Christian Joy</t>
  </si>
  <si>
    <t>M.T.Bookkeeper</t>
  </si>
  <si>
    <t xml:space="preserve">Sosa, Anna Marie </t>
  </si>
  <si>
    <t>Dino, Joyce</t>
  </si>
  <si>
    <t>Head Cook</t>
  </si>
  <si>
    <t>Sanchez, Angelo</t>
  </si>
  <si>
    <t>M.T.Purchaser</t>
  </si>
  <si>
    <t>Biarcal, Ronald Glenn</t>
  </si>
  <si>
    <t>SPECIAL HOLIDAY</t>
  </si>
  <si>
    <t>LEGAL HOLIDAY</t>
  </si>
  <si>
    <t>REGULAR DAY</t>
  </si>
  <si>
    <t>BIRTHDAY</t>
  </si>
  <si>
    <t>SICK</t>
  </si>
  <si>
    <t xml:space="preserve">VACATION </t>
  </si>
  <si>
    <t>ADJUSTMENT for minimum wage increase last cut off (Nov.22-23-24)</t>
  </si>
  <si>
    <t>NDS</t>
  </si>
  <si>
    <t>OVERTIME PAY ON A</t>
  </si>
  <si>
    <t>LEAVE</t>
  </si>
  <si>
    <t>F. ALLOW</t>
  </si>
  <si>
    <t>ECOLA</t>
  </si>
  <si>
    <t>GROSS PAY</t>
  </si>
  <si>
    <t>DAILY RATE</t>
  </si>
  <si>
    <t>BASIC PAY</t>
  </si>
  <si>
    <t>Dec 26,2018-Jan 10,2019</t>
  </si>
  <si>
    <t>Period Covered:</t>
  </si>
  <si>
    <t>VALERO</t>
  </si>
  <si>
    <t>(outlet)</t>
  </si>
  <si>
    <t>THE OLD SPAGHETTI HOUSE</t>
  </si>
  <si>
    <t>Wrong date</t>
  </si>
  <si>
    <t xml:space="preserve">EWT </t>
  </si>
  <si>
    <t>FOOD</t>
  </si>
  <si>
    <t>253-085-810-000</t>
  </si>
  <si>
    <t>JMK SEAFOODS &amp; MEAT DEALER</t>
  </si>
  <si>
    <t>OTHERS</t>
  </si>
  <si>
    <t>FORTUNE GAS</t>
  </si>
  <si>
    <t>115-491-959-000</t>
  </si>
  <si>
    <t>CABUTAD VEGETABLE DEALER</t>
  </si>
  <si>
    <t>916-578-829-000</t>
  </si>
  <si>
    <t>FERNANDO SAMPAGA</t>
  </si>
  <si>
    <t>242-519-126-000</t>
  </si>
  <si>
    <t>ALTERNATIVES FOOD CORP.</t>
  </si>
  <si>
    <t>EMPLOYEES MEAL</t>
  </si>
  <si>
    <t>BEVERAGES</t>
  </si>
  <si>
    <t>241-402-504-000</t>
  </si>
  <si>
    <t>E-BLUE HOLDINGS &amp; TRADING</t>
  </si>
  <si>
    <t>PACKAGING</t>
  </si>
  <si>
    <t>227-573-178-000</t>
  </si>
  <si>
    <t>PAPEROUS ENTERPRISES</t>
  </si>
  <si>
    <t>CLEANING</t>
  </si>
  <si>
    <t>004-521-952-000</t>
  </si>
  <si>
    <t>STREETS CORPORATION</t>
  </si>
  <si>
    <t>006-801-378-000</t>
  </si>
  <si>
    <t>COMMISARY - VAT</t>
  </si>
  <si>
    <t>211-612-468-008</t>
  </si>
  <si>
    <t>KELGENE INTERNATIONAL INC</t>
  </si>
  <si>
    <t>212-660-908-001</t>
  </si>
  <si>
    <t>RMLO TRADING</t>
  </si>
  <si>
    <t>006-807-251-027</t>
  </si>
  <si>
    <t>SAN MIGUEL BREWERY INC,</t>
  </si>
  <si>
    <t>181-079-094-000</t>
  </si>
  <si>
    <t>BESTCHOICE MARKETING</t>
  </si>
  <si>
    <t>KITCHEN ITEMS</t>
  </si>
  <si>
    <t>202-584-709-000</t>
  </si>
  <si>
    <t>MANILA BAMBI FOODS COMPANY</t>
  </si>
  <si>
    <t>008-191-206-000</t>
  </si>
  <si>
    <t>LULUBEE CORPORATION</t>
  </si>
  <si>
    <t>000-168-541-029</t>
  </si>
  <si>
    <t>PEPSI-COLA PRODUCTS INC.</t>
  </si>
  <si>
    <t>004-967-715-000</t>
  </si>
  <si>
    <t>Q &amp; H FOODS, INC.</t>
  </si>
  <si>
    <t>166-445-524-000</t>
  </si>
  <si>
    <t>BRILLIANT MARKETING</t>
  </si>
  <si>
    <t>DINING ITEM</t>
  </si>
  <si>
    <t>216-218-224-000</t>
  </si>
  <si>
    <t>PHOENIX ROYAL TRADING CO., INC.</t>
  </si>
  <si>
    <t>OFFICE SUPPLIES</t>
  </si>
  <si>
    <t>Accounts Payable</t>
  </si>
  <si>
    <t>Others</t>
  </si>
  <si>
    <t>Telephone</t>
  </si>
  <si>
    <t>Consultancy</t>
  </si>
  <si>
    <t>Marketing Support</t>
  </si>
  <si>
    <t>Pest Control</t>
  </si>
  <si>
    <t>Security Services</t>
  </si>
  <si>
    <t>Accounting Fee</t>
  </si>
  <si>
    <t>Insurance</t>
  </si>
  <si>
    <t>EM</t>
  </si>
  <si>
    <t>UTENSILS / EQUIPMENT</t>
  </si>
  <si>
    <t>MEDICAL SUPPLIES</t>
  </si>
  <si>
    <t>PACKAGING SUPPLIES</t>
  </si>
  <si>
    <t>CLEANING SUPPLIES</t>
  </si>
  <si>
    <t>GUEST SUPPLIES</t>
  </si>
  <si>
    <t>DINING SUPPLIES</t>
  </si>
  <si>
    <t>BAR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</si>
  <si>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</si>
  <si>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</si>
  <si>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</si>
  <si>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</si>
  <si>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</si>
  <si>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</si>
  <si>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</si>
  <si>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</si>
  <si>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</si>
  <si>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</si>
  <si>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</si>
  <si>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</si>
  <si>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</si>
  <si>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Supplier Name</t>
  </si>
  <si>
    <t>PO</t>
  </si>
  <si>
    <t>RR Number</t>
  </si>
  <si>
    <t>Receiving Date</t>
  </si>
  <si>
    <t>Month January 2019</t>
  </si>
  <si>
    <t xml:space="preserve">Purchases </t>
  </si>
  <si>
    <t>`</t>
  </si>
  <si>
    <t xml:space="preserve">APE 1 OF 4 </t>
  </si>
  <si>
    <t>Head Accountant</t>
  </si>
  <si>
    <t>CPI</t>
  </si>
  <si>
    <t>ADJUSTMENT</t>
  </si>
  <si>
    <t>January 11-25,2019</t>
  </si>
  <si>
    <t>Anna Marie Sosa</t>
  </si>
  <si>
    <t>APPROVED BY</t>
  </si>
  <si>
    <t>CHECKED BY</t>
  </si>
  <si>
    <t>PREPARED BY</t>
  </si>
  <si>
    <t>CONTRACTUAL</t>
  </si>
  <si>
    <t>Mark Joseph Atienza</t>
  </si>
  <si>
    <t>Ruel Hayagan</t>
  </si>
  <si>
    <t>as per M'Joyce no more share</t>
  </si>
  <si>
    <t>Toshco Inc</t>
  </si>
  <si>
    <t>SPECIAL</t>
  </si>
  <si>
    <t>Management</t>
  </si>
  <si>
    <t>REGULAR</t>
  </si>
  <si>
    <t>Christian Briones</t>
  </si>
  <si>
    <t>Nancy Pantoja</t>
  </si>
  <si>
    <t>Benzen Cahilig</t>
  </si>
  <si>
    <t>Angelo Sanchez</t>
  </si>
  <si>
    <t>Ronald Glenn Biarcal</t>
  </si>
  <si>
    <t>Joyce Dino</t>
  </si>
  <si>
    <t>Uniforms / Food Charges/ Others</t>
  </si>
  <si>
    <t>FINAL SC</t>
  </si>
  <si>
    <t>SAVINGS CAPITAL</t>
  </si>
  <si>
    <t>NET PAY</t>
  </si>
  <si>
    <t>PBA</t>
  </si>
  <si>
    <t>Deduction</t>
  </si>
  <si>
    <t>TOTAL SC</t>
  </si>
  <si>
    <t>FIXED EARN2</t>
  </si>
  <si>
    <t>EXCESS OF EARN 2</t>
  </si>
  <si>
    <t>EARN 2</t>
  </si>
  <si>
    <t>EARN 1</t>
  </si>
  <si>
    <t>Rate per day</t>
  </si>
  <si>
    <t xml:space="preserve"> SC Share</t>
  </si>
  <si>
    <t>Comp. SC Share</t>
  </si>
  <si>
    <t># of share</t>
  </si>
  <si>
    <t># of days worked</t>
  </si>
  <si>
    <t>Employment Status</t>
  </si>
  <si>
    <t>Designation</t>
  </si>
  <si>
    <t>Name</t>
  </si>
  <si>
    <t>Special</t>
  </si>
  <si>
    <t>COMPLETE WORKING DAYS</t>
  </si>
  <si>
    <t>Regular</t>
  </si>
  <si>
    <t>Non regular</t>
  </si>
  <si>
    <t>PROBATIONARY</t>
  </si>
  <si>
    <t>Rate per Day</t>
  </si>
  <si>
    <t>note: un regular employees ilagay vl at absent date</t>
  </si>
  <si>
    <t>Divide: Complete SC Share</t>
  </si>
  <si>
    <t>Remaining</t>
  </si>
  <si>
    <t>Period: January 16-31,2019</t>
  </si>
  <si>
    <t>Fixed Earn 2</t>
  </si>
  <si>
    <t>SERVICE CHARGE COMPUTATION</t>
  </si>
  <si>
    <t xml:space="preserve">Total Service Charge </t>
  </si>
  <si>
    <t>THE OLD SPAGHETTI HOUSE - OUTLET</t>
  </si>
  <si>
    <t xml:space="preserve">PREPARED BY: Anna Marie Sosa </t>
  </si>
  <si>
    <t>PCR-Jan 11-24 (NON-FOOD)</t>
  </si>
  <si>
    <t>Coop Payroll Jan 11-25 cut off</t>
  </si>
  <si>
    <t>At Your Service Coop</t>
  </si>
  <si>
    <t>PCR-Jan 24-29 (NON-FOOD)</t>
  </si>
  <si>
    <t>PCR-Jan 24-29 (FOOD)</t>
  </si>
  <si>
    <t>Seafood</t>
  </si>
  <si>
    <t>Fernando Sampaga</t>
  </si>
  <si>
    <t>Payroll Toshco Staff-Jan 11-25 cut off</t>
  </si>
  <si>
    <t>Cancelled Check</t>
  </si>
  <si>
    <t>PCR-Jan 11-24 (FOOD)</t>
  </si>
  <si>
    <t>Commissary COD</t>
  </si>
  <si>
    <t>Sozo Exousia Inc</t>
  </si>
  <si>
    <t>DF for Dec 2018</t>
  </si>
  <si>
    <t>Vicente Carag</t>
  </si>
  <si>
    <t>Additional Fund for Business Permit</t>
  </si>
  <si>
    <t>Gas</t>
  </si>
  <si>
    <t>Fortune Gas Corporation</t>
  </si>
  <si>
    <t>Internet &amp; Telephone Bill</t>
  </si>
  <si>
    <t>PLDT Inc</t>
  </si>
  <si>
    <t>Detergent Powder</t>
  </si>
  <si>
    <t>Streets Corporation</t>
  </si>
  <si>
    <t>Soda</t>
  </si>
  <si>
    <t>Pepsi Cola Products Philippines Inc</t>
  </si>
  <si>
    <t>Employees Meal</t>
  </si>
  <si>
    <t>Cabutad Meat &amp; Vegetable Dealer</t>
  </si>
  <si>
    <t>Assorted Fruits &amp; Veggies</t>
  </si>
  <si>
    <t>Chicken</t>
  </si>
  <si>
    <t>JMK Seafoods &amp; Meat Dealer</t>
  </si>
  <si>
    <t>Commissary</t>
  </si>
  <si>
    <t>Tissue</t>
  </si>
  <si>
    <t>Phoenix Royal Trading Inc</t>
  </si>
  <si>
    <t>Packaging Materials</t>
  </si>
  <si>
    <t>Paperous Enterprises</t>
  </si>
  <si>
    <t>Utility Bills</t>
  </si>
  <si>
    <t>Paseo Parkview Suites Assoc Condo Inc</t>
  </si>
  <si>
    <t>Chest Freezer Rental</t>
  </si>
  <si>
    <t>Global Beer Below Zero Inc</t>
  </si>
  <si>
    <t>Quarterly Vat (4th)</t>
  </si>
  <si>
    <t>Expanded for Dec 2018</t>
  </si>
  <si>
    <t>PCR-Jan 10-16 (FOOD &amp; NON FOOD)</t>
  </si>
  <si>
    <t>Estimated Payment for Business Permit 2019</t>
  </si>
  <si>
    <t>SC-Jan 2-15,2019</t>
  </si>
  <si>
    <t>Full Payment for New Plates</t>
  </si>
  <si>
    <t>Commissary COD for Jan 19 delivery</t>
  </si>
  <si>
    <t>Paperous Enterprieses</t>
  </si>
  <si>
    <t>Cabutad Vegetable Dealer</t>
  </si>
  <si>
    <t>CGL Insurance (FOOD)</t>
  </si>
  <si>
    <t>BPI/MS Insurance Brokers Inc</t>
  </si>
  <si>
    <t>Coop Payroll-Dec 26,2018-Jan 10,2019</t>
  </si>
  <si>
    <t>At Your Service Cooperative</t>
  </si>
  <si>
    <t>Chest Freezer Rental for Nov 2018</t>
  </si>
  <si>
    <t>Global Beer Zero Inc</t>
  </si>
  <si>
    <t>Rice</t>
  </si>
  <si>
    <t>Brilliant Marketing</t>
  </si>
  <si>
    <t>Beers</t>
  </si>
  <si>
    <t>San Miguel Brewery Inc</t>
  </si>
  <si>
    <t>Toshco Staff Payroll-Dec 26-Jan 10</t>
  </si>
  <si>
    <t>Extra Fund for Business Permit Expenses</t>
  </si>
  <si>
    <t>PCR-Jan 2-10 FOOD &amp; NON FOOD</t>
  </si>
  <si>
    <t>Commissary COD for Jan 12 Delivery</t>
  </si>
  <si>
    <t xml:space="preserve">Associatio &amp; Parking Dues </t>
  </si>
  <si>
    <t>Accounting Fee for Nov  2018</t>
  </si>
  <si>
    <t>Alvin Cruz</t>
  </si>
  <si>
    <t>Accounting Fee for Oct 2018</t>
  </si>
  <si>
    <t>Assorted Groceries</t>
  </si>
  <si>
    <t>Kelgene International Inc</t>
  </si>
  <si>
    <t>Contribution Payment for Dec 2018</t>
  </si>
  <si>
    <t>Philhealth</t>
  </si>
  <si>
    <t>Commissary (COD) for Jan 05 Delivery</t>
  </si>
  <si>
    <t>Service Charge (Dec 16-29)</t>
  </si>
  <si>
    <t>PCR-Dec 19-29 (NON-FOOD)</t>
  </si>
  <si>
    <t>PCR-Dec 19-29 (FOOD)</t>
  </si>
  <si>
    <t>News Print &amp; Meal Bag</t>
  </si>
  <si>
    <t>Hanging Tender</t>
  </si>
  <si>
    <t>RMLO Trading</t>
  </si>
  <si>
    <t>Nachos</t>
  </si>
  <si>
    <t>Manila Bambi Foods Inc</t>
  </si>
  <si>
    <t>Bestchoice Packaging Inc</t>
  </si>
  <si>
    <t>Pag ibig Loan Payment  for Dec 2018</t>
  </si>
  <si>
    <t>Pag ibig Contribution for Dec 2018</t>
  </si>
  <si>
    <t>Loan Payment for Dec 2018</t>
  </si>
  <si>
    <t>Security Bank Loan Payment</t>
  </si>
  <si>
    <t>Security Bank</t>
  </si>
  <si>
    <t>Coop Payroll (Dec 11-25)</t>
  </si>
  <si>
    <t xml:space="preserve">PARTICULARS </t>
  </si>
  <si>
    <t>PAYEE</t>
  </si>
  <si>
    <t>CV #</t>
  </si>
  <si>
    <t>CHECK DATE</t>
  </si>
  <si>
    <t>CHECK NO</t>
  </si>
  <si>
    <t>DATE PREPARED</t>
  </si>
  <si>
    <t>FOR THE MONTH JANUARY 2019</t>
  </si>
  <si>
    <t>CHECK DISBURSEMENT</t>
  </si>
  <si>
    <t>COMPANY</t>
  </si>
  <si>
    <t xml:space="preserve"> </t>
  </si>
  <si>
    <t>TOTAL AMOUNT TO BE REMITTED</t>
  </si>
  <si>
    <t>LESS: OVER PAYMENT</t>
  </si>
  <si>
    <t>ADD: PENALTY</t>
  </si>
  <si>
    <t>1020-0011-2241</t>
  </si>
  <si>
    <t>33-2020078-1</t>
  </si>
  <si>
    <t>177-845-809-000</t>
  </si>
  <si>
    <t>0305-0578-0662</t>
  </si>
  <si>
    <t>33-1124237-3</t>
  </si>
  <si>
    <t>251-082-482-000</t>
  </si>
  <si>
    <t>Sosa, Anna Marie</t>
  </si>
  <si>
    <t>1905-1849-8219</t>
  </si>
  <si>
    <t>33-1682709-7</t>
  </si>
  <si>
    <t>911-781-792-000</t>
  </si>
  <si>
    <t>1210-6749-0595</t>
  </si>
  <si>
    <t>34-1095975-1</t>
  </si>
  <si>
    <t>287-725-977-000</t>
  </si>
  <si>
    <t>Briones,Christian Joy</t>
  </si>
  <si>
    <t>1020-0011-2829</t>
  </si>
  <si>
    <t>33-5502363-2</t>
  </si>
  <si>
    <t>287-595-094-000</t>
  </si>
  <si>
    <t>ER</t>
  </si>
  <si>
    <t>EE</t>
  </si>
  <si>
    <t>TOTAL EMPLOYER</t>
  </si>
  <si>
    <t>EC</t>
  </si>
  <si>
    <t>Jan 11-25</t>
  </si>
  <si>
    <t>Dec 26-Jan 10</t>
  </si>
  <si>
    <t>COMPANY LOAN</t>
  </si>
  <si>
    <t>PAG-IBIG LOAN</t>
  </si>
  <si>
    <t>W-Tax</t>
  </si>
  <si>
    <t>Pag-ibig Contribution</t>
  </si>
  <si>
    <t>Philhealth Contribution</t>
  </si>
  <si>
    <t>SSS Contribution</t>
  </si>
  <si>
    <t>TOTAL SALARY</t>
  </si>
  <si>
    <t>Payroll Period</t>
  </si>
  <si>
    <t>Pagibig No.</t>
  </si>
  <si>
    <t>Philhealth No</t>
  </si>
  <si>
    <t>SSS no</t>
  </si>
  <si>
    <t>Tin #</t>
  </si>
  <si>
    <t>NAME OF EMPLOYEES</t>
  </si>
  <si>
    <t>For the Month Ended Dec 26-Jan 25,2019</t>
  </si>
  <si>
    <t>Summary of Contribution</t>
  </si>
  <si>
    <t>CO. NAME:</t>
  </si>
  <si>
    <t>Total</t>
  </si>
  <si>
    <t>HEIGHTS QUEZON CITY</t>
  </si>
  <si>
    <t>Dec 26-Jan 10,2019</t>
  </si>
  <si>
    <t>AGCOR BLDG.KATIPUNAN AVE.LOYOLA</t>
  </si>
  <si>
    <t>AT YOUR SERVICE COOPERATIVE</t>
  </si>
  <si>
    <t>Directors Fee for Dec.  2018</t>
  </si>
  <si>
    <t>4TH FLR NATIONAL ROAD MUNTINLUPA CITY</t>
  </si>
  <si>
    <t>238-326-386-000</t>
  </si>
  <si>
    <t>VICENTE CARAG</t>
  </si>
  <si>
    <t>TXT 4 Less Inc</t>
  </si>
  <si>
    <t>External Auditor</t>
  </si>
  <si>
    <t>402 GEN LUNA ST. GUMAYANG SAN MATEO RIZAL</t>
  </si>
  <si>
    <t>251-056-908-000</t>
  </si>
  <si>
    <t>VILLAGE, PARAÑAQUE CITY</t>
  </si>
  <si>
    <t>7735 ROSEWOOD ST., MARCELO GREEN</t>
  </si>
  <si>
    <t>267-006-297-000</t>
  </si>
  <si>
    <t>GLOBAL BEER ZERO, INC.</t>
  </si>
  <si>
    <t>Chest Freezer Beer Below Zero</t>
  </si>
  <si>
    <t>QUEZON CITY</t>
  </si>
  <si>
    <t>New Rental Fee</t>
  </si>
  <si>
    <t>6805 AYALA AVENUE., 1200 MAKATI CITY</t>
  </si>
  <si>
    <t>12/F MULTINATIONAL BANCORP. CENTRE</t>
  </si>
  <si>
    <t>000-155-700-000</t>
  </si>
  <si>
    <t>CHARLEX INTERNATIONAL CORP.</t>
  </si>
  <si>
    <t xml:space="preserve">INVOICE AMOUNT </t>
  </si>
  <si>
    <t>ADDRESS</t>
  </si>
  <si>
    <t>TIN NO.</t>
  </si>
  <si>
    <t>RENT</t>
  </si>
  <si>
    <t>EXPANDED JANUARY 2019</t>
  </si>
  <si>
    <t>THE OLD SPAGHETTI HOUSE- VALERO</t>
  </si>
  <si>
    <t>TOSHCO INC.</t>
  </si>
  <si>
    <t>Prepared by: Marie Sosa</t>
  </si>
  <si>
    <t>Sugar Beets</t>
  </si>
  <si>
    <t>Makati City</t>
  </si>
  <si>
    <t>000-148-285-000</t>
  </si>
  <si>
    <t>The Landmark Corporation</t>
  </si>
  <si>
    <t>Spaghetti,Spaghetti Sauce,Cream Cheese,chorizo</t>
  </si>
  <si>
    <t>Transpo going to Advertisign for Tarpaulin Printing</t>
  </si>
  <si>
    <t>Tarpaulin Printing</t>
  </si>
  <si>
    <t>210-972-656-002</t>
  </si>
  <si>
    <t>Mackim Prints Inc</t>
  </si>
  <si>
    <t>Tube Ice</t>
  </si>
  <si>
    <t>Sta Mesa Manila</t>
  </si>
  <si>
    <t>000-080-595-000</t>
  </si>
  <si>
    <t>ASC Enterprises Inc</t>
  </si>
  <si>
    <t>Scotch Tape,Inkcartridge,PCV</t>
  </si>
  <si>
    <t>Valero St Makati</t>
  </si>
  <si>
    <t>200-492-462-008</t>
  </si>
  <si>
    <t>Office Warehouse Inc</t>
  </si>
  <si>
    <t xml:space="preserve">Transpo purchased Kitchen Stocks </t>
  </si>
  <si>
    <t>Baguette Bread</t>
  </si>
  <si>
    <t>Bagumbayan Quezon City</t>
  </si>
  <si>
    <t>006-801-328-000</t>
  </si>
  <si>
    <t>Buffalo Sauce,Ceasar Dressing,Pesto Mix,Vinaigrette,ABS</t>
  </si>
  <si>
    <t>Transpo purchased Cakes in Katipunan</t>
  </si>
  <si>
    <t>Cakes</t>
  </si>
  <si>
    <t>Tosh Caffee</t>
  </si>
  <si>
    <t>Spaghetti,Elbow Macaroni,Penne</t>
  </si>
  <si>
    <t>Lettuce</t>
  </si>
  <si>
    <t>Smoked Bavarian</t>
  </si>
  <si>
    <t>213-575-918-005</t>
  </si>
  <si>
    <t>Earles Delicatessen</t>
  </si>
  <si>
    <t>Extra Dining Staff</t>
  </si>
  <si>
    <t>Annie Delos Reyes</t>
  </si>
  <si>
    <t>209-609-185-0039</t>
  </si>
  <si>
    <t>Super Shopping Market Inc</t>
  </si>
  <si>
    <t>Alaska Condensed,Graham</t>
  </si>
  <si>
    <t>Baguette Bread,Focaccia Bread,Broche Loaf</t>
  </si>
  <si>
    <t>009-335-457-000</t>
  </si>
  <si>
    <t>Bread Commissary Inc</t>
  </si>
  <si>
    <t>Transpo going to Food Garage</t>
  </si>
  <si>
    <t>Century Tuna</t>
  </si>
  <si>
    <t>201-160-401-050</t>
  </si>
  <si>
    <t>Rustans Supercenters Inc</t>
  </si>
  <si>
    <t>Pizza Cheese</t>
  </si>
  <si>
    <t>Mandaluyong City</t>
  </si>
  <si>
    <t>004-746-011-000</t>
  </si>
  <si>
    <t>Foodzone Inc</t>
  </si>
  <si>
    <t>Food Keeper</t>
  </si>
  <si>
    <t>San Nicolas Manila</t>
  </si>
  <si>
    <t>106-268-748-000</t>
  </si>
  <si>
    <t>Chuan Hong Glassware</t>
  </si>
  <si>
    <t>Transpo going to Divisoria</t>
  </si>
  <si>
    <t>Spaghetti</t>
  </si>
  <si>
    <t>Transpo going to Pag-ibig Branch</t>
  </si>
  <si>
    <t>Marie Sosa</t>
  </si>
  <si>
    <t>Pag-ibig Penalty</t>
  </si>
  <si>
    <t>Garlic Longaniza</t>
  </si>
  <si>
    <t>Transpo &amp; Snack (Amaphil Seminar)</t>
  </si>
  <si>
    <t>Joyc Dino</t>
  </si>
  <si>
    <t>Ballpen Refill, Ribbon for POS Printer</t>
  </si>
  <si>
    <t>000-299-299-136</t>
  </si>
  <si>
    <t>Abacus Book &amp; Card Corp</t>
  </si>
  <si>
    <t>Grenadine,Calamansi Juice</t>
  </si>
  <si>
    <t>Valero St Makati City</t>
  </si>
  <si>
    <t>201-160-401-002</t>
  </si>
  <si>
    <t>Pizza Box,Paper Straw</t>
  </si>
  <si>
    <t>106-226-027-000</t>
  </si>
  <si>
    <t>Shah Bonn Jadd</t>
  </si>
  <si>
    <t>Transpo going to Guadalupe &amp; KCC Office</t>
  </si>
  <si>
    <t>Glenn Biarcal</t>
  </si>
  <si>
    <t>Coffee Beans</t>
  </si>
  <si>
    <t>Camote,Potato</t>
  </si>
  <si>
    <t>Spaghetti,Siomai Wrapper</t>
  </si>
  <si>
    <t>Photo Printing of Table Topper</t>
  </si>
  <si>
    <t>Ayala Makati</t>
  </si>
  <si>
    <t>000-097-447-029</t>
  </si>
  <si>
    <t>Innovatronix Inc</t>
  </si>
  <si>
    <t>Squash,Cabbage,Tomato,Sesame Seed</t>
  </si>
  <si>
    <t>Spaghetti,Pepperoni,Raisins,Choco Fudge,Chorizo</t>
  </si>
  <si>
    <t>Baby Back Ribs,Bacon,Hungarian Sausage</t>
  </si>
  <si>
    <t>139-599-310-000</t>
  </si>
  <si>
    <t>Evarlies Meatshop</t>
  </si>
  <si>
    <t>Transpo purchased Kitchen Stocks in Marikina</t>
  </si>
  <si>
    <t>Trash Bag</t>
  </si>
  <si>
    <t>Iodized Salt,Butter</t>
  </si>
  <si>
    <t>Sugar, Baguette Bread</t>
  </si>
  <si>
    <t>Scissors</t>
  </si>
  <si>
    <t>Office Warehouse, Inc</t>
  </si>
  <si>
    <t>Extra Kitchen Staff</t>
  </si>
  <si>
    <t>Gabriel Atienza</t>
  </si>
  <si>
    <t>Extra Fund for Business Permit Renewal</t>
  </si>
  <si>
    <t>Makati City Hall</t>
  </si>
  <si>
    <t>Baby Back Ribs,Mango</t>
  </si>
  <si>
    <t>Spaghetti,Tokwa</t>
  </si>
  <si>
    <t>Plastic Canister</t>
  </si>
  <si>
    <t>SM Jazz Nicanor Garcia cor Jupiter</t>
  </si>
  <si>
    <t>209-609-185-000</t>
  </si>
  <si>
    <t xml:space="preserve">SM Hypermarket </t>
  </si>
  <si>
    <t>Transpo going to katipunan</t>
  </si>
  <si>
    <t>Transpo going to Marikina</t>
  </si>
  <si>
    <t>Transpo going to M'Kathys office</t>
  </si>
  <si>
    <t xml:space="preserve">Tranpo c/o Lalamove delivey </t>
  </si>
  <si>
    <t>Photocopy of doc for business permit</t>
  </si>
  <si>
    <t>GF2 Paseo Center, Paseo de Roxas</t>
  </si>
  <si>
    <t>Celo tape &amp; correction tape</t>
  </si>
  <si>
    <t>Choco Caramel &amp; Peacan Cheesecake</t>
  </si>
  <si>
    <t>Katipunan, Q.C.</t>
  </si>
  <si>
    <t>Tosh Cafe Katipunan</t>
  </si>
  <si>
    <t>Spaghetti, penne &amp; angel hair pasta</t>
  </si>
  <si>
    <t>Pizza cheese</t>
  </si>
  <si>
    <t>004-846-011-000</t>
  </si>
  <si>
    <t>Food Zone Inc.</t>
  </si>
  <si>
    <t>White sugar</t>
  </si>
  <si>
    <t>Sardines, bread crumbs, spag sauce &amp; etc.</t>
  </si>
  <si>
    <t>White onions, beans &amp; tomato</t>
  </si>
  <si>
    <t>Magnolia flour &amp; buter</t>
  </si>
  <si>
    <t>Fresh milk, hot cake mix, bread flour &amp; etc.</t>
  </si>
  <si>
    <t>Grenadine syrup</t>
  </si>
  <si>
    <t>Pork Ribs,Bacon bits</t>
  </si>
  <si>
    <t>Marikina City</t>
  </si>
  <si>
    <t>Cocoa Powder,Sugar</t>
  </si>
  <si>
    <t>Cream cheese, corn oil, flour, wanton, &amp; etc</t>
  </si>
  <si>
    <t>Cucumber &amp; tomato</t>
  </si>
  <si>
    <t>Egg</t>
  </si>
  <si>
    <t>Pear &amp; onions</t>
  </si>
  <si>
    <t>Ideal spag., bread crumbs,cheese powder, black olives &amp; etc</t>
  </si>
  <si>
    <t>Brioche Bread</t>
  </si>
  <si>
    <t>0006-801-328-000</t>
  </si>
  <si>
    <t xml:space="preserve">BBQ Stick </t>
  </si>
  <si>
    <t>Lettuce,Camote</t>
  </si>
  <si>
    <t>Corn Oil,Tidbits,Green Peas</t>
  </si>
  <si>
    <t xml:space="preserve">Transpo pick up cakes </t>
  </si>
  <si>
    <t>Tosh Cafe</t>
  </si>
  <si>
    <t>Tomato,Dill</t>
  </si>
  <si>
    <t>Parmesan Cheese,Garlic Longganiza,Cream Cheese</t>
  </si>
  <si>
    <t>Cucumber</t>
  </si>
  <si>
    <t>Molo Wrapper,Chream Cheese,Cheddar Cheese</t>
  </si>
  <si>
    <t>Hot Sauce</t>
  </si>
  <si>
    <t>Quezon City</t>
  </si>
  <si>
    <t>006-748-072-000</t>
  </si>
  <si>
    <t>Abmarac Corporation</t>
  </si>
  <si>
    <t>Chicken Breast Fillet</t>
  </si>
  <si>
    <t>Transpo purchased Rice</t>
  </si>
  <si>
    <t>Makati Public Market</t>
  </si>
  <si>
    <t>Transpo purchased kitchen stocks</t>
  </si>
  <si>
    <t>Pork Ribs,Hungarian Sausage,Bacon</t>
  </si>
  <si>
    <t>BF Ham,Smoke Bavarian</t>
  </si>
  <si>
    <t>Gil Puyat Makati</t>
  </si>
  <si>
    <t>Camote</t>
  </si>
  <si>
    <t>Anchovies,Sardines,Baking Powder</t>
  </si>
  <si>
    <t>Fresh Milk,Cream Cheese</t>
  </si>
  <si>
    <t>Petty Cash</t>
  </si>
  <si>
    <t>MISC</t>
  </si>
  <si>
    <t>EMP MEAL</t>
  </si>
  <si>
    <t>MARKETING</t>
  </si>
  <si>
    <t>SALARIES AND WAGES</t>
  </si>
  <si>
    <t>TRANSPO</t>
  </si>
  <si>
    <t>PHOTOCOPY</t>
  </si>
  <si>
    <t>REPAIRS AND MAINTENANCE</t>
  </si>
  <si>
    <t>WARES AND UTENSILS</t>
  </si>
  <si>
    <t>DECORS</t>
  </si>
  <si>
    <t xml:space="preserve">CLEANING </t>
  </si>
  <si>
    <t>Address</t>
  </si>
  <si>
    <t>Payee</t>
  </si>
  <si>
    <t>PCV Number</t>
  </si>
  <si>
    <t>Date</t>
  </si>
  <si>
    <t>6102-3</t>
  </si>
  <si>
    <t>6223-2</t>
  </si>
  <si>
    <t>For the Month Ended: January 2019</t>
  </si>
  <si>
    <t xml:space="preserve">Petty Cash </t>
  </si>
  <si>
    <t>CO. NAME: TOSHCO INC</t>
  </si>
  <si>
    <t xml:space="preserve"> 200- squid inc</t>
  </si>
  <si>
    <t/>
  </si>
  <si>
    <t>DATE</t>
  </si>
  <si>
    <t>CASH</t>
  </si>
  <si>
    <t>CHECK</t>
  </si>
  <si>
    <t>PARTICULARS</t>
  </si>
  <si>
    <t>DEPOSITS</t>
  </si>
  <si>
    <t>END # 11497</t>
  </si>
  <si>
    <t>DISCOUNTED</t>
  </si>
  <si>
    <t>16-31</t>
  </si>
  <si>
    <t>gross sales</t>
  </si>
  <si>
    <t>non-vat</t>
  </si>
  <si>
    <t>EMP DISCOUNT</t>
  </si>
  <si>
    <t xml:space="preserve"> vatable sales </t>
  </si>
  <si>
    <t>EMP. CHARGES</t>
  </si>
  <si>
    <t>1-15</t>
  </si>
  <si>
    <t>bir e-sales</t>
  </si>
  <si>
    <t>OFFICERS CHARGES</t>
  </si>
  <si>
    <t>pm</t>
  </si>
  <si>
    <t>am</t>
  </si>
  <si>
    <t>PICASSO/HB/FP</t>
  </si>
  <si>
    <t>SUNDAY</t>
  </si>
  <si>
    <t>SATURDAY</t>
  </si>
  <si>
    <t>PICASSO/FP/HB</t>
  </si>
  <si>
    <t>HOLIDAY/STORE CLOSED</t>
  </si>
  <si>
    <t>Other Sales</t>
  </si>
  <si>
    <t>A/R Employees</t>
  </si>
  <si>
    <t>Marketing HO</t>
  </si>
  <si>
    <t>Marketing Charge</t>
  </si>
  <si>
    <t>Officer Charge</t>
  </si>
  <si>
    <t>MARKETING HEAD OFFICE</t>
  </si>
  <si>
    <t>TOTAL OC</t>
  </si>
  <si>
    <t>JOYCE DINO</t>
  </si>
  <si>
    <t>NON VAT SALES</t>
  </si>
  <si>
    <t>PROVISION FOR LOSSES 15%</t>
  </si>
  <si>
    <t>EMPLOYEE'S SHARE 85%</t>
  </si>
  <si>
    <t>100% coupon</t>
  </si>
  <si>
    <t>MYLA CALAR</t>
  </si>
  <si>
    <t>BENZEN CAHILIG</t>
  </si>
  <si>
    <t>CHRISTIAN BRIONES</t>
  </si>
  <si>
    <t>JEFFREY VILLNUEVA</t>
  </si>
  <si>
    <t>CAMILLE ESPINOSA</t>
  </si>
  <si>
    <t>RUEL HAYAGAn</t>
  </si>
  <si>
    <t>EDDIBOY ESPELLETA</t>
  </si>
  <si>
    <t>NANCY PANTOJA</t>
  </si>
  <si>
    <t>CAMILE ESPENOSA</t>
  </si>
  <si>
    <t>ISSACAR AREL</t>
  </si>
  <si>
    <t>AR-EMPLOYEES</t>
  </si>
  <si>
    <t>EMPLOYEES DISCOUNTS</t>
  </si>
  <si>
    <t>MA THERESE DOMINGO</t>
  </si>
  <si>
    <t>NICASIO SALVADOR</t>
  </si>
  <si>
    <t>AGUINALDO OJENDRAS</t>
  </si>
  <si>
    <t>MIGUILITO BIROIN</t>
  </si>
  <si>
    <t>JOANNE DEL ROSARIO</t>
  </si>
  <si>
    <t>CRECY IBARRA</t>
  </si>
  <si>
    <t>ANGELO SANCHEZ</t>
  </si>
  <si>
    <t>GLENN BIARCAL</t>
  </si>
  <si>
    <t>ANA MARIE SOSA</t>
  </si>
  <si>
    <t>TOTAL NET SALES</t>
  </si>
  <si>
    <t>VAT</t>
  </si>
  <si>
    <t>NET SALES</t>
  </si>
  <si>
    <t>SALES</t>
  </si>
  <si>
    <t>LOCAL TAX 2.00</t>
  </si>
  <si>
    <t>SERVICE CHARGE 8.00</t>
  </si>
  <si>
    <t>SERVICE CHARGE</t>
  </si>
  <si>
    <t>AR-OTHERS</t>
  </si>
  <si>
    <t>SENIOR DISCOUNTS</t>
  </si>
  <si>
    <t>STOCKHOLDERS DISCOUNTS</t>
  </si>
  <si>
    <t>REGULAR DISCOUNTS</t>
  </si>
  <si>
    <t>DATE CLEARED</t>
  </si>
  <si>
    <t>TIP DINERS PAYABLE</t>
  </si>
  <si>
    <t>DINERS RECEIVABLE</t>
  </si>
  <si>
    <t>DINERS W/TAX</t>
  </si>
  <si>
    <t>DINERS DISCOUNT</t>
  </si>
  <si>
    <t>TIP DINERS</t>
  </si>
  <si>
    <t>DINERS</t>
  </si>
  <si>
    <t>BDO TIP PAYABLE</t>
  </si>
  <si>
    <t>BDO RECEIVABLE</t>
  </si>
  <si>
    <t>BDO W/TAX</t>
  </si>
  <si>
    <t>BDO DISCOUNT</t>
  </si>
  <si>
    <t>TIP BDO</t>
  </si>
  <si>
    <t>BDO CREDIT</t>
  </si>
  <si>
    <t>CHECK PAYMENT</t>
  </si>
  <si>
    <t>GC PAYMENT</t>
  </si>
  <si>
    <t>CASH OVERAGE</t>
  </si>
  <si>
    <t>CASH SHORTAGE</t>
  </si>
  <si>
    <t>DATE DEPOSITED</t>
  </si>
  <si>
    <t>CASH DEPOSITED</t>
  </si>
  <si>
    <t>CASH PER POS</t>
  </si>
  <si>
    <t>GROSS PER POS</t>
  </si>
  <si>
    <t>SHIFT</t>
  </si>
  <si>
    <t>FOR THE MONTH ENDED  SPETEMBER  2018</t>
  </si>
  <si>
    <t>OPERATIONS SUMMARY</t>
  </si>
  <si>
    <t>THE OLD SPAGHETTI HOUSE-VALERO</t>
  </si>
  <si>
    <t>kilo</t>
  </si>
  <si>
    <t>cup</t>
  </si>
  <si>
    <t>Plain Rice</t>
  </si>
  <si>
    <t>White Onion</t>
  </si>
  <si>
    <t>Green Bell Pepper</t>
  </si>
  <si>
    <t>Btl</t>
  </si>
  <si>
    <t>SML</t>
  </si>
  <si>
    <t>Dayap</t>
  </si>
  <si>
    <t>Basil</t>
  </si>
  <si>
    <t>ORDER</t>
  </si>
  <si>
    <t>Mexican Salsa</t>
  </si>
  <si>
    <t>Gravy</t>
  </si>
  <si>
    <t>Slice</t>
  </si>
  <si>
    <t>Choco Caramel</t>
  </si>
  <si>
    <t>Peacan</t>
  </si>
  <si>
    <t>pc</t>
  </si>
  <si>
    <t>American Lemon</t>
  </si>
  <si>
    <t>Ripe Mango</t>
  </si>
  <si>
    <t>Burata Spread</t>
  </si>
  <si>
    <t>Whole</t>
  </si>
  <si>
    <t>Frozen Blueberry Cheesecake</t>
  </si>
  <si>
    <t>Java Rice</t>
  </si>
  <si>
    <t>Pack</t>
  </si>
  <si>
    <t>Angel Hair Pasta</t>
  </si>
  <si>
    <t>Pasley</t>
  </si>
  <si>
    <t>Tomato</t>
  </si>
  <si>
    <t>slice</t>
  </si>
  <si>
    <t>Apple Pie</t>
  </si>
  <si>
    <t>Pecan Cheese Cake</t>
  </si>
  <si>
    <t>Bottle</t>
  </si>
  <si>
    <t>San Mig Light</t>
  </si>
  <si>
    <t>UNIT PRICE</t>
  </si>
  <si>
    <t>QTY</t>
  </si>
  <si>
    <t>UNIT</t>
  </si>
  <si>
    <t>ITEM</t>
  </si>
  <si>
    <t>JANUARY</t>
  </si>
  <si>
    <t>THE OLD SPAGHETTI HOUSE VALERO</t>
  </si>
  <si>
    <t>MONTH END SPOILAGE INVENTORY FORM</t>
  </si>
  <si>
    <t>Balance</t>
  </si>
  <si>
    <t>Miscellaneous</t>
  </si>
  <si>
    <t>Cash Shortage</t>
  </si>
  <si>
    <t>Loss on Spoilages</t>
  </si>
  <si>
    <t>Accounting Services</t>
  </si>
  <si>
    <t>Director's Fee</t>
  </si>
  <si>
    <t>Credit Card Commission</t>
  </si>
  <si>
    <t>Marketing Expense</t>
  </si>
  <si>
    <t>Décors</t>
  </si>
  <si>
    <t>Photocopy</t>
  </si>
  <si>
    <t>Repairs and Maintenance</t>
  </si>
  <si>
    <t>Equipment Rent</t>
  </si>
  <si>
    <t>Space Rent</t>
  </si>
  <si>
    <t>Officer Charge Expense</t>
  </si>
  <si>
    <t>Contractual Salaries and Wages</t>
  </si>
  <si>
    <t>HDMF Premium Expense</t>
  </si>
  <si>
    <t>PHIC Premium Expense</t>
  </si>
  <si>
    <t>SSS Premium Expense</t>
  </si>
  <si>
    <t>13th month and Bonus</t>
  </si>
  <si>
    <t>Holiday Pay</t>
  </si>
  <si>
    <t>Overtime Pay</t>
  </si>
  <si>
    <t>Allowances</t>
  </si>
  <si>
    <t>Salaries and Wages</t>
  </si>
  <si>
    <t>Fuel and Gas</t>
  </si>
  <si>
    <t>OC and Marketing Adjustment</t>
  </si>
  <si>
    <t>Beverage Spoilages</t>
  </si>
  <si>
    <t>5002-1</t>
  </si>
  <si>
    <t>Food Spoilages</t>
  </si>
  <si>
    <t>5001-1</t>
  </si>
  <si>
    <t>Other Income</t>
  </si>
  <si>
    <t>Cash Overage</t>
  </si>
  <si>
    <t>Senior Citizen Discounts</t>
  </si>
  <si>
    <t>Employees Discounts</t>
  </si>
  <si>
    <t>Stockholders Discounts</t>
  </si>
  <si>
    <t>Regular Discounts</t>
  </si>
  <si>
    <t>Sales - Zero-Rated</t>
  </si>
  <si>
    <t>Sales - Exempted</t>
  </si>
  <si>
    <t>Sales - Vatable</t>
  </si>
  <si>
    <t>Income Summary</t>
  </si>
  <si>
    <t>Appropriated Retained Earnings</t>
  </si>
  <si>
    <t>Retained Earnings</t>
  </si>
  <si>
    <t>Capital Stock</t>
  </si>
  <si>
    <t>Provision for Taxes</t>
  </si>
  <si>
    <t>Provision for Loss</t>
  </si>
  <si>
    <t>Service Charge Payable</t>
  </si>
  <si>
    <t>Employee Bank Loan</t>
  </si>
  <si>
    <t>HDMF Loan Payable</t>
  </si>
  <si>
    <t>HDMF Premium Payable</t>
  </si>
  <si>
    <t>PHIC Premium Payable</t>
  </si>
  <si>
    <t>SSS Loan Payable</t>
  </si>
  <si>
    <t>SSS Premium Payable</t>
  </si>
  <si>
    <t>Salaries Payable</t>
  </si>
  <si>
    <t>Income Tax Payable</t>
  </si>
  <si>
    <t>VAT Payable</t>
  </si>
  <si>
    <t>Output Tax</t>
  </si>
  <si>
    <t>Withholding Tax - F</t>
  </si>
  <si>
    <t>Withholding Tax - C</t>
  </si>
  <si>
    <t>Withholding Tax - E</t>
  </si>
  <si>
    <t>Advances from Suppliers</t>
  </si>
  <si>
    <t>Creditable Withholdig Tax</t>
  </si>
  <si>
    <t>Deferred Input Tax</t>
  </si>
  <si>
    <t>Input Tax Carry Over</t>
  </si>
  <si>
    <t>Input Tax</t>
  </si>
  <si>
    <t>Supplies Inventories</t>
  </si>
  <si>
    <t>Inventories</t>
  </si>
  <si>
    <t>Delivery Company Receivable</t>
  </si>
  <si>
    <t>Gift Check Receivable</t>
  </si>
  <si>
    <t>Credit Card Receivable</t>
  </si>
  <si>
    <t>Accounts Receivable</t>
  </si>
  <si>
    <t>Advances to Employees</t>
  </si>
  <si>
    <t>Cash in Bank</t>
  </si>
  <si>
    <r>
      <t xml:space="preserve">PCF </t>
    </r>
    <r>
      <rPr>
        <b/>
        <sz val="8"/>
        <color rgb="FFFF0000"/>
        <rFont val="Arial"/>
        <family val="2"/>
      </rPr>
      <t>GJ 1812-001</t>
    </r>
  </si>
  <si>
    <t>Transactions</t>
  </si>
  <si>
    <t>GJ</t>
  </si>
  <si>
    <t>CD</t>
  </si>
  <si>
    <t>AP</t>
  </si>
  <si>
    <t>CR</t>
  </si>
  <si>
    <t>SJ</t>
  </si>
  <si>
    <t>Account No.</t>
  </si>
  <si>
    <t>December</t>
  </si>
  <si>
    <t>Account Title</t>
  </si>
  <si>
    <t>Check Disbursement Journal</t>
  </si>
  <si>
    <t>The Old Spaghetti House - Valero</t>
  </si>
  <si>
    <t>TOTAL LIABILITIES AND STOCKHOLDERS' EQUITY</t>
  </si>
  <si>
    <t>TOTAL STOCKHOLDERS' EQUITY</t>
  </si>
  <si>
    <t>Income (Loss) to date</t>
  </si>
  <si>
    <t>Retained Earnings, Beginning of the year</t>
  </si>
  <si>
    <t>STOCKHOLDERS' EQUITY</t>
  </si>
  <si>
    <t>TOTAL LIABILITIES</t>
  </si>
  <si>
    <t>Total Other Liabilities</t>
  </si>
  <si>
    <t>Other Liabilities</t>
  </si>
  <si>
    <t>Total Liabilities to Employees</t>
  </si>
  <si>
    <t>Liabilities to Employees</t>
  </si>
  <si>
    <t>Total Liabilities to Government</t>
  </si>
  <si>
    <t>Liabilities to Government</t>
  </si>
  <si>
    <t>Total Trade Liabilities</t>
  </si>
  <si>
    <t>Trade Liabilities</t>
  </si>
  <si>
    <t>LIABILITIES</t>
  </si>
  <si>
    <t>TOTAL ASSETS</t>
  </si>
  <si>
    <t>Total Current Assets</t>
  </si>
  <si>
    <t>Properties and Equipments</t>
  </si>
  <si>
    <t>Non Current Assets</t>
  </si>
  <si>
    <t>Current Assets</t>
  </si>
  <si>
    <t>ASSETS</t>
  </si>
  <si>
    <t>As of December 31, 2018</t>
  </si>
  <si>
    <t>Balance Sheet</t>
  </si>
  <si>
    <t>NET INCOME (LOSS)</t>
  </si>
  <si>
    <t>TOTAL OPERATING EXPENSES</t>
  </si>
  <si>
    <t>OPERATING EXPENSES</t>
  </si>
  <si>
    <t>GROSS PROFIT</t>
  </si>
  <si>
    <t>Net Cost of Sales</t>
  </si>
  <si>
    <t>Ending Inventory</t>
  </si>
  <si>
    <t>Total materials available for use</t>
  </si>
  <si>
    <t>Beginning Inventory</t>
  </si>
  <si>
    <t>COST OF SALES</t>
  </si>
  <si>
    <t>TOTAL REVENUES</t>
  </si>
  <si>
    <t>Total Other Income</t>
  </si>
  <si>
    <t>Net Sales</t>
  </si>
  <si>
    <t>Total Discounts</t>
  </si>
  <si>
    <t>Discounts</t>
  </si>
  <si>
    <t>Total Sales</t>
  </si>
  <si>
    <t>Sales</t>
  </si>
  <si>
    <t>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</si>
</sst>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/d/yy;@"/>
    <numFmt numFmtId="167" formatCode="&quot;Period &quot;mmmm&quot; 1-15, &quot;yyyy"/>
    <numFmt numFmtId="168" formatCode="[$-409]d\-mmm\-yy;@"/>
    <numFmt numFmtId="169" formatCode="[$-409]d\-mmm;@"/>
    <numFmt numFmtId="170" formatCode="_(* #,##0.0_);_(* \(#,##0.0\);_(* &quot;-&quot;??_);_(@_)"/>
    <numFmt numFmtId="171" formatCode="0.0%"/>
    <numFmt numFmtId="172" formatCode="0;[Red]0"/>
    <numFmt numFmtId="173" formatCode="[$-409]mmmm\ d\,\ 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b/>
      <sz val="7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b/>
      <sz val="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rgb="FF00000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6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b/>
      <sz val="10"/>
      <name val="Century Gothic"/>
      <family val="2"/>
    </font>
    <font>
      <b/>
      <sz val="16"/>
      <color indexed="8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812">
    <xf numFmtId="0" fontId="0" fillId="0" borderId="0" xfId="0"/>
    <xf numFmtId="0" fontId="2" fillId="0" borderId="0" xfId="3" applyFont="1" applyFill="1" applyProtection="1">
      <protection locked="0"/>
    </xf>
    <xf numFmtId="43" fontId="3" fillId="0" borderId="0" xfId="3" applyNumberFormat="1" applyFont="1" applyFill="1" applyProtection="1">
      <protection locked="0"/>
    </xf>
    <xf numFmtId="43" fontId="4" fillId="0" borderId="1" xfId="4" applyFont="1" applyFill="1" applyBorder="1" applyAlignment="1" applyProtection="1">
      <alignment horizontal="center"/>
    </xf>
    <xf numFmtId="43" fontId="4" fillId="0" borderId="2" xfId="4" applyFont="1" applyFill="1" applyBorder="1" applyAlignment="1" applyProtection="1">
      <alignment horizontal="center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Protection="1">
      <protection locked="0"/>
    </xf>
    <xf numFmtId="0" fontId="4" fillId="0" borderId="3" xfId="3" applyFont="1" applyFill="1" applyBorder="1" applyProtection="1">
      <protection locked="0"/>
    </xf>
    <xf numFmtId="164" fontId="5" fillId="0" borderId="4" xfId="3" applyNumberFormat="1" applyFont="1" applyFill="1" applyBorder="1" applyProtection="1"/>
    <xf numFmtId="43" fontId="5" fillId="0" borderId="5" xfId="4" applyFont="1" applyFill="1" applyBorder="1" applyAlignment="1" applyProtection="1">
      <protection locked="0"/>
    </xf>
    <xf numFmtId="43" fontId="5" fillId="0" borderId="5" xfId="4" applyFont="1" applyFill="1" applyBorder="1" applyProtection="1">
      <protection locked="0"/>
    </xf>
    <xf numFmtId="0" fontId="5" fillId="0" borderId="5" xfId="3" applyFont="1" applyFill="1" applyBorder="1" applyAlignment="1" applyProtection="1">
      <alignment horizontal="center"/>
      <protection locked="0"/>
    </xf>
    <xf numFmtId="0" fontId="5" fillId="0" borderId="5" xfId="3" applyFont="1" applyFill="1" applyBorder="1" applyProtection="1">
      <protection locked="0"/>
    </xf>
    <xf numFmtId="0" fontId="5" fillId="0" borderId="6" xfId="3" applyFont="1" applyFill="1" applyBorder="1" applyProtection="1">
      <protection locked="0"/>
    </xf>
    <xf numFmtId="43" fontId="5" fillId="0" borderId="7" xfId="4" applyFont="1" applyFill="1" applyBorder="1" applyAlignment="1" applyProtection="1">
      <protection locked="0"/>
    </xf>
    <xf numFmtId="43" fontId="5" fillId="0" borderId="7" xfId="4" applyFont="1" applyFill="1" applyBorder="1" applyAlignment="1" applyProtection="1">
      <alignment horizontal="left"/>
      <protection locked="0"/>
    </xf>
    <xf numFmtId="0" fontId="5" fillId="0" borderId="6" xfId="3" applyFont="1" applyFill="1" applyBorder="1" applyAlignment="1" applyProtection="1">
      <alignment horizontal="center"/>
      <protection locked="0"/>
    </xf>
    <xf numFmtId="43" fontId="5" fillId="0" borderId="5" xfId="4" applyFont="1" applyFill="1" applyBorder="1" applyAlignment="1" applyProtection="1">
      <alignment horizontal="center"/>
      <protection locked="0"/>
    </xf>
    <xf numFmtId="43" fontId="2" fillId="0" borderId="0" xfId="3" applyNumberFormat="1" applyFont="1" applyFill="1" applyProtection="1">
      <protection locked="0"/>
    </xf>
    <xf numFmtId="43" fontId="5" fillId="0" borderId="0" xfId="3" applyNumberFormat="1" applyFont="1" applyFill="1" applyProtection="1">
      <protection locked="0"/>
    </xf>
    <xf numFmtId="43" fontId="5" fillId="0" borderId="8" xfId="4" applyFont="1" applyFill="1" applyBorder="1" applyAlignment="1" applyProtection="1">
      <protection locked="0"/>
    </xf>
    <xf numFmtId="43" fontId="5" fillId="0" borderId="9" xfId="4" applyFont="1" applyFill="1" applyBorder="1" applyAlignment="1" applyProtection="1">
      <alignment horizontal="right"/>
      <protection locked="0"/>
    </xf>
    <xf numFmtId="43" fontId="5" fillId="0" borderId="10" xfId="4" applyFont="1" applyFill="1" applyBorder="1" applyAlignment="1" applyProtection="1">
      <protection locked="0"/>
    </xf>
    <xf numFmtId="43" fontId="5" fillId="0" borderId="11" xfId="4" applyFont="1" applyFill="1" applyBorder="1" applyAlignment="1" applyProtection="1">
      <alignment horizontal="center"/>
      <protection locked="0"/>
    </xf>
    <xf numFmtId="43" fontId="5" fillId="0" borderId="11" xfId="4" applyFont="1" applyFill="1" applyBorder="1" applyProtection="1">
      <protection locked="0"/>
    </xf>
    <xf numFmtId="0" fontId="5" fillId="0" borderId="12" xfId="3" applyFont="1" applyFill="1" applyBorder="1" applyAlignment="1" applyProtection="1">
      <alignment horizontal="center"/>
      <protection locked="0"/>
    </xf>
    <xf numFmtId="0" fontId="4" fillId="3" borderId="16" xfId="3" applyFont="1" applyFill="1" applyBorder="1" applyAlignment="1" applyProtection="1">
      <alignment horizontal="center" vertical="center" wrapText="1"/>
      <protection locked="0"/>
    </xf>
    <xf numFmtId="0" fontId="4" fillId="3" borderId="17" xfId="3" applyFont="1" applyFill="1" applyBorder="1" applyAlignment="1" applyProtection="1">
      <alignment horizontal="center" vertical="center" wrapText="1"/>
      <protection locked="0"/>
    </xf>
    <xf numFmtId="43" fontId="8" fillId="0" borderId="0" xfId="3" applyNumberFormat="1" applyFont="1" applyFill="1" applyProtection="1"/>
    <xf numFmtId="164" fontId="2" fillId="0" borderId="0" xfId="3" applyNumberFormat="1" applyFont="1" applyFill="1" applyProtection="1"/>
    <xf numFmtId="43" fontId="5" fillId="0" borderId="0" xfId="4" applyFont="1" applyFill="1" applyProtection="1">
      <protection locked="0"/>
    </xf>
    <xf numFmtId="0" fontId="2" fillId="4" borderId="0" xfId="3" applyFont="1" applyFill="1" applyProtection="1">
      <protection locked="0"/>
    </xf>
    <xf numFmtId="0" fontId="9" fillId="0" borderId="0" xfId="3" applyFont="1" applyFill="1" applyProtection="1">
      <protection locked="0"/>
    </xf>
    <xf numFmtId="43" fontId="10" fillId="0" borderId="0" xfId="4" applyFont="1" applyFill="1" applyProtection="1">
      <protection locked="0"/>
    </xf>
    <xf numFmtId="0" fontId="2" fillId="0" borderId="0" xfId="3" applyFont="1" applyFill="1" applyProtection="1"/>
    <xf numFmtId="164" fontId="2" fillId="0" borderId="0" xfId="3" applyNumberFormat="1" applyFont="1" applyFill="1" applyProtection="1">
      <protection locked="0"/>
    </xf>
    <xf numFmtId="0" fontId="5" fillId="0" borderId="0" xfId="5" applyFont="1" applyFill="1" applyAlignment="1" applyProtection="1">
      <alignment horizontal="center"/>
      <protection locked="0"/>
    </xf>
    <xf numFmtId="0" fontId="4" fillId="0" borderId="0" xfId="3" applyFont="1" applyFill="1" applyProtection="1">
      <protection locked="0"/>
    </xf>
    <xf numFmtId="0" fontId="4" fillId="2" borderId="0" xfId="3" applyFont="1" applyFill="1" applyProtection="1">
      <protection locked="0"/>
    </xf>
    <xf numFmtId="0" fontId="4" fillId="2" borderId="0" xfId="3" applyFont="1" applyFill="1" applyAlignment="1" applyProtection="1">
      <alignment horizontal="center"/>
    </xf>
    <xf numFmtId="43" fontId="4" fillId="2" borderId="0" xfId="4" applyFont="1" applyFill="1" applyProtection="1">
      <protection locked="0"/>
    </xf>
    <xf numFmtId="43" fontId="4" fillId="0" borderId="2" xfId="4" applyFont="1" applyFill="1" applyBorder="1" applyAlignment="1" applyProtection="1">
      <alignment horizontal="center"/>
      <protection locked="0"/>
    </xf>
    <xf numFmtId="0" fontId="5" fillId="0" borderId="0" xfId="3" applyFont="1" applyFill="1" applyProtection="1">
      <protection locked="0"/>
    </xf>
    <xf numFmtId="43" fontId="5" fillId="0" borderId="5" xfId="4" applyFont="1" applyFill="1" applyBorder="1" applyAlignment="1" applyProtection="1"/>
    <xf numFmtId="43" fontId="5" fillId="0" borderId="5" xfId="4" applyFont="1" applyFill="1" applyBorder="1" applyAlignment="1" applyProtection="1">
      <alignment horizontal="center"/>
    </xf>
    <xf numFmtId="43" fontId="5" fillId="0" borderId="0" xfId="4" applyFont="1" applyFill="1" applyProtection="1"/>
    <xf numFmtId="2" fontId="5" fillId="0" borderId="5" xfId="3" applyNumberFormat="1" applyFont="1" applyFill="1" applyBorder="1" applyAlignment="1" applyProtection="1">
      <alignment horizontal="center"/>
      <protection locked="0"/>
    </xf>
    <xf numFmtId="43" fontId="5" fillId="4" borderId="5" xfId="4" applyFont="1" applyFill="1" applyBorder="1" applyAlignment="1" applyProtection="1">
      <alignment horizontal="center"/>
      <protection locked="0"/>
    </xf>
    <xf numFmtId="43" fontId="5" fillId="4" borderId="5" xfId="4" applyFont="1" applyFill="1" applyBorder="1" applyAlignment="1" applyProtection="1"/>
    <xf numFmtId="43" fontId="5" fillId="0" borderId="30" xfId="4" applyFont="1" applyFill="1" applyBorder="1" applyAlignment="1" applyProtection="1">
      <alignment horizontal="right"/>
      <protection locked="0"/>
    </xf>
    <xf numFmtId="43" fontId="5" fillId="4" borderId="11" xfId="4" applyFont="1" applyFill="1" applyBorder="1" applyAlignment="1" applyProtection="1">
      <protection locked="0"/>
    </xf>
    <xf numFmtId="43" fontId="5" fillId="0" borderId="11" xfId="3" applyNumberFormat="1" applyFont="1" applyFill="1" applyBorder="1" applyProtection="1">
      <protection locked="0"/>
    </xf>
    <xf numFmtId="43" fontId="5" fillId="4" borderId="11" xfId="4" applyFont="1" applyFill="1" applyBorder="1" applyAlignment="1" applyProtection="1">
      <alignment horizontal="center"/>
      <protection locked="0"/>
    </xf>
    <xf numFmtId="43" fontId="5" fillId="4" borderId="11" xfId="4" applyFont="1" applyFill="1" applyBorder="1" applyAlignment="1" applyProtection="1"/>
    <xf numFmtId="43" fontId="5" fillId="0" borderId="11" xfId="4" applyFont="1" applyFill="1" applyBorder="1" applyAlignment="1" applyProtection="1">
      <alignment horizontal="center"/>
    </xf>
    <xf numFmtId="43" fontId="5" fillId="0" borderId="8" xfId="4" applyFont="1" applyFill="1" applyBorder="1" applyAlignment="1" applyProtection="1">
      <alignment horizontal="left"/>
      <protection locked="0"/>
    </xf>
    <xf numFmtId="0" fontId="5" fillId="0" borderId="0" xfId="3" applyFont="1" applyFill="1" applyAlignment="1" applyProtection="1">
      <alignment horizontal="center"/>
    </xf>
    <xf numFmtId="0" fontId="5" fillId="2" borderId="0" xfId="3" applyFont="1" applyFill="1" applyProtection="1">
      <protection locked="0"/>
    </xf>
    <xf numFmtId="0" fontId="5" fillId="2" borderId="0" xfId="3" applyFont="1" applyFill="1" applyAlignment="1" applyProtection="1">
      <alignment horizontal="center" vertical="center"/>
    </xf>
    <xf numFmtId="43" fontId="4" fillId="0" borderId="0" xfId="4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Protection="1">
      <protection locked="0"/>
    </xf>
    <xf numFmtId="0" fontId="5" fillId="0" borderId="0" xfId="3" applyFont="1" applyFill="1" applyBorder="1" applyProtection="1">
      <protection locked="0"/>
    </xf>
    <xf numFmtId="165" fontId="4" fillId="0" borderId="2" xfId="4" applyNumberFormat="1" applyFont="1" applyFill="1" applyBorder="1" applyAlignment="1" applyProtection="1">
      <alignment horizontal="center"/>
      <protection locked="0"/>
    </xf>
    <xf numFmtId="0" fontId="5" fillId="0" borderId="3" xfId="3" applyFont="1" applyFill="1" applyBorder="1" applyProtection="1">
      <protection locked="0"/>
    </xf>
    <xf numFmtId="43" fontId="5" fillId="0" borderId="39" xfId="4" applyFont="1" applyFill="1" applyBorder="1" applyAlignment="1" applyProtection="1"/>
    <xf numFmtId="0" fontId="5" fillId="0" borderId="5" xfId="4" applyNumberFormat="1" applyFont="1" applyFill="1" applyBorder="1" applyAlignment="1" applyProtection="1">
      <alignment horizontal="center"/>
      <protection locked="0"/>
    </xf>
    <xf numFmtId="164" fontId="5" fillId="0" borderId="40" xfId="4" applyNumberFormat="1" applyFont="1" applyFill="1" applyBorder="1" applyAlignment="1" applyProtection="1">
      <alignment horizontal="center"/>
    </xf>
    <xf numFmtId="43" fontId="5" fillId="0" borderId="5" xfId="6" applyFont="1" applyFill="1" applyBorder="1" applyAlignment="1" applyProtection="1"/>
    <xf numFmtId="2" fontId="5" fillId="0" borderId="5" xfId="4" applyNumberFormat="1" applyFont="1" applyFill="1" applyBorder="1" applyAlignment="1" applyProtection="1">
      <alignment horizontal="center"/>
      <protection locked="0"/>
    </xf>
    <xf numFmtId="43" fontId="5" fillId="0" borderId="5" xfId="4" applyFont="1" applyFill="1" applyBorder="1" applyAlignment="1" applyProtection="1">
      <alignment horizontal="left"/>
      <protection locked="0"/>
    </xf>
    <xf numFmtId="43" fontId="5" fillId="0" borderId="40" xfId="4" applyFont="1" applyFill="1" applyBorder="1" applyAlignment="1" applyProtection="1"/>
    <xf numFmtId="43" fontId="5" fillId="0" borderId="7" xfId="4" applyFont="1" applyFill="1" applyBorder="1" applyAlignment="1" applyProtection="1"/>
    <xf numFmtId="43" fontId="5" fillId="0" borderId="41" xfId="4" applyFont="1" applyFill="1" applyBorder="1" applyAlignment="1" applyProtection="1"/>
    <xf numFmtId="43" fontId="5" fillId="0" borderId="42" xfId="4" applyFont="1" applyFill="1" applyBorder="1" applyAlignment="1" applyProtection="1">
      <alignment horizontal="center"/>
    </xf>
    <xf numFmtId="0" fontId="5" fillId="0" borderId="0" xfId="3" applyFont="1" applyFill="1" applyAlignment="1" applyProtection="1">
      <protection locked="0"/>
    </xf>
    <xf numFmtId="43" fontId="5" fillId="0" borderId="40" xfId="4" applyFont="1" applyFill="1" applyBorder="1" applyAlignment="1" applyProtection="1">
      <protection locked="0"/>
    </xf>
    <xf numFmtId="43" fontId="5" fillId="0" borderId="40" xfId="4" applyFont="1" applyFill="1" applyBorder="1" applyAlignment="1" applyProtection="1">
      <alignment horizontal="center"/>
      <protection locked="0"/>
    </xf>
    <xf numFmtId="43" fontId="5" fillId="0" borderId="11" xfId="4" applyFont="1" applyFill="1" applyBorder="1" applyAlignment="1" applyProtection="1"/>
    <xf numFmtId="43" fontId="5" fillId="0" borderId="43" xfId="4" applyFont="1" applyFill="1" applyBorder="1" applyAlignment="1" applyProtection="1"/>
    <xf numFmtId="43" fontId="5" fillId="0" borderId="40" xfId="4" applyFont="1" applyFill="1" applyBorder="1" applyAlignment="1" applyProtection="1">
      <alignment horizontal="center"/>
    </xf>
    <xf numFmtId="43" fontId="5" fillId="0" borderId="40" xfId="4" applyFont="1" applyFill="1" applyBorder="1" applyAlignment="1" applyProtection="1">
      <alignment horizontal="left"/>
      <protection locked="0"/>
    </xf>
    <xf numFmtId="0" fontId="5" fillId="0" borderId="44" xfId="3" applyFont="1" applyFill="1" applyBorder="1" applyAlignment="1" applyProtection="1">
      <alignment horizontal="center"/>
      <protection locked="0"/>
    </xf>
    <xf numFmtId="0" fontId="5" fillId="0" borderId="45" xfId="5" applyFont="1" applyFill="1" applyBorder="1" applyAlignment="1" applyProtection="1">
      <alignment horizontal="center" vertical="center" wrapText="1"/>
      <protection locked="0"/>
    </xf>
    <xf numFmtId="0" fontId="11" fillId="0" borderId="2" xfId="3" applyFont="1" applyFill="1" applyBorder="1" applyAlignment="1" applyProtection="1">
      <alignment horizontal="center" vertical="center" wrapText="1"/>
      <protection locked="0"/>
    </xf>
    <xf numFmtId="16" fontId="2" fillId="0" borderId="0" xfId="3" applyNumberFormat="1" applyFont="1" applyFill="1" applyProtection="1">
      <protection locked="0"/>
    </xf>
    <xf numFmtId="0" fontId="2" fillId="0" borderId="0" xfId="3" applyFont="1" applyFill="1" applyAlignment="1" applyProtection="1">
      <alignment horizontal="center"/>
      <protection locked="0"/>
    </xf>
    <xf numFmtId="0" fontId="13" fillId="0" borderId="0" xfId="3" applyFont="1" applyFill="1" applyProtection="1">
      <protection locked="0"/>
    </xf>
    <xf numFmtId="0" fontId="13" fillId="3" borderId="0" xfId="3" applyFont="1" applyFill="1" applyProtection="1">
      <protection locked="0"/>
    </xf>
    <xf numFmtId="0" fontId="14" fillId="0" borderId="0" xfId="3" applyFont="1" applyFill="1" applyAlignment="1" applyProtection="1">
      <alignment horizontal="left"/>
      <protection locked="0"/>
    </xf>
    <xf numFmtId="0" fontId="14" fillId="0" borderId="0" xfId="3" applyFont="1" applyFill="1" applyProtection="1">
      <protection locked="0"/>
    </xf>
    <xf numFmtId="15" fontId="14" fillId="0" borderId="0" xfId="3" applyNumberFormat="1" applyFont="1" applyFill="1" applyProtection="1">
      <protection locked="0"/>
    </xf>
    <xf numFmtId="0" fontId="14" fillId="0" borderId="0" xfId="3" applyFont="1" applyFill="1" applyAlignment="1" applyProtection="1">
      <alignment horizontal="center"/>
      <protection locked="0"/>
    </xf>
    <xf numFmtId="0" fontId="5" fillId="0" borderId="0" xfId="7" applyFont="1" applyFill="1"/>
    <xf numFmtId="43" fontId="5" fillId="0" borderId="0" xfId="8" applyFont="1" applyFill="1"/>
    <xf numFmtId="9" fontId="5" fillId="0" borderId="0" xfId="9" applyFont="1" applyFill="1" applyAlignment="1">
      <alignment horizontal="center"/>
    </xf>
    <xf numFmtId="43" fontId="5" fillId="0" borderId="0" xfId="1" applyFont="1" applyFill="1"/>
    <xf numFmtId="0" fontId="5" fillId="0" borderId="0" xfId="7" applyFont="1" applyFill="1" applyAlignment="1">
      <alignment horizontal="center"/>
    </xf>
    <xf numFmtId="0" fontId="5" fillId="0" borderId="0" xfId="7" applyNumberFormat="1" applyFont="1" applyFill="1" applyAlignment="1">
      <alignment horizontal="center"/>
    </xf>
    <xf numFmtId="14" fontId="5" fillId="0" borderId="0" xfId="7" applyNumberFormat="1" applyFont="1" applyFill="1" applyAlignment="1">
      <alignment horizontal="center"/>
    </xf>
    <xf numFmtId="14" fontId="5" fillId="6" borderId="0" xfId="7" applyNumberFormat="1" applyFont="1" applyFill="1" applyAlignment="1">
      <alignment horizontal="center"/>
    </xf>
    <xf numFmtId="0" fontId="4" fillId="0" borderId="0" xfId="7" applyFont="1" applyFill="1"/>
    <xf numFmtId="43" fontId="4" fillId="0" borderId="52" xfId="1" applyFont="1" applyFill="1" applyBorder="1"/>
    <xf numFmtId="9" fontId="4" fillId="0" borderId="52" xfId="9" applyFont="1" applyFill="1" applyBorder="1" applyAlignment="1">
      <alignment horizontal="center"/>
    </xf>
    <xf numFmtId="43" fontId="4" fillId="0" borderId="52" xfId="8" applyFont="1" applyFill="1" applyBorder="1"/>
    <xf numFmtId="0" fontId="4" fillId="0" borderId="52" xfId="7" applyFont="1" applyFill="1" applyBorder="1"/>
    <xf numFmtId="0" fontId="4" fillId="0" borderId="52" xfId="7" applyFont="1" applyFill="1" applyBorder="1" applyAlignment="1">
      <alignment horizontal="center"/>
    </xf>
    <xf numFmtId="0" fontId="4" fillId="0" borderId="52" xfId="7" applyNumberFormat="1" applyFont="1" applyFill="1" applyBorder="1" applyAlignment="1" applyProtection="1">
      <alignment horizontal="center"/>
      <protection locked="0"/>
    </xf>
    <xf numFmtId="0" fontId="4" fillId="0" borderId="52" xfId="7" applyNumberFormat="1" applyFont="1" applyFill="1" applyBorder="1" applyAlignment="1" applyProtection="1">
      <alignment horizontal="left"/>
      <protection locked="0"/>
    </xf>
    <xf numFmtId="166" fontId="4" fillId="0" borderId="52" xfId="7" applyNumberFormat="1" applyFont="1" applyFill="1" applyBorder="1" applyAlignment="1" applyProtection="1">
      <alignment horizontal="center"/>
      <protection locked="0"/>
    </xf>
    <xf numFmtId="43" fontId="5" fillId="0" borderId="53" xfId="8" applyFont="1" applyFill="1" applyBorder="1"/>
    <xf numFmtId="9" fontId="5" fillId="0" borderId="53" xfId="9" applyFont="1" applyFill="1" applyBorder="1" applyAlignment="1">
      <alignment horizontal="center"/>
    </xf>
    <xf numFmtId="43" fontId="5" fillId="0" borderId="53" xfId="1" applyFont="1" applyFill="1" applyBorder="1"/>
    <xf numFmtId="0" fontId="5" fillId="0" borderId="53" xfId="7" applyFont="1" applyFill="1" applyBorder="1"/>
    <xf numFmtId="0" fontId="5" fillId="0" borderId="53" xfId="7" applyFont="1" applyFill="1" applyBorder="1" applyAlignment="1">
      <alignment horizontal="center"/>
    </xf>
    <xf numFmtId="0" fontId="5" fillId="0" borderId="0" xfId="7" applyNumberFormat="1" applyFont="1" applyFill="1" applyBorder="1" applyAlignment="1" applyProtection="1">
      <alignment horizontal="center"/>
      <protection locked="0"/>
    </xf>
    <xf numFmtId="0" fontId="5" fillId="0" borderId="0" xfId="7" applyNumberFormat="1" applyFont="1" applyFill="1" applyBorder="1" applyAlignment="1" applyProtection="1">
      <alignment horizontal="left"/>
      <protection locked="0"/>
    </xf>
    <xf numFmtId="166" fontId="5" fillId="0" borderId="0" xfId="7" applyNumberFormat="1" applyFont="1" applyFill="1" applyBorder="1" applyAlignment="1" applyProtection="1">
      <alignment horizontal="center"/>
      <protection locked="0"/>
    </xf>
    <xf numFmtId="43" fontId="5" fillId="0" borderId="0" xfId="7" applyNumberFormat="1" applyFont="1" applyFill="1" applyAlignment="1">
      <alignment wrapText="1"/>
    </xf>
    <xf numFmtId="43" fontId="5" fillId="0" borderId="41" xfId="8" applyFont="1" applyFill="1" applyBorder="1"/>
    <xf numFmtId="9" fontId="5" fillId="0" borderId="41" xfId="9" applyFont="1" applyFill="1" applyBorder="1" applyAlignment="1">
      <alignment horizontal="center" wrapText="1"/>
    </xf>
    <xf numFmtId="43" fontId="17" fillId="5" borderId="41" xfId="1" applyFont="1" applyFill="1" applyBorder="1"/>
    <xf numFmtId="43" fontId="5" fillId="0" borderId="41" xfId="1" applyFont="1" applyFill="1" applyBorder="1" applyAlignment="1">
      <alignment horizontal="right"/>
    </xf>
    <xf numFmtId="0" fontId="5" fillId="0" borderId="41" xfId="7" applyFont="1" applyFill="1" applyBorder="1" applyAlignment="1">
      <alignment horizontal="center"/>
    </xf>
    <xf numFmtId="0" fontId="17" fillId="0" borderId="41" xfId="10" applyFont="1" applyBorder="1" applyAlignment="1">
      <alignment horizontal="left"/>
    </xf>
    <xf numFmtId="0" fontId="5" fillId="0" borderId="41" xfId="7" applyNumberFormat="1" applyFont="1" applyFill="1" applyBorder="1" applyAlignment="1">
      <alignment horizontal="center" wrapText="1"/>
    </xf>
    <xf numFmtId="0" fontId="17" fillId="0" borderId="41" xfId="11" applyFont="1" applyBorder="1" applyAlignment="1">
      <alignment horizontal="center"/>
    </xf>
    <xf numFmtId="0" fontId="17" fillId="0" borderId="41" xfId="12" applyFont="1" applyBorder="1" applyAlignment="1">
      <alignment horizontal="left"/>
    </xf>
    <xf numFmtId="0" fontId="17" fillId="0" borderId="41" xfId="13" applyFont="1" applyBorder="1" applyAlignment="1">
      <alignment horizontal="center"/>
    </xf>
    <xf numFmtId="1" fontId="17" fillId="0" borderId="41" xfId="14" applyNumberFormat="1" applyFont="1" applyBorder="1" applyAlignment="1">
      <alignment horizontal="center"/>
    </xf>
    <xf numFmtId="14" fontId="17" fillId="0" borderId="41" xfId="15" applyNumberFormat="1" applyFont="1" applyBorder="1" applyAlignment="1">
      <alignment horizontal="center"/>
    </xf>
    <xf numFmtId="0" fontId="17" fillId="0" borderId="41" xfId="0" applyFont="1" applyBorder="1"/>
    <xf numFmtId="0" fontId="17" fillId="0" borderId="41" xfId="0" applyFont="1" applyBorder="1" applyAlignment="1">
      <alignment horizontal="center"/>
    </xf>
    <xf numFmtId="0" fontId="17" fillId="0" borderId="41" xfId="0" applyFont="1" applyBorder="1" applyAlignment="1">
      <alignment horizontal="left"/>
    </xf>
    <xf numFmtId="14" fontId="17" fillId="0" borderId="41" xfId="0" applyNumberFormat="1" applyFont="1" applyBorder="1" applyAlignment="1">
      <alignment horizontal="center"/>
    </xf>
    <xf numFmtId="43" fontId="5" fillId="0" borderId="41" xfId="16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7" fillId="0" borderId="41" xfId="0" applyFont="1" applyFill="1" applyBorder="1"/>
    <xf numFmtId="0" fontId="17" fillId="0" borderId="41" xfId="0" applyFont="1" applyFill="1" applyBorder="1" applyAlignment="1">
      <alignment horizontal="center"/>
    </xf>
    <xf numFmtId="0" fontId="17" fillId="0" borderId="41" xfId="0" applyFont="1" applyFill="1" applyBorder="1" applyAlignment="1">
      <alignment horizontal="left"/>
    </xf>
    <xf numFmtId="14" fontId="17" fillId="0" borderId="41" xfId="0" applyNumberFormat="1" applyFont="1" applyFill="1" applyBorder="1" applyAlignment="1">
      <alignment horizontal="center"/>
    </xf>
    <xf numFmtId="43" fontId="5" fillId="0" borderId="41" xfId="1" applyFont="1" applyFill="1" applyBorder="1"/>
    <xf numFmtId="43" fontId="17" fillId="0" borderId="41" xfId="1" applyFont="1" applyFill="1" applyBorder="1"/>
    <xf numFmtId="0" fontId="5" fillId="0" borderId="0" xfId="7" applyFont="1" applyFill="1" applyAlignment="1">
      <alignment wrapText="1"/>
    </xf>
    <xf numFmtId="0" fontId="5" fillId="0" borderId="0" xfId="7" applyFont="1" applyFill="1" applyAlignment="1">
      <alignment vertical="center" wrapText="1"/>
    </xf>
    <xf numFmtId="43" fontId="4" fillId="0" borderId="41" xfId="8" applyFont="1" applyFill="1" applyBorder="1" applyAlignment="1">
      <alignment horizontal="center" vertical="center" wrapText="1"/>
    </xf>
    <xf numFmtId="0" fontId="4" fillId="0" borderId="41" xfId="7" applyFont="1" applyFill="1" applyBorder="1" applyAlignment="1">
      <alignment horizontal="center" vertical="center" wrapText="1"/>
    </xf>
    <xf numFmtId="9" fontId="4" fillId="0" borderId="41" xfId="9" applyFont="1" applyFill="1" applyBorder="1" applyAlignment="1">
      <alignment horizontal="center" vertical="center" wrapText="1"/>
    </xf>
    <xf numFmtId="43" fontId="4" fillId="0" borderId="41" xfId="1" applyFont="1" applyFill="1" applyBorder="1" applyAlignment="1">
      <alignment horizontal="center" vertical="center" wrapText="1"/>
    </xf>
    <xf numFmtId="0" fontId="4" fillId="0" borderId="41" xfId="7" applyNumberFormat="1" applyFont="1" applyFill="1" applyBorder="1" applyAlignment="1">
      <alignment horizontal="center" vertical="center" wrapText="1"/>
    </xf>
    <xf numFmtId="14" fontId="4" fillId="0" borderId="41" xfId="7" applyNumberFormat="1" applyFont="1" applyFill="1" applyBorder="1" applyAlignment="1">
      <alignment horizontal="center" vertical="center" wrapText="1"/>
    </xf>
    <xf numFmtId="0" fontId="10" fillId="0" borderId="0" xfId="8" applyNumberFormat="1" applyFont="1" applyFill="1" applyAlignment="1">
      <alignment horizontal="center"/>
    </xf>
    <xf numFmtId="49" fontId="4" fillId="0" borderId="0" xfId="7" applyNumberFormat="1" applyFont="1" applyFill="1"/>
    <xf numFmtId="14" fontId="4" fillId="0" borderId="0" xfId="7" applyNumberFormat="1" applyFont="1" applyFill="1" applyAlignment="1">
      <alignment horizontal="left"/>
    </xf>
    <xf numFmtId="0" fontId="4" fillId="0" borderId="0" xfId="7" applyFont="1" applyFill="1" applyAlignment="1">
      <alignment horizontal="left"/>
    </xf>
    <xf numFmtId="43" fontId="4" fillId="0" borderId="1" xfId="8" applyFont="1" applyFill="1" applyBorder="1" applyAlignment="1" applyProtection="1">
      <alignment horizontal="center"/>
    </xf>
    <xf numFmtId="43" fontId="4" fillId="0" borderId="2" xfId="8" applyFont="1" applyFill="1" applyBorder="1" applyAlignment="1" applyProtection="1">
      <alignment horizontal="center"/>
    </xf>
    <xf numFmtId="43" fontId="4" fillId="0" borderId="54" xfId="8" applyFont="1" applyFill="1" applyBorder="1" applyAlignment="1" applyProtection="1">
      <alignment horizontal="center"/>
    </xf>
    <xf numFmtId="43" fontId="4" fillId="0" borderId="55" xfId="8" applyFont="1" applyFill="1" applyBorder="1" applyAlignment="1" applyProtection="1">
      <alignment horizontal="center"/>
    </xf>
    <xf numFmtId="43" fontId="5" fillId="0" borderId="5" xfId="8" applyFont="1" applyFill="1" applyBorder="1" applyAlignment="1" applyProtection="1">
      <protection locked="0"/>
    </xf>
    <xf numFmtId="43" fontId="4" fillId="0" borderId="56" xfId="8" applyFont="1" applyFill="1" applyBorder="1" applyAlignment="1" applyProtection="1">
      <alignment horizontal="center"/>
    </xf>
    <xf numFmtId="43" fontId="5" fillId="0" borderId="5" xfId="8" applyFont="1" applyFill="1" applyBorder="1" applyProtection="1">
      <protection locked="0"/>
    </xf>
    <xf numFmtId="43" fontId="5" fillId="0" borderId="7" xfId="8" applyFont="1" applyFill="1" applyBorder="1" applyAlignment="1" applyProtection="1">
      <protection locked="0"/>
    </xf>
    <xf numFmtId="43" fontId="5" fillId="0" borderId="7" xfId="8" applyFont="1" applyFill="1" applyBorder="1" applyAlignment="1" applyProtection="1">
      <alignment horizontal="left"/>
      <protection locked="0"/>
    </xf>
    <xf numFmtId="43" fontId="5" fillId="0" borderId="5" xfId="8" applyFont="1" applyFill="1" applyBorder="1" applyAlignment="1" applyProtection="1">
      <alignment horizontal="center"/>
      <protection locked="0"/>
    </xf>
    <xf numFmtId="43" fontId="5" fillId="0" borderId="8" xfId="8" applyFont="1" applyFill="1" applyBorder="1" applyAlignment="1" applyProtection="1">
      <protection locked="0"/>
    </xf>
    <xf numFmtId="43" fontId="5" fillId="0" borderId="9" xfId="8" applyFont="1" applyFill="1" applyBorder="1" applyAlignment="1" applyProtection="1">
      <alignment horizontal="right"/>
      <protection locked="0"/>
    </xf>
    <xf numFmtId="43" fontId="5" fillId="0" borderId="10" xfId="8" applyFont="1" applyFill="1" applyBorder="1" applyAlignment="1" applyProtection="1">
      <protection locked="0"/>
    </xf>
    <xf numFmtId="43" fontId="5" fillId="0" borderId="11" xfId="8" applyFont="1" applyFill="1" applyBorder="1" applyAlignment="1" applyProtection="1">
      <alignment horizontal="center"/>
      <protection locked="0"/>
    </xf>
    <xf numFmtId="43" fontId="5" fillId="0" borderId="11" xfId="8" applyFont="1" applyFill="1" applyBorder="1" applyProtection="1">
      <protection locked="0"/>
    </xf>
    <xf numFmtId="43" fontId="5" fillId="0" borderId="0" xfId="8" applyFont="1" applyFill="1" applyProtection="1">
      <protection locked="0"/>
    </xf>
    <xf numFmtId="43" fontId="10" fillId="0" borderId="0" xfId="8" applyFont="1" applyFill="1" applyProtection="1">
      <protection locked="0"/>
    </xf>
    <xf numFmtId="43" fontId="4" fillId="2" borderId="0" xfId="8" applyFont="1" applyFill="1" applyProtection="1">
      <protection locked="0"/>
    </xf>
    <xf numFmtId="43" fontId="4" fillId="0" borderId="2" xfId="8" applyFont="1" applyFill="1" applyBorder="1" applyAlignment="1" applyProtection="1">
      <alignment horizontal="center"/>
      <protection locked="0"/>
    </xf>
    <xf numFmtId="43" fontId="5" fillId="0" borderId="5" xfId="8" applyFont="1" applyFill="1" applyBorder="1" applyAlignment="1" applyProtection="1"/>
    <xf numFmtId="43" fontId="5" fillId="0" borderId="5" xfId="8" applyFont="1" applyFill="1" applyBorder="1" applyAlignment="1" applyProtection="1">
      <alignment horizontal="center"/>
    </xf>
    <xf numFmtId="43" fontId="5" fillId="0" borderId="0" xfId="8" applyFont="1" applyFill="1" applyProtection="1"/>
    <xf numFmtId="43" fontId="5" fillId="4" borderId="5" xfId="8" applyFont="1" applyFill="1" applyBorder="1" applyAlignment="1" applyProtection="1">
      <alignment horizontal="center"/>
      <protection locked="0"/>
    </xf>
    <xf numFmtId="43" fontId="5" fillId="4" borderId="5" xfId="8" applyFont="1" applyFill="1" applyBorder="1" applyAlignment="1" applyProtection="1"/>
    <xf numFmtId="43" fontId="5" fillId="4" borderId="5" xfId="8" applyFont="1" applyFill="1" applyBorder="1" applyAlignment="1" applyProtection="1">
      <protection locked="0"/>
    </xf>
    <xf numFmtId="43" fontId="5" fillId="0" borderId="30" xfId="8" applyFont="1" applyFill="1" applyBorder="1" applyAlignment="1" applyProtection="1">
      <alignment horizontal="right"/>
      <protection locked="0"/>
    </xf>
    <xf numFmtId="43" fontId="5" fillId="0" borderId="11" xfId="8" applyFont="1" applyFill="1" applyBorder="1" applyAlignment="1" applyProtection="1">
      <protection locked="0"/>
    </xf>
    <xf numFmtId="43" fontId="5" fillId="4" borderId="11" xfId="8" applyFont="1" applyFill="1" applyBorder="1" applyAlignment="1" applyProtection="1">
      <alignment horizontal="center"/>
      <protection locked="0"/>
    </xf>
    <xf numFmtId="43" fontId="5" fillId="4" borderId="11" xfId="8" applyFont="1" applyFill="1" applyBorder="1" applyAlignment="1" applyProtection="1"/>
    <xf numFmtId="43" fontId="5" fillId="0" borderId="11" xfId="8" applyFont="1" applyFill="1" applyBorder="1" applyAlignment="1" applyProtection="1">
      <alignment horizontal="center"/>
    </xf>
    <xf numFmtId="43" fontId="5" fillId="0" borderId="8" xfId="8" applyFont="1" applyFill="1" applyBorder="1" applyAlignment="1" applyProtection="1">
      <alignment horizontal="left"/>
      <protection locked="0"/>
    </xf>
    <xf numFmtId="43" fontId="4" fillId="0" borderId="0" xfId="8" applyFont="1" applyFill="1" applyBorder="1" applyAlignment="1" applyProtection="1">
      <alignment horizontal="center"/>
      <protection locked="0"/>
    </xf>
    <xf numFmtId="165" fontId="4" fillId="0" borderId="2" xfId="8" applyNumberFormat="1" applyFont="1" applyFill="1" applyBorder="1" applyAlignment="1" applyProtection="1">
      <alignment horizontal="center"/>
      <protection locked="0"/>
    </xf>
    <xf numFmtId="43" fontId="5" fillId="0" borderId="39" xfId="8" applyFont="1" applyFill="1" applyBorder="1" applyAlignment="1" applyProtection="1"/>
    <xf numFmtId="0" fontId="5" fillId="0" borderId="5" xfId="8" applyNumberFormat="1" applyFont="1" applyFill="1" applyBorder="1" applyAlignment="1" applyProtection="1">
      <alignment horizontal="center"/>
      <protection locked="0"/>
    </xf>
    <xf numFmtId="164" fontId="5" fillId="0" borderId="40" xfId="8" applyNumberFormat="1" applyFont="1" applyFill="1" applyBorder="1" applyAlignment="1" applyProtection="1">
      <alignment horizontal="center"/>
    </xf>
    <xf numFmtId="2" fontId="5" fillId="0" borderId="5" xfId="8" applyNumberFormat="1" applyFont="1" applyFill="1" applyBorder="1" applyAlignment="1" applyProtection="1">
      <alignment horizontal="center"/>
      <protection locked="0"/>
    </xf>
    <xf numFmtId="43" fontId="5" fillId="0" borderId="5" xfId="8" applyFont="1" applyFill="1" applyBorder="1" applyAlignment="1" applyProtection="1">
      <alignment horizontal="left"/>
      <protection locked="0"/>
    </xf>
    <xf numFmtId="43" fontId="5" fillId="0" borderId="11" xfId="8" applyFont="1" applyFill="1" applyBorder="1" applyAlignment="1" applyProtection="1"/>
    <xf numFmtId="43" fontId="5" fillId="0" borderId="40" xfId="8" applyFont="1" applyFill="1" applyBorder="1" applyAlignment="1" applyProtection="1">
      <protection locked="0"/>
    </xf>
    <xf numFmtId="43" fontId="5" fillId="0" borderId="40" xfId="8" applyFont="1" applyFill="1" applyBorder="1" applyAlignment="1" applyProtection="1"/>
    <xf numFmtId="43" fontId="5" fillId="0" borderId="40" xfId="8" applyFont="1" applyFill="1" applyBorder="1" applyAlignment="1" applyProtection="1">
      <alignment horizontal="center"/>
      <protection locked="0"/>
    </xf>
    <xf numFmtId="43" fontId="5" fillId="0" borderId="40" xfId="8" applyFont="1" applyFill="1" applyBorder="1" applyAlignment="1" applyProtection="1">
      <alignment horizontal="center"/>
    </xf>
    <xf numFmtId="43" fontId="5" fillId="4" borderId="40" xfId="8" applyFont="1" applyFill="1" applyBorder="1" applyAlignment="1" applyProtection="1">
      <alignment horizontal="center"/>
      <protection locked="0"/>
    </xf>
    <xf numFmtId="43" fontId="5" fillId="0" borderId="40" xfId="8" applyFont="1" applyFill="1" applyBorder="1" applyAlignment="1" applyProtection="1">
      <alignment horizontal="left"/>
      <protection locked="0"/>
    </xf>
    <xf numFmtId="0" fontId="5" fillId="3" borderId="45" xfId="5" applyFont="1" applyFill="1" applyBorder="1" applyAlignment="1" applyProtection="1">
      <alignment horizontal="center" vertical="center" wrapText="1"/>
      <protection locked="0"/>
    </xf>
    <xf numFmtId="0" fontId="11" fillId="3" borderId="2" xfId="3" applyFont="1" applyFill="1" applyBorder="1" applyAlignment="1" applyProtection="1">
      <alignment horizontal="center" vertical="center" wrapText="1"/>
      <protection locked="0"/>
    </xf>
    <xf numFmtId="0" fontId="2" fillId="0" borderId="0" xfId="7"/>
    <xf numFmtId="0" fontId="18" fillId="0" borderId="0" xfId="7" applyFont="1"/>
    <xf numFmtId="0" fontId="18" fillId="0" borderId="0" xfId="7" applyFont="1" applyFill="1"/>
    <xf numFmtId="0" fontId="18" fillId="0" borderId="0" xfId="7" applyFont="1" applyProtection="1">
      <protection locked="0"/>
    </xf>
    <xf numFmtId="0" fontId="18" fillId="0" borderId="0" xfId="7" applyFont="1" applyFill="1" applyProtection="1">
      <protection locked="0"/>
    </xf>
    <xf numFmtId="164" fontId="18" fillId="0" borderId="0" xfId="7" applyNumberFormat="1" applyFont="1" applyProtection="1">
      <protection locked="0"/>
    </xf>
    <xf numFmtId="164" fontId="18" fillId="0" borderId="0" xfId="7" applyNumberFormat="1" applyFont="1" applyFill="1" applyBorder="1" applyProtection="1">
      <protection locked="0"/>
    </xf>
    <xf numFmtId="164" fontId="18" fillId="0" borderId="0" xfId="7" applyNumberFormat="1" applyFont="1" applyBorder="1" applyProtection="1">
      <protection locked="0"/>
    </xf>
    <xf numFmtId="164" fontId="18" fillId="0" borderId="0" xfId="7" applyNumberFormat="1" applyFont="1" applyFill="1" applyProtection="1">
      <protection locked="0"/>
    </xf>
    <xf numFmtId="164" fontId="19" fillId="0" borderId="0" xfId="7" applyNumberFormat="1" applyFont="1" applyBorder="1" applyProtection="1">
      <protection locked="0"/>
    </xf>
    <xf numFmtId="0" fontId="18" fillId="0" borderId="0" xfId="7" applyFont="1" applyFill="1" applyBorder="1" applyAlignment="1" applyProtection="1">
      <alignment vertical="center"/>
      <protection locked="0"/>
    </xf>
    <xf numFmtId="164" fontId="19" fillId="0" borderId="0" xfId="7" applyNumberFormat="1" applyFont="1" applyBorder="1" applyAlignment="1" applyProtection="1">
      <alignment vertical="center" wrapText="1"/>
      <protection locked="0"/>
    </xf>
    <xf numFmtId="0" fontId="18" fillId="0" borderId="0" xfId="7" applyFont="1" applyFill="1" applyAlignment="1" applyProtection="1">
      <alignment horizontal="left" vertical="center"/>
      <protection locked="0"/>
    </xf>
    <xf numFmtId="0" fontId="18" fillId="0" borderId="0" xfId="7" applyFont="1" applyBorder="1" applyAlignment="1" applyProtection="1">
      <alignment vertical="center"/>
      <protection locked="0"/>
    </xf>
    <xf numFmtId="164" fontId="18" fillId="4" borderId="0" xfId="7" applyNumberFormat="1" applyFont="1" applyFill="1" applyBorder="1" applyAlignment="1" applyProtection="1">
      <alignment vertical="center" wrapText="1"/>
      <protection locked="0"/>
    </xf>
    <xf numFmtId="164" fontId="5" fillId="4" borderId="0" xfId="7" applyNumberFormat="1" applyFont="1" applyFill="1" applyBorder="1" applyAlignment="1" applyProtection="1">
      <alignment vertical="center" wrapText="1"/>
      <protection locked="0"/>
    </xf>
    <xf numFmtId="164" fontId="13" fillId="4" borderId="0" xfId="7" applyNumberFormat="1" applyFont="1" applyFill="1" applyProtection="1">
      <protection locked="0"/>
    </xf>
    <xf numFmtId="0" fontId="19" fillId="4" borderId="0" xfId="7" applyFont="1" applyFill="1" applyBorder="1" applyAlignment="1" applyProtection="1">
      <alignment horizontal="center"/>
      <protection locked="0"/>
    </xf>
    <xf numFmtId="0" fontId="19" fillId="0" borderId="0" xfId="7" applyFont="1" applyBorder="1" applyAlignment="1" applyProtection="1">
      <alignment vertical="center"/>
      <protection locked="0"/>
    </xf>
    <xf numFmtId="0" fontId="18" fillId="0" borderId="0" xfId="7" applyFont="1" applyFill="1" applyBorder="1" applyProtection="1">
      <protection locked="0"/>
    </xf>
    <xf numFmtId="0" fontId="20" fillId="0" borderId="0" xfId="7" applyFont="1" applyFill="1" applyProtection="1">
      <protection locked="0"/>
    </xf>
    <xf numFmtId="164" fontId="19" fillId="0" borderId="0" xfId="7" applyNumberFormat="1" applyFont="1" applyProtection="1">
      <protection locked="0"/>
    </xf>
    <xf numFmtId="0" fontId="18" fillId="4" borderId="0" xfId="7" applyFont="1" applyFill="1" applyProtection="1">
      <protection locked="0"/>
    </xf>
    <xf numFmtId="164" fontId="18" fillId="4" borderId="0" xfId="7" applyNumberFormat="1" applyFont="1" applyFill="1" applyProtection="1">
      <protection locked="0"/>
    </xf>
    <xf numFmtId="43" fontId="18" fillId="4" borderId="0" xfId="7" applyNumberFormat="1" applyFont="1" applyFill="1" applyProtection="1">
      <protection locked="0"/>
    </xf>
    <xf numFmtId="0" fontId="18" fillId="0" borderId="0" xfId="7" applyFont="1" applyFill="1" applyBorder="1" applyAlignment="1" applyProtection="1">
      <alignment horizontal="left"/>
      <protection locked="0"/>
    </xf>
    <xf numFmtId="164" fontId="19" fillId="0" borderId="0" xfId="7" applyNumberFormat="1" applyFont="1" applyFill="1" applyBorder="1" applyProtection="1">
      <protection locked="0"/>
    </xf>
    <xf numFmtId="0" fontId="18" fillId="0" borderId="0" xfId="7" applyFont="1" applyBorder="1" applyAlignment="1" applyProtection="1">
      <alignment horizontal="center"/>
      <protection locked="0"/>
    </xf>
    <xf numFmtId="0" fontId="18" fillId="0" borderId="0" xfId="7" applyFont="1" applyBorder="1" applyProtection="1">
      <protection locked="0"/>
    </xf>
    <xf numFmtId="0" fontId="18" fillId="0" borderId="0" xfId="7" applyFont="1" applyFill="1" applyBorder="1" applyAlignment="1" applyProtection="1">
      <alignment horizontal="center"/>
      <protection locked="0"/>
    </xf>
    <xf numFmtId="164" fontId="4" fillId="0" borderId="0" xfId="17" applyFont="1" applyProtection="1">
      <protection locked="0"/>
    </xf>
    <xf numFmtId="164" fontId="4" fillId="0" borderId="2" xfId="17" applyFont="1" applyFill="1" applyBorder="1" applyAlignment="1" applyProtection="1">
      <alignment horizontal="center"/>
    </xf>
    <xf numFmtId="164" fontId="4" fillId="0" borderId="1" xfId="17" applyFont="1" applyFill="1" applyBorder="1" applyAlignment="1" applyProtection="1">
      <alignment horizontal="center"/>
    </xf>
    <xf numFmtId="164" fontId="4" fillId="0" borderId="59" xfId="17" applyFont="1" applyFill="1" applyBorder="1" applyAlignment="1" applyProtection="1">
      <alignment horizontal="center"/>
    </xf>
    <xf numFmtId="164" fontId="4" fillId="0" borderId="2" xfId="17" applyFont="1" applyFill="1" applyBorder="1" applyAlignment="1" applyProtection="1"/>
    <xf numFmtId="164" fontId="4" fillId="0" borderId="2" xfId="17" applyFont="1" applyBorder="1" applyAlignment="1" applyProtection="1">
      <alignment horizontal="center"/>
    </xf>
    <xf numFmtId="164" fontId="4" fillId="0" borderId="2" xfId="17" applyFont="1" applyFill="1" applyBorder="1" applyAlignment="1" applyProtection="1">
      <alignment horizontal="center"/>
      <protection locked="0"/>
    </xf>
    <xf numFmtId="164" fontId="4" fillId="0" borderId="2" xfId="17" applyFont="1" applyBorder="1" applyProtection="1">
      <protection locked="0"/>
    </xf>
    <xf numFmtId="164" fontId="4" fillId="0" borderId="3" xfId="17" applyFont="1" applyBorder="1" applyProtection="1">
      <protection locked="0"/>
    </xf>
    <xf numFmtId="164" fontId="18" fillId="0" borderId="60" xfId="7" applyNumberFormat="1" applyFont="1" applyFill="1" applyBorder="1" applyProtection="1">
      <protection locked="0"/>
    </xf>
    <xf numFmtId="164" fontId="18" fillId="0" borderId="61" xfId="17" applyFont="1" applyFill="1" applyBorder="1" applyAlignment="1" applyProtection="1"/>
    <xf numFmtId="164" fontId="18" fillId="0" borderId="4" xfId="17" applyFont="1" applyFill="1" applyBorder="1" applyAlignment="1" applyProtection="1"/>
    <xf numFmtId="164" fontId="18" fillId="0" borderId="5" xfId="17" applyFont="1" applyFill="1" applyBorder="1" applyAlignment="1" applyProtection="1">
      <protection locked="0"/>
    </xf>
    <xf numFmtId="164" fontId="18" fillId="0" borderId="5" xfId="17" applyFont="1" applyFill="1" applyBorder="1" applyAlignment="1" applyProtection="1"/>
    <xf numFmtId="164" fontId="18" fillId="0" borderId="5" xfId="17" applyFont="1" applyFill="1" applyBorder="1" applyAlignment="1" applyProtection="1">
      <alignment horizontal="center"/>
    </xf>
    <xf numFmtId="164" fontId="18" fillId="0" borderId="5" xfId="7" applyNumberFormat="1" applyFont="1" applyBorder="1" applyAlignment="1" applyProtection="1">
      <alignment horizontal="center"/>
    </xf>
    <xf numFmtId="0" fontId="18" fillId="0" borderId="5" xfId="7" applyNumberFormat="1" applyFont="1" applyBorder="1" applyAlignment="1" applyProtection="1">
      <alignment horizontal="center"/>
    </xf>
    <xf numFmtId="0" fontId="18" fillId="0" borderId="5" xfId="7" applyFont="1" applyFill="1" applyBorder="1" applyAlignment="1" applyProtection="1">
      <alignment horizontal="center"/>
      <protection locked="0"/>
    </xf>
    <xf numFmtId="0" fontId="18" fillId="0" borderId="5" xfId="7" applyFont="1" applyBorder="1" applyAlignment="1" applyProtection="1">
      <alignment horizontal="center"/>
      <protection locked="0"/>
    </xf>
    <xf numFmtId="0" fontId="18" fillId="0" borderId="5" xfId="7" applyFont="1" applyBorder="1" applyProtection="1">
      <protection locked="0"/>
    </xf>
    <xf numFmtId="0" fontId="18" fillId="0" borderId="6" xfId="7" applyFont="1" applyBorder="1" applyProtection="1">
      <protection locked="0"/>
    </xf>
    <xf numFmtId="164" fontId="18" fillId="8" borderId="5" xfId="17" applyFont="1" applyFill="1" applyBorder="1" applyAlignment="1" applyProtection="1">
      <protection locked="0"/>
    </xf>
    <xf numFmtId="0" fontId="18" fillId="0" borderId="5" xfId="7" applyNumberFormat="1" applyFont="1" applyBorder="1" applyAlignment="1" applyProtection="1">
      <alignment horizontal="center"/>
      <protection locked="0"/>
    </xf>
    <xf numFmtId="0" fontId="18" fillId="8" borderId="5" xfId="7" applyFont="1" applyFill="1" applyBorder="1" applyAlignment="1" applyProtection="1">
      <alignment horizontal="center"/>
      <protection locked="0"/>
    </xf>
    <xf numFmtId="0" fontId="18" fillId="8" borderId="5" xfId="7" applyFont="1" applyFill="1" applyBorder="1" applyProtection="1">
      <protection locked="0"/>
    </xf>
    <xf numFmtId="164" fontId="18" fillId="0" borderId="60" xfId="17" applyFont="1" applyFill="1" applyBorder="1" applyAlignment="1" applyProtection="1"/>
    <xf numFmtId="0" fontId="5" fillId="0" borderId="0" xfId="7" applyFont="1"/>
    <xf numFmtId="0" fontId="5" fillId="4" borderId="0" xfId="7" applyFont="1" applyFill="1"/>
    <xf numFmtId="164" fontId="18" fillId="0" borderId="5" xfId="7" applyNumberFormat="1" applyFont="1" applyFill="1" applyBorder="1" applyAlignment="1" applyProtection="1">
      <alignment horizontal="center"/>
    </xf>
    <xf numFmtId="0" fontId="2" fillId="0" borderId="0" xfId="7" applyProtection="1">
      <protection locked="0"/>
    </xf>
    <xf numFmtId="0" fontId="19" fillId="0" borderId="5" xfId="7" applyFont="1" applyBorder="1" applyAlignment="1" applyProtection="1">
      <alignment horizontal="center" vertical="center" wrapText="1"/>
    </xf>
    <xf numFmtId="0" fontId="19" fillId="9" borderId="6" xfId="7" applyFont="1" applyFill="1" applyBorder="1" applyAlignment="1" applyProtection="1">
      <alignment horizontal="center" vertical="center"/>
      <protection locked="0"/>
    </xf>
    <xf numFmtId="0" fontId="19" fillId="9" borderId="11" xfId="7" applyFont="1" applyFill="1" applyBorder="1" applyAlignment="1" applyProtection="1">
      <alignment horizontal="center" vertical="center"/>
    </xf>
    <xf numFmtId="0" fontId="19" fillId="9" borderId="12" xfId="7" applyFont="1" applyFill="1" applyBorder="1" applyAlignment="1" applyProtection="1">
      <alignment horizontal="center" vertical="center"/>
      <protection locked="0"/>
    </xf>
    <xf numFmtId="0" fontId="18" fillId="0" borderId="0" xfId="7" applyFont="1" applyProtection="1"/>
    <xf numFmtId="164" fontId="18" fillId="0" borderId="0" xfId="7" applyNumberFormat="1" applyFont="1" applyProtection="1"/>
    <xf numFmtId="0" fontId="18" fillId="0" borderId="63" xfId="7" applyFont="1" applyFill="1" applyBorder="1" applyAlignment="1" applyProtection="1">
      <alignment horizontal="center"/>
      <protection locked="0"/>
    </xf>
    <xf numFmtId="0" fontId="18" fillId="10" borderId="64" xfId="7" applyNumberFormat="1" applyFont="1" applyFill="1" applyBorder="1" applyAlignment="1" applyProtection="1">
      <alignment horizontal="center"/>
      <protection locked="0"/>
    </xf>
    <xf numFmtId="0" fontId="18" fillId="0" borderId="64" xfId="7" applyFont="1" applyFill="1" applyBorder="1" applyAlignment="1" applyProtection="1">
      <alignment horizontal="center"/>
    </xf>
    <xf numFmtId="2" fontId="18" fillId="0" borderId="0" xfId="7" applyNumberFormat="1" applyFont="1" applyProtection="1"/>
    <xf numFmtId="164" fontId="18" fillId="0" borderId="65" xfId="17" applyFont="1" applyFill="1" applyBorder="1" applyAlignment="1" applyProtection="1"/>
    <xf numFmtId="0" fontId="18" fillId="11" borderId="0" xfId="7" applyFont="1" applyFill="1" applyProtection="1">
      <protection locked="0"/>
    </xf>
    <xf numFmtId="0" fontId="18" fillId="11" borderId="0" xfId="7" applyFont="1" applyFill="1" applyProtection="1"/>
    <xf numFmtId="164" fontId="18" fillId="0" borderId="0" xfId="17" applyFont="1" applyFill="1" applyBorder="1" applyAlignment="1" applyProtection="1"/>
    <xf numFmtId="0" fontId="18" fillId="9" borderId="0" xfId="7" applyFont="1" applyFill="1" applyProtection="1">
      <protection locked="0"/>
    </xf>
    <xf numFmtId="0" fontId="18" fillId="9" borderId="0" xfId="7" applyFont="1" applyFill="1" applyProtection="1"/>
    <xf numFmtId="2" fontId="18" fillId="9" borderId="0" xfId="7" applyNumberFormat="1" applyFont="1" applyFill="1" applyProtection="1"/>
    <xf numFmtId="164" fontId="19" fillId="9" borderId="0" xfId="17" applyFont="1" applyFill="1" applyBorder="1" applyAlignment="1" applyProtection="1"/>
    <xf numFmtId="0" fontId="19" fillId="9" borderId="0" xfId="7" applyFont="1" applyFill="1" applyProtection="1"/>
    <xf numFmtId="0" fontId="19" fillId="9" borderId="0" xfId="7" applyFont="1" applyFill="1" applyProtection="1">
      <protection locked="0"/>
    </xf>
    <xf numFmtId="167" fontId="19" fillId="12" borderId="0" xfId="7" applyNumberFormat="1" applyFont="1" applyFill="1" applyAlignment="1" applyProtection="1">
      <alignment horizontal="left"/>
      <protection locked="0"/>
    </xf>
    <xf numFmtId="164" fontId="18" fillId="9" borderId="0" xfId="7" applyNumberFormat="1" applyFont="1" applyFill="1" applyProtection="1">
      <protection locked="0"/>
    </xf>
    <xf numFmtId="164" fontId="18" fillId="9" borderId="0" xfId="7" applyNumberFormat="1" applyFont="1" applyFill="1" applyProtection="1"/>
    <xf numFmtId="164" fontId="18" fillId="9" borderId="58" xfId="17" applyFont="1" applyFill="1" applyBorder="1" applyAlignment="1" applyProtection="1"/>
    <xf numFmtId="164" fontId="19" fillId="10" borderId="0" xfId="17" applyFont="1" applyFill="1" applyBorder="1" applyAlignment="1" applyProtection="1">
      <protection locked="0"/>
    </xf>
    <xf numFmtId="0" fontId="19" fillId="12" borderId="0" xfId="7" applyFont="1" applyFill="1" applyProtection="1">
      <protection locked="0"/>
    </xf>
    <xf numFmtId="0" fontId="5" fillId="0" borderId="0" xfId="7" applyFont="1" applyFill="1" applyAlignment="1">
      <alignment horizontal="left"/>
    </xf>
    <xf numFmtId="0" fontId="5" fillId="0" borderId="0" xfId="7" applyFont="1" applyFill="1" applyAlignment="1">
      <alignment horizontal="center" vertical="center"/>
    </xf>
    <xf numFmtId="43" fontId="4" fillId="0" borderId="0" xfId="8" applyFont="1" applyFill="1"/>
    <xf numFmtId="0" fontId="4" fillId="0" borderId="0" xfId="7" applyFont="1" applyFill="1" applyAlignment="1">
      <alignment horizontal="right"/>
    </xf>
    <xf numFmtId="0" fontId="4" fillId="0" borderId="0" xfId="7" applyFont="1" applyFill="1" applyAlignment="1">
      <alignment horizontal="center" vertical="center"/>
    </xf>
    <xf numFmtId="43" fontId="5" fillId="0" borderId="0" xfId="18" applyFont="1" applyFill="1" applyBorder="1"/>
    <xf numFmtId="0" fontId="5" fillId="0" borderId="0" xfId="19" applyFont="1" applyFill="1" applyBorder="1" applyAlignment="1">
      <alignment horizontal="left"/>
    </xf>
    <xf numFmtId="0" fontId="5" fillId="0" borderId="0" xfId="19" applyFont="1" applyFill="1" applyBorder="1" applyAlignment="1">
      <alignment horizontal="center"/>
    </xf>
    <xf numFmtId="0" fontId="5" fillId="0" borderId="0" xfId="19" applyFont="1" applyFill="1" applyBorder="1" applyAlignment="1">
      <alignment horizontal="center" vertical="center"/>
    </xf>
    <xf numFmtId="14" fontId="5" fillId="0" borderId="0" xfId="19" applyNumberFormat="1" applyFont="1" applyFill="1" applyBorder="1" applyAlignment="1">
      <alignment horizontal="center"/>
    </xf>
    <xf numFmtId="14" fontId="5" fillId="4" borderId="0" xfId="19" applyNumberFormat="1" applyFont="1" applyFill="1" applyBorder="1" applyAlignment="1">
      <alignment horizontal="center"/>
    </xf>
    <xf numFmtId="43" fontId="21" fillId="0" borderId="0" xfId="18" applyFont="1" applyFill="1" applyBorder="1"/>
    <xf numFmtId="43" fontId="22" fillId="0" borderId="0" xfId="18" applyFont="1" applyFill="1" applyBorder="1"/>
    <xf numFmtId="0" fontId="4" fillId="0" borderId="0" xfId="19" applyFont="1" applyFill="1" applyBorder="1" applyAlignment="1">
      <alignment horizontal="left"/>
    </xf>
    <xf numFmtId="43" fontId="5" fillId="0" borderId="66" xfId="18" applyFont="1" applyFill="1" applyBorder="1"/>
    <xf numFmtId="0" fontId="5" fillId="0" borderId="67" xfId="19" applyFont="1" applyFill="1" applyBorder="1" applyAlignment="1">
      <alignment horizontal="left"/>
    </xf>
    <xf numFmtId="0" fontId="5" fillId="0" borderId="68" xfId="19" applyFont="1" applyFill="1" applyBorder="1" applyAlignment="1">
      <alignment horizontal="left"/>
    </xf>
    <xf numFmtId="0" fontId="5" fillId="0" borderId="68" xfId="19" applyFont="1" applyFill="1" applyBorder="1" applyAlignment="1">
      <alignment horizontal="center"/>
    </xf>
    <xf numFmtId="0" fontId="5" fillId="0" borderId="68" xfId="19" applyFont="1" applyFill="1" applyBorder="1" applyAlignment="1">
      <alignment horizontal="center" vertical="center"/>
    </xf>
    <xf numFmtId="14" fontId="4" fillId="0" borderId="69" xfId="19" applyNumberFormat="1" applyFont="1" applyFill="1" applyBorder="1" applyAlignment="1">
      <alignment horizontal="left"/>
    </xf>
    <xf numFmtId="43" fontId="5" fillId="0" borderId="70" xfId="8" applyFont="1" applyFill="1" applyBorder="1"/>
    <xf numFmtId="0" fontId="5" fillId="0" borderId="71" xfId="7" applyFont="1" applyFill="1" applyBorder="1" applyAlignment="1">
      <alignment horizontal="center"/>
    </xf>
    <xf numFmtId="0" fontId="5" fillId="4" borderId="41" xfId="7" applyFont="1" applyFill="1" applyBorder="1" applyAlignment="1">
      <alignment horizontal="center"/>
    </xf>
    <xf numFmtId="16" fontId="5" fillId="4" borderId="41" xfId="7" applyNumberFormat="1" applyFont="1" applyFill="1" applyBorder="1" applyAlignment="1">
      <alignment horizontal="center"/>
    </xf>
    <xf numFmtId="168" fontId="5" fillId="0" borderId="72" xfId="7" applyNumberFormat="1" applyFont="1" applyFill="1" applyBorder="1" applyAlignment="1">
      <alignment horizontal="center"/>
    </xf>
    <xf numFmtId="0" fontId="4" fillId="4" borderId="0" xfId="7" applyFont="1" applyFill="1" applyAlignment="1">
      <alignment horizontal="center"/>
    </xf>
    <xf numFmtId="43" fontId="5" fillId="4" borderId="41" xfId="8" applyFont="1" applyFill="1" applyBorder="1"/>
    <xf numFmtId="43" fontId="5" fillId="4" borderId="41" xfId="8" applyFont="1" applyFill="1" applyBorder="1" applyAlignment="1">
      <alignment horizontal="center"/>
    </xf>
    <xf numFmtId="168" fontId="5" fillId="4" borderId="72" xfId="7" applyNumberFormat="1" applyFont="1" applyFill="1" applyBorder="1" applyAlignment="1">
      <alignment horizontal="center"/>
    </xf>
    <xf numFmtId="43" fontId="5" fillId="5" borderId="41" xfId="8" applyFont="1" applyFill="1" applyBorder="1"/>
    <xf numFmtId="43" fontId="5" fillId="5" borderId="71" xfId="8" applyFont="1" applyFill="1" applyBorder="1" applyAlignment="1">
      <alignment horizontal="center"/>
    </xf>
    <xf numFmtId="0" fontId="5" fillId="5" borderId="41" xfId="7" applyFont="1" applyFill="1" applyBorder="1" applyAlignment="1">
      <alignment horizontal="center"/>
    </xf>
    <xf numFmtId="16" fontId="5" fillId="5" borderId="41" xfId="7" applyNumberFormat="1" applyFont="1" applyFill="1" applyBorder="1" applyAlignment="1">
      <alignment horizontal="center"/>
    </xf>
    <xf numFmtId="168" fontId="5" fillId="5" borderId="72" xfId="7" applyNumberFormat="1" applyFont="1" applyFill="1" applyBorder="1" applyAlignment="1">
      <alignment horizontal="center"/>
    </xf>
    <xf numFmtId="43" fontId="5" fillId="4" borderId="71" xfId="8" applyFont="1" applyFill="1" applyBorder="1" applyAlignment="1">
      <alignment horizontal="center"/>
    </xf>
    <xf numFmtId="43" fontId="5" fillId="5" borderId="41" xfId="8" applyFont="1" applyFill="1" applyBorder="1" applyAlignment="1">
      <alignment horizontal="center"/>
    </xf>
    <xf numFmtId="168" fontId="5" fillId="5" borderId="41" xfId="7" applyNumberFormat="1" applyFont="1" applyFill="1" applyBorder="1" applyAlignment="1">
      <alignment horizontal="center"/>
    </xf>
    <xf numFmtId="168" fontId="5" fillId="0" borderId="41" xfId="7" applyNumberFormat="1" applyFont="1" applyFill="1" applyBorder="1" applyAlignment="1">
      <alignment horizontal="center"/>
    </xf>
    <xf numFmtId="0" fontId="4" fillId="0" borderId="0" xfId="7" applyFont="1" applyFill="1" applyBorder="1" applyAlignment="1">
      <alignment horizontal="center"/>
    </xf>
    <xf numFmtId="0" fontId="4" fillId="0" borderId="0" xfId="7" applyFont="1" applyFill="1" applyAlignment="1">
      <alignment horizontal="center"/>
    </xf>
    <xf numFmtId="43" fontId="4" fillId="0" borderId="73" xfId="8" applyFont="1" applyFill="1" applyBorder="1" applyAlignment="1">
      <alignment horizontal="center"/>
    </xf>
    <xf numFmtId="0" fontId="4" fillId="0" borderId="74" xfId="7" applyFont="1" applyFill="1" applyBorder="1" applyAlignment="1">
      <alignment horizontal="center"/>
    </xf>
    <xf numFmtId="0" fontId="4" fillId="0" borderId="75" xfId="7" applyFont="1" applyFill="1" applyBorder="1" applyAlignment="1">
      <alignment horizontal="center"/>
    </xf>
    <xf numFmtId="0" fontId="4" fillId="0" borderId="75" xfId="7" applyFont="1" applyFill="1" applyBorder="1" applyAlignment="1">
      <alignment horizontal="center" vertical="center"/>
    </xf>
    <xf numFmtId="0" fontId="4" fillId="0" borderId="76" xfId="7" applyFont="1" applyFill="1" applyBorder="1" applyAlignment="1">
      <alignment horizontal="center"/>
    </xf>
    <xf numFmtId="0" fontId="4" fillId="0" borderId="0" xfId="7" applyFont="1" applyFill="1" applyBorder="1" applyAlignment="1">
      <alignment horizontal="left"/>
    </xf>
    <xf numFmtId="0" fontId="4" fillId="4" borderId="0" xfId="7" applyFont="1" applyFill="1" applyBorder="1" applyAlignment="1">
      <alignment horizontal="left"/>
    </xf>
    <xf numFmtId="0" fontId="5" fillId="4" borderId="0" xfId="7" applyFont="1" applyFill="1" applyAlignment="1">
      <alignment horizontal="center"/>
    </xf>
    <xf numFmtId="0" fontId="5" fillId="4" borderId="0" xfId="7" applyFont="1" applyFill="1" applyAlignment="1">
      <alignment horizontal="center" vertical="center"/>
    </xf>
    <xf numFmtId="0" fontId="4" fillId="0" borderId="0" xfId="7" applyFont="1" applyFill="1" applyAlignment="1"/>
    <xf numFmtId="0" fontId="4" fillId="4" borderId="0" xfId="7" applyFont="1" applyFill="1" applyBorder="1" applyAlignment="1">
      <alignment horizontal="center"/>
    </xf>
    <xf numFmtId="0" fontId="4" fillId="4" borderId="0" xfId="7" applyFont="1" applyFill="1" applyBorder="1" applyAlignment="1">
      <alignment horizontal="center" vertical="center"/>
    </xf>
    <xf numFmtId="0" fontId="2" fillId="0" borderId="0" xfId="20"/>
    <xf numFmtId="0" fontId="5" fillId="0" borderId="0" xfId="20" applyFont="1" applyFill="1"/>
    <xf numFmtId="0" fontId="4" fillId="0" borderId="0" xfId="20" applyFont="1" applyFill="1"/>
    <xf numFmtId="0" fontId="23" fillId="0" borderId="0" xfId="0" applyFont="1"/>
    <xf numFmtId="0" fontId="24" fillId="0" borderId="0" xfId="20" applyFont="1"/>
    <xf numFmtId="0" fontId="21" fillId="0" borderId="0" xfId="20" applyFont="1" applyFill="1"/>
    <xf numFmtId="0" fontId="25" fillId="0" borderId="0" xfId="0" applyFont="1"/>
    <xf numFmtId="0" fontId="2" fillId="0" borderId="0" xfId="20" applyFont="1"/>
    <xf numFmtId="43" fontId="22" fillId="0" borderId="0" xfId="4" applyFont="1" applyFill="1" applyBorder="1"/>
    <xf numFmtId="43" fontId="22" fillId="0" borderId="52" xfId="20" applyNumberFormat="1" applyFont="1" applyFill="1" applyBorder="1"/>
    <xf numFmtId="0" fontId="22" fillId="0" borderId="0" xfId="20" applyFont="1" applyFill="1"/>
    <xf numFmtId="0" fontId="2" fillId="0" borderId="0" xfId="20" applyFont="1" applyFill="1" applyBorder="1"/>
    <xf numFmtId="43" fontId="2" fillId="0" borderId="0" xfId="4" applyFont="1" applyFill="1" applyBorder="1"/>
    <xf numFmtId="43" fontId="22" fillId="0" borderId="0" xfId="20" applyNumberFormat="1" applyFont="1" applyFill="1" applyBorder="1"/>
    <xf numFmtId="43" fontId="2" fillId="0" borderId="0" xfId="20" applyNumberFormat="1" applyFont="1" applyFill="1" applyBorder="1"/>
    <xf numFmtId="43" fontId="22" fillId="0" borderId="68" xfId="4" applyFont="1" applyFill="1" applyBorder="1"/>
    <xf numFmtId="43" fontId="22" fillId="0" borderId="67" xfId="4" applyFont="1" applyFill="1" applyBorder="1"/>
    <xf numFmtId="0" fontId="22" fillId="0" borderId="68" xfId="20" applyFont="1" applyFill="1" applyBorder="1"/>
    <xf numFmtId="43" fontId="22" fillId="0" borderId="68" xfId="20" applyNumberFormat="1" applyFont="1" applyFill="1" applyBorder="1"/>
    <xf numFmtId="0" fontId="22" fillId="0" borderId="69" xfId="20" applyFont="1" applyFill="1" applyBorder="1"/>
    <xf numFmtId="43" fontId="2" fillId="0" borderId="77" xfId="4" applyFont="1" applyFill="1" applyBorder="1" applyAlignment="1">
      <alignment horizontal="right" vertical="center"/>
    </xf>
    <xf numFmtId="0" fontId="2" fillId="0" borderId="78" xfId="20" applyFont="1" applyFill="1" applyBorder="1"/>
    <xf numFmtId="43" fontId="2" fillId="0" borderId="77" xfId="4" applyFont="1" applyFill="1" applyBorder="1"/>
    <xf numFmtId="43" fontId="22" fillId="0" borderId="77" xfId="4" applyFont="1" applyFill="1" applyBorder="1"/>
    <xf numFmtId="0" fontId="2" fillId="0" borderId="77" xfId="20" applyFont="1" applyFill="1" applyBorder="1" applyAlignment="1">
      <alignment horizontal="center"/>
    </xf>
    <xf numFmtId="12" fontId="2" fillId="0" borderId="77" xfId="20" applyNumberFormat="1" applyFont="1" applyFill="1" applyBorder="1" applyAlignment="1"/>
    <xf numFmtId="0" fontId="2" fillId="0" borderId="77" xfId="20" applyFont="1" applyFill="1" applyBorder="1"/>
    <xf numFmtId="0" fontId="2" fillId="0" borderId="79" xfId="20" applyFont="1" applyFill="1" applyBorder="1"/>
    <xf numFmtId="43" fontId="2" fillId="0" borderId="41" xfId="4" applyFont="1" applyFill="1" applyBorder="1" applyAlignment="1">
      <alignment horizontal="right" vertical="center"/>
    </xf>
    <xf numFmtId="43" fontId="2" fillId="0" borderId="41" xfId="4" applyFont="1" applyFill="1" applyBorder="1"/>
    <xf numFmtId="43" fontId="22" fillId="0" borderId="41" xfId="4" applyFont="1" applyFill="1" applyBorder="1"/>
    <xf numFmtId="0" fontId="2" fillId="0" borderId="41" xfId="20" applyFont="1" applyFill="1" applyBorder="1" applyAlignment="1">
      <alignment horizontal="center"/>
    </xf>
    <xf numFmtId="0" fontId="2" fillId="0" borderId="72" xfId="20" applyFont="1" applyFill="1" applyBorder="1"/>
    <xf numFmtId="0" fontId="2" fillId="0" borderId="71" xfId="20" applyFont="1" applyFill="1" applyBorder="1"/>
    <xf numFmtId="12" fontId="2" fillId="0" borderId="41" xfId="20" applyNumberFormat="1" applyFont="1" applyFill="1" applyBorder="1" applyAlignment="1"/>
    <xf numFmtId="0" fontId="2" fillId="0" borderId="41" xfId="20" applyFont="1" applyFill="1" applyBorder="1"/>
    <xf numFmtId="43" fontId="2" fillId="0" borderId="71" xfId="4" applyFont="1" applyFill="1" applyBorder="1"/>
    <xf numFmtId="43" fontId="2" fillId="4" borderId="41" xfId="4" applyFont="1" applyFill="1" applyBorder="1"/>
    <xf numFmtId="12" fontId="2" fillId="0" borderId="41" xfId="20" applyNumberFormat="1" applyFont="1" applyFill="1" applyBorder="1" applyAlignment="1">
      <alignment horizontal="center"/>
    </xf>
    <xf numFmtId="0" fontId="2" fillId="0" borderId="41" xfId="20" applyFont="1" applyFill="1" applyBorder="1" applyAlignment="1">
      <alignment horizontal="left"/>
    </xf>
    <xf numFmtId="43" fontId="20" fillId="0" borderId="41" xfId="4" applyFont="1" applyFill="1" applyBorder="1" applyAlignment="1">
      <alignment horizontal="center"/>
    </xf>
    <xf numFmtId="2" fontId="2" fillId="4" borderId="41" xfId="0" quotePrefix="1" applyNumberFormat="1" applyFont="1" applyFill="1" applyBorder="1" applyAlignment="1">
      <alignment horizontal="center"/>
    </xf>
    <xf numFmtId="0" fontId="2" fillId="4" borderId="41" xfId="0" applyFont="1" applyFill="1" applyBorder="1" applyProtection="1">
      <protection locked="0"/>
    </xf>
    <xf numFmtId="0" fontId="2" fillId="0" borderId="41" xfId="20" applyFont="1" applyFill="1" applyBorder="1" applyAlignment="1">
      <alignment horizontal="center" vertical="center" wrapText="1"/>
    </xf>
    <xf numFmtId="14" fontId="2" fillId="13" borderId="41" xfId="20" applyNumberFormat="1" applyFont="1" applyFill="1" applyBorder="1" applyAlignment="1">
      <alignment horizontal="center" vertical="center" wrapText="1"/>
    </xf>
    <xf numFmtId="0" fontId="2" fillId="13" borderId="41" xfId="20" applyFont="1" applyFill="1" applyBorder="1" applyAlignment="1">
      <alignment horizontal="center" vertical="center" wrapText="1"/>
    </xf>
    <xf numFmtId="0" fontId="22" fillId="0" borderId="48" xfId="20" applyFont="1" applyFill="1" applyBorder="1" applyAlignment="1">
      <alignment horizontal="center" vertical="center" wrapText="1"/>
    </xf>
    <xf numFmtId="0" fontId="6" fillId="0" borderId="0" xfId="5"/>
    <xf numFmtId="0" fontId="6" fillId="0" borderId="0" xfId="5" applyBorder="1"/>
    <xf numFmtId="0" fontId="6" fillId="0" borderId="0" xfId="5" applyBorder="1" applyAlignment="1">
      <alignment horizontal="center"/>
    </xf>
    <xf numFmtId="43" fontId="6" fillId="0" borderId="0" xfId="5" applyNumberFormat="1"/>
    <xf numFmtId="43" fontId="22" fillId="5" borderId="52" xfId="5" applyNumberFormat="1" applyFont="1" applyFill="1" applyBorder="1"/>
    <xf numFmtId="0" fontId="22" fillId="0" borderId="0" xfId="5" applyFont="1" applyBorder="1" applyAlignment="1">
      <alignment horizontal="right"/>
    </xf>
    <xf numFmtId="0" fontId="2" fillId="0" borderId="0" xfId="5" applyFont="1"/>
    <xf numFmtId="43" fontId="6" fillId="0" borderId="0" xfId="5" applyNumberFormat="1" applyBorder="1"/>
    <xf numFmtId="43" fontId="0" fillId="0" borderId="0" xfId="21" applyFont="1" applyFill="1" applyBorder="1"/>
    <xf numFmtId="43" fontId="0" fillId="0" borderId="0" xfId="21" applyFont="1" applyFill="1" applyBorder="1" applyAlignment="1">
      <alignment horizontal="center"/>
    </xf>
    <xf numFmtId="0" fontId="2" fillId="0" borderId="0" xfId="5" applyFont="1" applyBorder="1"/>
    <xf numFmtId="43" fontId="0" fillId="0" borderId="41" xfId="21" applyFont="1" applyBorder="1"/>
    <xf numFmtId="43" fontId="0" fillId="0" borderId="41" xfId="21" applyFont="1" applyBorder="1" applyAlignment="1">
      <alignment horizontal="center"/>
    </xf>
    <xf numFmtId="43" fontId="0" fillId="0" borderId="41" xfId="21" applyFont="1" applyFill="1" applyBorder="1" applyAlignment="1">
      <alignment horizontal="center"/>
    </xf>
    <xf numFmtId="0" fontId="6" fillId="0" borderId="41" xfId="5" applyBorder="1" applyAlignment="1">
      <alignment horizontal="center"/>
    </xf>
    <xf numFmtId="43" fontId="6" fillId="0" borderId="41" xfId="5" applyNumberFormat="1" applyBorder="1"/>
    <xf numFmtId="43" fontId="0" fillId="0" borderId="41" xfId="21" applyNumberFormat="1" applyFont="1" applyFill="1" applyBorder="1"/>
    <xf numFmtId="43" fontId="2" fillId="4" borderId="41" xfId="21" applyFont="1" applyFill="1" applyBorder="1" applyAlignment="1">
      <alignment horizontal="center"/>
    </xf>
    <xf numFmtId="0" fontId="2" fillId="0" borderId="41" xfId="5" applyFont="1" applyBorder="1" applyAlignment="1">
      <alignment horizontal="center"/>
    </xf>
    <xf numFmtId="0" fontId="22" fillId="0" borderId="41" xfId="5" applyFont="1" applyBorder="1" applyAlignment="1">
      <alignment horizontal="center"/>
    </xf>
    <xf numFmtId="43" fontId="0" fillId="0" borderId="41" xfId="21" applyFont="1" applyFill="1" applyBorder="1"/>
    <xf numFmtId="43" fontId="0" fillId="0" borderId="82" xfId="21" applyFont="1" applyBorder="1" applyAlignment="1">
      <alignment horizontal="center"/>
    </xf>
    <xf numFmtId="43" fontId="0" fillId="0" borderId="82" xfId="21" applyFont="1" applyFill="1" applyBorder="1" applyAlignment="1">
      <alignment horizontal="center"/>
    </xf>
    <xf numFmtId="0" fontId="2" fillId="0" borderId="41" xfId="5" applyFont="1" applyBorder="1" applyAlignment="1">
      <alignment horizontal="center" wrapText="1"/>
    </xf>
    <xf numFmtId="43" fontId="2" fillId="0" borderId="0" xfId="21" applyFont="1"/>
    <xf numFmtId="0" fontId="22" fillId="0" borderId="0" xfId="5" applyFont="1"/>
    <xf numFmtId="0" fontId="6" fillId="0" borderId="77" xfId="5" applyBorder="1"/>
    <xf numFmtId="0" fontId="6" fillId="4" borderId="77" xfId="5" applyFill="1" applyBorder="1" applyAlignment="1">
      <alignment horizontal="center"/>
    </xf>
    <xf numFmtId="0" fontId="6" fillId="0" borderId="77" xfId="5" applyBorder="1" applyAlignment="1">
      <alignment horizontal="center"/>
    </xf>
    <xf numFmtId="0" fontId="22" fillId="0" borderId="77" xfId="5" applyFont="1" applyBorder="1" applyAlignment="1">
      <alignment horizontal="center"/>
    </xf>
    <xf numFmtId="0" fontId="6" fillId="0" borderId="41" xfId="5" applyBorder="1"/>
    <xf numFmtId="0" fontId="6" fillId="4" borderId="41" xfId="5" applyFill="1" applyBorder="1" applyAlignment="1">
      <alignment horizontal="center"/>
    </xf>
    <xf numFmtId="43" fontId="26" fillId="0" borderId="41" xfId="21" applyFont="1" applyBorder="1"/>
    <xf numFmtId="0" fontId="22" fillId="0" borderId="41" xfId="5" applyFont="1" applyFill="1" applyBorder="1" applyAlignment="1">
      <alignment horizontal="center"/>
    </xf>
    <xf numFmtId="0" fontId="6" fillId="0" borderId="0" xfId="5" applyAlignment="1">
      <alignment horizontal="center"/>
    </xf>
    <xf numFmtId="0" fontId="6" fillId="0" borderId="0" xfId="5" applyAlignment="1">
      <alignment horizontal="left"/>
    </xf>
    <xf numFmtId="0" fontId="27" fillId="0" borderId="0" xfId="5" applyFont="1"/>
    <xf numFmtId="169" fontId="5" fillId="0" borderId="0" xfId="7" applyNumberFormat="1" applyFont="1" applyFill="1" applyAlignment="1">
      <alignment horizontal="center"/>
    </xf>
    <xf numFmtId="43" fontId="5" fillId="0" borderId="0" xfId="8" applyFont="1" applyFill="1" applyBorder="1"/>
    <xf numFmtId="9" fontId="5" fillId="0" borderId="0" xfId="9" applyFont="1" applyFill="1" applyBorder="1" applyAlignment="1">
      <alignment horizontal="center"/>
    </xf>
    <xf numFmtId="0" fontId="21" fillId="0" borderId="0" xfId="7" applyFont="1" applyFill="1"/>
    <xf numFmtId="43" fontId="24" fillId="0" borderId="0" xfId="8" applyFont="1" applyFill="1"/>
    <xf numFmtId="43" fontId="24" fillId="0" borderId="0" xfId="8" applyFont="1" applyFill="1" applyBorder="1"/>
    <xf numFmtId="43" fontId="4" fillId="0" borderId="41" xfId="1" applyFont="1" applyFill="1" applyBorder="1"/>
    <xf numFmtId="0" fontId="4" fillId="0" borderId="52" xfId="7" applyFont="1" applyFill="1" applyBorder="1" applyAlignment="1">
      <alignment horizontal="left"/>
    </xf>
    <xf numFmtId="169" fontId="4" fillId="0" borderId="52" xfId="7" applyNumberFormat="1" applyFont="1" applyFill="1" applyBorder="1" applyAlignment="1" applyProtection="1">
      <alignment horizontal="center"/>
      <protection locked="0"/>
    </xf>
    <xf numFmtId="43" fontId="5" fillId="4" borderId="0" xfId="7" applyNumberFormat="1" applyFont="1" applyFill="1" applyAlignment="1">
      <alignment wrapText="1"/>
    </xf>
    <xf numFmtId="43" fontId="5" fillId="4" borderId="82" xfId="8" applyFont="1" applyFill="1" applyBorder="1"/>
    <xf numFmtId="43" fontId="4" fillId="4" borderId="41" xfId="8" applyFont="1" applyFill="1" applyBorder="1"/>
    <xf numFmtId="43" fontId="5" fillId="4" borderId="71" xfId="8" applyFont="1" applyFill="1" applyBorder="1"/>
    <xf numFmtId="9" fontId="5" fillId="4" borderId="41" xfId="9" applyFont="1" applyFill="1" applyBorder="1" applyAlignment="1">
      <alignment horizontal="center"/>
    </xf>
    <xf numFmtId="43" fontId="5" fillId="4" borderId="41" xfId="1" applyFont="1" applyFill="1" applyBorder="1" applyAlignment="1">
      <alignment horizontal="center"/>
    </xf>
    <xf numFmtId="0" fontId="5" fillId="4" borderId="83" xfId="7" applyFont="1" applyFill="1" applyBorder="1" applyAlignment="1">
      <alignment horizontal="center" vertical="center" wrapText="1"/>
    </xf>
    <xf numFmtId="0" fontId="5" fillId="4" borderId="41" xfId="7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/>
    </xf>
    <xf numFmtId="49" fontId="5" fillId="4" borderId="41" xfId="7" applyNumberFormat="1" applyFont="1" applyFill="1" applyBorder="1" applyAlignment="1">
      <alignment horizontal="center" vertical="center"/>
    </xf>
    <xf numFmtId="168" fontId="5" fillId="4" borderId="41" xfId="0" applyNumberFormat="1" applyFont="1" applyFill="1" applyBorder="1" applyAlignment="1">
      <alignment horizontal="center" vertical="center"/>
    </xf>
    <xf numFmtId="43" fontId="5" fillId="4" borderId="41" xfId="8" applyFont="1" applyFill="1" applyBorder="1" applyAlignment="1">
      <alignment wrapText="1"/>
    </xf>
    <xf numFmtId="0" fontId="5" fillId="4" borderId="41" xfId="0" applyFont="1" applyFill="1" applyBorder="1" applyAlignment="1">
      <alignment horizontal="center"/>
    </xf>
    <xf numFmtId="0" fontId="5" fillId="0" borderId="83" xfId="7" applyFont="1" applyFill="1" applyBorder="1" applyAlignment="1">
      <alignment horizontal="center" vertical="center" wrapText="1"/>
    </xf>
    <xf numFmtId="0" fontId="5" fillId="5" borderId="0" xfId="7" applyFont="1" applyFill="1"/>
    <xf numFmtId="43" fontId="5" fillId="5" borderId="0" xfId="7" applyNumberFormat="1" applyFont="1" applyFill="1" applyAlignment="1">
      <alignment wrapText="1"/>
    </xf>
    <xf numFmtId="43" fontId="5" fillId="5" borderId="41" xfId="8" applyFont="1" applyFill="1" applyBorder="1" applyAlignment="1">
      <alignment wrapText="1"/>
    </xf>
    <xf numFmtId="43" fontId="5" fillId="5" borderId="71" xfId="8" applyFont="1" applyFill="1" applyBorder="1"/>
    <xf numFmtId="9" fontId="5" fillId="5" borderId="41" xfId="9" applyFont="1" applyFill="1" applyBorder="1" applyAlignment="1">
      <alignment horizontal="center"/>
    </xf>
    <xf numFmtId="43" fontId="5" fillId="5" borderId="41" xfId="1" applyFont="1" applyFill="1" applyBorder="1" applyAlignment="1">
      <alignment horizontal="center"/>
    </xf>
    <xf numFmtId="0" fontId="5" fillId="5" borderId="83" xfId="7" applyFont="1" applyFill="1" applyBorder="1" applyAlignment="1">
      <alignment horizontal="center" vertical="center" wrapText="1"/>
    </xf>
    <xf numFmtId="0" fontId="5" fillId="5" borderId="41" xfId="7" applyFont="1" applyFill="1" applyBorder="1" applyAlignment="1">
      <alignment horizontal="center" vertical="center" wrapText="1"/>
    </xf>
    <xf numFmtId="0" fontId="5" fillId="5" borderId="41" xfId="0" applyFont="1" applyFill="1" applyBorder="1" applyAlignment="1">
      <alignment horizontal="center"/>
    </xf>
    <xf numFmtId="49" fontId="5" fillId="5" borderId="41" xfId="7" applyNumberFormat="1" applyFont="1" applyFill="1" applyBorder="1" applyAlignment="1">
      <alignment horizontal="center" vertical="center"/>
    </xf>
    <xf numFmtId="168" fontId="5" fillId="5" borderId="41" xfId="0" applyNumberFormat="1" applyFont="1" applyFill="1" applyBorder="1" applyAlignment="1">
      <alignment horizontal="center" vertical="center"/>
    </xf>
    <xf numFmtId="43" fontId="4" fillId="0" borderId="78" xfId="8" applyFont="1" applyFill="1" applyBorder="1" applyAlignment="1">
      <alignment horizontal="center" vertical="center" wrapText="1"/>
    </xf>
    <xf numFmtId="43" fontId="4" fillId="0" borderId="77" xfId="8" applyFont="1" applyFill="1" applyBorder="1" applyAlignment="1">
      <alignment horizontal="center" vertical="center" wrapText="1"/>
    </xf>
    <xf numFmtId="43" fontId="5" fillId="0" borderId="77" xfId="8" applyFont="1" applyFill="1" applyBorder="1" applyAlignment="1">
      <alignment horizontal="center" vertical="center" wrapText="1"/>
    </xf>
    <xf numFmtId="9" fontId="4" fillId="0" borderId="77" xfId="9" applyFont="1" applyFill="1" applyBorder="1" applyAlignment="1">
      <alignment horizontal="center" vertical="center" wrapText="1"/>
    </xf>
    <xf numFmtId="0" fontId="4" fillId="0" borderId="77" xfId="7" applyFont="1" applyFill="1" applyBorder="1" applyAlignment="1">
      <alignment horizontal="center" vertical="center" wrapText="1"/>
    </xf>
    <xf numFmtId="0" fontId="4" fillId="0" borderId="77" xfId="7" applyNumberFormat="1" applyFont="1" applyFill="1" applyBorder="1" applyAlignment="1">
      <alignment horizontal="center" vertical="center" wrapText="1"/>
    </xf>
    <xf numFmtId="0" fontId="5" fillId="4" borderId="77" xfId="0" applyFont="1" applyFill="1" applyBorder="1" applyAlignment="1">
      <alignment horizontal="center"/>
    </xf>
    <xf numFmtId="43" fontId="4" fillId="0" borderId="84" xfId="8" applyFont="1" applyFill="1" applyBorder="1" applyAlignment="1">
      <alignment horizontal="center" vertical="center" wrapText="1"/>
    </xf>
    <xf numFmtId="169" fontId="4" fillId="0" borderId="77" xfId="7" applyNumberFormat="1" applyFont="1" applyFill="1" applyBorder="1" applyAlignment="1">
      <alignment horizontal="center" vertical="center" wrapText="1"/>
    </xf>
    <xf numFmtId="0" fontId="4" fillId="0" borderId="0" xfId="7" applyNumberFormat="1" applyFont="1" applyFill="1" applyAlignment="1">
      <alignment horizontal="left"/>
    </xf>
    <xf numFmtId="169" fontId="4" fillId="0" borderId="0" xfId="7" applyNumberFormat="1" applyFont="1" applyFill="1" applyAlignment="1">
      <alignment horizontal="left"/>
    </xf>
    <xf numFmtId="0" fontId="28" fillId="0" borderId="0" xfId="0" applyFont="1"/>
    <xf numFmtId="0" fontId="5" fillId="0" borderId="0" xfId="0" applyFont="1"/>
    <xf numFmtId="43" fontId="28" fillId="0" borderId="0" xfId="0" applyNumberFormat="1" applyFont="1"/>
    <xf numFmtId="43" fontId="28" fillId="0" borderId="0" xfId="22" applyFont="1"/>
    <xf numFmtId="0" fontId="28" fillId="0" borderId="0" xfId="0" quotePrefix="1" applyFont="1"/>
    <xf numFmtId="43" fontId="5" fillId="0" borderId="0" xfId="22" applyFont="1"/>
    <xf numFmtId="0" fontId="5" fillId="0" borderId="0" xfId="0" quotePrefix="1" applyFont="1"/>
    <xf numFmtId="10" fontId="28" fillId="0" borderId="0" xfId="23" applyNumberFormat="1" applyFont="1"/>
    <xf numFmtId="43" fontId="28" fillId="0" borderId="0" xfId="23" applyNumberFormat="1" applyFont="1"/>
    <xf numFmtId="0" fontId="4" fillId="0" borderId="0" xfId="0" applyFont="1"/>
    <xf numFmtId="43" fontId="5" fillId="14" borderId="0" xfId="0" applyNumberFormat="1" applyFont="1" applyFill="1"/>
    <xf numFmtId="0" fontId="5" fillId="14" borderId="0" xfId="0" applyFont="1" applyFill="1" applyBorder="1"/>
    <xf numFmtId="43" fontId="4" fillId="0" borderId="0" xfId="0" applyNumberFormat="1" applyFont="1"/>
    <xf numFmtId="0" fontId="5" fillId="14" borderId="0" xfId="0" quotePrefix="1" applyFont="1" applyFill="1"/>
    <xf numFmtId="43" fontId="30" fillId="0" borderId="0" xfId="0" applyNumberFormat="1" applyFont="1"/>
    <xf numFmtId="43" fontId="5" fillId="0" borderId="52" xfId="0" applyNumberFormat="1" applyFont="1" applyBorder="1"/>
    <xf numFmtId="43" fontId="5" fillId="0" borderId="0" xfId="0" applyNumberFormat="1" applyFont="1"/>
    <xf numFmtId="43" fontId="5" fillId="15" borderId="0" xfId="0" applyNumberFormat="1" applyFont="1" applyFill="1"/>
    <xf numFmtId="0" fontId="5" fillId="15" borderId="0" xfId="0" applyFont="1" applyFill="1"/>
    <xf numFmtId="0" fontId="5" fillId="15" borderId="0" xfId="0" quotePrefix="1" applyFont="1" applyFill="1"/>
    <xf numFmtId="43" fontId="4" fillId="0" borderId="85" xfId="22" applyFont="1" applyBorder="1"/>
    <xf numFmtId="43" fontId="4" fillId="0" borderId="85" xfId="22" applyFont="1" applyFill="1" applyBorder="1"/>
    <xf numFmtId="43" fontId="4" fillId="5" borderId="85" xfId="22" applyFont="1" applyFill="1" applyBorder="1"/>
    <xf numFmtId="43" fontId="4" fillId="15" borderId="85" xfId="22" applyFont="1" applyFill="1" applyBorder="1"/>
    <xf numFmtId="0" fontId="4" fillId="0" borderId="85" xfId="0" applyFont="1" applyBorder="1"/>
    <xf numFmtId="43" fontId="5" fillId="0" borderId="0" xfId="22" applyFont="1" applyFill="1"/>
    <xf numFmtId="43" fontId="5" fillId="16" borderId="0" xfId="22" applyFont="1" applyFill="1"/>
    <xf numFmtId="43" fontId="5" fillId="15" borderId="0" xfId="22" applyFont="1" applyFill="1"/>
    <xf numFmtId="43" fontId="5" fillId="16" borderId="86" xfId="22" applyFont="1" applyFill="1" applyBorder="1"/>
    <xf numFmtId="43" fontId="5" fillId="17" borderId="0" xfId="22" applyFont="1" applyFill="1"/>
    <xf numFmtId="43" fontId="5" fillId="17" borderId="0" xfId="22" applyFont="1" applyFill="1" applyAlignment="1">
      <alignment horizontal="center"/>
    </xf>
    <xf numFmtId="0" fontId="4" fillId="0" borderId="87" xfId="0" applyFont="1" applyBorder="1" applyAlignment="1">
      <alignment horizontal="center" vertical="center" wrapText="1"/>
    </xf>
    <xf numFmtId="43" fontId="4" fillId="0" borderId="24" xfId="22" applyFont="1" applyFill="1" applyBorder="1"/>
    <xf numFmtId="43" fontId="4" fillId="16" borderId="24" xfId="22" applyFont="1" applyFill="1" applyBorder="1"/>
    <xf numFmtId="43" fontId="4" fillId="15" borderId="24" xfId="22" applyFont="1" applyFill="1" applyBorder="1"/>
    <xf numFmtId="43" fontId="4" fillId="17" borderId="24" xfId="22" applyFont="1" applyFill="1" applyBorder="1"/>
    <xf numFmtId="43" fontId="4" fillId="17" borderId="24" xfId="22" applyFont="1" applyFill="1" applyBorder="1" applyAlignment="1">
      <alignment horizontal="center"/>
    </xf>
    <xf numFmtId="43" fontId="4" fillId="0" borderId="24" xfId="22" applyFont="1" applyBorder="1"/>
    <xf numFmtId="43" fontId="4" fillId="18" borderId="24" xfId="22" applyFont="1" applyFill="1" applyBorder="1"/>
    <xf numFmtId="0" fontId="4" fillId="0" borderId="24" xfId="0" applyFont="1" applyBorder="1"/>
    <xf numFmtId="0" fontId="4" fillId="0" borderId="88" xfId="0" applyFont="1" applyBorder="1" applyAlignment="1">
      <alignment horizontal="center" vertical="center" wrapText="1"/>
    </xf>
    <xf numFmtId="2" fontId="5" fillId="0" borderId="0" xfId="0" applyNumberFormat="1" applyFont="1"/>
    <xf numFmtId="15" fontId="28" fillId="0" borderId="0" xfId="0" applyNumberFormat="1" applyFont="1"/>
    <xf numFmtId="43" fontId="5" fillId="0" borderId="89" xfId="22" applyNumberFormat="1" applyFont="1" applyFill="1" applyBorder="1"/>
    <xf numFmtId="43" fontId="5" fillId="16" borderId="0" xfId="22" applyNumberFormat="1" applyFont="1" applyFill="1" applyBorder="1"/>
    <xf numFmtId="43" fontId="5" fillId="0" borderId="0" xfId="22" applyFont="1" applyFill="1" applyBorder="1"/>
    <xf numFmtId="43" fontId="5" fillId="15" borderId="0" xfId="22" applyFont="1" applyFill="1" applyBorder="1"/>
    <xf numFmtId="43" fontId="5" fillId="16" borderId="0" xfId="22" applyFont="1" applyFill="1" applyBorder="1"/>
    <xf numFmtId="43" fontId="5" fillId="17" borderId="0" xfId="22" applyFont="1" applyFill="1" applyBorder="1"/>
    <xf numFmtId="43" fontId="5" fillId="17" borderId="0" xfId="22" applyFont="1" applyFill="1" applyBorder="1" applyAlignment="1">
      <alignment horizontal="center"/>
    </xf>
    <xf numFmtId="43" fontId="5" fillId="0" borderId="0" xfId="22" applyFont="1" applyBorder="1"/>
    <xf numFmtId="14" fontId="5" fillId="17" borderId="0" xfId="22" applyNumberFormat="1" applyFont="1" applyFill="1" applyBorder="1" applyAlignment="1">
      <alignment horizontal="center"/>
    </xf>
    <xf numFmtId="0" fontId="5" fillId="0" borderId="0" xfId="0" applyFont="1" applyFill="1" applyBorder="1"/>
    <xf numFmtId="43" fontId="4" fillId="0" borderId="92" xfId="22" applyFont="1" applyFill="1" applyBorder="1"/>
    <xf numFmtId="0" fontId="4" fillId="0" borderId="25" xfId="0" applyFont="1" applyBorder="1" applyAlignment="1">
      <alignment horizontal="center" vertical="center" wrapText="1"/>
    </xf>
    <xf numFmtId="43" fontId="5" fillId="0" borderId="0" xfId="22" applyNumberFormat="1" applyFont="1" applyFill="1" applyBorder="1"/>
    <xf numFmtId="43" fontId="5" fillId="15" borderId="0" xfId="22" applyFont="1" applyFill="1" applyBorder="1" applyAlignment="1"/>
    <xf numFmtId="0" fontId="5" fillId="0" borderId="0" xfId="0" applyFont="1" applyBorder="1"/>
    <xf numFmtId="15" fontId="5" fillId="0" borderId="0" xfId="0" applyNumberFormat="1" applyFont="1" applyBorder="1"/>
    <xf numFmtId="15" fontId="5" fillId="17" borderId="0" xfId="22" applyNumberFormat="1" applyFont="1" applyFill="1" applyBorder="1" applyAlignment="1">
      <alignment horizontal="center"/>
    </xf>
    <xf numFmtId="13" fontId="4" fillId="17" borderId="24" xfId="22" applyNumberFormat="1" applyFont="1" applyFill="1" applyBorder="1" applyAlignment="1">
      <alignment horizontal="center"/>
    </xf>
    <xf numFmtId="170" fontId="5" fillId="16" borderId="0" xfId="22" applyNumberFormat="1" applyFont="1" applyFill="1" applyBorder="1"/>
    <xf numFmtId="43" fontId="5" fillId="0" borderId="93" xfId="22" applyFont="1" applyFill="1" applyBorder="1"/>
    <xf numFmtId="0" fontId="31" fillId="0" borderId="0" xfId="0" applyFont="1"/>
    <xf numFmtId="43" fontId="4" fillId="18" borderId="24" xfId="22" applyFont="1" applyFill="1" applyBorder="1" applyAlignment="1">
      <alignment horizontal="center"/>
    </xf>
    <xf numFmtId="0" fontId="28" fillId="0" borderId="24" xfId="0" applyFont="1" applyBorder="1"/>
    <xf numFmtId="0" fontId="5" fillId="0" borderId="24" xfId="0" applyFont="1" applyBorder="1"/>
    <xf numFmtId="43" fontId="5" fillId="0" borderId="24" xfId="22" applyFont="1" applyBorder="1"/>
    <xf numFmtId="43" fontId="4" fillId="17" borderId="24" xfId="22" applyFont="1" applyFill="1" applyBorder="1" applyAlignment="1"/>
    <xf numFmtId="43" fontId="4" fillId="17" borderId="25" xfId="22" applyFont="1" applyFill="1" applyBorder="1"/>
    <xf numFmtId="2" fontId="5" fillId="0" borderId="24" xfId="0" applyNumberFormat="1" applyFont="1" applyBorder="1"/>
    <xf numFmtId="43" fontId="5" fillId="17" borderId="24" xfId="22" applyFont="1" applyFill="1" applyBorder="1"/>
    <xf numFmtId="43" fontId="5" fillId="0" borderId="94" xfId="0" applyNumberFormat="1" applyFont="1" applyFill="1" applyBorder="1"/>
    <xf numFmtId="43" fontId="5" fillId="16" borderId="94" xfId="0" applyNumberFormat="1" applyFont="1" applyFill="1" applyBorder="1"/>
    <xf numFmtId="0" fontId="5" fillId="0" borderId="94" xfId="0" applyFont="1" applyFill="1" applyBorder="1"/>
    <xf numFmtId="0" fontId="5" fillId="15" borderId="94" xfId="0" applyFont="1" applyFill="1" applyBorder="1"/>
    <xf numFmtId="0" fontId="5" fillId="16" borderId="94" xfId="0" applyFont="1" applyFill="1" applyBorder="1"/>
    <xf numFmtId="0" fontId="5" fillId="17" borderId="94" xfId="0" applyFont="1" applyFill="1" applyBorder="1"/>
    <xf numFmtId="0" fontId="5" fillId="17" borderId="94" xfId="0" applyFont="1" applyFill="1" applyBorder="1" applyAlignment="1">
      <alignment horizontal="center"/>
    </xf>
    <xf numFmtId="0" fontId="5" fillId="0" borderId="94" xfId="0" applyFont="1" applyBorder="1"/>
    <xf numFmtId="0" fontId="5" fillId="0" borderId="95" xfId="0" applyFont="1" applyBorder="1"/>
    <xf numFmtId="0" fontId="4" fillId="16" borderId="96" xfId="0" applyFont="1" applyFill="1" applyBorder="1" applyAlignment="1">
      <alignment horizontal="center" vertical="center" wrapText="1"/>
    </xf>
    <xf numFmtId="0" fontId="4" fillId="15" borderId="97" xfId="0" applyFont="1" applyFill="1" applyBorder="1" applyAlignment="1">
      <alignment horizontal="center" vertical="center" wrapText="1"/>
    </xf>
    <xf numFmtId="0" fontId="4" fillId="0" borderId="97" xfId="0" applyFont="1" applyFill="1" applyBorder="1" applyAlignment="1">
      <alignment horizontal="center" vertical="center" wrapText="1"/>
    </xf>
    <xf numFmtId="0" fontId="4" fillId="16" borderId="97" xfId="0" applyFont="1" applyFill="1" applyBorder="1" applyAlignment="1">
      <alignment horizontal="center" vertical="center" wrapText="1"/>
    </xf>
    <xf numFmtId="0" fontId="4" fillId="16" borderId="98" xfId="0" applyFont="1" applyFill="1" applyBorder="1" applyAlignment="1">
      <alignment horizontal="center" vertical="center" wrapText="1"/>
    </xf>
    <xf numFmtId="0" fontId="4" fillId="17" borderId="97" xfId="0" applyFont="1" applyFill="1" applyBorder="1" applyAlignment="1">
      <alignment horizontal="center" vertical="center" wrapText="1"/>
    </xf>
    <xf numFmtId="0" fontId="4" fillId="0" borderId="100" xfId="0" applyFont="1" applyFill="1" applyBorder="1" applyAlignment="1">
      <alignment horizontal="center" vertical="center" wrapText="1"/>
    </xf>
    <xf numFmtId="0" fontId="4" fillId="15" borderId="98" xfId="0" applyFont="1" applyFill="1" applyBorder="1" applyAlignment="1">
      <alignment horizontal="center" vertical="center" wrapText="1"/>
    </xf>
    <xf numFmtId="0" fontId="4" fillId="15" borderId="96" xfId="0" applyFont="1" applyFill="1" applyBorder="1" applyAlignment="1">
      <alignment vertical="center" wrapText="1"/>
    </xf>
    <xf numFmtId="9" fontId="4" fillId="17" borderId="97" xfId="0" applyNumberFormat="1" applyFont="1" applyFill="1" applyBorder="1" applyAlignment="1">
      <alignment horizontal="center" vertical="center" wrapText="1"/>
    </xf>
    <xf numFmtId="0" fontId="4" fillId="16" borderId="102" xfId="0" applyFont="1" applyFill="1" applyBorder="1" applyAlignment="1">
      <alignment horizontal="center" vertical="center" wrapText="1"/>
    </xf>
    <xf numFmtId="0" fontId="4" fillId="15" borderId="103" xfId="0" applyFont="1" applyFill="1" applyBorder="1" applyAlignment="1">
      <alignment horizontal="center" vertical="center" wrapText="1"/>
    </xf>
    <xf numFmtId="0" fontId="4" fillId="0" borderId="103" xfId="0" applyFont="1" applyFill="1" applyBorder="1" applyAlignment="1">
      <alignment horizontal="center" vertical="center" wrapText="1"/>
    </xf>
    <xf numFmtId="0" fontId="4" fillId="16" borderId="103" xfId="0" applyFont="1" applyFill="1" applyBorder="1" applyAlignment="1">
      <alignment horizontal="center" vertical="center" wrapText="1"/>
    </xf>
    <xf numFmtId="0" fontId="4" fillId="16" borderId="104" xfId="0" applyFont="1" applyFill="1" applyBorder="1" applyAlignment="1">
      <alignment horizontal="center" vertical="center" wrapText="1"/>
    </xf>
    <xf numFmtId="0" fontId="4" fillId="17" borderId="103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9" fontId="4" fillId="0" borderId="0" xfId="0" applyNumberFormat="1" applyFont="1" applyAlignment="1">
      <alignment horizontal="center"/>
    </xf>
    <xf numFmtId="0" fontId="5" fillId="0" borderId="0" xfId="0" applyFont="1" applyFill="1"/>
    <xf numFmtId="9" fontId="5" fillId="0" borderId="0" xfId="0" applyNumberFormat="1" applyFont="1"/>
    <xf numFmtId="171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43" fontId="4" fillId="0" borderId="0" xfId="0" applyNumberFormat="1" applyFont="1" applyFill="1"/>
    <xf numFmtId="0" fontId="4" fillId="0" borderId="0" xfId="0" applyFont="1" applyFill="1"/>
    <xf numFmtId="49" fontId="4" fillId="0" borderId="0" xfId="0" applyNumberFormat="1" applyFont="1"/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NumberFormat="1" applyFont="1" applyFill="1"/>
    <xf numFmtId="43" fontId="0" fillId="0" borderId="0" xfId="8" applyFont="1"/>
    <xf numFmtId="0" fontId="33" fillId="0" borderId="0" xfId="5" applyFont="1"/>
    <xf numFmtId="0" fontId="14" fillId="0" borderId="0" xfId="5" applyFont="1" applyBorder="1"/>
    <xf numFmtId="43" fontId="22" fillId="0" borderId="52" xfId="8" applyFont="1" applyBorder="1"/>
    <xf numFmtId="43" fontId="22" fillId="0" borderId="0" xfId="8" applyFont="1"/>
    <xf numFmtId="43" fontId="5" fillId="0" borderId="108" xfId="8" applyFont="1" applyBorder="1" applyAlignment="1">
      <alignment horizontal="center"/>
    </xf>
    <xf numFmtId="43" fontId="5" fillId="0" borderId="68" xfId="8" applyFont="1" applyBorder="1"/>
    <xf numFmtId="0" fontId="5" fillId="0" borderId="68" xfId="5" applyFont="1" applyBorder="1" applyAlignment="1">
      <alignment horizontal="center"/>
    </xf>
    <xf numFmtId="0" fontId="5" fillId="0" borderId="68" xfId="5" applyFont="1" applyBorder="1"/>
    <xf numFmtId="0" fontId="34" fillId="0" borderId="69" xfId="5" applyFont="1" applyBorder="1"/>
    <xf numFmtId="43" fontId="24" fillId="0" borderId="70" xfId="8" applyFont="1" applyBorder="1" applyAlignment="1">
      <alignment horizontal="center"/>
    </xf>
    <xf numFmtId="43" fontId="24" fillId="0" borderId="83" xfId="8" applyFont="1" applyFill="1" applyBorder="1"/>
    <xf numFmtId="0" fontId="24" fillId="0" borderId="41" xfId="5" applyFont="1" applyFill="1" applyBorder="1" applyAlignment="1">
      <alignment horizontal="center"/>
    </xf>
    <xf numFmtId="0" fontId="24" fillId="0" borderId="41" xfId="5" applyFont="1" applyBorder="1" applyAlignment="1">
      <alignment horizontal="center"/>
    </xf>
    <xf numFmtId="0" fontId="24" fillId="0" borderId="83" xfId="5" applyFont="1" applyFill="1" applyBorder="1" applyAlignment="1">
      <alignment horizontal="center"/>
    </xf>
    <xf numFmtId="0" fontId="24" fillId="0" borderId="41" xfId="5" applyFont="1" applyBorder="1"/>
    <xf numFmtId="14" fontId="34" fillId="0" borderId="72" xfId="5" applyNumberFormat="1" applyFont="1" applyFill="1" applyBorder="1" applyAlignment="1">
      <alignment horizontal="center"/>
    </xf>
    <xf numFmtId="43" fontId="24" fillId="0" borderId="41" xfId="8" applyFont="1" applyFill="1" applyBorder="1"/>
    <xf numFmtId="0" fontId="24" fillId="0" borderId="41" xfId="5" applyFont="1" applyFill="1" applyBorder="1"/>
    <xf numFmtId="43" fontId="35" fillId="0" borderId="41" xfId="8" applyFont="1" applyFill="1" applyBorder="1" applyAlignment="1">
      <alignment horizontal="center"/>
    </xf>
    <xf numFmtId="0" fontId="24" fillId="0" borderId="0" xfId="5" applyFont="1" applyFill="1" applyBorder="1"/>
    <xf numFmtId="16" fontId="34" fillId="0" borderId="41" xfId="5" applyNumberFormat="1" applyFont="1" applyBorder="1"/>
    <xf numFmtId="43" fontId="18" fillId="0" borderId="0" xfId="8" applyFont="1" applyFill="1" applyBorder="1" applyAlignment="1">
      <alignment horizontal="center"/>
    </xf>
    <xf numFmtId="0" fontId="20" fillId="0" borderId="0" xfId="5" applyFont="1" applyFill="1" applyBorder="1" applyAlignment="1">
      <alignment horizontal="center"/>
    </xf>
    <xf numFmtId="0" fontId="20" fillId="0" borderId="0" xfId="5" applyFont="1" applyFill="1" applyBorder="1" applyAlignment="1">
      <alignment horizontal="left"/>
    </xf>
    <xf numFmtId="43" fontId="24" fillId="0" borderId="0" xfId="8" applyFont="1" applyBorder="1" applyAlignment="1">
      <alignment horizontal="center"/>
    </xf>
    <xf numFmtId="0" fontId="24" fillId="0" borderId="0" xfId="5" applyFont="1" applyFill="1" applyBorder="1" applyAlignment="1">
      <alignment horizontal="center"/>
    </xf>
    <xf numFmtId="0" fontId="24" fillId="0" borderId="0" xfId="5" applyFont="1" applyBorder="1"/>
    <xf numFmtId="0" fontId="2" fillId="0" borderId="0" xfId="5" applyFont="1" applyFill="1" applyBorder="1"/>
    <xf numFmtId="43" fontId="5" fillId="0" borderId="0" xfId="8" applyFont="1" applyBorder="1" applyAlignment="1">
      <alignment horizontal="center"/>
    </xf>
    <xf numFmtId="0" fontId="5" fillId="0" borderId="0" xfId="5" applyFont="1" applyBorder="1"/>
    <xf numFmtId="0" fontId="5" fillId="0" borderId="0" xfId="5" applyFont="1" applyBorder="1" applyAlignment="1">
      <alignment horizontal="center"/>
    </xf>
    <xf numFmtId="0" fontId="4" fillId="0" borderId="0" xfId="5" applyFont="1" applyBorder="1"/>
    <xf numFmtId="0" fontId="5" fillId="0" borderId="0" xfId="5" applyFont="1" applyFill="1" applyBorder="1" applyAlignment="1">
      <alignment horizontal="center"/>
    </xf>
    <xf numFmtId="43" fontId="36" fillId="19" borderId="73" xfId="8" applyFont="1" applyFill="1" applyBorder="1" applyAlignment="1">
      <alignment horizontal="center"/>
    </xf>
    <xf numFmtId="43" fontId="37" fillId="19" borderId="75" xfId="8" applyFont="1" applyFill="1" applyBorder="1" applyAlignment="1">
      <alignment horizontal="center"/>
    </xf>
    <xf numFmtId="0" fontId="36" fillId="19" borderId="75" xfId="5" applyFont="1" applyFill="1" applyBorder="1" applyAlignment="1">
      <alignment horizontal="center"/>
    </xf>
    <xf numFmtId="0" fontId="36" fillId="19" borderId="76" xfId="5" applyFont="1" applyFill="1" applyBorder="1" applyAlignment="1">
      <alignment horizontal="center"/>
    </xf>
    <xf numFmtId="0" fontId="38" fillId="19" borderId="109" xfId="5" applyFont="1" applyFill="1" applyBorder="1" applyAlignment="1">
      <alignment horizontal="center"/>
    </xf>
    <xf numFmtId="43" fontId="0" fillId="0" borderId="0" xfId="8" applyFont="1" applyBorder="1"/>
    <xf numFmtId="43" fontId="5" fillId="0" borderId="0" xfId="8" applyFont="1" applyBorder="1" applyAlignment="1"/>
    <xf numFmtId="0" fontId="5" fillId="0" borderId="0" xfId="5" applyFont="1" applyBorder="1" applyAlignment="1"/>
    <xf numFmtId="172" fontId="22" fillId="0" borderId="0" xfId="5" applyNumberFormat="1" applyFont="1" applyBorder="1" applyAlignment="1">
      <alignment horizontal="center"/>
    </xf>
    <xf numFmtId="0" fontId="33" fillId="0" borderId="0" xfId="5" applyFont="1" applyBorder="1"/>
    <xf numFmtId="43" fontId="39" fillId="20" borderId="0" xfId="8" applyFont="1" applyFill="1" applyBorder="1" applyAlignment="1"/>
    <xf numFmtId="0" fontId="39" fillId="20" borderId="0" xfId="5" applyFont="1" applyFill="1" applyBorder="1" applyAlignment="1"/>
    <xf numFmtId="0" fontId="39" fillId="20" borderId="0" xfId="5" applyFont="1" applyFill="1" applyBorder="1" applyAlignment="1">
      <alignment horizontal="center"/>
    </xf>
    <xf numFmtId="0" fontId="22" fillId="0" borderId="0" xfId="5" applyFont="1" applyBorder="1" applyAlignment="1">
      <alignment horizontal="center"/>
    </xf>
    <xf numFmtId="43" fontId="39" fillId="20" borderId="110" xfId="8" applyFont="1" applyFill="1" applyBorder="1" applyAlignment="1"/>
    <xf numFmtId="0" fontId="39" fillId="20" borderId="110" xfId="5" applyFont="1" applyFill="1" applyBorder="1" applyAlignment="1"/>
    <xf numFmtId="0" fontId="39" fillId="20" borderId="110" xfId="5" applyFont="1" applyFill="1" applyBorder="1" applyAlignment="1">
      <alignment horizontal="center"/>
    </xf>
    <xf numFmtId="0" fontId="22" fillId="0" borderId="110" xfId="5" applyFont="1" applyBorder="1" applyAlignment="1">
      <alignment horizontal="center"/>
    </xf>
    <xf numFmtId="0" fontId="40" fillId="0" borderId="0" xfId="0" applyFont="1"/>
    <xf numFmtId="43" fontId="41" fillId="0" borderId="0" xfId="1" applyFont="1"/>
    <xf numFmtId="0" fontId="41" fillId="0" borderId="0" xfId="0" applyFont="1"/>
    <xf numFmtId="43" fontId="40" fillId="0" borderId="41" xfId="1" applyFont="1" applyBorder="1"/>
    <xf numFmtId="0" fontId="40" fillId="0" borderId="41" xfId="0" applyFont="1" applyBorder="1"/>
    <xf numFmtId="0" fontId="40" fillId="0" borderId="41" xfId="0" applyFont="1" applyBorder="1" applyAlignment="1">
      <alignment horizontal="center"/>
    </xf>
    <xf numFmtId="0" fontId="40" fillId="0" borderId="0" xfId="0" applyFont="1" applyFill="1"/>
    <xf numFmtId="43" fontId="40" fillId="0" borderId="41" xfId="1" applyFont="1" applyFill="1" applyBorder="1"/>
    <xf numFmtId="0" fontId="40" fillId="0" borderId="41" xfId="0" applyFont="1" applyFill="1" applyBorder="1"/>
    <xf numFmtId="43" fontId="40" fillId="21" borderId="41" xfId="1" applyFont="1" applyFill="1" applyBorder="1"/>
    <xf numFmtId="0" fontId="40" fillId="21" borderId="41" xfId="0" applyFont="1" applyFill="1" applyBorder="1"/>
    <xf numFmtId="0" fontId="40" fillId="21" borderId="41" xfId="0" applyFont="1" applyFill="1" applyBorder="1" applyAlignment="1">
      <alignment horizontal="center"/>
    </xf>
    <xf numFmtId="173" fontId="41" fillId="0" borderId="41" xfId="0" applyNumberFormat="1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1" fillId="0" borderId="83" xfId="0" applyFont="1" applyBorder="1" applyAlignment="1"/>
    <xf numFmtId="0" fontId="41" fillId="0" borderId="77" xfId="0" applyFont="1" applyBorder="1" applyAlignment="1"/>
    <xf numFmtId="0" fontId="40" fillId="0" borderId="0" xfId="0" applyFont="1" applyBorder="1"/>
    <xf numFmtId="43" fontId="40" fillId="0" borderId="0" xfId="1" applyFont="1" applyBorder="1"/>
    <xf numFmtId="0" fontId="41" fillId="0" borderId="0" xfId="0" applyFont="1" applyBorder="1"/>
    <xf numFmtId="43" fontId="41" fillId="0" borderId="52" xfId="1" applyFont="1" applyBorder="1"/>
    <xf numFmtId="0" fontId="40" fillId="0" borderId="0" xfId="0" applyFont="1" applyBorder="1" applyAlignment="1">
      <alignment horizontal="center"/>
    </xf>
    <xf numFmtId="43" fontId="41" fillId="0" borderId="113" xfId="1" applyFont="1" applyBorder="1"/>
    <xf numFmtId="43" fontId="40" fillId="0" borderId="53" xfId="1" applyFont="1" applyBorder="1"/>
    <xf numFmtId="0" fontId="40" fillId="0" borderId="0" xfId="0" applyFont="1" applyBorder="1" applyAlignment="1">
      <alignment horizontal="left" indent="1"/>
    </xf>
    <xf numFmtId="43" fontId="41" fillId="0" borderId="53" xfId="1" applyFont="1" applyBorder="1"/>
    <xf numFmtId="0" fontId="43" fillId="0" borderId="0" xfId="0" applyFont="1" applyBorder="1" applyAlignment="1">
      <alignment horizontal="left" indent="3"/>
    </xf>
    <xf numFmtId="43" fontId="43" fillId="0" borderId="111" xfId="1" applyFont="1" applyBorder="1"/>
    <xf numFmtId="0" fontId="40" fillId="0" borderId="0" xfId="0" applyFont="1" applyBorder="1" applyAlignment="1">
      <alignment horizontal="left" indent="2"/>
    </xf>
    <xf numFmtId="0" fontId="43" fillId="0" borderId="0" xfId="0" applyFont="1" applyBorder="1" applyAlignment="1">
      <alignment horizontal="left" indent="1"/>
    </xf>
    <xf numFmtId="0" fontId="40" fillId="0" borderId="0" xfId="0" applyFont="1" applyFill="1" applyBorder="1"/>
    <xf numFmtId="43" fontId="40" fillId="0" borderId="0" xfId="1" applyFont="1" applyFill="1" applyBorder="1"/>
    <xf numFmtId="0" fontId="40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center"/>
    </xf>
    <xf numFmtId="43" fontId="41" fillId="0" borderId="111" xfId="1" applyFont="1" applyBorder="1"/>
    <xf numFmtId="0" fontId="41" fillId="0" borderId="0" xfId="0" applyFont="1" applyBorder="1" applyAlignment="1">
      <alignment horizontal="left" indent="3"/>
    </xf>
    <xf numFmtId="10" fontId="40" fillId="0" borderId="0" xfId="2" applyNumberFormat="1" applyFont="1" applyBorder="1"/>
    <xf numFmtId="43" fontId="40" fillId="0" borderId="0" xfId="2" applyNumberFormat="1" applyFont="1" applyBorder="1"/>
    <xf numFmtId="0" fontId="40" fillId="0" borderId="0" xfId="0" applyFont="1" applyBorder="1" applyAlignment="1">
      <alignment horizontal="left" indent="3"/>
    </xf>
    <xf numFmtId="43" fontId="40" fillId="0" borderId="113" xfId="1" applyFont="1" applyBorder="1"/>
    <xf numFmtId="173" fontId="41" fillId="0" borderId="41" xfId="0" applyNumberFormat="1" applyFont="1" applyBorder="1" applyAlignment="1">
      <alignment horizontal="center"/>
    </xf>
    <xf numFmtId="0" fontId="41" fillId="0" borderId="77" xfId="0" applyFont="1" applyBorder="1" applyAlignment="1">
      <alignment horizontal="center"/>
    </xf>
    <xf numFmtId="0" fontId="41" fillId="0" borderId="112" xfId="0" applyFont="1" applyBorder="1" applyAlignment="1">
      <alignment horizontal="center"/>
    </xf>
    <xf numFmtId="0" fontId="41" fillId="0" borderId="83" xfId="0" applyFont="1" applyBorder="1" applyAlignment="1">
      <alignment horizontal="center"/>
    </xf>
    <xf numFmtId="14" fontId="41" fillId="0" borderId="77" xfId="0" applyNumberFormat="1" applyFont="1" applyBorder="1" applyAlignment="1">
      <alignment horizontal="center"/>
    </xf>
    <xf numFmtId="14" fontId="41" fillId="0" borderId="83" xfId="0" applyNumberFormat="1" applyFont="1" applyBorder="1" applyAlignment="1">
      <alignment horizontal="center"/>
    </xf>
    <xf numFmtId="0" fontId="41" fillId="0" borderId="71" xfId="0" applyFont="1" applyBorder="1" applyAlignment="1">
      <alignment horizontal="center"/>
    </xf>
    <xf numFmtId="0" fontId="41" fillId="0" borderId="111" xfId="0" applyFont="1" applyBorder="1" applyAlignment="1">
      <alignment horizontal="center"/>
    </xf>
    <xf numFmtId="0" fontId="4" fillId="0" borderId="104" xfId="0" applyFont="1" applyFill="1" applyBorder="1" applyAlignment="1">
      <alignment horizontal="center" vertical="center" wrapText="1"/>
    </xf>
    <xf numFmtId="0" fontId="5" fillId="0" borderId="98" xfId="0" applyFont="1" applyFill="1" applyBorder="1" applyAlignment="1">
      <alignment horizontal="center" vertical="center" wrapText="1"/>
    </xf>
    <xf numFmtId="0" fontId="4" fillId="0" borderId="103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4" fillId="16" borderId="103" xfId="0" applyFont="1" applyFill="1" applyBorder="1" applyAlignment="1">
      <alignment horizontal="center" vertical="center" wrapText="1"/>
    </xf>
    <xf numFmtId="0" fontId="4" fillId="16" borderId="97" xfId="0" applyFont="1" applyFill="1" applyBorder="1" applyAlignment="1">
      <alignment horizontal="center" vertical="center" wrapText="1"/>
    </xf>
    <xf numFmtId="0" fontId="4" fillId="17" borderId="103" xfId="0" applyFont="1" applyFill="1" applyBorder="1" applyAlignment="1">
      <alignment horizontal="center" vertical="center" wrapText="1"/>
    </xf>
    <xf numFmtId="0" fontId="4" fillId="17" borderId="97" xfId="0" applyFont="1" applyFill="1" applyBorder="1" applyAlignment="1">
      <alignment horizontal="center" vertical="center" wrapText="1"/>
    </xf>
    <xf numFmtId="0" fontId="5" fillId="17" borderId="97" xfId="0" applyFont="1" applyFill="1" applyBorder="1" applyAlignment="1">
      <alignment horizontal="center" vertical="center" wrapText="1"/>
    </xf>
    <xf numFmtId="0" fontId="4" fillId="17" borderId="106" xfId="0" applyFont="1" applyFill="1" applyBorder="1" applyAlignment="1">
      <alignment horizontal="center" vertical="center" wrapText="1"/>
    </xf>
    <xf numFmtId="0" fontId="4" fillId="0" borderId="103" xfId="0" applyFont="1" applyFill="1" applyBorder="1" applyAlignment="1">
      <alignment horizontal="center" vertical="center" wrapText="1"/>
    </xf>
    <xf numFmtId="0" fontId="4" fillId="0" borderId="97" xfId="0" applyFont="1" applyFill="1" applyBorder="1" applyAlignment="1">
      <alignment horizontal="center" vertical="center" wrapText="1"/>
    </xf>
    <xf numFmtId="0" fontId="5" fillId="0" borderId="97" xfId="0" applyFont="1" applyFill="1" applyBorder="1" applyAlignment="1">
      <alignment horizontal="center" vertical="center" wrapText="1"/>
    </xf>
    <xf numFmtId="0" fontId="4" fillId="0" borderId="102" xfId="0" applyFont="1" applyFill="1" applyBorder="1" applyAlignment="1">
      <alignment horizontal="center" vertical="center" wrapText="1"/>
    </xf>
    <xf numFmtId="0" fontId="4" fillId="0" borderId="96" xfId="0" applyFont="1" applyFill="1" applyBorder="1" applyAlignment="1">
      <alignment horizontal="center" vertical="center" wrapText="1"/>
    </xf>
    <xf numFmtId="0" fontId="4" fillId="15" borderId="103" xfId="0" applyFont="1" applyFill="1" applyBorder="1" applyAlignment="1">
      <alignment horizontal="center" vertical="center" wrapText="1"/>
    </xf>
    <xf numFmtId="0" fontId="4" fillId="15" borderId="97" xfId="0" applyFont="1" applyFill="1" applyBorder="1" applyAlignment="1">
      <alignment horizontal="center" vertical="center" wrapText="1"/>
    </xf>
    <xf numFmtId="15" fontId="4" fillId="0" borderId="90" xfId="0" applyNumberFormat="1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32" fillId="17" borderId="103" xfId="0" applyFont="1" applyFill="1" applyBorder="1" applyAlignment="1">
      <alignment horizontal="center" vertical="center" wrapText="1"/>
    </xf>
    <xf numFmtId="0" fontId="32" fillId="17" borderId="97" xfId="0" applyFont="1" applyFill="1" applyBorder="1" applyAlignment="1">
      <alignment horizontal="center" vertical="center" wrapText="1"/>
    </xf>
    <xf numFmtId="0" fontId="4" fillId="0" borderId="106" xfId="0" applyFont="1" applyFill="1" applyBorder="1" applyAlignment="1">
      <alignment horizontal="center" vertical="center" wrapText="1"/>
    </xf>
    <xf numFmtId="0" fontId="4" fillId="0" borderId="105" xfId="0" applyFont="1" applyFill="1" applyBorder="1" applyAlignment="1">
      <alignment horizontal="center" vertical="center" wrapText="1"/>
    </xf>
    <xf numFmtId="0" fontId="4" fillId="0" borderId="99" xfId="0" applyFont="1" applyFill="1" applyBorder="1" applyAlignment="1">
      <alignment horizontal="center" vertical="center" wrapText="1"/>
    </xf>
    <xf numFmtId="0" fontId="4" fillId="15" borderId="25" xfId="0" applyFont="1" applyFill="1" applyBorder="1" applyAlignment="1">
      <alignment horizontal="center" vertical="center" wrapText="1"/>
    </xf>
    <xf numFmtId="0" fontId="4" fillId="15" borderId="92" xfId="0" applyFont="1" applyFill="1" applyBorder="1" applyAlignment="1">
      <alignment horizontal="center" vertical="center" wrapText="1"/>
    </xf>
    <xf numFmtId="15" fontId="4" fillId="0" borderId="87" xfId="0" applyNumberFormat="1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5" fontId="4" fillId="0" borderId="91" xfId="0" applyNumberFormat="1" applyFont="1" applyBorder="1" applyAlignment="1">
      <alignment horizontal="center" vertical="center" wrapText="1"/>
    </xf>
    <xf numFmtId="43" fontId="4" fillId="0" borderId="0" xfId="8" applyFont="1" applyFill="1" applyBorder="1" applyAlignment="1">
      <alignment horizontal="center"/>
    </xf>
    <xf numFmtId="43" fontId="4" fillId="3" borderId="26" xfId="4" applyFont="1" applyFill="1" applyBorder="1" applyAlignment="1" applyProtection="1">
      <alignment horizontal="center" vertical="center" wrapText="1"/>
      <protection locked="0"/>
    </xf>
    <xf numFmtId="0" fontId="2" fillId="3" borderId="18" xfId="3" applyFill="1" applyBorder="1" applyAlignment="1" applyProtection="1">
      <alignment horizontal="center" vertical="center" wrapText="1"/>
      <protection locked="0"/>
    </xf>
    <xf numFmtId="43" fontId="4" fillId="3" borderId="27" xfId="4" applyFont="1" applyFill="1" applyBorder="1" applyAlignment="1" applyProtection="1">
      <alignment horizontal="center" vertical="center" wrapText="1"/>
      <protection locked="0"/>
    </xf>
    <xf numFmtId="43" fontId="4" fillId="3" borderId="19" xfId="4" applyFont="1" applyFill="1" applyBorder="1" applyAlignment="1" applyProtection="1">
      <alignment horizontal="center" vertical="center" wrapText="1"/>
      <protection locked="0"/>
    </xf>
    <xf numFmtId="0" fontId="4" fillId="0" borderId="12" xfId="3" applyFont="1" applyFill="1" applyBorder="1" applyAlignment="1" applyProtection="1">
      <alignment horizontal="center" vertical="center" wrapText="1"/>
      <protection locked="0"/>
    </xf>
    <xf numFmtId="0" fontId="2" fillId="0" borderId="3" xfId="3" applyBorder="1" applyAlignment="1" applyProtection="1">
      <alignment horizontal="center" vertical="center" wrapText="1"/>
      <protection locked="0"/>
    </xf>
    <xf numFmtId="0" fontId="4" fillId="0" borderId="11" xfId="3" applyFont="1" applyFill="1" applyBorder="1" applyAlignment="1" applyProtection="1">
      <alignment horizontal="center" vertical="center" wrapText="1"/>
      <protection locked="0"/>
    </xf>
    <xf numFmtId="0" fontId="5" fillId="0" borderId="2" xfId="3" applyFont="1" applyFill="1" applyBorder="1" applyAlignment="1" applyProtection="1">
      <alignment horizontal="center" vertical="center" wrapText="1"/>
      <protection locked="0"/>
    </xf>
    <xf numFmtId="43" fontId="4" fillId="0" borderId="11" xfId="4" applyFont="1" applyFill="1" applyBorder="1" applyAlignment="1" applyProtection="1">
      <alignment horizontal="center" vertical="center" wrapText="1"/>
      <protection locked="0"/>
    </xf>
    <xf numFmtId="43" fontId="4" fillId="3" borderId="11" xfId="4" applyFont="1" applyFill="1" applyBorder="1" applyAlignment="1" applyProtection="1">
      <alignment horizontal="center" vertical="center" wrapText="1"/>
      <protection locked="0"/>
    </xf>
    <xf numFmtId="0" fontId="2" fillId="3" borderId="2" xfId="3" applyFill="1" applyBorder="1" applyAlignment="1" applyProtection="1">
      <alignment horizontal="center" vertical="center" wrapText="1"/>
      <protection locked="0"/>
    </xf>
    <xf numFmtId="0" fontId="2" fillId="0" borderId="2" xfId="3" applyBorder="1" applyAlignment="1" applyProtection="1">
      <alignment horizontal="center" vertical="center" wrapText="1"/>
      <protection locked="0"/>
    </xf>
    <xf numFmtId="0" fontId="4" fillId="0" borderId="29" xfId="3" applyFont="1" applyFill="1" applyBorder="1" applyAlignment="1" applyProtection="1">
      <alignment horizontal="center" vertical="center" wrapText="1"/>
      <protection locked="0"/>
    </xf>
    <xf numFmtId="0" fontId="2" fillId="0" borderId="21" xfId="3" applyBorder="1" applyAlignment="1" applyProtection="1">
      <alignment horizontal="center" vertical="center" wrapText="1"/>
      <protection locked="0"/>
    </xf>
    <xf numFmtId="0" fontId="4" fillId="0" borderId="28" xfId="3" applyFont="1" applyFill="1" applyBorder="1" applyAlignment="1" applyProtection="1">
      <alignment horizontal="center" vertical="center" wrapText="1"/>
      <protection locked="0"/>
    </xf>
    <xf numFmtId="0" fontId="5" fillId="0" borderId="20" xfId="3" applyFont="1" applyFill="1" applyBorder="1" applyAlignment="1" applyProtection="1">
      <alignment horizontal="center" vertical="center" wrapText="1"/>
      <protection locked="0"/>
    </xf>
    <xf numFmtId="43" fontId="4" fillId="0" borderId="27" xfId="4" applyFont="1" applyFill="1" applyBorder="1" applyAlignment="1" applyProtection="1">
      <alignment horizontal="center" vertical="center" wrapText="1"/>
      <protection locked="0"/>
    </xf>
    <xf numFmtId="0" fontId="5" fillId="0" borderId="19" xfId="3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 wrapText="1"/>
    </xf>
    <xf numFmtId="0" fontId="5" fillId="3" borderId="19" xfId="3" applyFont="1" applyFill="1" applyBorder="1" applyAlignment="1" applyProtection="1">
      <alignment horizontal="center" vertical="center" wrapText="1"/>
      <protection locked="0"/>
    </xf>
    <xf numFmtId="0" fontId="5" fillId="0" borderId="0" xfId="5" applyFont="1" applyFill="1" applyAlignment="1" applyProtection="1">
      <alignment horizontal="center" vertical="center"/>
      <protection locked="0"/>
    </xf>
    <xf numFmtId="43" fontId="4" fillId="3" borderId="25" xfId="4" applyFont="1" applyFill="1" applyBorder="1" applyAlignment="1" applyProtection="1">
      <alignment horizontal="center" vertical="center" wrapText="1"/>
      <protection locked="0"/>
    </xf>
    <xf numFmtId="43" fontId="4" fillId="3" borderId="24" xfId="4" applyFont="1" applyFill="1" applyBorder="1" applyAlignment="1" applyProtection="1">
      <alignment horizontal="center" vertical="center" wrapText="1"/>
      <protection locked="0"/>
    </xf>
    <xf numFmtId="43" fontId="4" fillId="0" borderId="22" xfId="4" applyFont="1" applyFill="1" applyBorder="1" applyAlignment="1" applyProtection="1">
      <alignment horizontal="center" vertical="center" wrapText="1"/>
      <protection locked="0"/>
    </xf>
    <xf numFmtId="0" fontId="5" fillId="0" borderId="14" xfId="3" applyFont="1" applyFill="1" applyBorder="1" applyAlignment="1" applyProtection="1">
      <alignment horizontal="center" vertical="center" wrapText="1"/>
      <protection locked="0"/>
    </xf>
    <xf numFmtId="0" fontId="5" fillId="0" borderId="13" xfId="5" applyFont="1" applyFill="1" applyBorder="1" applyAlignment="1" applyProtection="1">
      <alignment horizontal="center" vertical="center"/>
      <protection locked="0"/>
    </xf>
    <xf numFmtId="43" fontId="4" fillId="5" borderId="27" xfId="4" applyFont="1" applyFill="1" applyBorder="1" applyAlignment="1" applyProtection="1">
      <alignment horizontal="center" vertical="center" wrapText="1"/>
      <protection locked="0"/>
    </xf>
    <xf numFmtId="0" fontId="2" fillId="5" borderId="19" xfId="3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43" fontId="4" fillId="0" borderId="51" xfId="4" applyFont="1" applyFill="1" applyBorder="1" applyAlignment="1" applyProtection="1">
      <alignment horizontal="center" vertical="center" wrapText="1"/>
      <protection locked="0"/>
    </xf>
    <xf numFmtId="43" fontId="4" fillId="0" borderId="50" xfId="4" applyFont="1" applyFill="1" applyBorder="1" applyAlignment="1" applyProtection="1">
      <alignment horizontal="center" vertical="center" wrapText="1"/>
      <protection locked="0"/>
    </xf>
    <xf numFmtId="43" fontId="4" fillId="0" borderId="8" xfId="4" applyFont="1" applyFill="1" applyBorder="1" applyAlignment="1" applyProtection="1">
      <alignment horizontal="center" vertical="center" wrapText="1"/>
      <protection locked="0"/>
    </xf>
    <xf numFmtId="43" fontId="7" fillId="0" borderId="23" xfId="4" applyFont="1" applyFill="1" applyBorder="1" applyAlignment="1" applyProtection="1">
      <alignment horizontal="center" vertical="center" wrapText="1"/>
      <protection locked="0"/>
    </xf>
    <xf numFmtId="43" fontId="7" fillId="0" borderId="15" xfId="4" applyFont="1" applyFill="1" applyBorder="1" applyAlignment="1" applyProtection="1">
      <alignment horizontal="center" vertical="center" wrapText="1"/>
      <protection locked="0"/>
    </xf>
    <xf numFmtId="43" fontId="4" fillId="3" borderId="36" xfId="4" applyFont="1" applyFill="1" applyBorder="1" applyAlignment="1" applyProtection="1">
      <alignment horizontal="center" vertical="center" wrapText="1"/>
      <protection locked="0"/>
    </xf>
    <xf numFmtId="0" fontId="5" fillId="3" borderId="32" xfId="3" applyFont="1" applyFill="1" applyBorder="1" applyAlignment="1" applyProtection="1">
      <alignment horizontal="center" vertical="center" wrapText="1"/>
      <protection locked="0"/>
    </xf>
    <xf numFmtId="43" fontId="4" fillId="3" borderId="35" xfId="4" applyFont="1" applyFill="1" applyBorder="1" applyAlignment="1" applyProtection="1">
      <alignment horizontal="center" vertical="center" wrapText="1"/>
      <protection locked="0"/>
    </xf>
    <xf numFmtId="0" fontId="2" fillId="3" borderId="31" xfId="3" applyFill="1" applyBorder="1" applyAlignment="1" applyProtection="1">
      <alignment horizontal="center" vertical="center" wrapText="1"/>
      <protection locked="0"/>
    </xf>
    <xf numFmtId="0" fontId="2" fillId="0" borderId="2" xfId="3" applyFill="1" applyBorder="1" applyAlignment="1" applyProtection="1">
      <alignment horizontal="center" vertical="center" wrapText="1"/>
      <protection locked="0"/>
    </xf>
    <xf numFmtId="43" fontId="12" fillId="0" borderId="49" xfId="6" applyFont="1" applyFill="1" applyBorder="1" applyAlignment="1" applyProtection="1">
      <alignment horizontal="center" vertical="center" wrapText="1"/>
      <protection locked="0"/>
    </xf>
    <xf numFmtId="43" fontId="12" fillId="0" borderId="48" xfId="6" applyFont="1" applyFill="1" applyBorder="1" applyAlignment="1" applyProtection="1">
      <alignment horizontal="center" vertical="center" wrapText="1"/>
      <protection locked="0"/>
    </xf>
    <xf numFmtId="43" fontId="4" fillId="0" borderId="47" xfId="4" applyFont="1" applyFill="1" applyBorder="1" applyAlignment="1" applyProtection="1">
      <alignment horizontal="center" vertical="center" wrapText="1"/>
      <protection locked="0"/>
    </xf>
    <xf numFmtId="0" fontId="5" fillId="0" borderId="1" xfId="3" applyFont="1" applyFill="1" applyBorder="1" applyAlignment="1" applyProtection="1">
      <alignment horizontal="center" vertical="center" wrapText="1"/>
      <protection locked="0"/>
    </xf>
    <xf numFmtId="0" fontId="2" fillId="3" borderId="19" xfId="3" applyFill="1" applyBorder="1" applyAlignment="1" applyProtection="1">
      <alignment horizontal="center" vertical="center" wrapText="1"/>
      <protection locked="0"/>
    </xf>
    <xf numFmtId="43" fontId="4" fillId="0" borderId="26" xfId="4" applyFont="1" applyFill="1" applyBorder="1" applyAlignment="1" applyProtection="1">
      <alignment horizontal="center" vertical="center" wrapText="1"/>
      <protection locked="0"/>
    </xf>
    <xf numFmtId="0" fontId="2" fillId="0" borderId="18" xfId="3" applyBorder="1" applyAlignment="1" applyProtection="1">
      <alignment horizontal="center" vertical="center" wrapText="1"/>
      <protection locked="0"/>
    </xf>
    <xf numFmtId="43" fontId="4" fillId="3" borderId="37" xfId="4" applyFont="1" applyFill="1" applyBorder="1" applyAlignment="1" applyProtection="1">
      <alignment horizontal="center" vertical="center" wrapText="1"/>
      <protection locked="0"/>
    </xf>
    <xf numFmtId="43" fontId="4" fillId="3" borderId="33" xfId="4" applyFont="1" applyFill="1" applyBorder="1" applyAlignment="1" applyProtection="1">
      <alignment horizontal="center" vertical="center" wrapText="1"/>
      <protection locked="0"/>
    </xf>
    <xf numFmtId="43" fontId="4" fillId="3" borderId="43" xfId="4" applyFont="1" applyFill="1" applyBorder="1" applyAlignment="1" applyProtection="1">
      <alignment horizontal="center" vertical="center" wrapText="1"/>
      <protection locked="0"/>
    </xf>
    <xf numFmtId="43" fontId="4" fillId="3" borderId="46" xfId="4" applyFont="1" applyFill="1" applyBorder="1" applyAlignment="1" applyProtection="1">
      <alignment horizontal="center" vertical="center" wrapText="1"/>
      <protection locked="0"/>
    </xf>
    <xf numFmtId="0" fontId="4" fillId="3" borderId="38" xfId="3" applyFont="1" applyFill="1" applyBorder="1" applyAlignment="1" applyProtection="1">
      <alignment horizontal="center" vertical="center" wrapText="1"/>
      <protection locked="0"/>
    </xf>
    <xf numFmtId="0" fontId="2" fillId="3" borderId="34" xfId="3" applyFill="1" applyBorder="1" applyAlignment="1" applyProtection="1">
      <alignment horizontal="center" vertical="center" wrapText="1"/>
      <protection locked="0"/>
    </xf>
    <xf numFmtId="43" fontId="4" fillId="3" borderId="11" xfId="8" applyFont="1" applyFill="1" applyBorder="1" applyAlignment="1" applyProtection="1">
      <alignment horizontal="center" vertical="center" wrapText="1"/>
      <protection locked="0"/>
    </xf>
    <xf numFmtId="43" fontId="4" fillId="0" borderId="47" xfId="8" applyFont="1" applyFill="1" applyBorder="1" applyAlignment="1" applyProtection="1">
      <alignment horizontal="center" vertical="center" wrapText="1"/>
      <protection locked="0"/>
    </xf>
    <xf numFmtId="43" fontId="4" fillId="0" borderId="27" xfId="8" applyFont="1" applyFill="1" applyBorder="1" applyAlignment="1" applyProtection="1">
      <alignment horizontal="center" vertical="center" wrapText="1"/>
      <protection locked="0"/>
    </xf>
    <xf numFmtId="43" fontId="4" fillId="3" borderId="27" xfId="8" applyFont="1" applyFill="1" applyBorder="1" applyAlignment="1" applyProtection="1">
      <alignment horizontal="center" vertical="center" wrapText="1"/>
      <protection locked="0"/>
    </xf>
    <xf numFmtId="43" fontId="4" fillId="0" borderId="26" xfId="8" applyFont="1" applyFill="1" applyBorder="1" applyAlignment="1" applyProtection="1">
      <alignment horizontal="center" vertical="center" wrapText="1"/>
      <protection locked="0"/>
    </xf>
    <xf numFmtId="43" fontId="4" fillId="3" borderId="37" xfId="8" applyFont="1" applyFill="1" applyBorder="1" applyAlignment="1" applyProtection="1">
      <alignment horizontal="center" vertical="center" wrapText="1"/>
      <protection locked="0"/>
    </xf>
    <xf numFmtId="43" fontId="4" fillId="3" borderId="33" xfId="8" applyFont="1" applyFill="1" applyBorder="1" applyAlignment="1" applyProtection="1">
      <alignment horizontal="center" vertical="center" wrapText="1"/>
      <protection locked="0"/>
    </xf>
    <xf numFmtId="43" fontId="4" fillId="3" borderId="43" xfId="8" applyFont="1" applyFill="1" applyBorder="1" applyAlignment="1" applyProtection="1">
      <alignment horizontal="center" vertical="center" wrapText="1"/>
      <protection locked="0"/>
    </xf>
    <xf numFmtId="43" fontId="4" fillId="3" borderId="46" xfId="8" applyFont="1" applyFill="1" applyBorder="1" applyAlignment="1" applyProtection="1">
      <alignment horizontal="center" vertical="center" wrapText="1"/>
      <protection locked="0"/>
    </xf>
    <xf numFmtId="43" fontId="4" fillId="0" borderId="11" xfId="8" applyFont="1" applyFill="1" applyBorder="1" applyAlignment="1" applyProtection="1">
      <alignment horizontal="center" vertical="center" wrapText="1"/>
      <protection locked="0"/>
    </xf>
    <xf numFmtId="43" fontId="7" fillId="0" borderId="23" xfId="8" applyFont="1" applyFill="1" applyBorder="1" applyAlignment="1" applyProtection="1">
      <alignment horizontal="center" vertical="center" wrapText="1"/>
      <protection locked="0"/>
    </xf>
    <xf numFmtId="43" fontId="7" fillId="0" borderId="15" xfId="8" applyFont="1" applyFill="1" applyBorder="1" applyAlignment="1" applyProtection="1">
      <alignment horizontal="center" vertical="center" wrapText="1"/>
      <protection locked="0"/>
    </xf>
    <xf numFmtId="43" fontId="4" fillId="0" borderId="22" xfId="8" applyFont="1" applyFill="1" applyBorder="1" applyAlignment="1" applyProtection="1">
      <alignment horizontal="center" vertical="center" wrapText="1"/>
      <protection locked="0"/>
    </xf>
    <xf numFmtId="43" fontId="4" fillId="3" borderId="36" xfId="8" applyFont="1" applyFill="1" applyBorder="1" applyAlignment="1" applyProtection="1">
      <alignment horizontal="center" vertical="center" wrapText="1"/>
      <protection locked="0"/>
    </xf>
    <xf numFmtId="43" fontId="4" fillId="3" borderId="35" xfId="8" applyFont="1" applyFill="1" applyBorder="1" applyAlignment="1" applyProtection="1">
      <alignment horizontal="center" vertical="center" wrapText="1"/>
      <protection locked="0"/>
    </xf>
    <xf numFmtId="43" fontId="12" fillId="7" borderId="49" xfId="6" applyFont="1" applyFill="1" applyBorder="1" applyAlignment="1" applyProtection="1">
      <alignment horizontal="center" vertical="center" wrapText="1"/>
      <protection locked="0"/>
    </xf>
    <xf numFmtId="43" fontId="12" fillId="7" borderId="48" xfId="6" applyFont="1" applyFill="1" applyBorder="1" applyAlignment="1" applyProtection="1">
      <alignment horizontal="center" vertical="center" wrapText="1"/>
      <protection locked="0"/>
    </xf>
    <xf numFmtId="43" fontId="4" fillId="3" borderId="51" xfId="8" applyFont="1" applyFill="1" applyBorder="1" applyAlignment="1" applyProtection="1">
      <alignment horizontal="center" vertical="center" wrapText="1"/>
      <protection locked="0"/>
    </xf>
    <xf numFmtId="43" fontId="4" fillId="3" borderId="50" xfId="8" applyFont="1" applyFill="1" applyBorder="1" applyAlignment="1" applyProtection="1">
      <alignment horizontal="center" vertical="center" wrapText="1"/>
      <protection locked="0"/>
    </xf>
    <xf numFmtId="43" fontId="4" fillId="3" borderId="8" xfId="8" applyFont="1" applyFill="1" applyBorder="1" applyAlignment="1" applyProtection="1">
      <alignment horizontal="center" vertical="center" wrapText="1"/>
      <protection locked="0"/>
    </xf>
    <xf numFmtId="43" fontId="4" fillId="3" borderId="25" xfId="8" applyFont="1" applyFill="1" applyBorder="1" applyAlignment="1" applyProtection="1">
      <alignment horizontal="center" vertical="center" wrapText="1"/>
      <protection locked="0"/>
    </xf>
    <xf numFmtId="43" fontId="4" fillId="3" borderId="24" xfId="8" applyFont="1" applyFill="1" applyBorder="1" applyAlignment="1" applyProtection="1">
      <alignment horizontal="center" vertical="center" wrapText="1"/>
      <protection locked="0"/>
    </xf>
    <xf numFmtId="43" fontId="4" fillId="5" borderId="27" xfId="8" applyFont="1" applyFill="1" applyBorder="1" applyAlignment="1" applyProtection="1">
      <alignment horizontal="center" vertical="center" wrapText="1"/>
      <protection locked="0"/>
    </xf>
    <xf numFmtId="43" fontId="4" fillId="3" borderId="26" xfId="8" applyFont="1" applyFill="1" applyBorder="1" applyAlignment="1" applyProtection="1">
      <alignment horizontal="center" vertical="center" wrapText="1"/>
      <protection locked="0"/>
    </xf>
    <xf numFmtId="43" fontId="4" fillId="3" borderId="19" xfId="8" applyFont="1" applyFill="1" applyBorder="1" applyAlignment="1" applyProtection="1">
      <alignment horizontal="center" vertical="center" wrapText="1"/>
      <protection locked="0"/>
    </xf>
    <xf numFmtId="0" fontId="22" fillId="0" borderId="48" xfId="20" applyFont="1" applyFill="1" applyBorder="1" applyAlignment="1">
      <alignment horizontal="center" vertical="center" wrapText="1"/>
    </xf>
    <xf numFmtId="0" fontId="22" fillId="0" borderId="41" xfId="20" applyFont="1" applyFill="1" applyBorder="1" applyAlignment="1">
      <alignment horizontal="center" vertical="center" wrapText="1"/>
    </xf>
    <xf numFmtId="0" fontId="22" fillId="0" borderId="80" xfId="20" applyFont="1" applyFill="1" applyBorder="1" applyAlignment="1">
      <alignment horizontal="center" vertical="center" wrapText="1"/>
    </xf>
    <xf numFmtId="0" fontId="22" fillId="0" borderId="71" xfId="20" applyFont="1" applyFill="1" applyBorder="1" applyAlignment="1">
      <alignment horizontal="center" vertical="center" wrapText="1"/>
    </xf>
    <xf numFmtId="0" fontId="2" fillId="0" borderId="81" xfId="20" applyFont="1" applyFill="1" applyBorder="1" applyAlignment="1">
      <alignment horizontal="center" vertical="center" wrapText="1"/>
    </xf>
    <xf numFmtId="0" fontId="2" fillId="0" borderId="72" xfId="20" applyFont="1" applyFill="1" applyBorder="1" applyAlignment="1">
      <alignment horizontal="center" vertical="center" wrapText="1"/>
    </xf>
    <xf numFmtId="0" fontId="19" fillId="9" borderId="11" xfId="7" applyFont="1" applyFill="1" applyBorder="1" applyAlignment="1" applyProtection="1">
      <alignment horizontal="center" vertical="center" wrapText="1"/>
    </xf>
    <xf numFmtId="0" fontId="19" fillId="9" borderId="5" xfId="7" applyFont="1" applyFill="1" applyBorder="1" applyAlignment="1" applyProtection="1">
      <alignment horizontal="center" vertical="center" wrapText="1"/>
    </xf>
    <xf numFmtId="0" fontId="19" fillId="9" borderId="62" xfId="7" applyFont="1" applyFill="1" applyBorder="1" applyAlignment="1" applyProtection="1">
      <alignment horizontal="center" vertical="center" wrapText="1"/>
      <protection locked="0"/>
    </xf>
    <xf numFmtId="0" fontId="19" fillId="9" borderId="11" xfId="7" applyFont="1" applyFill="1" applyBorder="1" applyAlignment="1" applyProtection="1">
      <alignment horizontal="center" vertical="center" wrapText="1"/>
      <protection locked="0"/>
    </xf>
    <xf numFmtId="0" fontId="19" fillId="9" borderId="5" xfId="7" applyFont="1" applyFill="1" applyBorder="1" applyAlignment="1" applyProtection="1">
      <alignment horizontal="center" vertical="center" wrapText="1"/>
      <protection locked="0"/>
    </xf>
    <xf numFmtId="0" fontId="18" fillId="0" borderId="0" xfId="7" applyFont="1" applyBorder="1" applyAlignment="1" applyProtection="1">
      <alignment horizontal="center" vertical="center"/>
      <protection locked="0"/>
    </xf>
    <xf numFmtId="0" fontId="18" fillId="0" borderId="57" xfId="7" applyFont="1" applyBorder="1" applyAlignment="1" applyProtection="1">
      <alignment horizontal="center"/>
      <protection locked="0"/>
    </xf>
    <xf numFmtId="0" fontId="18" fillId="0" borderId="0" xfId="7" applyFont="1" applyBorder="1" applyAlignment="1" applyProtection="1">
      <alignment horizontal="center"/>
      <protection locked="0"/>
    </xf>
    <xf numFmtId="0" fontId="18" fillId="0" borderId="0" xfId="7" applyFont="1" applyFill="1" applyBorder="1" applyAlignment="1" applyProtection="1">
      <alignment horizontal="left" vertical="center" wrapText="1"/>
      <protection locked="0"/>
    </xf>
    <xf numFmtId="0" fontId="19" fillId="9" borderId="47" xfId="7" applyFont="1" applyFill="1" applyBorder="1" applyAlignment="1" applyProtection="1">
      <alignment horizontal="center" vertical="center" wrapText="1"/>
    </xf>
    <xf numFmtId="0" fontId="19" fillId="9" borderId="4" xfId="7" applyFont="1" applyFill="1" applyBorder="1" applyAlignment="1" applyProtection="1">
      <alignment horizontal="center" vertical="center" wrapText="1"/>
    </xf>
    <xf numFmtId="0" fontId="19" fillId="5" borderId="58" xfId="7" applyFont="1" applyFill="1" applyBorder="1" applyAlignment="1" applyProtection="1">
      <alignment horizontal="center"/>
      <protection locked="0"/>
    </xf>
    <xf numFmtId="0" fontId="19" fillId="0" borderId="0" xfId="7" applyFont="1" applyBorder="1" applyAlignment="1" applyProtection="1">
      <alignment horizontal="center"/>
      <protection locked="0"/>
    </xf>
    <xf numFmtId="0" fontId="19" fillId="0" borderId="0" xfId="7" applyFont="1" applyBorder="1" applyAlignment="1" applyProtection="1">
      <alignment horizontal="center" vertical="center"/>
      <protection locked="0"/>
    </xf>
    <xf numFmtId="0" fontId="19" fillId="0" borderId="11" xfId="7" applyFont="1" applyFill="1" applyBorder="1" applyAlignment="1" applyProtection="1">
      <alignment horizontal="center" vertical="center" wrapText="1"/>
      <protection locked="0"/>
    </xf>
    <xf numFmtId="0" fontId="19" fillId="0" borderId="5" xfId="7" applyFont="1" applyFill="1" applyBorder="1" applyAlignment="1" applyProtection="1">
      <alignment horizontal="center" vertical="center" wrapText="1"/>
      <protection locked="0"/>
    </xf>
    <xf numFmtId="0" fontId="40" fillId="0" borderId="77" xfId="0" applyFont="1" applyBorder="1"/>
    <xf numFmtId="0" fontId="41" fillId="0" borderId="112" xfId="0" applyFont="1" applyBorder="1" applyAlignment="1"/>
    <xf numFmtId="0" fontId="41" fillId="21" borderId="41" xfId="0" applyFont="1" applyFill="1" applyBorder="1" applyAlignment="1">
      <alignment horizontal="center"/>
    </xf>
    <xf numFmtId="0" fontId="41" fillId="0" borderId="41" xfId="0" applyFont="1" applyFill="1" applyBorder="1" applyAlignment="1">
      <alignment horizontal="center"/>
    </xf>
  </cellXfs>
  <cellStyles count="24">
    <cellStyle name="Comma" xfId="1" builtinId="3"/>
    <cellStyle name="Comma 10" xfId="8"/>
    <cellStyle name="Comma 2" xfId="4"/>
    <cellStyle name="Comma 2 2 2" xfId="18"/>
    <cellStyle name="Comma 2 5" xfId="6"/>
    <cellStyle name="Comma 3" xfId="16"/>
    <cellStyle name="Comma 4" xfId="17"/>
    <cellStyle name="Comma 5" xfId="21"/>
    <cellStyle name="Comma 6" xfId="22"/>
    <cellStyle name="Normal" xfId="0" builtinId="0"/>
    <cellStyle name="Normal 10" xfId="7"/>
    <cellStyle name="Normal 126" xfId="15"/>
    <cellStyle name="Normal 127" xfId="14"/>
    <cellStyle name="Normal 128" xfId="13"/>
    <cellStyle name="Normal 129" xfId="12"/>
    <cellStyle name="Normal 130" xfId="11"/>
    <cellStyle name="Normal 132" xfId="10"/>
    <cellStyle name="Normal 2" xfId="5"/>
    <cellStyle name="Normal 2 2" xfId="19"/>
    <cellStyle name="Normal 2 6" xfId="3"/>
    <cellStyle name="Normal 3" xfId="20"/>
    <cellStyle name="Percent" xfId="2" builtinId="5"/>
    <cellStyle name="Percent 2" xfId="9"/>
    <cellStyle name="Percent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746760</xdr:colOff>
      <xdr:row>35</xdr:row>
      <xdr:rowOff>22860</xdr:rowOff>
    </xdr:from>
    <xdr:ext cx="899795" cy="58483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1010" y="5690235"/>
          <a:ext cx="899795" cy="584835"/>
        </a:xfrm>
        <a:prstGeom prst="rect">
          <a:avLst/>
        </a:prstGeom>
        <a:noFill/>
      </xdr:spPr>
    </xdr:pic>
    <xdr:clientData/>
  </xdr:oneCellAnchor>
  <xdr:oneCellAnchor>
    <xdr:from>
      <xdr:col>7</xdr:col>
      <xdr:colOff>53340</xdr:colOff>
      <xdr:row>36</xdr:row>
      <xdr:rowOff>114300</xdr:rowOff>
    </xdr:from>
    <xdr:ext cx="715645" cy="342786"/>
    <xdr:sp macro="" textlink="">
      <xdr:nvSpPr>
        <xdr:cNvPr id="3" name="TextBox 2"/>
        <xdr:cNvSpPr txBox="1"/>
      </xdr:nvSpPr>
      <xdr:spPr>
        <a:xfrm>
          <a:off x="4320540" y="59436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</xdr:colOff>
      <xdr:row>31</xdr:row>
      <xdr:rowOff>60960</xdr:rowOff>
    </xdr:from>
    <xdr:ext cx="947420" cy="590550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61260" y="5080635"/>
          <a:ext cx="947420" cy="5905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106680</xdr:colOff>
      <xdr:row>32</xdr:row>
      <xdr:rowOff>152400</xdr:rowOff>
    </xdr:from>
    <xdr:ext cx="715645" cy="342786"/>
    <xdr:sp macro="" textlink="">
      <xdr:nvSpPr>
        <xdr:cNvPr id="3" name="TextBox 2"/>
        <xdr:cNvSpPr txBox="1"/>
      </xdr:nvSpPr>
      <xdr:spPr>
        <a:xfrm>
          <a:off x="2545080" y="53340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lvin%20Cruz%20Accounting%20Services/Clients/Corporation/TOSHCO%20Inc/02%20Books%20of%20Accounts/2019/19.01%20Files/19.01.30%20payroll/Toshco%20Payroll-Jan%2011-25,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lvin%20Cruz%20Accounting%20Services/Clients/Corporation/TOSHCO%20Inc/02%20Books%20of%20Accounts/2019/19.01%20Files/SC-Jan.16-31,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lvin%20Cruz%20Accounting%20Services/Clients/Corporation/TOSHCO%20Inc/02%20Books%20of%20Accounts/2019/19.01%20Files/19.01.15%20payroll/Toshco%20Payroll-Dec%2026,2018-Jan%2010,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26-11.10"/>
      <sheetName val="10.26-11.10(SI)"/>
      <sheetName val="26-10 payroll"/>
      <sheetName val="26-10 payslip"/>
      <sheetName val="11-25 payroll"/>
      <sheetName val="11-25 payslip"/>
      <sheetName val="Contribution"/>
      <sheetName val="TIME CONVERSION"/>
      <sheetName val="Sheet1"/>
    </sheetNames>
    <sheetDataSet>
      <sheetData sheetId="0">
        <row r="25">
          <cell r="I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W25">
            <v>0</v>
          </cell>
        </row>
        <row r="71">
          <cell r="J71">
            <v>0</v>
          </cell>
          <cell r="O71">
            <v>0</v>
          </cell>
          <cell r="P71">
            <v>0</v>
          </cell>
          <cell r="Q71">
            <v>0</v>
          </cell>
          <cell r="W71">
            <v>0</v>
          </cell>
        </row>
        <row r="229">
          <cell r="I229">
            <v>0</v>
          </cell>
          <cell r="P229">
            <v>0</v>
          </cell>
          <cell r="Q229">
            <v>0</v>
          </cell>
          <cell r="R229">
            <v>0</v>
          </cell>
          <cell r="W229">
            <v>0</v>
          </cell>
        </row>
        <row r="250">
          <cell r="J250">
            <v>0</v>
          </cell>
          <cell r="O250">
            <v>0</v>
          </cell>
          <cell r="P250">
            <v>0</v>
          </cell>
          <cell r="Q250">
            <v>0</v>
          </cell>
          <cell r="W250">
            <v>0</v>
          </cell>
        </row>
      </sheetData>
      <sheetData sheetId="1">
        <row r="28">
          <cell r="I28">
            <v>0</v>
          </cell>
          <cell r="J28">
            <v>0</v>
          </cell>
          <cell r="P28">
            <v>0</v>
          </cell>
          <cell r="Q28">
            <v>0</v>
          </cell>
          <cell r="W28">
            <v>0</v>
          </cell>
        </row>
        <row r="29">
          <cell r="I29"/>
          <cell r="J29"/>
          <cell r="P29"/>
          <cell r="Q29"/>
        </row>
        <row r="30">
          <cell r="I30"/>
          <cell r="J30"/>
          <cell r="P30"/>
          <cell r="Q30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 1 &amp; 2"/>
      <sheetName val="SC Computation"/>
      <sheetName val="Sales Summary"/>
      <sheetName val="Number of Days"/>
      <sheetName val="Pay Slip"/>
      <sheetName val="PLS PRINT"/>
    </sheetNames>
    <sheetDataSet>
      <sheetData sheetId="0"/>
      <sheetData sheetId="1"/>
      <sheetData sheetId="2">
        <row r="44">
          <cell r="K44">
            <v>25566.1368</v>
          </cell>
        </row>
      </sheetData>
      <sheetData sheetId="3">
        <row r="7">
          <cell r="E7">
            <v>13.5</v>
          </cell>
        </row>
        <row r="8">
          <cell r="E8">
            <v>14</v>
          </cell>
        </row>
        <row r="9">
          <cell r="E9">
            <v>13</v>
          </cell>
        </row>
        <row r="10">
          <cell r="E10">
            <v>13</v>
          </cell>
        </row>
        <row r="11">
          <cell r="E11">
            <v>14</v>
          </cell>
        </row>
        <row r="12">
          <cell r="E12">
            <v>14</v>
          </cell>
        </row>
        <row r="13">
          <cell r="E13">
            <v>13</v>
          </cell>
        </row>
        <row r="14">
          <cell r="E14">
            <v>14</v>
          </cell>
        </row>
        <row r="15">
          <cell r="E15">
            <v>12</v>
          </cell>
        </row>
        <row r="16">
          <cell r="E16">
            <v>10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26-11.10"/>
      <sheetName val="10.26-11.10(SI)"/>
      <sheetName val="26-10 payroll"/>
      <sheetName val="26-10 payslip"/>
      <sheetName val="11-25 payroll"/>
      <sheetName val="11-25 payslip"/>
      <sheetName val="Contribution"/>
      <sheetName val="TIME CONVERSION"/>
      <sheetName val="Sheet1"/>
    </sheetNames>
    <sheetDataSet>
      <sheetData sheetId="0">
        <row r="25">
          <cell r="I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W25">
            <v>0</v>
          </cell>
        </row>
        <row r="71">
          <cell r="O71">
            <v>0</v>
          </cell>
          <cell r="P71">
            <v>0</v>
          </cell>
          <cell r="Q71">
            <v>0</v>
          </cell>
          <cell r="W71">
            <v>0</v>
          </cell>
        </row>
        <row r="229">
          <cell r="I229">
            <v>0</v>
          </cell>
          <cell r="J229">
            <v>0</v>
          </cell>
          <cell r="P229">
            <v>0</v>
          </cell>
          <cell r="Q229">
            <v>0</v>
          </cell>
          <cell r="R229">
            <v>0</v>
          </cell>
        </row>
        <row r="250">
          <cell r="I250">
            <v>0</v>
          </cell>
          <cell r="O250">
            <v>0</v>
          </cell>
          <cell r="P250">
            <v>0</v>
          </cell>
          <cell r="Q250">
            <v>0</v>
          </cell>
        </row>
      </sheetData>
      <sheetData sheetId="1">
        <row r="28">
          <cell r="I28">
            <v>0</v>
          </cell>
          <cell r="J28">
            <v>0</v>
          </cell>
          <cell r="P28">
            <v>0</v>
          </cell>
          <cell r="Q28">
            <v>0</v>
          </cell>
        </row>
        <row r="29">
          <cell r="I29"/>
          <cell r="J29"/>
          <cell r="P29"/>
          <cell r="Q29"/>
        </row>
        <row r="30">
          <cell r="I30"/>
          <cell r="J30"/>
          <cell r="P30"/>
          <cell r="Q30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defaultColWidth="8.85546875" defaultRowHeight="11.25" outlineLevelCol="1" x14ac:dyDescent="0.2"/>
  <cols>
    <col min="1" max="1" width="11.7109375" style="646" customWidth="1" outlineLevel="1"/>
    <col min="2" max="2" width="26.7109375" style="646" customWidth="1"/>
    <col min="3" max="6" width="4.7109375" style="646" customWidth="1"/>
    <col min="7" max="10" width="12.7109375" style="647" customWidth="1"/>
    <col min="11" max="16384" width="8.85546875" style="646"/>
  </cols>
  <sheetData>
    <row r="1" spans="1:7" x14ac:dyDescent="0.2">
      <c r="B1" s="648" t="s">
        <v>370</v>
      </c>
    </row>
    <row r="2" spans="1:7" x14ac:dyDescent="0.2">
      <c r="B2" s="648" t="s">
        <v>756</v>
      </c>
    </row>
    <row r="3" spans="1:7" x14ac:dyDescent="0.2">
      <c r="B3" s="648" t="s">
        <v>779</v>
      </c>
    </row>
    <row r="4" spans="1:7" x14ac:dyDescent="0.2">
      <c r="B4" s="648" t="s">
        <v>778</v>
      </c>
    </row>
    <row r="7" spans="1:7" x14ac:dyDescent="0.2">
      <c r="B7" s="648" t="s">
        <v>777</v>
      </c>
    </row>
    <row r="8" spans="1:7" x14ac:dyDescent="0.2">
      <c r="B8" s="658" t="s">
        <v>776</v>
      </c>
    </row>
    <row r="9" spans="1:7" x14ac:dyDescent="0.2">
      <c r="A9" s="650">
        <v>1101</v>
      </c>
      <c r="B9" s="657" t="s">
        <v>744</v>
      </c>
      <c r="G9" s="647">
        <f>SUMIF(WTB!A:A,A9,WTB!L:L)</f>
        <v>567372</v>
      </c>
    </row>
    <row r="10" spans="1:7" x14ac:dyDescent="0.2">
      <c r="A10" s="650">
        <v>1111</v>
      </c>
      <c r="B10" s="657" t="s">
        <v>522</v>
      </c>
      <c r="G10" s="647">
        <f>SUMIF(WTB!A:A,A10,WTB!L:L)</f>
        <v>0</v>
      </c>
    </row>
    <row r="11" spans="1:7" x14ac:dyDescent="0.2">
      <c r="A11" s="650">
        <v>1250</v>
      </c>
      <c r="B11" s="657" t="s">
        <v>743</v>
      </c>
      <c r="G11" s="647">
        <f>SUMIF(WTB!A:A,A11,WTB!L:L)</f>
        <v>0</v>
      </c>
    </row>
    <row r="12" spans="1:7" x14ac:dyDescent="0.2">
      <c r="A12" s="650">
        <v>1301</v>
      </c>
      <c r="B12" s="657" t="s">
        <v>742</v>
      </c>
      <c r="G12" s="647">
        <f>SUMIF(WTB!A:A,A12,WTB!L:L)</f>
        <v>0</v>
      </c>
    </row>
    <row r="13" spans="1:7" x14ac:dyDescent="0.2">
      <c r="A13" s="650">
        <v>1302</v>
      </c>
      <c r="B13" s="657" t="s">
        <v>741</v>
      </c>
      <c r="G13" s="647">
        <f>SUMIF(WTB!A:A,A13,WTB!L:L)</f>
        <v>248703.90005999993</v>
      </c>
    </row>
    <row r="14" spans="1:7" x14ac:dyDescent="0.2">
      <c r="A14" s="650">
        <v>1303</v>
      </c>
      <c r="B14" s="657" t="s">
        <v>740</v>
      </c>
      <c r="G14" s="647">
        <f>SUMIF(WTB!A:A,A14,WTB!L:L)</f>
        <v>1100</v>
      </c>
    </row>
    <row r="15" spans="1:7" x14ac:dyDescent="0.2">
      <c r="A15" s="650">
        <v>1304</v>
      </c>
      <c r="B15" s="657" t="s">
        <v>739</v>
      </c>
      <c r="G15" s="647">
        <f>SUMIF(WTB!A:A,A15,WTB!L:L)</f>
        <v>131359.07</v>
      </c>
    </row>
    <row r="16" spans="1:7" x14ac:dyDescent="0.2">
      <c r="A16" s="650">
        <v>1401</v>
      </c>
      <c r="B16" s="657" t="s">
        <v>738</v>
      </c>
      <c r="G16" s="647">
        <f>SUMIF(WTB!A:A,A16,WTB!L:L)</f>
        <v>0</v>
      </c>
    </row>
    <row r="17" spans="1:7" x14ac:dyDescent="0.2">
      <c r="A17" s="650">
        <v>1402</v>
      </c>
      <c r="B17" s="657" t="s">
        <v>737</v>
      </c>
      <c r="G17" s="647">
        <f>SUMIF(WTB!A:A,A17,WTB!L:L)</f>
        <v>0</v>
      </c>
    </row>
    <row r="18" spans="1:7" x14ac:dyDescent="0.2">
      <c r="A18" s="650">
        <v>1501</v>
      </c>
      <c r="B18" s="657" t="s">
        <v>736</v>
      </c>
      <c r="G18" s="647">
        <f>SUMIF(WTB!A:A,A18,WTB!L:L)</f>
        <v>0</v>
      </c>
    </row>
    <row r="19" spans="1:7" x14ac:dyDescent="0.2">
      <c r="A19" s="650">
        <v>1502</v>
      </c>
      <c r="B19" s="657" t="s">
        <v>735</v>
      </c>
      <c r="G19" s="647">
        <f>SUMIF(WTB!A:A,A19,WTB!L:L)</f>
        <v>0</v>
      </c>
    </row>
    <row r="20" spans="1:7" x14ac:dyDescent="0.2">
      <c r="A20" s="650">
        <v>1503</v>
      </c>
      <c r="B20" s="657" t="s">
        <v>734</v>
      </c>
      <c r="G20" s="647">
        <f>SUMIF(WTB!A:A,A20,WTB!L:L)</f>
        <v>0</v>
      </c>
    </row>
    <row r="21" spans="1:7" x14ac:dyDescent="0.2">
      <c r="A21" s="650">
        <v>1504</v>
      </c>
      <c r="B21" s="657" t="s">
        <v>733</v>
      </c>
      <c r="G21" s="647">
        <f>SUMIF(WTB!A:A,A21,WTB!L:L)</f>
        <v>1277.3697999999999</v>
      </c>
    </row>
    <row r="22" spans="1:7" x14ac:dyDescent="0.2">
      <c r="A22" s="650"/>
      <c r="B22" s="655" t="s">
        <v>773</v>
      </c>
      <c r="G22" s="656">
        <f>SUM(G9:G21)</f>
        <v>949812.33985999995</v>
      </c>
    </row>
    <row r="23" spans="1:7" x14ac:dyDescent="0.2">
      <c r="A23" s="650"/>
      <c r="B23" s="657"/>
    </row>
    <row r="24" spans="1:7" x14ac:dyDescent="0.2">
      <c r="B24" s="658" t="s">
        <v>775</v>
      </c>
    </row>
    <row r="25" spans="1:7" x14ac:dyDescent="0.2">
      <c r="A25" s="650"/>
      <c r="B25" s="657" t="s">
        <v>774</v>
      </c>
      <c r="G25" s="647">
        <f>SUMIF(WTB!A:A,A25,WTB!L:L)</f>
        <v>0</v>
      </c>
    </row>
    <row r="26" spans="1:7" x14ac:dyDescent="0.2">
      <c r="A26" s="650"/>
      <c r="B26" s="657"/>
    </row>
    <row r="27" spans="1:7" x14ac:dyDescent="0.2">
      <c r="A27" s="650"/>
      <c r="B27" s="655" t="s">
        <v>773</v>
      </c>
      <c r="G27" s="656">
        <f>SUM(G24:G26)</f>
        <v>0</v>
      </c>
    </row>
    <row r="28" spans="1:7" x14ac:dyDescent="0.2">
      <c r="A28" s="650"/>
      <c r="B28" s="657"/>
    </row>
    <row r="29" spans="1:7" ht="12" thickBot="1" x14ac:dyDescent="0.25">
      <c r="B29" s="648" t="s">
        <v>772</v>
      </c>
      <c r="G29" s="649">
        <f>G22+G27</f>
        <v>949812.33985999995</v>
      </c>
    </row>
    <row r="30" spans="1:7" ht="12" thickTop="1" x14ac:dyDescent="0.2">
      <c r="A30" s="650"/>
      <c r="B30" s="657"/>
    </row>
    <row r="31" spans="1:7" x14ac:dyDescent="0.2">
      <c r="A31" s="650"/>
      <c r="B31" s="657"/>
    </row>
    <row r="32" spans="1:7" x14ac:dyDescent="0.2">
      <c r="B32" s="648" t="s">
        <v>771</v>
      </c>
    </row>
    <row r="33" spans="1:10" x14ac:dyDescent="0.2">
      <c r="B33" s="658" t="s">
        <v>770</v>
      </c>
    </row>
    <row r="34" spans="1:10" x14ac:dyDescent="0.2">
      <c r="A34" s="650">
        <v>2101</v>
      </c>
      <c r="B34" s="657" t="s">
        <v>110</v>
      </c>
      <c r="G34" s="647">
        <f>-SUMIF(WTB!A:A,A34,WTB!L:L)</f>
        <v>0</v>
      </c>
    </row>
    <row r="35" spans="1:10" x14ac:dyDescent="0.2">
      <c r="A35" s="650">
        <v>2110</v>
      </c>
      <c r="B35" s="657" t="s">
        <v>732</v>
      </c>
      <c r="G35" s="647">
        <f>-SUMIF(WTB!A:A,A35,WTB!L:L)</f>
        <v>0</v>
      </c>
    </row>
    <row r="36" spans="1:10" x14ac:dyDescent="0.2">
      <c r="A36" s="650"/>
      <c r="B36" s="655" t="s">
        <v>769</v>
      </c>
      <c r="G36" s="656">
        <f>SUM(G33:G35)</f>
        <v>0</v>
      </c>
    </row>
    <row r="37" spans="1:10" x14ac:dyDescent="0.2">
      <c r="B37" s="658" t="s">
        <v>768</v>
      </c>
    </row>
    <row r="38" spans="1:10" x14ac:dyDescent="0.2">
      <c r="A38" s="662">
        <v>2201</v>
      </c>
      <c r="B38" s="661" t="s">
        <v>731</v>
      </c>
      <c r="G38" s="647">
        <f>-SUMIF(WTB!A:A,A38,WTB!L:L)</f>
        <v>0</v>
      </c>
    </row>
    <row r="39" spans="1:10" s="659" customFormat="1" x14ac:dyDescent="0.2">
      <c r="A39" s="662">
        <v>2202</v>
      </c>
      <c r="B39" s="661" t="s">
        <v>730</v>
      </c>
      <c r="G39" s="647">
        <f>-SUMIF(WTB!A:A,A39,WTB!L:L)</f>
        <v>0</v>
      </c>
      <c r="H39" s="660"/>
      <c r="I39" s="660"/>
      <c r="J39" s="660"/>
    </row>
    <row r="40" spans="1:10" s="659" customFormat="1" x14ac:dyDescent="0.2">
      <c r="A40" s="662">
        <v>2203</v>
      </c>
      <c r="B40" s="661" t="s">
        <v>729</v>
      </c>
      <c r="G40" s="647">
        <f>-SUMIF(WTB!A:A,A40,WTB!L:L)</f>
        <v>0</v>
      </c>
      <c r="H40" s="660"/>
      <c r="I40" s="660"/>
      <c r="J40" s="660"/>
    </row>
    <row r="41" spans="1:10" s="659" customFormat="1" x14ac:dyDescent="0.2">
      <c r="A41" s="662">
        <v>2204</v>
      </c>
      <c r="B41" s="661" t="s">
        <v>728</v>
      </c>
      <c r="G41" s="647">
        <f>-SUMIF(WTB!A:A,A41,WTB!L:L)</f>
        <v>0</v>
      </c>
      <c r="H41" s="660"/>
      <c r="I41" s="660"/>
      <c r="J41" s="660"/>
    </row>
    <row r="42" spans="1:10" s="659" customFormat="1" x14ac:dyDescent="0.2">
      <c r="A42" s="662">
        <v>2205</v>
      </c>
      <c r="B42" s="661" t="s">
        <v>727</v>
      </c>
      <c r="G42" s="647">
        <f>-SUMIF(WTB!A:A,A42,WTB!L:L)</f>
        <v>0</v>
      </c>
      <c r="H42" s="660"/>
      <c r="I42" s="660"/>
      <c r="J42" s="660"/>
    </row>
    <row r="43" spans="1:10" s="659" customFormat="1" x14ac:dyDescent="0.2">
      <c r="A43" s="662">
        <v>2206</v>
      </c>
      <c r="B43" s="661" t="s">
        <v>726</v>
      </c>
      <c r="G43" s="647">
        <f>-SUMIF(WTB!A:A,A43,WTB!L:L)</f>
        <v>0</v>
      </c>
      <c r="H43" s="660"/>
      <c r="I43" s="660"/>
      <c r="J43" s="660"/>
    </row>
    <row r="44" spans="1:10" x14ac:dyDescent="0.2">
      <c r="A44" s="650"/>
      <c r="B44" s="655" t="s">
        <v>767</v>
      </c>
      <c r="G44" s="656">
        <f>SUM(G37:G43)</f>
        <v>0</v>
      </c>
    </row>
    <row r="45" spans="1:10" x14ac:dyDescent="0.2">
      <c r="B45" s="658" t="s">
        <v>766</v>
      </c>
    </row>
    <row r="46" spans="1:10" x14ac:dyDescent="0.2">
      <c r="A46" s="650">
        <v>2300</v>
      </c>
      <c r="B46" s="657" t="s">
        <v>725</v>
      </c>
      <c r="G46" s="647">
        <f>-SUMIF(WTB!A:A,A46,WTB!L:L)</f>
        <v>0</v>
      </c>
    </row>
    <row r="47" spans="1:10" x14ac:dyDescent="0.2">
      <c r="A47" s="650">
        <v>2301</v>
      </c>
      <c r="B47" s="657" t="s">
        <v>724</v>
      </c>
      <c r="G47" s="647">
        <f>-SUMIF(WTB!A:A,A47,WTB!L:L)</f>
        <v>0</v>
      </c>
    </row>
    <row r="48" spans="1:10" x14ac:dyDescent="0.2">
      <c r="A48" s="650">
        <v>2302</v>
      </c>
      <c r="B48" s="657" t="s">
        <v>723</v>
      </c>
      <c r="G48" s="647">
        <f>-SUMIF(WTB!A:A,A48,WTB!L:L)</f>
        <v>0</v>
      </c>
    </row>
    <row r="49" spans="1:7" x14ac:dyDescent="0.2">
      <c r="A49" s="650">
        <v>2303</v>
      </c>
      <c r="B49" s="657" t="s">
        <v>722</v>
      </c>
      <c r="G49" s="647">
        <f>-SUMIF(WTB!A:A,A49,WTB!L:L)</f>
        <v>0</v>
      </c>
    </row>
    <row r="50" spans="1:7" x14ac:dyDescent="0.2">
      <c r="A50" s="650">
        <v>2304</v>
      </c>
      <c r="B50" s="657" t="s">
        <v>721</v>
      </c>
      <c r="G50" s="647">
        <f>-SUMIF(WTB!A:A,A50,WTB!L:L)</f>
        <v>0</v>
      </c>
    </row>
    <row r="51" spans="1:7" x14ac:dyDescent="0.2">
      <c r="A51" s="650">
        <v>2305</v>
      </c>
      <c r="B51" s="657" t="s">
        <v>720</v>
      </c>
      <c r="G51" s="647">
        <f>-SUMIF(WTB!A:A,A51,WTB!L:L)</f>
        <v>0</v>
      </c>
    </row>
    <row r="52" spans="1:7" x14ac:dyDescent="0.2">
      <c r="A52" s="650">
        <v>2306</v>
      </c>
      <c r="B52" s="657" t="s">
        <v>719</v>
      </c>
      <c r="G52" s="647">
        <f>-SUMIF(WTB!A:A,A52,WTB!L:L)</f>
        <v>0</v>
      </c>
    </row>
    <row r="53" spans="1:7" x14ac:dyDescent="0.2">
      <c r="A53" s="650">
        <v>2401</v>
      </c>
      <c r="B53" s="657" t="s">
        <v>718</v>
      </c>
      <c r="G53" s="647">
        <f>-SUMIF(WTB!A:A,A53,WTB!L:L)</f>
        <v>44049.658799999997</v>
      </c>
    </row>
    <row r="54" spans="1:7" x14ac:dyDescent="0.2">
      <c r="A54" s="650"/>
      <c r="B54" s="655" t="s">
        <v>765</v>
      </c>
      <c r="G54" s="656">
        <f>SUM(G45:G53)</f>
        <v>44049.658799999997</v>
      </c>
    </row>
    <row r="55" spans="1:7" x14ac:dyDescent="0.2">
      <c r="B55" s="658" t="s">
        <v>764</v>
      </c>
    </row>
    <row r="56" spans="1:7" x14ac:dyDescent="0.2">
      <c r="A56" s="650">
        <v>2402</v>
      </c>
      <c r="B56" s="657" t="s">
        <v>717</v>
      </c>
      <c r="G56" s="647">
        <f>-SUMIF(WTB!A:A,A56,WTB!L:L)</f>
        <v>7773.4692000000005</v>
      </c>
    </row>
    <row r="57" spans="1:7" x14ac:dyDescent="0.2">
      <c r="A57" s="650">
        <v>2403</v>
      </c>
      <c r="B57" s="657" t="s">
        <v>716</v>
      </c>
      <c r="G57" s="647">
        <f>-SUMIF(WTB!A:A,A57,WTB!L:L)</f>
        <v>7773.4692000000005</v>
      </c>
    </row>
    <row r="58" spans="1:7" x14ac:dyDescent="0.2">
      <c r="A58" s="650"/>
      <c r="B58" s="655" t="s">
        <v>763</v>
      </c>
      <c r="G58" s="656">
        <f>SUM(G55:G57)</f>
        <v>15546.938400000001</v>
      </c>
    </row>
    <row r="59" spans="1:7" x14ac:dyDescent="0.2">
      <c r="A59" s="650"/>
      <c r="B59" s="655"/>
      <c r="G59" s="654"/>
    </row>
    <row r="60" spans="1:7" x14ac:dyDescent="0.2">
      <c r="B60" s="648" t="s">
        <v>762</v>
      </c>
      <c r="G60" s="651">
        <f>G36+G44+G54+G58</f>
        <v>59596.597199999997</v>
      </c>
    </row>
    <row r="61" spans="1:7" x14ac:dyDescent="0.2">
      <c r="B61" s="648"/>
    </row>
    <row r="62" spans="1:7" x14ac:dyDescent="0.2">
      <c r="B62" s="648" t="s">
        <v>761</v>
      </c>
    </row>
    <row r="63" spans="1:7" x14ac:dyDescent="0.2">
      <c r="A63" s="650">
        <v>3001</v>
      </c>
      <c r="B63" s="653" t="s">
        <v>715</v>
      </c>
      <c r="G63" s="647">
        <f>-SUMIF(WTB!A:A,A63,WTB!L:L)</f>
        <v>0</v>
      </c>
    </row>
    <row r="64" spans="1:7" x14ac:dyDescent="0.2">
      <c r="A64" s="650">
        <v>3003</v>
      </c>
      <c r="B64" s="653" t="s">
        <v>713</v>
      </c>
      <c r="G64" s="647">
        <f>-SUMIF(WTB!A:A,A64,WTB!L:L)</f>
        <v>0</v>
      </c>
    </row>
    <row r="65" spans="1:7" x14ac:dyDescent="0.2">
      <c r="A65" s="650">
        <v>3002</v>
      </c>
      <c r="B65" s="653" t="s">
        <v>760</v>
      </c>
      <c r="G65" s="647">
        <f>-SUMIF(WTB!A:A,A65,WTB!L:L)</f>
        <v>0</v>
      </c>
    </row>
    <row r="66" spans="1:7" x14ac:dyDescent="0.2">
      <c r="A66" s="650">
        <v>3005</v>
      </c>
      <c r="B66" s="653" t="s">
        <v>759</v>
      </c>
      <c r="G66" s="647">
        <f>-SUM(WTB!L42:L97)</f>
        <v>-17492.870139999992</v>
      </c>
    </row>
    <row r="67" spans="1:7" x14ac:dyDescent="0.2">
      <c r="A67" s="650"/>
      <c r="G67" s="652"/>
    </row>
    <row r="68" spans="1:7" x14ac:dyDescent="0.2">
      <c r="B68" s="648" t="s">
        <v>758</v>
      </c>
      <c r="G68" s="651">
        <f>SUM(G62:G67)</f>
        <v>-17492.870139999992</v>
      </c>
    </row>
    <row r="69" spans="1:7" x14ac:dyDescent="0.2">
      <c r="A69" s="650"/>
    </row>
    <row r="70" spans="1:7" ht="12" thickBot="1" x14ac:dyDescent="0.25">
      <c r="B70" s="648" t="s">
        <v>757</v>
      </c>
      <c r="G70" s="649">
        <f>G60+G68</f>
        <v>42103.727060000005</v>
      </c>
    </row>
    <row r="71" spans="1:7" ht="12" thickTop="1" x14ac:dyDescent="0.2">
      <c r="B71" s="648"/>
    </row>
    <row r="72" spans="1:7" x14ac:dyDescent="0.2">
      <c r="B72" s="648"/>
      <c r="G72" s="647">
        <f>G29-G70</f>
        <v>907708.6128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"/>
  <sheetViews>
    <sheetView workbookViewId="0"/>
  </sheetViews>
  <sheetFormatPr defaultColWidth="9.140625" defaultRowHeight="12.75" x14ac:dyDescent="0.2"/>
  <cols>
    <col min="1" max="1" width="4.140625" style="1" customWidth="1"/>
    <col min="2" max="2" width="15.7109375" style="1" customWidth="1"/>
    <col min="3" max="3" width="13.85546875" style="1" customWidth="1"/>
    <col min="4" max="4" width="10.28515625" style="1" customWidth="1"/>
    <col min="5" max="5" width="9.42578125" style="1" bestFit="1" customWidth="1"/>
    <col min="6" max="6" width="8.140625" style="1" customWidth="1"/>
    <col min="7" max="7" width="11.28515625" style="1" bestFit="1" customWidth="1"/>
    <col min="8" max="8" width="10.28515625" style="1" bestFit="1" customWidth="1"/>
    <col min="9" max="9" width="10.28515625" style="1" customWidth="1"/>
    <col min="10" max="10" width="9.28515625" style="1" customWidth="1"/>
    <col min="11" max="11" width="8.140625" style="1" customWidth="1"/>
    <col min="12" max="12" width="8.28515625" style="1" customWidth="1"/>
    <col min="13" max="13" width="9.7109375" style="1" customWidth="1"/>
    <col min="14" max="14" width="12" style="1" customWidth="1"/>
    <col min="15" max="15" width="9.7109375" style="1" customWidth="1"/>
    <col min="16" max="16" width="10.28515625" style="1" bestFit="1" customWidth="1"/>
    <col min="17" max="17" width="9.28515625" style="1" bestFit="1" customWidth="1"/>
    <col min="18" max="18" width="10.140625" style="1" bestFit="1" customWidth="1"/>
    <col min="19" max="19" width="10.28515625" style="1" customWidth="1"/>
    <col min="20" max="20" width="9.42578125" style="1" bestFit="1" customWidth="1"/>
    <col min="21" max="21" width="10" style="1" customWidth="1"/>
    <col min="22" max="22" width="10.28515625" style="1" customWidth="1"/>
    <col min="23" max="23" width="11.7109375" style="1" customWidth="1"/>
    <col min="24" max="24" width="10.42578125" style="1" customWidth="1"/>
    <col min="25" max="25" width="9.140625" style="1" customWidth="1"/>
    <col min="26" max="26" width="8.7109375" style="1" customWidth="1"/>
    <col min="27" max="16384" width="9.140625" style="1"/>
  </cols>
  <sheetData>
    <row r="1" spans="1:26" s="87" customFormat="1" ht="15.75" x14ac:dyDescent="0.25">
      <c r="A1" s="90" t="s">
        <v>61</v>
      </c>
      <c r="B1" s="90"/>
      <c r="C1" s="92"/>
    </row>
    <row r="2" spans="1:26" s="87" customFormat="1" ht="15.75" x14ac:dyDescent="0.25">
      <c r="A2" s="91" t="s">
        <v>60</v>
      </c>
      <c r="B2" s="91"/>
      <c r="C2" s="89"/>
      <c r="D2" s="88" t="s">
        <v>59</v>
      </c>
      <c r="E2" s="88"/>
      <c r="F2" s="88"/>
    </row>
    <row r="3" spans="1:26" s="87" customFormat="1" ht="15.75" x14ac:dyDescent="0.25">
      <c r="A3" s="90" t="s">
        <v>58</v>
      </c>
      <c r="B3" s="90"/>
      <c r="C3" s="89"/>
      <c r="D3" s="88" t="s">
        <v>57</v>
      </c>
      <c r="E3" s="88"/>
      <c r="F3" s="88"/>
    </row>
    <row r="4" spans="1:26" ht="13.5" thickBot="1" x14ac:dyDescent="0.25">
      <c r="C4" s="86"/>
      <c r="Q4" s="85"/>
      <c r="S4" s="85"/>
    </row>
    <row r="5" spans="1:26" s="42" customFormat="1" ht="11.25" x14ac:dyDescent="0.2">
      <c r="A5" s="713"/>
      <c r="B5" s="715" t="s">
        <v>12</v>
      </c>
      <c r="C5" s="717" t="s">
        <v>11</v>
      </c>
      <c r="D5" s="718" t="s">
        <v>56</v>
      </c>
      <c r="E5" s="717" t="s">
        <v>55</v>
      </c>
      <c r="F5" s="718"/>
      <c r="G5" s="717" t="s">
        <v>54</v>
      </c>
      <c r="H5" s="718" t="s">
        <v>53</v>
      </c>
      <c r="I5" s="757" t="s">
        <v>52</v>
      </c>
      <c r="J5" s="738" t="s">
        <v>51</v>
      </c>
      <c r="K5" s="739"/>
      <c r="L5" s="740"/>
      <c r="M5" s="748" t="s">
        <v>50</v>
      </c>
      <c r="N5" s="749"/>
      <c r="O5" s="749"/>
      <c r="P5" s="717" t="s">
        <v>26</v>
      </c>
      <c r="Q5" s="717" t="s">
        <v>43</v>
      </c>
      <c r="R5" s="717" t="s">
        <v>26</v>
      </c>
      <c r="S5" s="717" t="s">
        <v>42</v>
      </c>
      <c r="T5" s="717" t="s">
        <v>26</v>
      </c>
      <c r="U5" s="717" t="s">
        <v>49</v>
      </c>
      <c r="V5" s="717" t="s">
        <v>26</v>
      </c>
      <c r="W5" s="717" t="s">
        <v>48</v>
      </c>
      <c r="X5" s="750" t="s">
        <v>6</v>
      </c>
    </row>
    <row r="6" spans="1:26" s="42" customFormat="1" ht="27" customHeight="1" thickBot="1" x14ac:dyDescent="0.25">
      <c r="A6" s="714"/>
      <c r="B6" s="716"/>
      <c r="C6" s="716"/>
      <c r="D6" s="719"/>
      <c r="E6" s="720"/>
      <c r="F6" s="719"/>
      <c r="G6" s="720"/>
      <c r="H6" s="737"/>
      <c r="I6" s="758"/>
      <c r="J6" s="84" t="s">
        <v>47</v>
      </c>
      <c r="K6" s="84" t="s">
        <v>46</v>
      </c>
      <c r="L6" s="84" t="s">
        <v>45</v>
      </c>
      <c r="M6" s="83" t="s">
        <v>44</v>
      </c>
      <c r="N6" s="83" t="s">
        <v>43</v>
      </c>
      <c r="O6" s="83" t="s">
        <v>42</v>
      </c>
      <c r="P6" s="716"/>
      <c r="Q6" s="747"/>
      <c r="R6" s="716"/>
      <c r="S6" s="747"/>
      <c r="T6" s="716"/>
      <c r="U6" s="747"/>
      <c r="V6" s="716"/>
      <c r="W6" s="716"/>
      <c r="X6" s="751"/>
    </row>
    <row r="7" spans="1:26" s="42" customFormat="1" ht="12" customHeight="1" x14ac:dyDescent="0.2">
      <c r="A7" s="82">
        <v>1</v>
      </c>
      <c r="B7" s="10" t="s">
        <v>41</v>
      </c>
      <c r="C7" s="81" t="s">
        <v>40</v>
      </c>
      <c r="D7" s="17">
        <v>6851</v>
      </c>
      <c r="E7" s="67">
        <v>527</v>
      </c>
      <c r="F7" s="77">
        <v>12</v>
      </c>
      <c r="G7" s="80">
        <f>+D7</f>
        <v>6851</v>
      </c>
      <c r="H7" s="79">
        <f>(F7+J7+K7+L7+Q7)*10</f>
        <v>120</v>
      </c>
      <c r="I7" s="78"/>
      <c r="J7" s="23">
        <v>0</v>
      </c>
      <c r="K7" s="23">
        <f>+'[9]10.26-11.10'!I25</f>
        <v>0</v>
      </c>
      <c r="L7" s="23">
        <v>0</v>
      </c>
      <c r="M7" s="23">
        <f>+'[9]10.26-11.10'!O25</f>
        <v>0</v>
      </c>
      <c r="N7" s="23">
        <f>+'[9]10.26-11.10'!P25</f>
        <v>0</v>
      </c>
      <c r="O7" s="23">
        <f>+'[9]10.26-11.10'!Q25</f>
        <v>0</v>
      </c>
      <c r="P7" s="68">
        <f t="shared" ref="P7:P16" si="0">(((E7/8)*1.25)*M7)+((((E7/8)*N7)*200%)*130%)+((((E7/8)*130%)*130%)*O7)</f>
        <v>0</v>
      </c>
      <c r="Q7" s="77"/>
      <c r="R7" s="71">
        <f t="shared" ref="R7:R16" si="1">+Q7*E7</f>
        <v>0</v>
      </c>
      <c r="S7" s="77">
        <f>+'[9]10.26-11.10'!W25</f>
        <v>0</v>
      </c>
      <c r="T7" s="71">
        <f t="shared" ref="T7:T16" si="2">(+S7*E7)*0.3</f>
        <v>0</v>
      </c>
      <c r="U7" s="23">
        <v>3</v>
      </c>
      <c r="V7" s="43">
        <f t="shared" ref="V7:V16" si="3">(E7/8/10)*U7</f>
        <v>19.762500000000003</v>
      </c>
      <c r="W7" s="76"/>
      <c r="X7" s="65">
        <f t="shared" ref="X7:X16" si="4">+G7+H7+P7+R7+T7+V7+W7+I7</f>
        <v>6990.7624999999998</v>
      </c>
      <c r="Y7" s="75"/>
      <c r="Z7" s="75"/>
    </row>
    <row r="8" spans="1:26" s="42" customFormat="1" ht="12" customHeight="1" x14ac:dyDescent="0.2">
      <c r="A8" s="16">
        <v>2</v>
      </c>
      <c r="B8" s="10" t="s">
        <v>39</v>
      </c>
      <c r="C8" s="70" t="s">
        <v>38</v>
      </c>
      <c r="D8" s="17">
        <v>6851</v>
      </c>
      <c r="E8" s="67">
        <v>527</v>
      </c>
      <c r="F8" s="17">
        <v>11.5</v>
      </c>
      <c r="G8" s="74">
        <f>+D8</f>
        <v>6851</v>
      </c>
      <c r="H8" s="73">
        <f>(F8+J8+K8+L8+Q8)*10</f>
        <v>120</v>
      </c>
      <c r="I8" s="72"/>
      <c r="J8" s="17">
        <v>0.5</v>
      </c>
      <c r="K8" s="17">
        <f>+'[9]10.26-11.10'!I229</f>
        <v>0</v>
      </c>
      <c r="L8" s="17">
        <f>+'[9]10.26-11.10'!J229</f>
        <v>0</v>
      </c>
      <c r="M8" s="17">
        <v>2</v>
      </c>
      <c r="N8" s="17">
        <f>+'[9]10.26-11.10'!P229</f>
        <v>0</v>
      </c>
      <c r="O8" s="17">
        <f>+'[9]10.26-11.10'!Q229</f>
        <v>0</v>
      </c>
      <c r="P8" s="68">
        <f t="shared" si="0"/>
        <v>164.6875</v>
      </c>
      <c r="Q8" s="17"/>
      <c r="R8" s="43">
        <f t="shared" si="1"/>
        <v>0</v>
      </c>
      <c r="S8" s="17">
        <v>0</v>
      </c>
      <c r="T8" s="43">
        <f t="shared" si="2"/>
        <v>0</v>
      </c>
      <c r="U8" s="17">
        <v>9</v>
      </c>
      <c r="V8" s="43">
        <f t="shared" si="3"/>
        <v>59.287500000000001</v>
      </c>
      <c r="W8" s="9"/>
      <c r="X8" s="65">
        <f t="shared" si="4"/>
        <v>7194.9750000000004</v>
      </c>
      <c r="Y8" s="75"/>
      <c r="Z8" s="75"/>
    </row>
    <row r="9" spans="1:26" s="42" customFormat="1" ht="12" customHeight="1" x14ac:dyDescent="0.2">
      <c r="A9" s="16">
        <v>3</v>
      </c>
      <c r="B9" s="10" t="s">
        <v>37</v>
      </c>
      <c r="C9" s="70" t="s">
        <v>13</v>
      </c>
      <c r="D9" s="17">
        <f>(20000/2)+(21*13)</f>
        <v>10273</v>
      </c>
      <c r="E9" s="67">
        <f>+D9/13</f>
        <v>790.23076923076928</v>
      </c>
      <c r="F9" s="17">
        <v>11</v>
      </c>
      <c r="G9" s="74">
        <f>D9</f>
        <v>10273</v>
      </c>
      <c r="H9" s="73">
        <f>(F9+J9+K9+L9+Q9)*10</f>
        <v>120</v>
      </c>
      <c r="I9" s="72">
        <f>50</f>
        <v>50</v>
      </c>
      <c r="J9" s="17">
        <v>1</v>
      </c>
      <c r="K9" s="17">
        <v>0</v>
      </c>
      <c r="L9" s="17">
        <v>0</v>
      </c>
      <c r="M9" s="17">
        <f>+'[9]10.26-11.10'!O71</f>
        <v>0</v>
      </c>
      <c r="N9" s="17">
        <f>+'[9]10.26-11.10'!P71</f>
        <v>0</v>
      </c>
      <c r="O9" s="17">
        <f>+'[9]10.26-11.10'!Q71</f>
        <v>0</v>
      </c>
      <c r="P9" s="68">
        <f t="shared" si="0"/>
        <v>0</v>
      </c>
      <c r="Q9" s="17"/>
      <c r="R9" s="43">
        <f t="shared" si="1"/>
        <v>0</v>
      </c>
      <c r="S9" s="17">
        <f>+'[9]10.26-11.10'!W71</f>
        <v>0</v>
      </c>
      <c r="T9" s="43">
        <f t="shared" si="2"/>
        <v>0</v>
      </c>
      <c r="U9" s="17">
        <v>7.5</v>
      </c>
      <c r="V9" s="43">
        <f t="shared" si="3"/>
        <v>74.084134615384613</v>
      </c>
      <c r="W9" s="9"/>
      <c r="X9" s="65">
        <f t="shared" si="4"/>
        <v>10517.084134615385</v>
      </c>
      <c r="Y9" s="75"/>
      <c r="Z9" s="75"/>
    </row>
    <row r="10" spans="1:26" s="42" customFormat="1" ht="12" customHeight="1" x14ac:dyDescent="0.2">
      <c r="A10" s="16">
        <v>4</v>
      </c>
      <c r="B10" s="10" t="s">
        <v>36</v>
      </c>
      <c r="C10" s="70" t="s">
        <v>35</v>
      </c>
      <c r="D10" s="17">
        <v>6851</v>
      </c>
      <c r="E10" s="67">
        <v>527</v>
      </c>
      <c r="F10" s="17">
        <v>11</v>
      </c>
      <c r="G10" s="74">
        <f>+D10</f>
        <v>6851</v>
      </c>
      <c r="H10" s="73">
        <f>(F10+J10+K10+L10+Q10)*10</f>
        <v>120</v>
      </c>
      <c r="I10" s="72"/>
      <c r="J10" s="17">
        <v>0</v>
      </c>
      <c r="K10" s="17">
        <f>+'[9]10.26-11.10'!I250</f>
        <v>0</v>
      </c>
      <c r="L10" s="17">
        <v>1</v>
      </c>
      <c r="M10" s="17">
        <f>+'[9]10.26-11.10'!O250</f>
        <v>0</v>
      </c>
      <c r="N10" s="17">
        <f>+'[9]10.26-11.10'!P250</f>
        <v>0</v>
      </c>
      <c r="O10" s="17">
        <f>+'[9]10.26-11.10'!Q250</f>
        <v>0</v>
      </c>
      <c r="P10" s="68">
        <f t="shared" si="0"/>
        <v>0</v>
      </c>
      <c r="Q10" s="17"/>
      <c r="R10" s="43">
        <f t="shared" si="1"/>
        <v>0</v>
      </c>
      <c r="S10" s="17">
        <v>0</v>
      </c>
      <c r="T10" s="43">
        <f t="shared" si="2"/>
        <v>0</v>
      </c>
      <c r="U10" s="17">
        <v>2</v>
      </c>
      <c r="V10" s="43">
        <f t="shared" si="3"/>
        <v>13.175000000000001</v>
      </c>
      <c r="W10" s="9"/>
      <c r="X10" s="65">
        <f t="shared" si="4"/>
        <v>6984.1750000000002</v>
      </c>
      <c r="Y10" s="75"/>
      <c r="Z10" s="75"/>
    </row>
    <row r="11" spans="1:26" s="42" customFormat="1" ht="12" customHeight="1" x14ac:dyDescent="0.2">
      <c r="A11" s="16">
        <v>5</v>
      </c>
      <c r="B11" s="10" t="s">
        <v>34</v>
      </c>
      <c r="C11" s="70" t="s">
        <v>33</v>
      </c>
      <c r="D11" s="17">
        <v>6851</v>
      </c>
      <c r="E11" s="67">
        <v>527</v>
      </c>
      <c r="F11" s="17">
        <v>12</v>
      </c>
      <c r="G11" s="74">
        <f>E11*F11</f>
        <v>6324</v>
      </c>
      <c r="H11" s="73">
        <f>(F11+Q11)*10</f>
        <v>130</v>
      </c>
      <c r="I11" s="72"/>
      <c r="J11" s="17">
        <v>0</v>
      </c>
      <c r="K11" s="17">
        <f>+'[9]10.26-11.10(SI)'!I28</f>
        <v>0</v>
      </c>
      <c r="L11" s="17">
        <f>+'[9]10.26-11.10(SI)'!J28</f>
        <v>0</v>
      </c>
      <c r="M11" s="17">
        <v>6</v>
      </c>
      <c r="N11" s="17">
        <f>+'[9]10.26-11.10(SI)'!P28</f>
        <v>0</v>
      </c>
      <c r="O11" s="17">
        <f>+'[9]10.26-11.10(SI)'!Q28</f>
        <v>0</v>
      </c>
      <c r="P11" s="68">
        <f t="shared" si="0"/>
        <v>494.0625</v>
      </c>
      <c r="Q11" s="17">
        <v>1</v>
      </c>
      <c r="R11" s="43">
        <f t="shared" si="1"/>
        <v>527</v>
      </c>
      <c r="S11" s="17">
        <v>0</v>
      </c>
      <c r="T11" s="43">
        <f t="shared" si="2"/>
        <v>0</v>
      </c>
      <c r="U11" s="17">
        <v>1</v>
      </c>
      <c r="V11" s="43">
        <f t="shared" si="3"/>
        <v>6.5875000000000004</v>
      </c>
      <c r="W11" s="9"/>
      <c r="X11" s="65">
        <f t="shared" si="4"/>
        <v>7481.65</v>
      </c>
    </row>
    <row r="12" spans="1:26" s="42" customFormat="1" ht="12" customHeight="1" x14ac:dyDescent="0.2">
      <c r="A12" s="16">
        <v>6</v>
      </c>
      <c r="B12" s="10" t="s">
        <v>32</v>
      </c>
      <c r="C12" s="70" t="s">
        <v>31</v>
      </c>
      <c r="D12" s="17">
        <v>6851</v>
      </c>
      <c r="E12" s="67">
        <v>527</v>
      </c>
      <c r="F12" s="17">
        <v>6</v>
      </c>
      <c r="G12" s="74">
        <f>E12*F12</f>
        <v>3162</v>
      </c>
      <c r="H12" s="73">
        <f>(F12+Q12)*10</f>
        <v>70</v>
      </c>
      <c r="I12" s="72"/>
      <c r="J12" s="17">
        <v>0</v>
      </c>
      <c r="K12" s="17">
        <f>+'[9]10.26-11.10(SI)'!I29</f>
        <v>0</v>
      </c>
      <c r="L12" s="17">
        <f>+'[9]10.26-11.10(SI)'!J29</f>
        <v>0</v>
      </c>
      <c r="M12" s="17">
        <v>0</v>
      </c>
      <c r="N12" s="17">
        <f>+'[9]10.26-11.10(SI)'!P29</f>
        <v>0</v>
      </c>
      <c r="O12" s="17">
        <f>+'[9]10.26-11.10(SI)'!Q29</f>
        <v>0</v>
      </c>
      <c r="P12" s="68">
        <f t="shared" si="0"/>
        <v>0</v>
      </c>
      <c r="Q12" s="17">
        <v>1</v>
      </c>
      <c r="R12" s="43">
        <f t="shared" si="1"/>
        <v>527</v>
      </c>
      <c r="S12" s="17">
        <v>0</v>
      </c>
      <c r="T12" s="43">
        <f t="shared" si="2"/>
        <v>0</v>
      </c>
      <c r="U12" s="17">
        <v>6</v>
      </c>
      <c r="V12" s="43">
        <f t="shared" si="3"/>
        <v>39.525000000000006</v>
      </c>
      <c r="W12" s="9"/>
      <c r="X12" s="65">
        <f t="shared" si="4"/>
        <v>3798.5250000000001</v>
      </c>
    </row>
    <row r="13" spans="1:26" s="42" customFormat="1" ht="12" customHeight="1" x14ac:dyDescent="0.2">
      <c r="A13" s="16">
        <v>7</v>
      </c>
      <c r="B13" s="10" t="s">
        <v>30</v>
      </c>
      <c r="C13" s="70" t="s">
        <v>29</v>
      </c>
      <c r="D13" s="17">
        <v>6851</v>
      </c>
      <c r="E13" s="67">
        <v>527</v>
      </c>
      <c r="F13" s="17">
        <v>11</v>
      </c>
      <c r="G13" s="74">
        <f>E13*F13</f>
        <v>5797</v>
      </c>
      <c r="H13" s="73">
        <f>(F13+Q13)*10</f>
        <v>120</v>
      </c>
      <c r="I13" s="72"/>
      <c r="J13" s="17">
        <v>0</v>
      </c>
      <c r="K13" s="17">
        <f>+'[9]10.26-11.10(SI)'!I30</f>
        <v>0</v>
      </c>
      <c r="L13" s="17">
        <f>+'[9]10.26-11.10(SI)'!J30</f>
        <v>0</v>
      </c>
      <c r="M13" s="17">
        <v>0</v>
      </c>
      <c r="N13" s="17">
        <f>+'[9]10.26-11.10(SI)'!P30</f>
        <v>0</v>
      </c>
      <c r="O13" s="17">
        <f>+'[9]10.26-11.10(SI)'!Q30</f>
        <v>0</v>
      </c>
      <c r="P13" s="68">
        <f t="shared" si="0"/>
        <v>0</v>
      </c>
      <c r="Q13" s="17">
        <v>1</v>
      </c>
      <c r="R13" s="43">
        <f t="shared" si="1"/>
        <v>527</v>
      </c>
      <c r="S13" s="17">
        <v>0</v>
      </c>
      <c r="T13" s="43">
        <f t="shared" si="2"/>
        <v>0</v>
      </c>
      <c r="U13" s="17">
        <v>10</v>
      </c>
      <c r="V13" s="43">
        <f t="shared" si="3"/>
        <v>65.875</v>
      </c>
      <c r="W13" s="9"/>
      <c r="X13" s="65">
        <f t="shared" si="4"/>
        <v>6509.875</v>
      </c>
    </row>
    <row r="14" spans="1:26" s="42" customFormat="1" ht="12" customHeight="1" x14ac:dyDescent="0.2">
      <c r="A14" s="16">
        <v>8</v>
      </c>
      <c r="B14" s="10"/>
      <c r="C14" s="70"/>
      <c r="D14" s="17"/>
      <c r="E14" s="67">
        <f>+D14/13</f>
        <v>0</v>
      </c>
      <c r="F14" s="69"/>
      <c r="G14" s="44">
        <f>+D14</f>
        <v>0</v>
      </c>
      <c r="H14" s="71">
        <f>(F14+J14+K14+L14+Q14)*10</f>
        <v>0</v>
      </c>
      <c r="I14" s="43"/>
      <c r="J14" s="17"/>
      <c r="K14" s="17"/>
      <c r="L14" s="17"/>
      <c r="M14" s="17"/>
      <c r="N14" s="17"/>
      <c r="O14" s="17"/>
      <c r="P14" s="68">
        <f t="shared" si="0"/>
        <v>0</v>
      </c>
      <c r="Q14" s="17"/>
      <c r="R14" s="43">
        <f t="shared" si="1"/>
        <v>0</v>
      </c>
      <c r="S14" s="17"/>
      <c r="T14" s="43">
        <f t="shared" si="2"/>
        <v>0</v>
      </c>
      <c r="U14" s="17"/>
      <c r="V14" s="43">
        <f t="shared" si="3"/>
        <v>0</v>
      </c>
      <c r="W14" s="9"/>
      <c r="X14" s="65">
        <f t="shared" si="4"/>
        <v>0</v>
      </c>
    </row>
    <row r="15" spans="1:26" s="42" customFormat="1" ht="12" customHeight="1" x14ac:dyDescent="0.2">
      <c r="A15" s="16">
        <v>9</v>
      </c>
      <c r="B15" s="10"/>
      <c r="C15" s="70"/>
      <c r="D15" s="17"/>
      <c r="E15" s="67">
        <f>+D15/13</f>
        <v>0</v>
      </c>
      <c r="F15" s="69"/>
      <c r="G15" s="44">
        <f>+D15</f>
        <v>0</v>
      </c>
      <c r="H15" s="43">
        <f>(F15+J15+K15+L15+Q15)*10</f>
        <v>0</v>
      </c>
      <c r="I15" s="43"/>
      <c r="J15" s="17"/>
      <c r="K15" s="17"/>
      <c r="L15" s="17"/>
      <c r="M15" s="17"/>
      <c r="N15" s="17"/>
      <c r="O15" s="17"/>
      <c r="P15" s="68">
        <f t="shared" si="0"/>
        <v>0</v>
      </c>
      <c r="Q15" s="17"/>
      <c r="R15" s="43">
        <f t="shared" si="1"/>
        <v>0</v>
      </c>
      <c r="S15" s="17"/>
      <c r="T15" s="43">
        <f t="shared" si="2"/>
        <v>0</v>
      </c>
      <c r="U15" s="17"/>
      <c r="V15" s="43">
        <f t="shared" si="3"/>
        <v>0</v>
      </c>
      <c r="W15" s="9"/>
      <c r="X15" s="65">
        <f t="shared" si="4"/>
        <v>0</v>
      </c>
    </row>
    <row r="16" spans="1:26" s="42" customFormat="1" ht="12" customHeight="1" x14ac:dyDescent="0.2">
      <c r="A16" s="16">
        <v>10</v>
      </c>
      <c r="B16" s="10"/>
      <c r="C16" s="70"/>
      <c r="D16" s="17"/>
      <c r="E16" s="67">
        <f>+D16/13</f>
        <v>0</v>
      </c>
      <c r="F16" s="69"/>
      <c r="G16" s="44">
        <f>+D16</f>
        <v>0</v>
      </c>
      <c r="H16" s="43">
        <f>(F16+J16+K16+L16+Q16)*10</f>
        <v>0</v>
      </c>
      <c r="I16" s="43"/>
      <c r="J16" s="9"/>
      <c r="K16" s="9"/>
      <c r="L16" s="9"/>
      <c r="M16" s="17"/>
      <c r="N16" s="17"/>
      <c r="O16" s="17"/>
      <c r="P16" s="68">
        <f t="shared" si="0"/>
        <v>0</v>
      </c>
      <c r="Q16" s="17"/>
      <c r="R16" s="43">
        <f t="shared" si="1"/>
        <v>0</v>
      </c>
      <c r="S16" s="17"/>
      <c r="T16" s="43">
        <f t="shared" si="2"/>
        <v>0</v>
      </c>
      <c r="U16" s="17"/>
      <c r="V16" s="43">
        <f t="shared" si="3"/>
        <v>0</v>
      </c>
      <c r="W16" s="9"/>
      <c r="X16" s="65">
        <f t="shared" si="4"/>
        <v>0</v>
      </c>
    </row>
    <row r="17" spans="1:24" s="42" customFormat="1" ht="12" customHeight="1" x14ac:dyDescent="0.2">
      <c r="A17" s="16"/>
      <c r="B17" s="12"/>
      <c r="C17" s="11"/>
      <c r="D17" s="17"/>
      <c r="E17" s="67"/>
      <c r="F17" s="66"/>
      <c r="G17" s="44"/>
      <c r="H17" s="43"/>
      <c r="I17" s="43"/>
      <c r="J17" s="9"/>
      <c r="K17" s="9"/>
      <c r="L17" s="9"/>
      <c r="M17" s="11"/>
      <c r="N17" s="11"/>
      <c r="O17" s="11"/>
      <c r="P17" s="43"/>
      <c r="Q17" s="11"/>
      <c r="R17" s="43"/>
      <c r="S17" s="11"/>
      <c r="T17" s="43"/>
      <c r="U17" s="11"/>
      <c r="V17" s="43"/>
      <c r="W17" s="9"/>
      <c r="X17" s="65">
        <f>+G17+H17+P17+R17+T17+V17+W17</f>
        <v>0</v>
      </c>
    </row>
    <row r="18" spans="1:24" s="42" customFormat="1" ht="12" customHeight="1" thickBot="1" x14ac:dyDescent="0.25">
      <c r="A18" s="64"/>
      <c r="B18" s="6"/>
      <c r="C18" s="5"/>
      <c r="D18" s="41">
        <f>SUM(D7:D17)</f>
        <v>51379</v>
      </c>
      <c r="E18" s="4">
        <f>SUM(E7:E17)</f>
        <v>3952.2307692307695</v>
      </c>
      <c r="F18" s="41"/>
      <c r="G18" s="4">
        <f>SUM(G7:G17)</f>
        <v>46109</v>
      </c>
      <c r="H18" s="4">
        <f>SUM(H7:H16)</f>
        <v>800</v>
      </c>
      <c r="I18" s="4">
        <f>SUM(I7:I16)</f>
        <v>50</v>
      </c>
      <c r="J18" s="41"/>
      <c r="K18" s="41"/>
      <c r="L18" s="41"/>
      <c r="M18" s="41"/>
      <c r="N18" s="41"/>
      <c r="O18" s="41"/>
      <c r="P18" s="4">
        <f>SUM(P7:P16)</f>
        <v>658.75</v>
      </c>
      <c r="Q18" s="41"/>
      <c r="R18" s="4">
        <f>SUM(R7:R16)</f>
        <v>1581</v>
      </c>
      <c r="S18" s="41"/>
      <c r="T18" s="4">
        <f>SUM(T7:T16)</f>
        <v>0</v>
      </c>
      <c r="U18" s="63"/>
      <c r="V18" s="4">
        <f>SUM(V7:V16)</f>
        <v>278.29663461538462</v>
      </c>
      <c r="W18" s="41"/>
      <c r="X18" s="4">
        <f>SUM(X7:X16)</f>
        <v>49477.046634615384</v>
      </c>
    </row>
    <row r="19" spans="1:24" s="42" customFormat="1" ht="12" thickBot="1" x14ac:dyDescent="0.25">
      <c r="A19" s="62"/>
      <c r="B19" s="61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1:24" s="42" customFormat="1" ht="11.25" customHeight="1" x14ac:dyDescent="0.2">
      <c r="A20" s="721"/>
      <c r="B20" s="723" t="s">
        <v>12</v>
      </c>
      <c r="C20" s="725" t="s">
        <v>11</v>
      </c>
      <c r="D20" s="711" t="s">
        <v>6</v>
      </c>
      <c r="E20" s="753" t="s">
        <v>28</v>
      </c>
      <c r="F20" s="759" t="s">
        <v>26</v>
      </c>
      <c r="G20" s="735" t="s">
        <v>27</v>
      </c>
      <c r="H20" s="711" t="s">
        <v>26</v>
      </c>
      <c r="I20" s="755" t="s">
        <v>25</v>
      </c>
      <c r="J20" s="743" t="s">
        <v>24</v>
      </c>
      <c r="K20" s="745" t="s">
        <v>23</v>
      </c>
      <c r="L20" s="711" t="s">
        <v>22</v>
      </c>
      <c r="M20" s="711" t="s">
        <v>21</v>
      </c>
      <c r="N20" s="711" t="s">
        <v>20</v>
      </c>
      <c r="O20" s="711" t="s">
        <v>19</v>
      </c>
      <c r="P20" s="732" t="s">
        <v>6</v>
      </c>
      <c r="Q20" s="57"/>
      <c r="R20" s="58" t="s">
        <v>18</v>
      </c>
      <c r="S20" s="57"/>
    </row>
    <row r="21" spans="1:24" s="42" customFormat="1" ht="15" customHeight="1" thickBot="1" x14ac:dyDescent="0.25">
      <c r="A21" s="722"/>
      <c r="B21" s="724"/>
      <c r="C21" s="726"/>
      <c r="D21" s="752"/>
      <c r="E21" s="754"/>
      <c r="F21" s="760"/>
      <c r="G21" s="736"/>
      <c r="H21" s="728"/>
      <c r="I21" s="756"/>
      <c r="J21" s="744"/>
      <c r="K21" s="746"/>
      <c r="L21" s="728"/>
      <c r="M21" s="728"/>
      <c r="N21" s="752"/>
      <c r="O21" s="728"/>
      <c r="P21" s="733"/>
      <c r="R21" s="56" t="str">
        <f>D3</f>
        <v>Dec 26,2018-Jan 10,2019</v>
      </c>
    </row>
    <row r="22" spans="1:24" s="42" customFormat="1" ht="12" customHeight="1" x14ac:dyDescent="0.2">
      <c r="A22" s="25">
        <v>1</v>
      </c>
      <c r="B22" s="24" t="str">
        <f>+B7</f>
        <v>Biarcal, Ronald Glenn</v>
      </c>
      <c r="C22" s="55" t="str">
        <f>+C7</f>
        <v>M.T.Purchaser</v>
      </c>
      <c r="D22" s="54">
        <f t="shared" ref="D22:D31" si="5">+X7</f>
        <v>6990.7624999999998</v>
      </c>
      <c r="E22" s="52">
        <f>+'[9]10.26-11.10'!R25</f>
        <v>0</v>
      </c>
      <c r="F22" s="53">
        <f t="shared" ref="F22:F31" si="6">+E22*E7</f>
        <v>0</v>
      </c>
      <c r="G22" s="52"/>
      <c r="H22" s="53">
        <f t="shared" ref="H22:H31" si="7">(+E7/8)*G22</f>
        <v>0</v>
      </c>
      <c r="I22" s="52"/>
      <c r="J22" s="51"/>
      <c r="K22" s="50">
        <v>622.96</v>
      </c>
      <c r="L22" s="9"/>
      <c r="M22" s="49">
        <v>100</v>
      </c>
      <c r="N22" s="50">
        <v>579.26</v>
      </c>
      <c r="O22" s="49"/>
      <c r="P22" s="8">
        <f t="shared" ref="P22:P31" si="8">+D22-F22-H22-J22-K22-L22-M22-N22-O22-I22</f>
        <v>5688.5424999999996</v>
      </c>
      <c r="R22" s="45">
        <f t="shared" ref="R22:R31" si="9">G7+H7+P7+R7+T7+V7+W7-F22-H22</f>
        <v>6990.7624999999998</v>
      </c>
    </row>
    <row r="23" spans="1:24" s="42" customFormat="1" ht="12" customHeight="1" x14ac:dyDescent="0.2">
      <c r="A23" s="16">
        <v>2</v>
      </c>
      <c r="B23" s="10" t="str">
        <f>+B8</f>
        <v>Sanchez, Angelo</v>
      </c>
      <c r="C23" s="15" t="str">
        <f>+C8</f>
        <v>Head Cook</v>
      </c>
      <c r="D23" s="44">
        <f t="shared" si="5"/>
        <v>7194.9750000000004</v>
      </c>
      <c r="E23" s="47">
        <f>+'[9]10.26-11.10'!R229</f>
        <v>0</v>
      </c>
      <c r="F23" s="48">
        <f t="shared" si="6"/>
        <v>0</v>
      </c>
      <c r="G23" s="17">
        <f>26/60</f>
        <v>0.43333333333333335</v>
      </c>
      <c r="H23" s="48">
        <f t="shared" si="7"/>
        <v>28.545833333333334</v>
      </c>
      <c r="I23" s="47"/>
      <c r="J23" s="9"/>
      <c r="K23" s="9">
        <v>1245.9100000000001</v>
      </c>
      <c r="L23" s="9"/>
      <c r="M23" s="21">
        <v>100</v>
      </c>
      <c r="N23" s="9"/>
      <c r="O23" s="21"/>
      <c r="P23" s="8">
        <f t="shared" si="8"/>
        <v>5820.5191666666669</v>
      </c>
      <c r="R23" s="45">
        <f t="shared" si="9"/>
        <v>7166.4291666666668</v>
      </c>
    </row>
    <row r="24" spans="1:24" s="42" customFormat="1" ht="12" customHeight="1" x14ac:dyDescent="0.2">
      <c r="A24" s="16">
        <v>3</v>
      </c>
      <c r="B24" s="10" t="str">
        <f t="shared" ref="B24:B31" si="10">+B9</f>
        <v>Dino, Joyce</v>
      </c>
      <c r="C24" s="15" t="str">
        <f t="shared" ref="C24:C31" si="11">C9</f>
        <v>Store Manager</v>
      </c>
      <c r="D24" s="44">
        <f t="shared" si="5"/>
        <v>10517.084134615385</v>
      </c>
      <c r="E24" s="47">
        <v>0</v>
      </c>
      <c r="F24" s="48">
        <f t="shared" si="6"/>
        <v>0</v>
      </c>
      <c r="G24" s="17">
        <v>1.48</v>
      </c>
      <c r="H24" s="48">
        <f t="shared" si="7"/>
        <v>146.19269230769231</v>
      </c>
      <c r="I24" s="47"/>
      <c r="J24" s="9"/>
      <c r="K24" s="9"/>
      <c r="L24" s="9"/>
      <c r="M24" s="21">
        <v>100</v>
      </c>
      <c r="N24" s="9"/>
      <c r="O24" s="21"/>
      <c r="P24" s="8">
        <f t="shared" si="8"/>
        <v>10270.891442307693</v>
      </c>
      <c r="R24" s="45">
        <f t="shared" si="9"/>
        <v>10320.891442307693</v>
      </c>
    </row>
    <row r="25" spans="1:24" s="42" customFormat="1" ht="12" customHeight="1" x14ac:dyDescent="0.2">
      <c r="A25" s="16">
        <v>4</v>
      </c>
      <c r="B25" s="10" t="str">
        <f t="shared" si="10"/>
        <v xml:space="preserve">Sosa, Anna Marie </v>
      </c>
      <c r="C25" s="15" t="str">
        <f t="shared" si="11"/>
        <v>M.T.Bookkeeper</v>
      </c>
      <c r="D25" s="44">
        <f t="shared" si="5"/>
        <v>6984.1750000000002</v>
      </c>
      <c r="E25" s="47">
        <v>0</v>
      </c>
      <c r="F25" s="48">
        <f t="shared" si="6"/>
        <v>0</v>
      </c>
      <c r="G25" s="17">
        <v>7.0000000000000007E-2</v>
      </c>
      <c r="H25" s="48">
        <f t="shared" si="7"/>
        <v>4.6112500000000001</v>
      </c>
      <c r="I25" s="47"/>
      <c r="J25" s="9"/>
      <c r="K25" s="9">
        <v>600</v>
      </c>
      <c r="L25" s="9"/>
      <c r="M25" s="21">
        <v>100</v>
      </c>
      <c r="N25" s="9">
        <v>567</v>
      </c>
      <c r="O25" s="21"/>
      <c r="P25" s="8">
        <f t="shared" si="8"/>
        <v>5712.5637500000003</v>
      </c>
      <c r="R25" s="45">
        <f t="shared" si="9"/>
        <v>6979.5637500000003</v>
      </c>
    </row>
    <row r="26" spans="1:24" s="42" customFormat="1" ht="12" customHeight="1" x14ac:dyDescent="0.2">
      <c r="A26" s="16">
        <v>5</v>
      </c>
      <c r="B26" s="10" t="str">
        <f t="shared" si="10"/>
        <v>Briones, Christian Joy</v>
      </c>
      <c r="C26" s="15" t="str">
        <f t="shared" si="11"/>
        <v>Asst. Cook</v>
      </c>
      <c r="D26" s="44">
        <f t="shared" si="5"/>
        <v>7481.65</v>
      </c>
      <c r="E26" s="47">
        <v>0</v>
      </c>
      <c r="F26" s="48">
        <f t="shared" si="6"/>
        <v>0</v>
      </c>
      <c r="G26" s="17">
        <v>1.3</v>
      </c>
      <c r="H26" s="48">
        <f t="shared" si="7"/>
        <v>85.637500000000003</v>
      </c>
      <c r="I26" s="47"/>
      <c r="J26" s="9"/>
      <c r="K26" s="9"/>
      <c r="L26" s="9"/>
      <c r="M26" s="21">
        <v>100</v>
      </c>
      <c r="N26" s="9">
        <v>986.7</v>
      </c>
      <c r="O26" s="21"/>
      <c r="P26" s="8">
        <f t="shared" si="8"/>
        <v>6309.3125</v>
      </c>
      <c r="R26" s="45">
        <f t="shared" si="9"/>
        <v>7396.0124999999998</v>
      </c>
    </row>
    <row r="27" spans="1:24" s="42" customFormat="1" ht="12" customHeight="1" x14ac:dyDescent="0.2">
      <c r="A27" s="16">
        <v>6</v>
      </c>
      <c r="B27" s="10" t="str">
        <f t="shared" si="10"/>
        <v>Cahilig,Benzen</v>
      </c>
      <c r="C27" s="15" t="str">
        <f t="shared" si="11"/>
        <v>Cook</v>
      </c>
      <c r="D27" s="44">
        <f t="shared" si="5"/>
        <v>3798.5250000000001</v>
      </c>
      <c r="E27" s="47">
        <v>0</v>
      </c>
      <c r="F27" s="48">
        <f t="shared" si="6"/>
        <v>0</v>
      </c>
      <c r="G27" s="17">
        <f>20/60</f>
        <v>0.33333333333333331</v>
      </c>
      <c r="H27" s="48">
        <f t="shared" si="7"/>
        <v>21.958333333333332</v>
      </c>
      <c r="I27" s="47"/>
      <c r="J27" s="9"/>
      <c r="K27" s="9">
        <v>507.6</v>
      </c>
      <c r="L27" s="9"/>
      <c r="M27" s="21">
        <v>100</v>
      </c>
      <c r="N27" s="9"/>
      <c r="O27" s="21"/>
      <c r="P27" s="8">
        <f t="shared" si="8"/>
        <v>3168.9666666666667</v>
      </c>
      <c r="R27" s="45">
        <f t="shared" si="9"/>
        <v>3776.5666666666666</v>
      </c>
    </row>
    <row r="28" spans="1:24" s="42" customFormat="1" ht="12" customHeight="1" x14ac:dyDescent="0.2">
      <c r="A28" s="16">
        <v>7</v>
      </c>
      <c r="B28" s="10" t="str">
        <f t="shared" si="10"/>
        <v>Pantoja,Nancy</v>
      </c>
      <c r="C28" s="15" t="str">
        <f t="shared" si="11"/>
        <v>Cashier</v>
      </c>
      <c r="D28" s="44">
        <f t="shared" si="5"/>
        <v>6509.875</v>
      </c>
      <c r="E28" s="47">
        <v>0</v>
      </c>
      <c r="F28" s="48">
        <f t="shared" si="6"/>
        <v>0</v>
      </c>
      <c r="G28" s="17">
        <v>2.1800000000000002</v>
      </c>
      <c r="H28" s="48">
        <f t="shared" si="7"/>
        <v>143.60750000000002</v>
      </c>
      <c r="I28" s="47"/>
      <c r="J28" s="9"/>
      <c r="K28" s="9">
        <v>507.6</v>
      </c>
      <c r="L28" s="9"/>
      <c r="M28" s="21">
        <v>100</v>
      </c>
      <c r="N28" s="9"/>
      <c r="O28" s="21"/>
      <c r="P28" s="8">
        <f t="shared" si="8"/>
        <v>5758.6674999999996</v>
      </c>
      <c r="R28" s="45">
        <f t="shared" si="9"/>
        <v>6366.2674999999999</v>
      </c>
    </row>
    <row r="29" spans="1:24" s="42" customFormat="1" ht="12" customHeight="1" x14ac:dyDescent="0.2">
      <c r="A29" s="16">
        <v>8</v>
      </c>
      <c r="B29" s="10">
        <f t="shared" si="10"/>
        <v>0</v>
      </c>
      <c r="C29" s="15">
        <f t="shared" si="11"/>
        <v>0</v>
      </c>
      <c r="D29" s="44">
        <f t="shared" si="5"/>
        <v>0</v>
      </c>
      <c r="E29" s="47"/>
      <c r="F29" s="48">
        <f t="shared" si="6"/>
        <v>0</v>
      </c>
      <c r="G29" s="17"/>
      <c r="H29" s="48">
        <f t="shared" si="7"/>
        <v>0</v>
      </c>
      <c r="I29" s="47"/>
      <c r="J29" s="9"/>
      <c r="K29" s="9"/>
      <c r="L29" s="9"/>
      <c r="M29" s="21"/>
      <c r="N29" s="9"/>
      <c r="O29" s="21"/>
      <c r="P29" s="8">
        <f t="shared" si="8"/>
        <v>0</v>
      </c>
      <c r="R29" s="45">
        <f t="shared" si="9"/>
        <v>0</v>
      </c>
    </row>
    <row r="30" spans="1:24" s="42" customFormat="1" ht="12" customHeight="1" x14ac:dyDescent="0.2">
      <c r="A30" s="16">
        <v>9</v>
      </c>
      <c r="B30" s="10">
        <f t="shared" si="10"/>
        <v>0</v>
      </c>
      <c r="C30" s="15">
        <f t="shared" si="11"/>
        <v>0</v>
      </c>
      <c r="D30" s="44">
        <f t="shared" si="5"/>
        <v>0</v>
      </c>
      <c r="E30" s="47"/>
      <c r="F30" s="48">
        <f t="shared" si="6"/>
        <v>0</v>
      </c>
      <c r="G30" s="47"/>
      <c r="H30" s="48">
        <f t="shared" si="7"/>
        <v>0</v>
      </c>
      <c r="I30" s="47"/>
      <c r="J30" s="9"/>
      <c r="K30" s="9"/>
      <c r="L30" s="9"/>
      <c r="M30" s="21"/>
      <c r="N30" s="9"/>
      <c r="O30" s="21"/>
      <c r="P30" s="8">
        <f t="shared" si="8"/>
        <v>0</v>
      </c>
      <c r="R30" s="45">
        <f t="shared" si="9"/>
        <v>0</v>
      </c>
    </row>
    <row r="31" spans="1:24" s="42" customFormat="1" ht="12" customHeight="1" x14ac:dyDescent="0.2">
      <c r="A31" s="16">
        <v>10</v>
      </c>
      <c r="B31" s="10">
        <f t="shared" si="10"/>
        <v>0</v>
      </c>
      <c r="C31" s="15">
        <f t="shared" si="11"/>
        <v>0</v>
      </c>
      <c r="D31" s="44">
        <f t="shared" si="5"/>
        <v>0</v>
      </c>
      <c r="E31" s="9"/>
      <c r="F31" s="43">
        <f t="shared" si="6"/>
        <v>0</v>
      </c>
      <c r="G31" s="46"/>
      <c r="H31" s="43">
        <f t="shared" si="7"/>
        <v>0</v>
      </c>
      <c r="I31" s="14"/>
      <c r="J31" s="9"/>
      <c r="K31" s="9"/>
      <c r="L31" s="9"/>
      <c r="M31" s="21"/>
      <c r="N31" s="9"/>
      <c r="O31" s="21"/>
      <c r="P31" s="8">
        <f t="shared" si="8"/>
        <v>0</v>
      </c>
      <c r="R31" s="45">
        <f t="shared" si="9"/>
        <v>0</v>
      </c>
    </row>
    <row r="32" spans="1:24" s="42" customFormat="1" ht="12" customHeight="1" x14ac:dyDescent="0.2">
      <c r="A32" s="13"/>
      <c r="B32" s="12"/>
      <c r="C32" s="11"/>
      <c r="D32" s="44"/>
      <c r="E32" s="9"/>
      <c r="F32" s="43"/>
      <c r="G32" s="11"/>
      <c r="H32" s="43"/>
      <c r="I32" s="9"/>
      <c r="J32" s="9"/>
      <c r="K32" s="9"/>
      <c r="L32" s="9"/>
      <c r="M32" s="9"/>
      <c r="N32" s="9"/>
      <c r="O32" s="9"/>
      <c r="P32" s="8"/>
      <c r="R32" s="30"/>
    </row>
    <row r="33" spans="1:25" s="37" customFormat="1" ht="12" customHeight="1" thickBot="1" x14ac:dyDescent="0.25">
      <c r="A33" s="7"/>
      <c r="B33" s="6"/>
      <c r="C33" s="5"/>
      <c r="D33" s="4">
        <f>SUM(D22:D32)</f>
        <v>49477.046634615384</v>
      </c>
      <c r="E33" s="41">
        <f>+SUM(E22:E32)</f>
        <v>0</v>
      </c>
      <c r="F33" s="4">
        <f>SUM(F22:F32)</f>
        <v>0</v>
      </c>
      <c r="G33" s="41"/>
      <c r="H33" s="4">
        <f>SUM(H22:H32)</f>
        <v>430.55310897435902</v>
      </c>
      <c r="I33" s="4">
        <f t="shared" ref="I33:P33" si="12">+SUM(I22:I32)</f>
        <v>0</v>
      </c>
      <c r="J33" s="4">
        <f t="shared" si="12"/>
        <v>0</v>
      </c>
      <c r="K33" s="4">
        <f t="shared" si="12"/>
        <v>3484.0699999999997</v>
      </c>
      <c r="L33" s="4">
        <f t="shared" si="12"/>
        <v>0</v>
      </c>
      <c r="M33" s="4">
        <f t="shared" si="12"/>
        <v>700</v>
      </c>
      <c r="N33" s="4">
        <f t="shared" si="12"/>
        <v>2132.96</v>
      </c>
      <c r="O33" s="4">
        <f t="shared" si="12"/>
        <v>0</v>
      </c>
      <c r="P33" s="3">
        <f t="shared" si="12"/>
        <v>42729.463525641026</v>
      </c>
      <c r="R33" s="40"/>
      <c r="S33" s="39" t="s">
        <v>2</v>
      </c>
      <c r="T33" s="38"/>
    </row>
    <row r="34" spans="1:25" x14ac:dyDescent="0.2">
      <c r="O34" s="36" t="s">
        <v>5</v>
      </c>
      <c r="P34" s="36" t="s">
        <v>4</v>
      </c>
      <c r="Q34" s="36" t="s">
        <v>3</v>
      </c>
      <c r="R34" s="35"/>
      <c r="S34" s="34"/>
    </row>
    <row r="35" spans="1:25" x14ac:dyDescent="0.2">
      <c r="A35" s="1" t="s">
        <v>17</v>
      </c>
      <c r="D35" s="1" t="s">
        <v>16</v>
      </c>
      <c r="H35" s="1" t="s">
        <v>15</v>
      </c>
      <c r="M35" s="30" t="str">
        <f t="shared" ref="M35:M44" si="13">B22</f>
        <v>Biarcal, Ronald Glenn</v>
      </c>
      <c r="N35" s="18"/>
      <c r="O35" s="30">
        <f>300/2</f>
        <v>150</v>
      </c>
      <c r="P35" s="30">
        <f>((1768/2)/13)*(13-E22)</f>
        <v>884</v>
      </c>
      <c r="Q35" s="30">
        <v>0</v>
      </c>
      <c r="S35" s="29">
        <f t="shared" ref="S35:S44" si="14">+P22+(SUM(O35:Q35))</f>
        <v>6722.5424999999996</v>
      </c>
    </row>
    <row r="36" spans="1:25" x14ac:dyDescent="0.2">
      <c r="M36" s="30" t="str">
        <f t="shared" si="13"/>
        <v>Sanchez, Angelo</v>
      </c>
      <c r="N36" s="18"/>
      <c r="O36" s="30">
        <v>0</v>
      </c>
      <c r="P36" s="30">
        <f>((1000/2)/13)*(13-E23)</f>
        <v>500</v>
      </c>
      <c r="Q36" s="33">
        <v>0</v>
      </c>
      <c r="S36" s="29">
        <f t="shared" si="14"/>
        <v>6320.5191666666669</v>
      </c>
    </row>
    <row r="37" spans="1:25" x14ac:dyDescent="0.2">
      <c r="A37" s="18" t="str">
        <f>+B25</f>
        <v xml:space="preserve">Sosa, Anna Marie </v>
      </c>
      <c r="D37" s="18" t="str">
        <f>B24</f>
        <v>Dino, Joyce</v>
      </c>
      <c r="M37" s="30" t="str">
        <f t="shared" si="13"/>
        <v>Dino, Joyce</v>
      </c>
      <c r="N37" s="18"/>
      <c r="O37" s="30">
        <f>500/2</f>
        <v>250</v>
      </c>
      <c r="P37" s="30">
        <v>1000</v>
      </c>
      <c r="Q37" s="30">
        <v>0</v>
      </c>
      <c r="S37" s="29">
        <f t="shared" si="14"/>
        <v>11520.891442307693</v>
      </c>
    </row>
    <row r="38" spans="1:25" x14ac:dyDescent="0.2">
      <c r="A38" s="32" t="s">
        <v>14</v>
      </c>
      <c r="B38" s="32"/>
      <c r="C38" s="32"/>
      <c r="D38" s="32" t="s">
        <v>13</v>
      </c>
      <c r="E38" s="32"/>
      <c r="F38" s="32"/>
      <c r="G38" s="32"/>
      <c r="H38" s="32"/>
      <c r="I38" s="32"/>
      <c r="M38" s="30" t="str">
        <f t="shared" si="13"/>
        <v xml:space="preserve">Sosa, Anna Marie </v>
      </c>
      <c r="N38" s="18"/>
      <c r="O38" s="30">
        <f>300/2</f>
        <v>150</v>
      </c>
      <c r="P38" s="30">
        <f>((1768/2)/13)*(13-E25)</f>
        <v>884</v>
      </c>
      <c r="Q38" s="30">
        <v>0</v>
      </c>
      <c r="S38" s="29">
        <f t="shared" si="14"/>
        <v>6746.5637500000003</v>
      </c>
      <c r="T38" s="31"/>
      <c r="U38" s="31"/>
      <c r="V38" s="31"/>
      <c r="W38" s="31"/>
      <c r="X38" s="31"/>
      <c r="Y38" s="31"/>
    </row>
    <row r="39" spans="1:25" x14ac:dyDescent="0.2">
      <c r="M39" s="30" t="str">
        <f t="shared" si="13"/>
        <v>Briones, Christian Joy</v>
      </c>
      <c r="O39" s="30">
        <v>0</v>
      </c>
      <c r="P39" s="30">
        <v>0</v>
      </c>
      <c r="Q39" s="30">
        <v>0</v>
      </c>
      <c r="S39" s="29">
        <f t="shared" si="14"/>
        <v>6309.3125</v>
      </c>
      <c r="T39" s="31"/>
      <c r="U39" s="31"/>
      <c r="V39" s="31"/>
      <c r="W39" s="31"/>
      <c r="X39" s="31"/>
      <c r="Y39" s="31"/>
    </row>
    <row r="40" spans="1:25" x14ac:dyDescent="0.2">
      <c r="M40" s="30" t="str">
        <f t="shared" si="13"/>
        <v>Cahilig,Benzen</v>
      </c>
      <c r="O40" s="30">
        <v>0</v>
      </c>
      <c r="P40" s="30">
        <v>0</v>
      </c>
      <c r="Q40" s="30">
        <v>0</v>
      </c>
      <c r="S40" s="29">
        <f t="shared" si="14"/>
        <v>3168.9666666666667</v>
      </c>
    </row>
    <row r="41" spans="1:25" x14ac:dyDescent="0.2">
      <c r="M41" s="30" t="str">
        <f t="shared" si="13"/>
        <v>Pantoja,Nancy</v>
      </c>
      <c r="O41" s="30">
        <v>0</v>
      </c>
      <c r="P41" s="30">
        <v>0</v>
      </c>
      <c r="Q41" s="30">
        <v>0</v>
      </c>
      <c r="S41" s="29">
        <f t="shared" si="14"/>
        <v>5758.6674999999996</v>
      </c>
    </row>
    <row r="42" spans="1:25" x14ac:dyDescent="0.2">
      <c r="M42" s="30">
        <f t="shared" si="13"/>
        <v>0</v>
      </c>
      <c r="O42" s="30">
        <v>0</v>
      </c>
      <c r="P42" s="30">
        <v>0</v>
      </c>
      <c r="Q42" s="30">
        <v>0</v>
      </c>
      <c r="S42" s="29">
        <f t="shared" si="14"/>
        <v>0</v>
      </c>
    </row>
    <row r="43" spans="1:25" x14ac:dyDescent="0.2">
      <c r="M43" s="30">
        <f t="shared" si="13"/>
        <v>0</v>
      </c>
      <c r="O43" s="30">
        <v>0</v>
      </c>
      <c r="P43" s="30">
        <v>0</v>
      </c>
      <c r="Q43" s="30">
        <v>0</v>
      </c>
      <c r="S43" s="29">
        <f t="shared" si="14"/>
        <v>0</v>
      </c>
    </row>
    <row r="44" spans="1:25" x14ac:dyDescent="0.2">
      <c r="M44" s="30">
        <f t="shared" si="13"/>
        <v>0</v>
      </c>
      <c r="O44" s="30">
        <v>0</v>
      </c>
      <c r="P44" s="30">
        <v>0</v>
      </c>
      <c r="Q44" s="30">
        <v>0</v>
      </c>
      <c r="S44" s="29">
        <f t="shared" si="14"/>
        <v>0</v>
      </c>
    </row>
    <row r="46" spans="1:25" x14ac:dyDescent="0.2">
      <c r="P46" s="28">
        <f>+P33+(SUM(O35:Q44))</f>
        <v>46547.463525641026</v>
      </c>
    </row>
    <row r="53" spans="1:14" ht="13.5" thickBot="1" x14ac:dyDescent="0.25"/>
    <row r="54" spans="1:14" ht="13.5" thickBot="1" x14ac:dyDescent="0.25">
      <c r="A54" s="721"/>
      <c r="B54" s="723" t="s">
        <v>12</v>
      </c>
      <c r="C54" s="725" t="s">
        <v>11</v>
      </c>
      <c r="D54" s="711" t="s">
        <v>10</v>
      </c>
      <c r="E54" s="709" t="s">
        <v>9</v>
      </c>
      <c r="F54" s="730" t="s">
        <v>8</v>
      </c>
      <c r="G54" s="731"/>
      <c r="H54" s="741" t="s">
        <v>7</v>
      </c>
      <c r="I54" s="732" t="s">
        <v>6</v>
      </c>
      <c r="J54" s="734" t="s">
        <v>5</v>
      </c>
      <c r="K54" s="729" t="s">
        <v>4</v>
      </c>
      <c r="L54" s="729" t="s">
        <v>3</v>
      </c>
      <c r="N54" s="727" t="s">
        <v>2</v>
      </c>
    </row>
    <row r="55" spans="1:14" ht="13.5" thickBot="1" x14ac:dyDescent="0.25">
      <c r="A55" s="722"/>
      <c r="B55" s="724"/>
      <c r="C55" s="726"/>
      <c r="D55" s="712"/>
      <c r="E55" s="710"/>
      <c r="F55" s="27" t="s">
        <v>1</v>
      </c>
      <c r="G55" s="26" t="s">
        <v>0</v>
      </c>
      <c r="H55" s="742"/>
      <c r="I55" s="733"/>
      <c r="J55" s="734"/>
      <c r="K55" s="729"/>
      <c r="L55" s="729"/>
      <c r="N55" s="727"/>
    </row>
    <row r="56" spans="1:14" ht="13.5" thickBot="1" x14ac:dyDescent="0.25">
      <c r="A56" s="25">
        <v>1</v>
      </c>
      <c r="B56" s="24" t="str">
        <f t="shared" ref="B56:C65" si="15">+B22</f>
        <v>Biarcal, Ronald Glenn</v>
      </c>
      <c r="C56" s="24" t="str">
        <f t="shared" si="15"/>
        <v>M.T.Purchaser</v>
      </c>
      <c r="D56" s="23">
        <v>22.5</v>
      </c>
      <c r="E56" s="20"/>
      <c r="F56" s="22"/>
      <c r="G56" s="22">
        <v>0</v>
      </c>
      <c r="H56" s="20"/>
      <c r="I56" s="8">
        <f t="shared" ref="I56:I65" si="16">+D22-F22-H22-D56-J22-K22-L22-M22-N22-O22-E56-H56-F56-G56-I22</f>
        <v>5666.0424999999996</v>
      </c>
      <c r="J56" s="19">
        <f t="shared" ref="J56:L60" si="17">+O35</f>
        <v>150</v>
      </c>
      <c r="K56" s="19">
        <f t="shared" si="17"/>
        <v>884</v>
      </c>
      <c r="L56" s="19">
        <f t="shared" si="17"/>
        <v>0</v>
      </c>
      <c r="N56" s="18">
        <f t="shared" ref="N56:N62" si="18">+I56+J56+K56</f>
        <v>6700.0424999999996</v>
      </c>
    </row>
    <row r="57" spans="1:14" ht="13.5" thickBot="1" x14ac:dyDescent="0.25">
      <c r="A57" s="16">
        <v>2</v>
      </c>
      <c r="B57" s="10" t="str">
        <f t="shared" si="15"/>
        <v>Sanchez, Angelo</v>
      </c>
      <c r="C57" s="15" t="str">
        <f t="shared" si="15"/>
        <v>Head Cook</v>
      </c>
      <c r="D57" s="17">
        <v>20.7</v>
      </c>
      <c r="E57" s="14"/>
      <c r="F57" s="14"/>
      <c r="G57" s="14"/>
      <c r="H57" s="20"/>
      <c r="I57" s="8">
        <f t="shared" si="16"/>
        <v>5799.8191666666671</v>
      </c>
      <c r="J57" s="19">
        <f t="shared" si="17"/>
        <v>0</v>
      </c>
      <c r="K57" s="19">
        <f t="shared" si="17"/>
        <v>500</v>
      </c>
      <c r="L57" s="19">
        <f t="shared" si="17"/>
        <v>0</v>
      </c>
      <c r="N57" s="18">
        <f t="shared" si="18"/>
        <v>6299.8191666666671</v>
      </c>
    </row>
    <row r="58" spans="1:14" ht="13.5" thickBot="1" x14ac:dyDescent="0.25">
      <c r="A58" s="16">
        <v>3</v>
      </c>
      <c r="B58" s="10" t="str">
        <f t="shared" si="15"/>
        <v>Dino, Joyce</v>
      </c>
      <c r="C58" s="15" t="str">
        <f t="shared" si="15"/>
        <v>Store Manager</v>
      </c>
      <c r="D58" s="17"/>
      <c r="E58" s="14"/>
      <c r="F58" s="21"/>
      <c r="G58" s="21">
        <f>3202.78/2</f>
        <v>1601.39</v>
      </c>
      <c r="H58" s="20"/>
      <c r="I58" s="8">
        <f t="shared" si="16"/>
        <v>8669.5014423076937</v>
      </c>
      <c r="J58" s="19">
        <f t="shared" si="17"/>
        <v>250</v>
      </c>
      <c r="K58" s="19">
        <f t="shared" si="17"/>
        <v>1000</v>
      </c>
      <c r="L58" s="19">
        <f t="shared" si="17"/>
        <v>0</v>
      </c>
      <c r="N58" s="18">
        <f t="shared" si="18"/>
        <v>9919.5014423076937</v>
      </c>
    </row>
    <row r="59" spans="1:14" ht="13.5" thickBot="1" x14ac:dyDescent="0.25">
      <c r="A59" s="16">
        <v>4</v>
      </c>
      <c r="B59" s="10" t="str">
        <f t="shared" si="15"/>
        <v xml:space="preserve">Sosa, Anna Marie </v>
      </c>
      <c r="C59" s="15" t="str">
        <f t="shared" si="15"/>
        <v>M.T.Bookkeeper</v>
      </c>
      <c r="D59" s="17">
        <v>342.9</v>
      </c>
      <c r="E59" s="14"/>
      <c r="F59" s="14"/>
      <c r="G59" s="14">
        <f>3074.67/2</f>
        <v>1537.335</v>
      </c>
      <c r="H59" s="20"/>
      <c r="I59" s="8">
        <f t="shared" si="16"/>
        <v>3832.3287500000006</v>
      </c>
      <c r="J59" s="19">
        <f t="shared" si="17"/>
        <v>150</v>
      </c>
      <c r="K59" s="19">
        <f t="shared" si="17"/>
        <v>884</v>
      </c>
      <c r="L59" s="19">
        <f t="shared" si="17"/>
        <v>0</v>
      </c>
      <c r="N59" s="18">
        <f t="shared" si="18"/>
        <v>4866.3287500000006</v>
      </c>
    </row>
    <row r="60" spans="1:14" x14ac:dyDescent="0.2">
      <c r="A60" s="16">
        <v>5</v>
      </c>
      <c r="B60" s="10" t="str">
        <f t="shared" si="15"/>
        <v>Briones, Christian Joy</v>
      </c>
      <c r="C60" s="15" t="str">
        <f t="shared" si="15"/>
        <v>Asst. Cook</v>
      </c>
      <c r="D60" s="17"/>
      <c r="E60" s="14"/>
      <c r="F60" s="14"/>
      <c r="G60" s="14"/>
      <c r="H60" s="20"/>
      <c r="I60" s="8">
        <f t="shared" si="16"/>
        <v>6309.3125</v>
      </c>
      <c r="J60" s="19">
        <f t="shared" si="17"/>
        <v>0</v>
      </c>
      <c r="K60" s="19">
        <f t="shared" si="17"/>
        <v>0</v>
      </c>
      <c r="L60" s="19">
        <f t="shared" si="17"/>
        <v>0</v>
      </c>
      <c r="N60" s="18">
        <f t="shared" si="18"/>
        <v>6309.3125</v>
      </c>
    </row>
    <row r="61" spans="1:14" x14ac:dyDescent="0.2">
      <c r="A61" s="16">
        <v>6</v>
      </c>
      <c r="B61" s="10" t="str">
        <f t="shared" si="15"/>
        <v>Cahilig,Benzen</v>
      </c>
      <c r="C61" s="15" t="str">
        <f t="shared" si="15"/>
        <v>Cook</v>
      </c>
      <c r="D61" s="17"/>
      <c r="E61" s="14"/>
      <c r="F61" s="14"/>
      <c r="G61" s="14"/>
      <c r="H61" s="14"/>
      <c r="I61" s="8">
        <f t="shared" si="16"/>
        <v>3168.9666666666667</v>
      </c>
      <c r="N61" s="18">
        <f t="shared" si="18"/>
        <v>3168.9666666666667</v>
      </c>
    </row>
    <row r="62" spans="1:14" x14ac:dyDescent="0.2">
      <c r="A62" s="16">
        <v>7</v>
      </c>
      <c r="B62" s="10" t="str">
        <f t="shared" si="15"/>
        <v>Pantoja,Nancy</v>
      </c>
      <c r="C62" s="15" t="str">
        <f t="shared" si="15"/>
        <v>Cashier</v>
      </c>
      <c r="D62" s="17">
        <v>193.5</v>
      </c>
      <c r="E62" s="14"/>
      <c r="F62" s="14"/>
      <c r="G62" s="14"/>
      <c r="H62" s="14"/>
      <c r="I62" s="8">
        <f t="shared" si="16"/>
        <v>5565.1674999999996</v>
      </c>
      <c r="N62" s="18">
        <f t="shared" si="18"/>
        <v>5565.1674999999996</v>
      </c>
    </row>
    <row r="63" spans="1:14" x14ac:dyDescent="0.2">
      <c r="A63" s="16">
        <v>8</v>
      </c>
      <c r="B63" s="10">
        <f t="shared" si="15"/>
        <v>0</v>
      </c>
      <c r="C63" s="15">
        <f t="shared" si="15"/>
        <v>0</v>
      </c>
      <c r="D63" s="17"/>
      <c r="E63" s="14"/>
      <c r="F63" s="14"/>
      <c r="G63" s="14"/>
      <c r="H63" s="9">
        <v>0</v>
      </c>
      <c r="I63" s="8">
        <f t="shared" si="16"/>
        <v>0</v>
      </c>
    </row>
    <row r="64" spans="1:14" x14ac:dyDescent="0.2">
      <c r="A64" s="16">
        <v>9</v>
      </c>
      <c r="B64" s="10">
        <f t="shared" si="15"/>
        <v>0</v>
      </c>
      <c r="C64" s="15">
        <f t="shared" si="15"/>
        <v>0</v>
      </c>
      <c r="D64" s="17"/>
      <c r="E64" s="14"/>
      <c r="F64" s="14"/>
      <c r="G64" s="14"/>
      <c r="H64" s="9">
        <v>0</v>
      </c>
      <c r="I64" s="8">
        <f t="shared" si="16"/>
        <v>0</v>
      </c>
    </row>
    <row r="65" spans="1:14" x14ac:dyDescent="0.2">
      <c r="A65" s="16">
        <v>10</v>
      </c>
      <c r="B65" s="10">
        <f t="shared" si="15"/>
        <v>0</v>
      </c>
      <c r="C65" s="15">
        <f t="shared" si="15"/>
        <v>0</v>
      </c>
      <c r="D65" s="10"/>
      <c r="E65" s="14"/>
      <c r="F65" s="14"/>
      <c r="G65" s="14"/>
      <c r="H65" s="9">
        <v>0</v>
      </c>
      <c r="I65" s="8">
        <f t="shared" si="16"/>
        <v>0</v>
      </c>
    </row>
    <row r="66" spans="1:14" x14ac:dyDescent="0.2">
      <c r="A66" s="13"/>
      <c r="B66" s="12"/>
      <c r="C66" s="11"/>
      <c r="D66" s="10"/>
      <c r="E66" s="9"/>
      <c r="F66" s="9"/>
      <c r="G66" s="9"/>
      <c r="H66" s="9"/>
      <c r="I66" s="8"/>
    </row>
    <row r="67" spans="1:14" ht="13.5" thickBot="1" x14ac:dyDescent="0.25">
      <c r="A67" s="7"/>
      <c r="B67" s="6"/>
      <c r="C67" s="5"/>
      <c r="D67" s="4">
        <f>SUM(D56:D66)</f>
        <v>579.59999999999991</v>
      </c>
      <c r="E67" s="4">
        <f>+SUM(E56:E66)</f>
        <v>0</v>
      </c>
      <c r="F67" s="4">
        <f>+SUM(F56:F66)</f>
        <v>0</v>
      </c>
      <c r="G67" s="4">
        <f>+SUM(G56:G66)</f>
        <v>3138.7250000000004</v>
      </c>
      <c r="H67" s="4">
        <f>+SUM(H56:H66)</f>
        <v>0</v>
      </c>
      <c r="I67" s="3">
        <f>+SUM(I56:I66)</f>
        <v>39011.138525641029</v>
      </c>
      <c r="N67" s="2">
        <f>SUM(N56:N66)</f>
        <v>42829.138525641029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N20:N21"/>
    <mergeCell ref="R5:R6"/>
    <mergeCell ref="S5:S6"/>
    <mergeCell ref="W5:W6"/>
    <mergeCell ref="O20:O21"/>
    <mergeCell ref="T5:T6"/>
    <mergeCell ref="H5:H6"/>
    <mergeCell ref="J5:L5"/>
    <mergeCell ref="V5:V6"/>
    <mergeCell ref="P20:P21"/>
    <mergeCell ref="J20:J21"/>
    <mergeCell ref="K20:K21"/>
    <mergeCell ref="U5:U6"/>
    <mergeCell ref="P5:P6"/>
    <mergeCell ref="M5:O5"/>
    <mergeCell ref="Q5:Q6"/>
    <mergeCell ref="N54:N55"/>
    <mergeCell ref="G5:G6"/>
    <mergeCell ref="L20:L21"/>
    <mergeCell ref="F5:F6"/>
    <mergeCell ref="K54:K55"/>
    <mergeCell ref="F54:G54"/>
    <mergeCell ref="I54:I55"/>
    <mergeCell ref="J54:J55"/>
    <mergeCell ref="G20:G21"/>
    <mergeCell ref="L54:L55"/>
    <mergeCell ref="H20:H21"/>
    <mergeCell ref="H54:H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/>
  </sheetViews>
  <sheetFormatPr defaultColWidth="9.140625" defaultRowHeight="12.75" x14ac:dyDescent="0.2"/>
  <cols>
    <col min="1" max="1" width="4.140625" style="1" customWidth="1"/>
    <col min="2" max="2" width="15.7109375" style="1" customWidth="1"/>
    <col min="3" max="3" width="13.85546875" style="1" customWidth="1"/>
    <col min="4" max="4" width="10.28515625" style="1" customWidth="1"/>
    <col min="5" max="5" width="9.42578125" style="1" bestFit="1" customWidth="1"/>
    <col min="6" max="6" width="8.140625" style="1" customWidth="1"/>
    <col min="7" max="7" width="11.28515625" style="1" bestFit="1" customWidth="1"/>
    <col min="8" max="8" width="10.28515625" style="1" bestFit="1" customWidth="1"/>
    <col min="9" max="9" width="10.28515625" style="1" customWidth="1"/>
    <col min="10" max="10" width="9.28515625" style="1" customWidth="1"/>
    <col min="11" max="11" width="8.140625" style="1" customWidth="1"/>
    <col min="12" max="12" width="8.28515625" style="1" customWidth="1"/>
    <col min="13" max="13" width="9.7109375" style="1" customWidth="1"/>
    <col min="14" max="14" width="12" style="1" customWidth="1"/>
    <col min="15" max="15" width="9.7109375" style="1" customWidth="1"/>
    <col min="16" max="16" width="10.28515625" style="1" bestFit="1" customWidth="1"/>
    <col min="17" max="17" width="9.28515625" style="1" bestFit="1" customWidth="1"/>
    <col min="18" max="18" width="10.140625" style="1" bestFit="1" customWidth="1"/>
    <col min="19" max="19" width="10.28515625" style="1" customWidth="1"/>
    <col min="20" max="20" width="9.42578125" style="1" bestFit="1" customWidth="1"/>
    <col min="21" max="21" width="10" style="1" customWidth="1"/>
    <col min="22" max="22" width="10.28515625" style="1" customWidth="1"/>
    <col min="23" max="23" width="11.7109375" style="1" customWidth="1"/>
    <col min="24" max="24" width="10.42578125" style="1" customWidth="1"/>
    <col min="25" max="25" width="9.140625" style="1" customWidth="1"/>
    <col min="26" max="26" width="8.7109375" style="1" customWidth="1"/>
    <col min="27" max="16384" width="9.140625" style="1"/>
  </cols>
  <sheetData>
    <row r="1" spans="1:26" s="87" customFormat="1" ht="15.75" x14ac:dyDescent="0.25">
      <c r="A1" s="90" t="s">
        <v>61</v>
      </c>
      <c r="B1" s="90"/>
      <c r="C1" s="92"/>
    </row>
    <row r="2" spans="1:26" s="87" customFormat="1" ht="15.75" x14ac:dyDescent="0.25">
      <c r="A2" s="91" t="s">
        <v>60</v>
      </c>
      <c r="B2" s="91"/>
      <c r="C2" s="89"/>
      <c r="D2" s="88" t="s">
        <v>59</v>
      </c>
      <c r="E2" s="88"/>
      <c r="F2" s="88"/>
    </row>
    <row r="3" spans="1:26" s="87" customFormat="1" ht="15.75" x14ac:dyDescent="0.25">
      <c r="A3" s="90" t="s">
        <v>58</v>
      </c>
      <c r="B3" s="90"/>
      <c r="C3" s="89"/>
      <c r="D3" s="88" t="s">
        <v>151</v>
      </c>
      <c r="E3" s="88"/>
      <c r="F3" s="88"/>
    </row>
    <row r="4" spans="1:26" ht="13.5" thickBot="1" x14ac:dyDescent="0.25">
      <c r="C4" s="86"/>
      <c r="Q4" s="85"/>
      <c r="S4" s="85"/>
    </row>
    <row r="5" spans="1:26" s="42" customFormat="1" ht="11.25" x14ac:dyDescent="0.2">
      <c r="A5" s="713"/>
      <c r="B5" s="715" t="s">
        <v>12</v>
      </c>
      <c r="C5" s="770" t="s">
        <v>11</v>
      </c>
      <c r="D5" s="761" t="s">
        <v>56</v>
      </c>
      <c r="E5" s="770" t="s">
        <v>55</v>
      </c>
      <c r="F5" s="761"/>
      <c r="G5" s="770" t="s">
        <v>54</v>
      </c>
      <c r="H5" s="761" t="s">
        <v>53</v>
      </c>
      <c r="I5" s="768" t="s">
        <v>52</v>
      </c>
      <c r="J5" s="778" t="s">
        <v>51</v>
      </c>
      <c r="K5" s="779"/>
      <c r="L5" s="780"/>
      <c r="M5" s="776" t="s">
        <v>50</v>
      </c>
      <c r="N5" s="777"/>
      <c r="O5" s="777"/>
      <c r="P5" s="770" t="s">
        <v>26</v>
      </c>
      <c r="Q5" s="761" t="s">
        <v>43</v>
      </c>
      <c r="R5" s="770" t="s">
        <v>26</v>
      </c>
      <c r="S5" s="761" t="s">
        <v>42</v>
      </c>
      <c r="T5" s="770" t="s">
        <v>26</v>
      </c>
      <c r="U5" s="761" t="s">
        <v>49</v>
      </c>
      <c r="V5" s="770" t="s">
        <v>26</v>
      </c>
      <c r="W5" s="761" t="s">
        <v>150</v>
      </c>
      <c r="X5" s="762" t="s">
        <v>6</v>
      </c>
    </row>
    <row r="6" spans="1:26" s="42" customFormat="1" ht="27" customHeight="1" thickBot="1" x14ac:dyDescent="0.25">
      <c r="A6" s="714"/>
      <c r="B6" s="716"/>
      <c r="C6" s="716"/>
      <c r="D6" s="719"/>
      <c r="E6" s="720"/>
      <c r="F6" s="719"/>
      <c r="G6" s="720"/>
      <c r="H6" s="737"/>
      <c r="I6" s="769"/>
      <c r="J6" s="201" t="s">
        <v>47</v>
      </c>
      <c r="K6" s="201" t="s">
        <v>46</v>
      </c>
      <c r="L6" s="201" t="s">
        <v>45</v>
      </c>
      <c r="M6" s="200" t="s">
        <v>44</v>
      </c>
      <c r="N6" s="200" t="s">
        <v>43</v>
      </c>
      <c r="O6" s="200" t="s">
        <v>42</v>
      </c>
      <c r="P6" s="716"/>
      <c r="Q6" s="719"/>
      <c r="R6" s="716"/>
      <c r="S6" s="719"/>
      <c r="T6" s="716"/>
      <c r="U6" s="719"/>
      <c r="V6" s="716"/>
      <c r="W6" s="737"/>
      <c r="X6" s="751"/>
    </row>
    <row r="7" spans="1:26" s="42" customFormat="1" ht="12" customHeight="1" thickBot="1" x14ac:dyDescent="0.25">
      <c r="A7" s="82">
        <v>1</v>
      </c>
      <c r="B7" s="161" t="s">
        <v>41</v>
      </c>
      <c r="C7" s="199" t="s">
        <v>40</v>
      </c>
      <c r="D7" s="164">
        <v>6851</v>
      </c>
      <c r="E7" s="190">
        <f t="shared" ref="E7:E16" si="0">+D7/13</f>
        <v>527</v>
      </c>
      <c r="F7" s="198">
        <v>13</v>
      </c>
      <c r="G7" s="197">
        <f>+D7</f>
        <v>6851</v>
      </c>
      <c r="H7" s="193">
        <f>(F7+J7+K7+L7+Q7)*10</f>
        <v>130</v>
      </c>
      <c r="I7" s="193"/>
      <c r="J7" s="168">
        <v>0</v>
      </c>
      <c r="K7" s="168">
        <f>+'[10]10.26-11.10'!I25</f>
        <v>0</v>
      </c>
      <c r="L7" s="168">
        <v>0</v>
      </c>
      <c r="M7" s="168">
        <f>+'[10]10.26-11.10'!O25</f>
        <v>0</v>
      </c>
      <c r="N7" s="168">
        <f>+'[10]10.26-11.10'!P25</f>
        <v>0</v>
      </c>
      <c r="O7" s="168">
        <f>+'[10]10.26-11.10'!Q25</f>
        <v>0</v>
      </c>
      <c r="P7" s="68">
        <f t="shared" ref="P7:P16" si="1">(((E7/8)*1.25)*M7)+((((E7/8)*N7)*200%)*130%)+((((E7/8)*130%)*130%)*O7)</f>
        <v>0</v>
      </c>
      <c r="Q7" s="196"/>
      <c r="R7" s="195">
        <f t="shared" ref="R7:R16" si="2">+Q7*E7</f>
        <v>0</v>
      </c>
      <c r="S7" s="196">
        <f>+'[10]10.26-11.10'!W25</f>
        <v>0</v>
      </c>
      <c r="T7" s="195">
        <f t="shared" ref="T7:T16" si="3">(+S7*E7)*0.3</f>
        <v>0</v>
      </c>
      <c r="U7" s="182">
        <v>4</v>
      </c>
      <c r="V7" s="174">
        <f t="shared" ref="V7:V16" si="4">(E7/8/10)*U7</f>
        <v>26.35</v>
      </c>
      <c r="W7" s="194"/>
      <c r="X7" s="188">
        <f t="shared" ref="X7:X16" si="5">+G7+H7+P7+R7+T7+V7+W7+I7</f>
        <v>7007.35</v>
      </c>
      <c r="Y7" s="75"/>
      <c r="Z7" s="75"/>
    </row>
    <row r="8" spans="1:26" s="42" customFormat="1" ht="12" customHeight="1" thickBot="1" x14ac:dyDescent="0.25">
      <c r="A8" s="16">
        <v>2</v>
      </c>
      <c r="B8" s="161" t="s">
        <v>39</v>
      </c>
      <c r="C8" s="192" t="s">
        <v>38</v>
      </c>
      <c r="D8" s="164">
        <v>6851</v>
      </c>
      <c r="E8" s="190">
        <f t="shared" si="0"/>
        <v>527</v>
      </c>
      <c r="F8" s="177">
        <v>12</v>
      </c>
      <c r="G8" s="175">
        <f>+D8</f>
        <v>6851</v>
      </c>
      <c r="H8" s="193">
        <f>(F8+J8+K8+L8+Q8)*10</f>
        <v>130</v>
      </c>
      <c r="I8" s="174"/>
      <c r="J8" s="177">
        <v>1</v>
      </c>
      <c r="K8" s="164">
        <f>+'[10]10.26-11.10'!I229</f>
        <v>0</v>
      </c>
      <c r="L8" s="164">
        <v>0</v>
      </c>
      <c r="M8" s="164">
        <v>0</v>
      </c>
      <c r="N8" s="164">
        <f>+'[10]10.26-11.10'!P229</f>
        <v>0</v>
      </c>
      <c r="O8" s="164">
        <f>+'[10]10.26-11.10'!Q229</f>
        <v>0</v>
      </c>
      <c r="P8" s="68">
        <f t="shared" si="1"/>
        <v>0</v>
      </c>
      <c r="Q8" s="164"/>
      <c r="R8" s="174">
        <f t="shared" si="2"/>
        <v>0</v>
      </c>
      <c r="S8" s="164">
        <f>+'[10]10.26-11.10'!W229</f>
        <v>0</v>
      </c>
      <c r="T8" s="174">
        <f t="shared" si="3"/>
        <v>0</v>
      </c>
      <c r="U8" s="177">
        <v>8</v>
      </c>
      <c r="V8" s="174">
        <f t="shared" si="4"/>
        <v>52.7</v>
      </c>
      <c r="W8" s="159"/>
      <c r="X8" s="188">
        <f t="shared" si="5"/>
        <v>7033.7</v>
      </c>
      <c r="Y8" s="75"/>
      <c r="Z8" s="75"/>
    </row>
    <row r="9" spans="1:26" s="42" customFormat="1" ht="12" customHeight="1" thickBot="1" x14ac:dyDescent="0.25">
      <c r="A9" s="16">
        <v>3</v>
      </c>
      <c r="B9" s="161" t="s">
        <v>37</v>
      </c>
      <c r="C9" s="192" t="s">
        <v>13</v>
      </c>
      <c r="D9" s="164">
        <f>(20000/2)+(21*13)</f>
        <v>10273</v>
      </c>
      <c r="E9" s="190">
        <f t="shared" si="0"/>
        <v>790.23076923076928</v>
      </c>
      <c r="F9" s="177">
        <v>11.5</v>
      </c>
      <c r="G9" s="175">
        <f>D9</f>
        <v>10273</v>
      </c>
      <c r="H9" s="193">
        <f>(F9+J9+K9+L9+Q9)*10</f>
        <v>130</v>
      </c>
      <c r="I9" s="174">
        <f>50</f>
        <v>50</v>
      </c>
      <c r="J9" s="164">
        <v>1.5</v>
      </c>
      <c r="K9" s="164">
        <v>0</v>
      </c>
      <c r="L9" s="164">
        <f>+'[10]10.26-11.10'!J71</f>
        <v>0</v>
      </c>
      <c r="M9" s="164">
        <f>+'[10]10.26-11.10'!O71</f>
        <v>0</v>
      </c>
      <c r="N9" s="164">
        <f>+'[10]10.26-11.10'!P71</f>
        <v>0</v>
      </c>
      <c r="O9" s="164">
        <f>+'[10]10.26-11.10'!Q71</f>
        <v>0</v>
      </c>
      <c r="P9" s="68">
        <f t="shared" si="1"/>
        <v>0</v>
      </c>
      <c r="Q9" s="164"/>
      <c r="R9" s="174">
        <f t="shared" si="2"/>
        <v>0</v>
      </c>
      <c r="S9" s="164">
        <f>+'[10]10.26-11.10'!W71</f>
        <v>0</v>
      </c>
      <c r="T9" s="174">
        <f t="shared" si="3"/>
        <v>0</v>
      </c>
      <c r="U9" s="177">
        <v>6</v>
      </c>
      <c r="V9" s="174">
        <f t="shared" si="4"/>
        <v>59.267307692307696</v>
      </c>
      <c r="W9" s="159"/>
      <c r="X9" s="188">
        <f t="shared" si="5"/>
        <v>10512.267307692307</v>
      </c>
      <c r="Y9" s="75"/>
      <c r="Z9" s="75"/>
    </row>
    <row r="10" spans="1:26" s="42" customFormat="1" ht="12" customHeight="1" thickBot="1" x14ac:dyDescent="0.25">
      <c r="A10" s="16">
        <v>4</v>
      </c>
      <c r="B10" s="161" t="s">
        <v>36</v>
      </c>
      <c r="C10" s="192" t="s">
        <v>35</v>
      </c>
      <c r="D10" s="164">
        <v>6851</v>
      </c>
      <c r="E10" s="190">
        <f t="shared" si="0"/>
        <v>527</v>
      </c>
      <c r="F10" s="177">
        <v>12</v>
      </c>
      <c r="G10" s="175">
        <f>+D10</f>
        <v>6851</v>
      </c>
      <c r="H10" s="193">
        <f>(F10+J10+K10+L10+Q10)*10</f>
        <v>130</v>
      </c>
      <c r="I10" s="174"/>
      <c r="J10" s="164">
        <v>1</v>
      </c>
      <c r="K10" s="164">
        <v>0</v>
      </c>
      <c r="L10" s="164">
        <f>+'[10]10.26-11.10'!J250</f>
        <v>0</v>
      </c>
      <c r="M10" s="164">
        <f>+'[10]10.26-11.10'!O250</f>
        <v>0</v>
      </c>
      <c r="N10" s="164">
        <f>+'[10]10.26-11.10'!P250</f>
        <v>0</v>
      </c>
      <c r="O10" s="164">
        <f>+'[10]10.26-11.10'!Q250</f>
        <v>0</v>
      </c>
      <c r="P10" s="68">
        <f t="shared" si="1"/>
        <v>0</v>
      </c>
      <c r="Q10" s="164"/>
      <c r="R10" s="174">
        <f t="shared" si="2"/>
        <v>0</v>
      </c>
      <c r="S10" s="164">
        <f>+'[10]10.26-11.10'!W250</f>
        <v>0</v>
      </c>
      <c r="T10" s="174">
        <f t="shared" si="3"/>
        <v>0</v>
      </c>
      <c r="U10" s="177">
        <v>2</v>
      </c>
      <c r="V10" s="174">
        <f t="shared" si="4"/>
        <v>13.175000000000001</v>
      </c>
      <c r="W10" s="159"/>
      <c r="X10" s="188">
        <f t="shared" si="5"/>
        <v>6994.1750000000002</v>
      </c>
      <c r="Y10" s="75"/>
      <c r="Z10" s="75"/>
    </row>
    <row r="11" spans="1:26" s="42" customFormat="1" ht="12" customHeight="1" thickBot="1" x14ac:dyDescent="0.25">
      <c r="A11" s="16">
        <v>5</v>
      </c>
      <c r="B11" s="161" t="s">
        <v>34</v>
      </c>
      <c r="C11" s="192" t="s">
        <v>33</v>
      </c>
      <c r="D11" s="164">
        <v>6851</v>
      </c>
      <c r="E11" s="190">
        <f t="shared" si="0"/>
        <v>527</v>
      </c>
      <c r="F11" s="177">
        <v>12</v>
      </c>
      <c r="G11" s="175">
        <f>E11*F11</f>
        <v>6324</v>
      </c>
      <c r="H11" s="193">
        <v>110</v>
      </c>
      <c r="I11" s="174"/>
      <c r="J11" s="164">
        <v>1</v>
      </c>
      <c r="K11" s="164">
        <f>+'[10]10.26-11.10(SI)'!I28</f>
        <v>0</v>
      </c>
      <c r="L11" s="164">
        <f>+'[10]10.26-11.10(SI)'!J28</f>
        <v>0</v>
      </c>
      <c r="M11" s="177">
        <v>0</v>
      </c>
      <c r="N11" s="164">
        <f>+'[10]10.26-11.10(SI)'!P28</f>
        <v>0</v>
      </c>
      <c r="O11" s="164">
        <f>+'[10]10.26-11.10(SI)'!Q28</f>
        <v>0</v>
      </c>
      <c r="P11" s="68">
        <f t="shared" si="1"/>
        <v>0</v>
      </c>
      <c r="Q11" s="164">
        <v>1</v>
      </c>
      <c r="R11" s="174">
        <f t="shared" si="2"/>
        <v>527</v>
      </c>
      <c r="S11" s="164">
        <f>+'[10]10.26-11.10(SI)'!W28</f>
        <v>0</v>
      </c>
      <c r="T11" s="174">
        <f t="shared" si="3"/>
        <v>0</v>
      </c>
      <c r="U11" s="177">
        <v>5</v>
      </c>
      <c r="V11" s="174">
        <f t="shared" si="4"/>
        <v>32.9375</v>
      </c>
      <c r="W11" s="159"/>
      <c r="X11" s="188">
        <f t="shared" si="5"/>
        <v>6993.9375</v>
      </c>
    </row>
    <row r="12" spans="1:26" s="42" customFormat="1" ht="12" customHeight="1" thickBot="1" x14ac:dyDescent="0.25">
      <c r="A12" s="16">
        <v>6</v>
      </c>
      <c r="B12" s="161" t="s">
        <v>32</v>
      </c>
      <c r="C12" s="192" t="s">
        <v>31</v>
      </c>
      <c r="D12" s="164">
        <v>6851</v>
      </c>
      <c r="E12" s="190">
        <f t="shared" si="0"/>
        <v>527</v>
      </c>
      <c r="F12" s="177">
        <v>13</v>
      </c>
      <c r="G12" s="175">
        <f>E12*F12</f>
        <v>6851</v>
      </c>
      <c r="H12" s="193">
        <v>110</v>
      </c>
      <c r="I12" s="174"/>
      <c r="J12" s="164">
        <v>0</v>
      </c>
      <c r="K12" s="164">
        <f>+'[10]10.26-11.10(SI)'!I29</f>
        <v>0</v>
      </c>
      <c r="L12" s="164">
        <f>+'[10]10.26-11.10(SI)'!J29</f>
        <v>0</v>
      </c>
      <c r="M12" s="177">
        <v>5</v>
      </c>
      <c r="N12" s="164">
        <f>+'[10]10.26-11.10(SI)'!P29</f>
        <v>0</v>
      </c>
      <c r="O12" s="164">
        <f>+'[10]10.26-11.10(SI)'!Q29</f>
        <v>0</v>
      </c>
      <c r="P12" s="68">
        <f t="shared" si="1"/>
        <v>411.71875</v>
      </c>
      <c r="Q12" s="164"/>
      <c r="R12" s="174">
        <f t="shared" si="2"/>
        <v>0</v>
      </c>
      <c r="S12" s="164"/>
      <c r="T12" s="174">
        <f t="shared" si="3"/>
        <v>0</v>
      </c>
      <c r="U12" s="177">
        <v>6</v>
      </c>
      <c r="V12" s="174">
        <f t="shared" si="4"/>
        <v>39.525000000000006</v>
      </c>
      <c r="W12" s="159"/>
      <c r="X12" s="188">
        <f t="shared" si="5"/>
        <v>7412.2437499999996</v>
      </c>
    </row>
    <row r="13" spans="1:26" s="42" customFormat="1" ht="12" customHeight="1" thickBot="1" x14ac:dyDescent="0.25">
      <c r="A13" s="16">
        <v>7</v>
      </c>
      <c r="B13" s="161" t="s">
        <v>30</v>
      </c>
      <c r="C13" s="192" t="s">
        <v>29</v>
      </c>
      <c r="D13" s="164">
        <v>6851</v>
      </c>
      <c r="E13" s="190">
        <f t="shared" si="0"/>
        <v>527</v>
      </c>
      <c r="F13" s="177">
        <v>13</v>
      </c>
      <c r="G13" s="175">
        <f>E13*F13</f>
        <v>6851</v>
      </c>
      <c r="H13" s="193">
        <v>110</v>
      </c>
      <c r="I13" s="174"/>
      <c r="J13" s="164">
        <v>0</v>
      </c>
      <c r="K13" s="164">
        <f>+'[10]10.26-11.10(SI)'!I30</f>
        <v>0</v>
      </c>
      <c r="L13" s="164">
        <f>+'[10]10.26-11.10(SI)'!J30</f>
        <v>0</v>
      </c>
      <c r="M13" s="177">
        <v>0</v>
      </c>
      <c r="N13" s="164">
        <f>+'[10]10.26-11.10(SI)'!P30</f>
        <v>0</v>
      </c>
      <c r="O13" s="164">
        <f>+'[10]10.26-11.10(SI)'!Q30</f>
        <v>0</v>
      </c>
      <c r="P13" s="68">
        <f t="shared" si="1"/>
        <v>0</v>
      </c>
      <c r="Q13" s="164">
        <v>1</v>
      </c>
      <c r="R13" s="174">
        <f t="shared" si="2"/>
        <v>527</v>
      </c>
      <c r="S13" s="164"/>
      <c r="T13" s="174">
        <f t="shared" si="3"/>
        <v>0</v>
      </c>
      <c r="U13" s="177">
        <v>11</v>
      </c>
      <c r="V13" s="174">
        <f t="shared" si="4"/>
        <v>72.462500000000006</v>
      </c>
      <c r="W13" s="159"/>
      <c r="X13" s="188">
        <f t="shared" si="5"/>
        <v>7560.4624999999996</v>
      </c>
    </row>
    <row r="14" spans="1:26" s="42" customFormat="1" ht="12" customHeight="1" x14ac:dyDescent="0.2">
      <c r="A14" s="16">
        <v>8</v>
      </c>
      <c r="B14" s="161"/>
      <c r="C14" s="192"/>
      <c r="D14" s="164"/>
      <c r="E14" s="190">
        <f t="shared" si="0"/>
        <v>0</v>
      </c>
      <c r="F14" s="191"/>
      <c r="G14" s="175">
        <f>+D14</f>
        <v>0</v>
      </c>
      <c r="H14" s="193">
        <f>(F14+J14+K14+L14+Q14)*10</f>
        <v>0</v>
      </c>
      <c r="I14" s="174"/>
      <c r="J14" s="164"/>
      <c r="K14" s="164"/>
      <c r="L14" s="164"/>
      <c r="M14" s="164"/>
      <c r="N14" s="164"/>
      <c r="O14" s="164"/>
      <c r="P14" s="68">
        <f t="shared" si="1"/>
        <v>0</v>
      </c>
      <c r="Q14" s="164"/>
      <c r="R14" s="174">
        <f t="shared" si="2"/>
        <v>0</v>
      </c>
      <c r="S14" s="164"/>
      <c r="T14" s="174">
        <f t="shared" si="3"/>
        <v>0</v>
      </c>
      <c r="U14" s="164"/>
      <c r="V14" s="174">
        <f t="shared" si="4"/>
        <v>0</v>
      </c>
      <c r="W14" s="159"/>
      <c r="X14" s="188">
        <f t="shared" si="5"/>
        <v>0</v>
      </c>
    </row>
    <row r="15" spans="1:26" s="42" customFormat="1" ht="12" customHeight="1" x14ac:dyDescent="0.2">
      <c r="A15" s="16">
        <v>9</v>
      </c>
      <c r="B15" s="161"/>
      <c r="C15" s="192"/>
      <c r="D15" s="164"/>
      <c r="E15" s="190">
        <f t="shared" si="0"/>
        <v>0</v>
      </c>
      <c r="F15" s="191"/>
      <c r="G15" s="175">
        <f>+D15</f>
        <v>0</v>
      </c>
      <c r="H15" s="174">
        <f>(F15+J15+K15+L15+Q15)*10</f>
        <v>0</v>
      </c>
      <c r="I15" s="174"/>
      <c r="J15" s="164"/>
      <c r="K15" s="164"/>
      <c r="L15" s="164"/>
      <c r="M15" s="164"/>
      <c r="N15" s="164"/>
      <c r="O15" s="164"/>
      <c r="P15" s="68">
        <f t="shared" si="1"/>
        <v>0</v>
      </c>
      <c r="Q15" s="164"/>
      <c r="R15" s="174">
        <f t="shared" si="2"/>
        <v>0</v>
      </c>
      <c r="S15" s="164"/>
      <c r="T15" s="174">
        <f t="shared" si="3"/>
        <v>0</v>
      </c>
      <c r="U15" s="164"/>
      <c r="V15" s="174">
        <f t="shared" si="4"/>
        <v>0</v>
      </c>
      <c r="W15" s="159"/>
      <c r="X15" s="188">
        <f t="shared" si="5"/>
        <v>0</v>
      </c>
    </row>
    <row r="16" spans="1:26" s="42" customFormat="1" ht="12" customHeight="1" x14ac:dyDescent="0.2">
      <c r="A16" s="16">
        <v>10</v>
      </c>
      <c r="B16" s="161"/>
      <c r="C16" s="192"/>
      <c r="D16" s="164"/>
      <c r="E16" s="190">
        <f t="shared" si="0"/>
        <v>0</v>
      </c>
      <c r="F16" s="191"/>
      <c r="G16" s="175">
        <f>+D16</f>
        <v>0</v>
      </c>
      <c r="H16" s="174">
        <f>(F16+J16+K16+L16+Q16)*10</f>
        <v>0</v>
      </c>
      <c r="I16" s="174"/>
      <c r="J16" s="159"/>
      <c r="K16" s="159"/>
      <c r="L16" s="159"/>
      <c r="M16" s="164"/>
      <c r="N16" s="164"/>
      <c r="O16" s="164"/>
      <c r="P16" s="68">
        <f t="shared" si="1"/>
        <v>0</v>
      </c>
      <c r="Q16" s="164"/>
      <c r="R16" s="174">
        <f t="shared" si="2"/>
        <v>0</v>
      </c>
      <c r="S16" s="164"/>
      <c r="T16" s="174">
        <f t="shared" si="3"/>
        <v>0</v>
      </c>
      <c r="U16" s="164"/>
      <c r="V16" s="174">
        <f t="shared" si="4"/>
        <v>0</v>
      </c>
      <c r="W16" s="159"/>
      <c r="X16" s="188">
        <f t="shared" si="5"/>
        <v>0</v>
      </c>
    </row>
    <row r="17" spans="1:24" s="42" customFormat="1" ht="12" customHeight="1" x14ac:dyDescent="0.2">
      <c r="A17" s="16"/>
      <c r="B17" s="12"/>
      <c r="C17" s="11"/>
      <c r="D17" s="164"/>
      <c r="E17" s="190"/>
      <c r="F17" s="189"/>
      <c r="G17" s="175"/>
      <c r="H17" s="174"/>
      <c r="I17" s="174"/>
      <c r="J17" s="159"/>
      <c r="K17" s="159"/>
      <c r="L17" s="159"/>
      <c r="M17" s="11"/>
      <c r="N17" s="11"/>
      <c r="O17" s="11"/>
      <c r="P17" s="174"/>
      <c r="Q17" s="11"/>
      <c r="R17" s="174"/>
      <c r="S17" s="11"/>
      <c r="T17" s="174"/>
      <c r="U17" s="11"/>
      <c r="V17" s="174"/>
      <c r="W17" s="159"/>
      <c r="X17" s="188">
        <f>+G17+H17+P17+R17+T17+V17+W17</f>
        <v>0</v>
      </c>
    </row>
    <row r="18" spans="1:24" s="42" customFormat="1" ht="12" customHeight="1" thickBot="1" x14ac:dyDescent="0.25">
      <c r="A18" s="64"/>
      <c r="B18" s="6"/>
      <c r="C18" s="5"/>
      <c r="D18" s="173">
        <f>SUM(D7:D17)</f>
        <v>51379</v>
      </c>
      <c r="E18" s="156">
        <f>SUM(E7:E17)</f>
        <v>3952.2307692307695</v>
      </c>
      <c r="F18" s="173"/>
      <c r="G18" s="156">
        <f>SUM(G7:G17)</f>
        <v>50852</v>
      </c>
      <c r="H18" s="156">
        <f>SUM(H7:H16)</f>
        <v>850</v>
      </c>
      <c r="I18" s="156">
        <f>SUM(I7:I16)</f>
        <v>50</v>
      </c>
      <c r="J18" s="173"/>
      <c r="K18" s="173"/>
      <c r="L18" s="173"/>
      <c r="M18" s="173"/>
      <c r="N18" s="173"/>
      <c r="O18" s="173"/>
      <c r="P18" s="156">
        <f>SUM(P7:P16)</f>
        <v>411.71875</v>
      </c>
      <c r="Q18" s="173"/>
      <c r="R18" s="156">
        <f>SUM(R7:R16)</f>
        <v>1054</v>
      </c>
      <c r="S18" s="173"/>
      <c r="T18" s="156">
        <f>SUM(T7:T16)</f>
        <v>0</v>
      </c>
      <c r="U18" s="187"/>
      <c r="V18" s="156">
        <f>SUM(V7:V16)</f>
        <v>296.41730769230776</v>
      </c>
      <c r="W18" s="173"/>
      <c r="X18" s="156">
        <f>SUM(X7:X16)</f>
        <v>53514.136057692303</v>
      </c>
    </row>
    <row r="19" spans="1:24" s="42" customFormat="1" ht="12" thickBot="1" x14ac:dyDescent="0.25">
      <c r="A19" s="62"/>
      <c r="B19" s="61"/>
      <c r="C19" s="60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</row>
    <row r="20" spans="1:24" s="42" customFormat="1" ht="11.25" customHeight="1" x14ac:dyDescent="0.2">
      <c r="A20" s="721"/>
      <c r="B20" s="723" t="s">
        <v>12</v>
      </c>
      <c r="C20" s="763" t="s">
        <v>11</v>
      </c>
      <c r="D20" s="764" t="s">
        <v>6</v>
      </c>
      <c r="E20" s="765" t="s">
        <v>28</v>
      </c>
      <c r="F20" s="759" t="s">
        <v>26</v>
      </c>
      <c r="G20" s="783" t="s">
        <v>27</v>
      </c>
      <c r="H20" s="764" t="s">
        <v>26</v>
      </c>
      <c r="I20" s="766" t="s">
        <v>25</v>
      </c>
      <c r="J20" s="774" t="s">
        <v>24</v>
      </c>
      <c r="K20" s="775" t="s">
        <v>23</v>
      </c>
      <c r="L20" s="764" t="s">
        <v>22</v>
      </c>
      <c r="M20" s="764" t="s">
        <v>21</v>
      </c>
      <c r="N20" s="764" t="s">
        <v>20</v>
      </c>
      <c r="O20" s="764" t="s">
        <v>19</v>
      </c>
      <c r="P20" s="773" t="s">
        <v>6</v>
      </c>
      <c r="Q20" s="57"/>
      <c r="R20" s="58" t="s">
        <v>18</v>
      </c>
      <c r="S20" s="57"/>
    </row>
    <row r="21" spans="1:24" s="42" customFormat="1" ht="15" customHeight="1" thickBot="1" x14ac:dyDescent="0.25">
      <c r="A21" s="722"/>
      <c r="B21" s="724"/>
      <c r="C21" s="726"/>
      <c r="D21" s="752"/>
      <c r="E21" s="754"/>
      <c r="F21" s="760"/>
      <c r="G21" s="736"/>
      <c r="H21" s="728"/>
      <c r="I21" s="767"/>
      <c r="J21" s="744"/>
      <c r="K21" s="746"/>
      <c r="L21" s="728"/>
      <c r="M21" s="728"/>
      <c r="N21" s="752"/>
      <c r="O21" s="728"/>
      <c r="P21" s="733"/>
      <c r="R21" s="56" t="str">
        <f>D3</f>
        <v>January 11-25,2019</v>
      </c>
    </row>
    <row r="22" spans="1:24" s="42" customFormat="1" ht="12" customHeight="1" x14ac:dyDescent="0.2">
      <c r="A22" s="25">
        <v>1</v>
      </c>
      <c r="B22" s="169" t="str">
        <f>+B7</f>
        <v>Biarcal, Ronald Glenn</v>
      </c>
      <c r="C22" s="185" t="str">
        <f>+C7</f>
        <v>M.T.Purchaser</v>
      </c>
      <c r="D22" s="184">
        <f t="shared" ref="D22:D31" si="6">+X7</f>
        <v>7007.35</v>
      </c>
      <c r="E22" s="182">
        <f>+'[10]10.26-11.10'!R25</f>
        <v>0</v>
      </c>
      <c r="F22" s="183">
        <f t="shared" ref="F22:F31" si="7">+E22*E7</f>
        <v>0</v>
      </c>
      <c r="G22" s="182">
        <v>0</v>
      </c>
      <c r="H22" s="183">
        <f t="shared" ref="H22:H31" si="8">(+E7/8)*G22</f>
        <v>0</v>
      </c>
      <c r="I22" s="182"/>
      <c r="J22" s="51">
        <v>490.5</v>
      </c>
      <c r="K22" s="181">
        <v>622.96</v>
      </c>
      <c r="L22" s="159">
        <v>187.5</v>
      </c>
      <c r="M22" s="180"/>
      <c r="N22" s="181">
        <v>579.05999999999995</v>
      </c>
      <c r="O22" s="180"/>
      <c r="P22" s="8">
        <f t="shared" ref="P22:P31" si="9">+D22-F22-H22-J22-K22-L22-M22-N22-O22-I22</f>
        <v>5127.33</v>
      </c>
      <c r="R22" s="176">
        <f t="shared" ref="R22:R31" si="10">G7+H7+P7+R7+T7+V7+W7-F22-H22</f>
        <v>7007.35</v>
      </c>
    </row>
    <row r="23" spans="1:24" s="42" customFormat="1" ht="12" customHeight="1" x14ac:dyDescent="0.2">
      <c r="A23" s="16">
        <v>2</v>
      </c>
      <c r="B23" s="161" t="str">
        <f>+B8</f>
        <v>Sanchez, Angelo</v>
      </c>
      <c r="C23" s="163" t="str">
        <f>+C8</f>
        <v>Head Cook</v>
      </c>
      <c r="D23" s="175">
        <f t="shared" si="6"/>
        <v>7033.7</v>
      </c>
      <c r="E23" s="177">
        <f>+'[10]10.26-11.10'!R229</f>
        <v>0</v>
      </c>
      <c r="F23" s="178">
        <f t="shared" si="7"/>
        <v>0</v>
      </c>
      <c r="G23" s="177">
        <v>0</v>
      </c>
      <c r="H23" s="178">
        <f t="shared" si="8"/>
        <v>0</v>
      </c>
      <c r="I23" s="177"/>
      <c r="J23" s="159">
        <v>490.5</v>
      </c>
      <c r="K23" s="159"/>
      <c r="L23" s="159">
        <v>187.5</v>
      </c>
      <c r="M23" s="166"/>
      <c r="N23" s="159"/>
      <c r="O23" s="166"/>
      <c r="P23" s="8">
        <f t="shared" si="9"/>
        <v>6355.7</v>
      </c>
      <c r="R23" s="176">
        <f t="shared" si="10"/>
        <v>7033.7</v>
      </c>
    </row>
    <row r="24" spans="1:24" s="42" customFormat="1" ht="11.25" x14ac:dyDescent="0.2">
      <c r="A24" s="16">
        <v>3</v>
      </c>
      <c r="B24" s="161" t="str">
        <f t="shared" ref="B24:B31" si="11">+B9</f>
        <v>Dino, Joyce</v>
      </c>
      <c r="C24" s="163" t="str">
        <f t="shared" ref="C24:C31" si="12">C9</f>
        <v>Store Manager</v>
      </c>
      <c r="D24" s="175">
        <f t="shared" si="6"/>
        <v>10512.267307692307</v>
      </c>
      <c r="E24" s="177">
        <v>0</v>
      </c>
      <c r="F24" s="178">
        <f t="shared" si="7"/>
        <v>0</v>
      </c>
      <c r="G24" s="177">
        <v>2.71</v>
      </c>
      <c r="H24" s="178">
        <f t="shared" si="8"/>
        <v>267.69067307692308</v>
      </c>
      <c r="I24" s="177"/>
      <c r="J24" s="159">
        <v>581.29999999999995</v>
      </c>
      <c r="K24" s="159">
        <v>1476.64</v>
      </c>
      <c r="L24" s="159">
        <v>275</v>
      </c>
      <c r="M24" s="166"/>
      <c r="N24" s="179"/>
      <c r="O24" s="166"/>
      <c r="P24" s="8">
        <f t="shared" si="9"/>
        <v>7911.6366346153854</v>
      </c>
      <c r="R24" s="176">
        <f t="shared" si="10"/>
        <v>10194.576634615385</v>
      </c>
    </row>
    <row r="25" spans="1:24" s="42" customFormat="1" ht="12" customHeight="1" x14ac:dyDescent="0.2">
      <c r="A25" s="16">
        <v>4</v>
      </c>
      <c r="B25" s="161" t="str">
        <f t="shared" si="11"/>
        <v xml:space="preserve">Sosa, Anna Marie </v>
      </c>
      <c r="C25" s="163" t="str">
        <f t="shared" si="12"/>
        <v>M.T.Bookkeeper</v>
      </c>
      <c r="D25" s="175">
        <f t="shared" si="6"/>
        <v>6994.1750000000002</v>
      </c>
      <c r="E25" s="177">
        <v>0</v>
      </c>
      <c r="F25" s="178">
        <f t="shared" si="7"/>
        <v>0</v>
      </c>
      <c r="G25" s="177">
        <v>1.37</v>
      </c>
      <c r="H25" s="178">
        <f t="shared" si="8"/>
        <v>90.248750000000001</v>
      </c>
      <c r="I25" s="177"/>
      <c r="J25" s="159">
        <v>417.8</v>
      </c>
      <c r="K25" s="159">
        <v>600</v>
      </c>
      <c r="L25" s="159">
        <v>175</v>
      </c>
      <c r="M25" s="166"/>
      <c r="N25" s="159">
        <v>567</v>
      </c>
      <c r="O25" s="166"/>
      <c r="P25" s="8">
        <f t="shared" si="9"/>
        <v>5144.1262500000003</v>
      </c>
      <c r="R25" s="176">
        <f t="shared" si="10"/>
        <v>6903.9262500000004</v>
      </c>
    </row>
    <row r="26" spans="1:24" s="42" customFormat="1" ht="12" customHeight="1" x14ac:dyDescent="0.2">
      <c r="A26" s="16">
        <v>5</v>
      </c>
      <c r="B26" s="161" t="str">
        <f t="shared" si="11"/>
        <v>Briones, Christian Joy</v>
      </c>
      <c r="C26" s="163" t="str">
        <f t="shared" si="12"/>
        <v>Asst. Cook</v>
      </c>
      <c r="D26" s="175">
        <f t="shared" si="6"/>
        <v>6993.9375</v>
      </c>
      <c r="E26" s="177">
        <v>0</v>
      </c>
      <c r="F26" s="178">
        <f t="shared" si="7"/>
        <v>0</v>
      </c>
      <c r="G26" s="177">
        <v>0</v>
      </c>
      <c r="H26" s="178">
        <f t="shared" si="8"/>
        <v>0</v>
      </c>
      <c r="I26" s="177"/>
      <c r="J26" s="159">
        <v>454.2</v>
      </c>
      <c r="K26" s="159">
        <v>969.04</v>
      </c>
      <c r="L26" s="159">
        <v>175</v>
      </c>
      <c r="M26" s="166"/>
      <c r="N26" s="159"/>
      <c r="O26" s="166"/>
      <c r="P26" s="8">
        <f t="shared" si="9"/>
        <v>5395.6975000000002</v>
      </c>
      <c r="R26" s="176">
        <f t="shared" si="10"/>
        <v>6993.9375</v>
      </c>
    </row>
    <row r="27" spans="1:24" s="42" customFormat="1" ht="12" customHeight="1" x14ac:dyDescent="0.2">
      <c r="A27" s="16">
        <v>6</v>
      </c>
      <c r="B27" s="161" t="str">
        <f t="shared" si="11"/>
        <v>Cahilig,Benzen</v>
      </c>
      <c r="C27" s="163" t="str">
        <f t="shared" si="12"/>
        <v>Cook</v>
      </c>
      <c r="D27" s="175">
        <f t="shared" si="6"/>
        <v>7412.2437499999996</v>
      </c>
      <c r="E27" s="177">
        <v>0</v>
      </c>
      <c r="F27" s="178">
        <f t="shared" si="7"/>
        <v>0</v>
      </c>
      <c r="G27" s="177">
        <v>0</v>
      </c>
      <c r="H27" s="178">
        <f t="shared" si="8"/>
        <v>0</v>
      </c>
      <c r="I27" s="177"/>
      <c r="J27" s="159">
        <v>436</v>
      </c>
      <c r="K27" s="159">
        <v>507.6</v>
      </c>
      <c r="L27" s="159">
        <v>182.5</v>
      </c>
      <c r="M27" s="166"/>
      <c r="N27" s="159">
        <v>432.98</v>
      </c>
      <c r="O27" s="166"/>
      <c r="P27" s="8">
        <f t="shared" si="9"/>
        <v>5853.1637499999997</v>
      </c>
      <c r="R27" s="176">
        <f t="shared" si="10"/>
        <v>7412.2437499999996</v>
      </c>
    </row>
    <row r="28" spans="1:24" s="42" customFormat="1" ht="12" customHeight="1" x14ac:dyDescent="0.2">
      <c r="A28" s="16">
        <v>7</v>
      </c>
      <c r="B28" s="161" t="str">
        <f t="shared" si="11"/>
        <v>Pantoja,Nancy</v>
      </c>
      <c r="C28" s="163" t="str">
        <f t="shared" si="12"/>
        <v>Cashier</v>
      </c>
      <c r="D28" s="175">
        <f t="shared" si="6"/>
        <v>7560.4624999999996</v>
      </c>
      <c r="E28" s="177">
        <v>0</v>
      </c>
      <c r="F28" s="178">
        <f t="shared" si="7"/>
        <v>0</v>
      </c>
      <c r="G28" s="177">
        <v>2.36</v>
      </c>
      <c r="H28" s="178">
        <f t="shared" si="8"/>
        <v>155.465</v>
      </c>
      <c r="I28" s="177"/>
      <c r="J28" s="159">
        <v>490.5</v>
      </c>
      <c r="K28" s="159"/>
      <c r="L28" s="159">
        <v>162.5</v>
      </c>
      <c r="M28" s="166"/>
      <c r="N28" s="159"/>
      <c r="O28" s="166"/>
      <c r="P28" s="8">
        <f t="shared" si="9"/>
        <v>6751.9974999999995</v>
      </c>
      <c r="R28" s="176">
        <f t="shared" si="10"/>
        <v>7404.9974999999995</v>
      </c>
    </row>
    <row r="29" spans="1:24" s="42" customFormat="1" ht="12" customHeight="1" x14ac:dyDescent="0.2">
      <c r="A29" s="16">
        <v>8</v>
      </c>
      <c r="B29" s="161">
        <f t="shared" si="11"/>
        <v>0</v>
      </c>
      <c r="C29" s="163">
        <f t="shared" si="12"/>
        <v>0</v>
      </c>
      <c r="D29" s="175">
        <f t="shared" si="6"/>
        <v>0</v>
      </c>
      <c r="E29" s="177"/>
      <c r="F29" s="178">
        <f t="shared" si="7"/>
        <v>0</v>
      </c>
      <c r="G29" s="177">
        <v>0</v>
      </c>
      <c r="H29" s="178">
        <f t="shared" si="8"/>
        <v>0</v>
      </c>
      <c r="I29" s="177"/>
      <c r="J29" s="159"/>
      <c r="K29" s="159"/>
      <c r="L29" s="159"/>
      <c r="M29" s="166"/>
      <c r="N29" s="159"/>
      <c r="O29" s="166"/>
      <c r="P29" s="8">
        <f t="shared" si="9"/>
        <v>0</v>
      </c>
      <c r="R29" s="176">
        <f t="shared" si="10"/>
        <v>0</v>
      </c>
    </row>
    <row r="30" spans="1:24" s="42" customFormat="1" ht="12" customHeight="1" x14ac:dyDescent="0.2">
      <c r="A30" s="16">
        <v>9</v>
      </c>
      <c r="B30" s="161">
        <f t="shared" si="11"/>
        <v>0</v>
      </c>
      <c r="C30" s="163">
        <f t="shared" si="12"/>
        <v>0</v>
      </c>
      <c r="D30" s="175">
        <f t="shared" si="6"/>
        <v>0</v>
      </c>
      <c r="E30" s="177"/>
      <c r="F30" s="178">
        <f t="shared" si="7"/>
        <v>0</v>
      </c>
      <c r="G30" s="177"/>
      <c r="H30" s="178">
        <f t="shared" si="8"/>
        <v>0</v>
      </c>
      <c r="I30" s="177"/>
      <c r="J30" s="159"/>
      <c r="K30" s="159"/>
      <c r="L30" s="159"/>
      <c r="M30" s="166"/>
      <c r="N30" s="159"/>
      <c r="O30" s="166"/>
      <c r="P30" s="8">
        <f t="shared" si="9"/>
        <v>0</v>
      </c>
      <c r="R30" s="176">
        <f t="shared" si="10"/>
        <v>0</v>
      </c>
    </row>
    <row r="31" spans="1:24" s="42" customFormat="1" ht="12" customHeight="1" x14ac:dyDescent="0.2">
      <c r="A31" s="16">
        <v>10</v>
      </c>
      <c r="B31" s="161">
        <f t="shared" si="11"/>
        <v>0</v>
      </c>
      <c r="C31" s="163">
        <f t="shared" si="12"/>
        <v>0</v>
      </c>
      <c r="D31" s="175">
        <f t="shared" si="6"/>
        <v>0</v>
      </c>
      <c r="E31" s="159"/>
      <c r="F31" s="174">
        <f t="shared" si="7"/>
        <v>0</v>
      </c>
      <c r="G31" s="46"/>
      <c r="H31" s="174">
        <f t="shared" si="8"/>
        <v>0</v>
      </c>
      <c r="I31" s="162"/>
      <c r="J31" s="159"/>
      <c r="K31" s="159"/>
      <c r="L31" s="159"/>
      <c r="M31" s="166"/>
      <c r="N31" s="159"/>
      <c r="O31" s="166"/>
      <c r="P31" s="8">
        <f t="shared" si="9"/>
        <v>0</v>
      </c>
      <c r="R31" s="176">
        <f t="shared" si="10"/>
        <v>0</v>
      </c>
    </row>
    <row r="32" spans="1:24" s="42" customFormat="1" ht="12" customHeight="1" x14ac:dyDescent="0.2">
      <c r="A32" s="13"/>
      <c r="B32" s="12"/>
      <c r="C32" s="11"/>
      <c r="D32" s="175"/>
      <c r="E32" s="159"/>
      <c r="F32" s="174"/>
      <c r="G32" s="11"/>
      <c r="H32" s="174"/>
      <c r="I32" s="159"/>
      <c r="J32" s="159"/>
      <c r="K32" s="159"/>
      <c r="L32" s="159"/>
      <c r="M32" s="159"/>
      <c r="N32" s="159"/>
      <c r="O32" s="159"/>
      <c r="P32" s="8"/>
      <c r="R32" s="170"/>
    </row>
    <row r="33" spans="1:25" s="37" customFormat="1" ht="12" customHeight="1" thickBot="1" x14ac:dyDescent="0.25">
      <c r="A33" s="7"/>
      <c r="B33" s="6"/>
      <c r="C33" s="5"/>
      <c r="D33" s="156">
        <f>SUM(D22:D32)</f>
        <v>53514.136057692303</v>
      </c>
      <c r="E33" s="173">
        <f>+SUM(E22:E32)</f>
        <v>0</v>
      </c>
      <c r="F33" s="156">
        <f>SUM(F22:F32)</f>
        <v>0</v>
      </c>
      <c r="G33" s="173"/>
      <c r="H33" s="156">
        <f>SUM(H22:H32)</f>
        <v>513.40442307692308</v>
      </c>
      <c r="I33" s="156">
        <f t="shared" ref="I33:P33" si="13">+SUM(I22:I32)</f>
        <v>0</v>
      </c>
      <c r="J33" s="156">
        <f t="shared" si="13"/>
        <v>3360.7999999999997</v>
      </c>
      <c r="K33" s="156">
        <f t="shared" si="13"/>
        <v>4176.2400000000007</v>
      </c>
      <c r="L33" s="156">
        <f t="shared" si="13"/>
        <v>1345</v>
      </c>
      <c r="M33" s="156">
        <f t="shared" si="13"/>
        <v>0</v>
      </c>
      <c r="N33" s="156">
        <f t="shared" si="13"/>
        <v>1579.04</v>
      </c>
      <c r="O33" s="156">
        <f t="shared" si="13"/>
        <v>0</v>
      </c>
      <c r="P33" s="155">
        <f t="shared" si="13"/>
        <v>42539.65163461538</v>
      </c>
      <c r="R33" s="172"/>
      <c r="S33" s="39" t="s">
        <v>2</v>
      </c>
      <c r="T33" s="38"/>
    </row>
    <row r="34" spans="1:25" x14ac:dyDescent="0.2">
      <c r="O34" s="36" t="s">
        <v>5</v>
      </c>
      <c r="P34" s="36" t="s">
        <v>4</v>
      </c>
      <c r="Q34" s="36" t="s">
        <v>3</v>
      </c>
      <c r="R34" s="35"/>
      <c r="S34" s="34"/>
    </row>
    <row r="35" spans="1:25" x14ac:dyDescent="0.2">
      <c r="A35" s="1" t="s">
        <v>17</v>
      </c>
      <c r="D35" s="1" t="s">
        <v>16</v>
      </c>
      <c r="H35" s="1" t="s">
        <v>15</v>
      </c>
      <c r="M35" s="170" t="str">
        <f t="shared" ref="M35:M44" si="14">B22</f>
        <v>Biarcal, Ronald Glenn</v>
      </c>
      <c r="N35" s="18"/>
      <c r="O35" s="170">
        <f>300/2</f>
        <v>150</v>
      </c>
      <c r="P35" s="170">
        <f>((1768/2)/13)*(13-E22)</f>
        <v>884</v>
      </c>
      <c r="Q35" s="170">
        <v>0</v>
      </c>
      <c r="S35" s="29">
        <f t="shared" ref="S35:S44" si="15">+P22+(SUM(O35:Q35))</f>
        <v>6161.33</v>
      </c>
    </row>
    <row r="36" spans="1:25" x14ac:dyDescent="0.2">
      <c r="M36" s="170" t="str">
        <f t="shared" si="14"/>
        <v>Sanchez, Angelo</v>
      </c>
      <c r="N36" s="18"/>
      <c r="O36" s="170">
        <v>0</v>
      </c>
      <c r="P36" s="170">
        <f>((1000/2)/13)*(13-E23)</f>
        <v>500</v>
      </c>
      <c r="Q36" s="171">
        <v>0</v>
      </c>
      <c r="S36" s="29">
        <f t="shared" si="15"/>
        <v>6855.7</v>
      </c>
    </row>
    <row r="37" spans="1:25" x14ac:dyDescent="0.2">
      <c r="A37" s="18" t="str">
        <f>+B25</f>
        <v xml:space="preserve">Sosa, Anna Marie </v>
      </c>
      <c r="D37" s="18" t="str">
        <f>B24</f>
        <v>Dino, Joyce</v>
      </c>
      <c r="H37" s="1" t="s">
        <v>149</v>
      </c>
      <c r="M37" s="170" t="str">
        <f t="shared" si="14"/>
        <v>Dino, Joyce</v>
      </c>
      <c r="N37" s="18"/>
      <c r="O37" s="170">
        <f>500/2</f>
        <v>250</v>
      </c>
      <c r="P37" s="170">
        <v>1000</v>
      </c>
      <c r="Q37" s="170">
        <v>0</v>
      </c>
      <c r="S37" s="29">
        <f t="shared" si="15"/>
        <v>9161.6366346153845</v>
      </c>
    </row>
    <row r="38" spans="1:25" x14ac:dyDescent="0.2">
      <c r="A38" s="32" t="s">
        <v>14</v>
      </c>
      <c r="B38" s="32"/>
      <c r="C38" s="32"/>
      <c r="D38" s="32" t="s">
        <v>13</v>
      </c>
      <c r="E38" s="32"/>
      <c r="F38" s="32"/>
      <c r="G38" s="32"/>
      <c r="H38" s="32" t="s">
        <v>148</v>
      </c>
      <c r="I38" s="32"/>
      <c r="M38" s="170" t="str">
        <f t="shared" si="14"/>
        <v xml:space="preserve">Sosa, Anna Marie </v>
      </c>
      <c r="N38" s="18"/>
      <c r="O38" s="170">
        <f>300/2</f>
        <v>150</v>
      </c>
      <c r="P38" s="170">
        <f>((1768/2)/13)*(13-E25)</f>
        <v>884</v>
      </c>
      <c r="Q38" s="170">
        <v>0</v>
      </c>
      <c r="S38" s="29">
        <f t="shared" si="15"/>
        <v>6178.1262500000003</v>
      </c>
      <c r="T38" s="31"/>
      <c r="U38" s="31"/>
      <c r="V38" s="31"/>
      <c r="W38" s="31"/>
      <c r="X38" s="31"/>
      <c r="Y38" s="31"/>
    </row>
    <row r="39" spans="1:25" x14ac:dyDescent="0.2">
      <c r="M39" s="170" t="str">
        <f t="shared" si="14"/>
        <v>Briones, Christian Joy</v>
      </c>
      <c r="O39" s="170">
        <v>0</v>
      </c>
      <c r="P39" s="170">
        <v>0</v>
      </c>
      <c r="Q39" s="170">
        <v>0</v>
      </c>
      <c r="S39" s="29">
        <f t="shared" si="15"/>
        <v>5395.6975000000002</v>
      </c>
      <c r="T39" s="31"/>
      <c r="U39" s="31"/>
      <c r="V39" s="31"/>
      <c r="W39" s="31"/>
      <c r="X39" s="31"/>
      <c r="Y39" s="31"/>
    </row>
    <row r="40" spans="1:25" x14ac:dyDescent="0.2">
      <c r="M40" s="170" t="str">
        <f t="shared" si="14"/>
        <v>Cahilig,Benzen</v>
      </c>
      <c r="O40" s="170">
        <v>0</v>
      </c>
      <c r="P40" s="170">
        <v>0</v>
      </c>
      <c r="Q40" s="170">
        <v>0</v>
      </c>
      <c r="S40" s="29">
        <f t="shared" si="15"/>
        <v>5853.1637499999997</v>
      </c>
    </row>
    <row r="41" spans="1:25" x14ac:dyDescent="0.2">
      <c r="M41" s="170" t="str">
        <f t="shared" si="14"/>
        <v>Pantoja,Nancy</v>
      </c>
      <c r="O41" s="170">
        <v>0</v>
      </c>
      <c r="P41" s="170">
        <v>0</v>
      </c>
      <c r="Q41" s="170">
        <v>0</v>
      </c>
      <c r="S41" s="29">
        <f t="shared" si="15"/>
        <v>6751.9974999999995</v>
      </c>
    </row>
    <row r="42" spans="1:25" x14ac:dyDescent="0.2">
      <c r="M42" s="170">
        <f t="shared" si="14"/>
        <v>0</v>
      </c>
      <c r="O42" s="170">
        <v>0</v>
      </c>
      <c r="P42" s="170">
        <v>0</v>
      </c>
      <c r="Q42" s="170">
        <v>0</v>
      </c>
      <c r="S42" s="29">
        <f t="shared" si="15"/>
        <v>0</v>
      </c>
    </row>
    <row r="43" spans="1:25" x14ac:dyDescent="0.2">
      <c r="M43" s="170">
        <f t="shared" si="14"/>
        <v>0</v>
      </c>
      <c r="O43" s="170">
        <v>0</v>
      </c>
      <c r="P43" s="170">
        <v>0</v>
      </c>
      <c r="Q43" s="170">
        <v>0</v>
      </c>
      <c r="S43" s="29">
        <f t="shared" si="15"/>
        <v>0</v>
      </c>
    </row>
    <row r="44" spans="1:25" x14ac:dyDescent="0.2">
      <c r="M44" s="170">
        <f t="shared" si="14"/>
        <v>0</v>
      </c>
      <c r="O44" s="170">
        <v>0</v>
      </c>
      <c r="P44" s="170">
        <v>0</v>
      </c>
      <c r="Q44" s="170">
        <v>0</v>
      </c>
      <c r="S44" s="29">
        <f t="shared" si="15"/>
        <v>0</v>
      </c>
    </row>
    <row r="46" spans="1:25" x14ac:dyDescent="0.2">
      <c r="P46" s="28">
        <f>+P33+(SUM(O35:Q44))</f>
        <v>46357.65163461538</v>
      </c>
    </row>
    <row r="53" spans="1:14" ht="13.5" thickBot="1" x14ac:dyDescent="0.25"/>
    <row r="54" spans="1:14" ht="13.5" thickBot="1" x14ac:dyDescent="0.25">
      <c r="A54" s="721"/>
      <c r="B54" s="723" t="s">
        <v>12</v>
      </c>
      <c r="C54" s="763" t="s">
        <v>11</v>
      </c>
      <c r="D54" s="764" t="s">
        <v>10</v>
      </c>
      <c r="E54" s="784" t="s">
        <v>9</v>
      </c>
      <c r="F54" s="781" t="s">
        <v>8</v>
      </c>
      <c r="G54" s="782"/>
      <c r="H54" s="771" t="s">
        <v>147</v>
      </c>
      <c r="I54" s="773" t="s">
        <v>6</v>
      </c>
      <c r="J54" s="734" t="s">
        <v>5</v>
      </c>
      <c r="K54" s="729" t="s">
        <v>4</v>
      </c>
      <c r="L54" s="729" t="s">
        <v>3</v>
      </c>
      <c r="N54" s="727" t="s">
        <v>2</v>
      </c>
    </row>
    <row r="55" spans="1:14" ht="13.5" thickBot="1" x14ac:dyDescent="0.25">
      <c r="A55" s="722"/>
      <c r="B55" s="724"/>
      <c r="C55" s="726"/>
      <c r="D55" s="785"/>
      <c r="E55" s="710"/>
      <c r="F55" s="27" t="s">
        <v>1</v>
      </c>
      <c r="G55" s="26" t="s">
        <v>0</v>
      </c>
      <c r="H55" s="772"/>
      <c r="I55" s="733"/>
      <c r="J55" s="734"/>
      <c r="K55" s="729"/>
      <c r="L55" s="729"/>
      <c r="N55" s="727"/>
    </row>
    <row r="56" spans="1:14" ht="13.5" thickBot="1" x14ac:dyDescent="0.25">
      <c r="A56" s="25">
        <v>1</v>
      </c>
      <c r="B56" s="169" t="str">
        <f t="shared" ref="B56:C65" si="16">+B22</f>
        <v>Biarcal, Ronald Glenn</v>
      </c>
      <c r="C56" s="169" t="str">
        <f t="shared" si="16"/>
        <v>M.T.Purchaser</v>
      </c>
      <c r="D56" s="168"/>
      <c r="E56" s="165"/>
      <c r="F56" s="167"/>
      <c r="G56" s="167">
        <v>0</v>
      </c>
      <c r="H56" s="165">
        <v>300</v>
      </c>
      <c r="I56" s="8">
        <f>+D22-F22-H22-D56-J22-K22-L22-M22-N22-O22-E56-H56-F56-G56-I22</f>
        <v>4827.33</v>
      </c>
      <c r="J56" s="19">
        <f t="shared" ref="J56:L60" si="17">+O35</f>
        <v>150</v>
      </c>
      <c r="K56" s="19">
        <f t="shared" si="17"/>
        <v>884</v>
      </c>
      <c r="L56" s="19">
        <f t="shared" si="17"/>
        <v>0</v>
      </c>
      <c r="N56" s="18">
        <f t="shared" ref="N56:N62" si="18">+I56+J56+K56</f>
        <v>5861.33</v>
      </c>
    </row>
    <row r="57" spans="1:14" ht="13.5" thickBot="1" x14ac:dyDescent="0.25">
      <c r="A57" s="16">
        <v>2</v>
      </c>
      <c r="B57" s="161" t="str">
        <f t="shared" si="16"/>
        <v>Sanchez, Angelo</v>
      </c>
      <c r="C57" s="163" t="str">
        <f t="shared" si="16"/>
        <v>Head Cook</v>
      </c>
      <c r="D57" s="164"/>
      <c r="E57" s="162"/>
      <c r="F57" s="162"/>
      <c r="G57" s="162"/>
      <c r="H57" s="165">
        <v>300</v>
      </c>
      <c r="I57" s="8">
        <f>+D23-F23-H23-D57-J23-K23-L23-M23-N23-O23-E57-H57-F57-G57-I23</f>
        <v>6055.7</v>
      </c>
      <c r="J57" s="19">
        <f t="shared" si="17"/>
        <v>0</v>
      </c>
      <c r="K57" s="19">
        <f t="shared" si="17"/>
        <v>500</v>
      </c>
      <c r="L57" s="19">
        <f t="shared" si="17"/>
        <v>0</v>
      </c>
      <c r="N57" s="18">
        <f t="shared" si="18"/>
        <v>6555.7</v>
      </c>
    </row>
    <row r="58" spans="1:14" ht="13.5" thickBot="1" x14ac:dyDescent="0.25">
      <c r="A58" s="16">
        <v>3</v>
      </c>
      <c r="B58" s="161" t="str">
        <f t="shared" si="16"/>
        <v>Dino, Joyce</v>
      </c>
      <c r="C58" s="163" t="str">
        <f t="shared" si="16"/>
        <v>Store Manager</v>
      </c>
      <c r="D58" s="164"/>
      <c r="E58" s="162"/>
      <c r="F58" s="166"/>
      <c r="G58" s="166">
        <f>3202.78/2</f>
        <v>1601.39</v>
      </c>
      <c r="H58" s="165">
        <v>300</v>
      </c>
      <c r="I58" s="8">
        <f>+D24-F24-H24-D58-J24-K24-L24-M24-N24-O24-E58-H58-F58-G58-I24</f>
        <v>6010.2466346153851</v>
      </c>
      <c r="J58" s="19">
        <f t="shared" si="17"/>
        <v>250</v>
      </c>
      <c r="K58" s="19">
        <f t="shared" si="17"/>
        <v>1000</v>
      </c>
      <c r="L58" s="19">
        <f t="shared" si="17"/>
        <v>0</v>
      </c>
      <c r="N58" s="18">
        <f t="shared" si="18"/>
        <v>7260.2466346153851</v>
      </c>
    </row>
    <row r="59" spans="1:14" ht="13.5" thickBot="1" x14ac:dyDescent="0.25">
      <c r="A59" s="16">
        <v>4</v>
      </c>
      <c r="B59" s="161" t="str">
        <f t="shared" si="16"/>
        <v xml:space="preserve">Sosa, Anna Marie </v>
      </c>
      <c r="C59" s="163" t="str">
        <f t="shared" si="16"/>
        <v>M.T.Bookkeeper</v>
      </c>
      <c r="D59" s="164"/>
      <c r="E59" s="162"/>
      <c r="F59" s="162"/>
      <c r="G59" s="162">
        <f>3074.67/2</f>
        <v>1537.335</v>
      </c>
      <c r="H59" s="165">
        <v>300</v>
      </c>
      <c r="I59" s="8">
        <f>+D25-F25-H25-D59-J25-K25-L25-M25-N25-O25-E59-H59-F59-G59-I25</f>
        <v>3306.7912500000002</v>
      </c>
      <c r="J59" s="19">
        <f t="shared" si="17"/>
        <v>150</v>
      </c>
      <c r="K59" s="19">
        <f t="shared" si="17"/>
        <v>884</v>
      </c>
      <c r="L59" s="19">
        <f t="shared" si="17"/>
        <v>0</v>
      </c>
      <c r="N59" s="18">
        <f t="shared" si="18"/>
        <v>4340.7912500000002</v>
      </c>
    </row>
    <row r="60" spans="1:14" ht="13.5" thickBot="1" x14ac:dyDescent="0.25">
      <c r="A60" s="16">
        <v>5</v>
      </c>
      <c r="B60" s="161" t="str">
        <f t="shared" si="16"/>
        <v>Briones, Christian Joy</v>
      </c>
      <c r="C60" s="163" t="str">
        <f t="shared" si="16"/>
        <v>Asst. Cook</v>
      </c>
      <c r="D60" s="164"/>
      <c r="E60" s="162"/>
      <c r="F60" s="162"/>
      <c r="G60" s="162"/>
      <c r="H60" s="165">
        <v>300</v>
      </c>
      <c r="I60" s="8">
        <f>+D26-F26-H26-D60-J26-K26-L26-M26-N26-O26-E60-H60-F60-G60-I26</f>
        <v>5095.6975000000002</v>
      </c>
      <c r="J60" s="19">
        <f t="shared" si="17"/>
        <v>0</v>
      </c>
      <c r="K60" s="19">
        <f t="shared" si="17"/>
        <v>0</v>
      </c>
      <c r="L60" s="19">
        <f t="shared" si="17"/>
        <v>0</v>
      </c>
      <c r="N60" s="18">
        <f t="shared" si="18"/>
        <v>5095.6975000000002</v>
      </c>
    </row>
    <row r="61" spans="1:14" ht="13.5" thickBot="1" x14ac:dyDescent="0.25">
      <c r="A61" s="16">
        <v>6</v>
      </c>
      <c r="B61" s="161" t="str">
        <f t="shared" si="16"/>
        <v>Cahilig,Benzen</v>
      </c>
      <c r="C61" s="163" t="str">
        <f t="shared" si="16"/>
        <v>Cook</v>
      </c>
      <c r="D61" s="164"/>
      <c r="E61" s="162"/>
      <c r="F61" s="162"/>
      <c r="G61" s="162"/>
      <c r="H61" s="165">
        <v>300</v>
      </c>
      <c r="I61" s="8">
        <f>+D27-F27-H27-D61-J27-K27-L27-M27-N27-O27-E60-H61-F61-G61-I27</f>
        <v>5553.1637499999997</v>
      </c>
      <c r="N61" s="18">
        <f t="shared" si="18"/>
        <v>5553.1637499999997</v>
      </c>
    </row>
    <row r="62" spans="1:14" x14ac:dyDescent="0.2">
      <c r="A62" s="16">
        <v>7</v>
      </c>
      <c r="B62" s="161" t="str">
        <f t="shared" si="16"/>
        <v>Pantoja,Nancy</v>
      </c>
      <c r="C62" s="163" t="str">
        <f t="shared" si="16"/>
        <v>Cashier</v>
      </c>
      <c r="D62" s="164"/>
      <c r="E62" s="162"/>
      <c r="F62" s="162"/>
      <c r="G62" s="162"/>
      <c r="H62" s="165">
        <v>300</v>
      </c>
      <c r="I62" s="8">
        <f>+D28-F28-H28-D62-J28-K28-L28-M28-N28-O28-E61-H62-F62-G62-I28</f>
        <v>6451.9974999999995</v>
      </c>
      <c r="N62" s="18">
        <f t="shared" si="18"/>
        <v>6451.9974999999995</v>
      </c>
    </row>
    <row r="63" spans="1:14" x14ac:dyDescent="0.2">
      <c r="A63" s="16">
        <v>8</v>
      </c>
      <c r="B63" s="161">
        <f t="shared" si="16"/>
        <v>0</v>
      </c>
      <c r="C63" s="163">
        <f t="shared" si="16"/>
        <v>0</v>
      </c>
      <c r="D63" s="164"/>
      <c r="E63" s="162"/>
      <c r="F63" s="162"/>
      <c r="G63" s="162"/>
      <c r="H63" s="159">
        <v>0</v>
      </c>
      <c r="I63" s="8">
        <f>+D29-F29-H29-D63-J29-K29-L29-M29-N29-O29-E62-H63-F63-G63-I29</f>
        <v>0</v>
      </c>
    </row>
    <row r="64" spans="1:14" x14ac:dyDescent="0.2">
      <c r="A64" s="16">
        <v>9</v>
      </c>
      <c r="B64" s="161">
        <f t="shared" si="16"/>
        <v>0</v>
      </c>
      <c r="C64" s="163">
        <f t="shared" si="16"/>
        <v>0</v>
      </c>
      <c r="D64" s="164"/>
      <c r="E64" s="162"/>
      <c r="F64" s="162"/>
      <c r="G64" s="162"/>
      <c r="H64" s="159">
        <v>0</v>
      </c>
      <c r="I64" s="8">
        <f>+D30-F30-H30-D64-J30-K30-L30-M30-N30-O30-E63-H64-F64-G64-I30</f>
        <v>0</v>
      </c>
    </row>
    <row r="65" spans="1:14" x14ac:dyDescent="0.2">
      <c r="A65" s="16">
        <v>10</v>
      </c>
      <c r="B65" s="161">
        <f t="shared" si="16"/>
        <v>0</v>
      </c>
      <c r="C65" s="163">
        <f t="shared" si="16"/>
        <v>0</v>
      </c>
      <c r="D65" s="161"/>
      <c r="E65" s="159"/>
      <c r="F65" s="162"/>
      <c r="G65" s="162"/>
      <c r="H65" s="159">
        <v>0</v>
      </c>
      <c r="I65" s="8">
        <f>+D31-F31-H31-D65-J31-K31-L31-M31-N31-O31-E64-H65-F65-G65-I31</f>
        <v>0</v>
      </c>
    </row>
    <row r="66" spans="1:14" x14ac:dyDescent="0.2">
      <c r="A66" s="13"/>
      <c r="B66" s="12"/>
      <c r="C66" s="11"/>
      <c r="D66" s="161"/>
      <c r="E66" s="160">
        <f>+SUM(E56:E65)</f>
        <v>0</v>
      </c>
      <c r="F66" s="159"/>
      <c r="G66" s="159"/>
      <c r="H66" s="159"/>
      <c r="I66" s="8"/>
    </row>
    <row r="67" spans="1:14" ht="13.5" thickBot="1" x14ac:dyDescent="0.25">
      <c r="A67" s="7"/>
      <c r="B67" s="6"/>
      <c r="C67" s="5"/>
      <c r="D67" s="158">
        <f>SUM(D56:D66)</f>
        <v>0</v>
      </c>
      <c r="E67" s="158">
        <f>SUM(E56:E66)</f>
        <v>0</v>
      </c>
      <c r="F67" s="157">
        <f>+SUM(F56:F66)</f>
        <v>0</v>
      </c>
      <c r="G67" s="156">
        <f>+SUM(G56:G66)</f>
        <v>3138.7250000000004</v>
      </c>
      <c r="H67" s="156">
        <f>+SUM(H56:H66)</f>
        <v>2100</v>
      </c>
      <c r="I67" s="155">
        <f>+SUM(I56:I66)</f>
        <v>37300.926634615382</v>
      </c>
      <c r="N67" s="2">
        <f>SUM(N56:N66)</f>
        <v>41118.926634615382</v>
      </c>
    </row>
    <row r="70" spans="1:14" x14ac:dyDescent="0.2">
      <c r="G70" s="18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K54:K55"/>
    <mergeCell ref="F54:G54"/>
    <mergeCell ref="I54:I55"/>
    <mergeCell ref="J54:J55"/>
    <mergeCell ref="F20:F21"/>
    <mergeCell ref="G20:G21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O20:O21"/>
    <mergeCell ref="T5:T6"/>
    <mergeCell ref="H5:H6"/>
    <mergeCell ref="J5:L5"/>
    <mergeCell ref="N20:N21"/>
    <mergeCell ref="R5:R6"/>
    <mergeCell ref="L54:L55"/>
    <mergeCell ref="S5:S6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V5:V6"/>
    <mergeCell ref="H20:H21"/>
    <mergeCell ref="G5:G6"/>
    <mergeCell ref="L20:L21"/>
    <mergeCell ref="F5:F6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50" t="s">
        <v>339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6"/>
      <c r="Y1" s="343"/>
    </row>
    <row r="2" spans="1:25" x14ac:dyDescent="0.25">
      <c r="A2" s="350" t="s">
        <v>338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6"/>
      <c r="Y2" s="343"/>
    </row>
    <row r="3" spans="1:25" x14ac:dyDescent="0.25">
      <c r="A3" s="350" t="s">
        <v>337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6"/>
      <c r="Y3" s="343"/>
    </row>
    <row r="4" spans="1:25" ht="15.75" thickBot="1" x14ac:dyDescent="0.3">
      <c r="A4" s="347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6"/>
      <c r="Y4" s="343"/>
    </row>
    <row r="5" spans="1:25" ht="25.5" customHeight="1" x14ac:dyDescent="0.25">
      <c r="A5" s="790"/>
      <c r="B5" s="786" t="s">
        <v>336</v>
      </c>
      <c r="C5" s="786" t="s">
        <v>335</v>
      </c>
      <c r="D5" s="786" t="s">
        <v>334</v>
      </c>
      <c r="E5" s="786" t="s">
        <v>333</v>
      </c>
      <c r="F5" s="786" t="s">
        <v>332</v>
      </c>
      <c r="G5" s="786" t="s">
        <v>331</v>
      </c>
      <c r="H5" s="786"/>
      <c r="I5" s="786" t="s">
        <v>330</v>
      </c>
      <c r="J5" s="786" t="s">
        <v>329</v>
      </c>
      <c r="K5" s="786"/>
      <c r="L5" s="786"/>
      <c r="M5" s="386"/>
      <c r="N5" s="786" t="s">
        <v>328</v>
      </c>
      <c r="O5" s="786"/>
      <c r="P5" s="786" t="s">
        <v>327</v>
      </c>
      <c r="Q5" s="786"/>
      <c r="R5" s="786" t="s">
        <v>326</v>
      </c>
      <c r="S5" s="786" t="s">
        <v>286</v>
      </c>
      <c r="T5" s="786" t="s">
        <v>23</v>
      </c>
      <c r="U5" s="786" t="s">
        <v>20</v>
      </c>
      <c r="V5" s="788" t="s">
        <v>325</v>
      </c>
      <c r="W5" s="786" t="s">
        <v>324</v>
      </c>
      <c r="X5" s="346"/>
      <c r="Y5" s="343"/>
    </row>
    <row r="6" spans="1:25" ht="25.5" x14ac:dyDescent="0.25">
      <c r="A6" s="791"/>
      <c r="B6" s="787"/>
      <c r="C6" s="787"/>
      <c r="D6" s="787"/>
      <c r="E6" s="787"/>
      <c r="F6" s="787"/>
      <c r="G6" s="385" t="s">
        <v>323</v>
      </c>
      <c r="H6" s="384" t="s">
        <v>322</v>
      </c>
      <c r="I6" s="787"/>
      <c r="J6" s="383" t="s">
        <v>319</v>
      </c>
      <c r="K6" s="383" t="s">
        <v>318</v>
      </c>
      <c r="L6" s="383" t="s">
        <v>321</v>
      </c>
      <c r="M6" s="383" t="s">
        <v>320</v>
      </c>
      <c r="N6" s="383" t="s">
        <v>319</v>
      </c>
      <c r="O6" s="383" t="s">
        <v>318</v>
      </c>
      <c r="P6" s="383" t="s">
        <v>319</v>
      </c>
      <c r="Q6" s="383" t="s">
        <v>318</v>
      </c>
      <c r="R6" s="787"/>
      <c r="S6" s="787"/>
      <c r="T6" s="787"/>
      <c r="U6" s="787"/>
      <c r="V6" s="789"/>
      <c r="W6" s="787"/>
      <c r="X6" s="346"/>
      <c r="Y6" s="343"/>
    </row>
    <row r="7" spans="1:25" x14ac:dyDescent="0.25">
      <c r="A7" s="372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3"/>
      <c r="W7" s="375"/>
      <c r="X7" s="346"/>
      <c r="Y7" s="343"/>
    </row>
    <row r="8" spans="1:25" x14ac:dyDescent="0.25">
      <c r="A8" s="372">
        <v>1</v>
      </c>
      <c r="B8" s="375" t="s">
        <v>41</v>
      </c>
      <c r="C8" s="379" t="s">
        <v>317</v>
      </c>
      <c r="D8" s="371" t="s">
        <v>316</v>
      </c>
      <c r="E8" s="374">
        <v>192008358741</v>
      </c>
      <c r="F8" s="378" t="s">
        <v>315</v>
      </c>
      <c r="G8" s="380">
        <v>6658.55</v>
      </c>
      <c r="H8" s="380">
        <v>6658.55</v>
      </c>
      <c r="I8" s="370">
        <f t="shared" ref="I8:I14" si="0">G8+H8</f>
        <v>13317.1</v>
      </c>
      <c r="J8" s="369">
        <v>490.5</v>
      </c>
      <c r="K8" s="369">
        <v>994.5</v>
      </c>
      <c r="L8" s="369">
        <v>10</v>
      </c>
      <c r="M8" s="369">
        <f t="shared" ref="M8:M14" si="1">J8+K8+L8</f>
        <v>1495</v>
      </c>
      <c r="N8" s="369">
        <v>187.5</v>
      </c>
      <c r="O8" s="369">
        <f t="shared" ref="O8:O14" si="2">N8</f>
        <v>187.5</v>
      </c>
      <c r="P8" s="369">
        <v>100</v>
      </c>
      <c r="Q8" s="369">
        <v>100</v>
      </c>
      <c r="R8" s="369">
        <v>0</v>
      </c>
      <c r="S8" s="369">
        <v>0</v>
      </c>
      <c r="T8" s="377">
        <v>1245.92</v>
      </c>
      <c r="U8" s="368">
        <v>1158.52</v>
      </c>
      <c r="V8" s="373"/>
      <c r="W8" s="368">
        <v>0</v>
      </c>
      <c r="X8" s="346"/>
      <c r="Y8" s="343"/>
    </row>
    <row r="9" spans="1:25" x14ac:dyDescent="0.25">
      <c r="A9" s="372">
        <f t="shared" ref="A9:A14" si="3">A8+1</f>
        <v>2</v>
      </c>
      <c r="B9" s="375" t="s">
        <v>314</v>
      </c>
      <c r="C9" s="382" t="s">
        <v>313</v>
      </c>
      <c r="D9" s="381" t="s">
        <v>312</v>
      </c>
      <c r="E9" s="374">
        <v>30506807839</v>
      </c>
      <c r="F9" s="378" t="s">
        <v>311</v>
      </c>
      <c r="G9" s="380">
        <v>5754.36</v>
      </c>
      <c r="H9" s="380">
        <v>6187.93</v>
      </c>
      <c r="I9" s="370">
        <f t="shared" si="0"/>
        <v>11942.29</v>
      </c>
      <c r="J9" s="369">
        <v>454.2</v>
      </c>
      <c r="K9" s="369">
        <v>920.8</v>
      </c>
      <c r="L9" s="369">
        <v>10</v>
      </c>
      <c r="M9" s="369">
        <f t="shared" si="1"/>
        <v>1385</v>
      </c>
      <c r="N9" s="369">
        <v>175</v>
      </c>
      <c r="O9" s="369">
        <f t="shared" si="2"/>
        <v>175</v>
      </c>
      <c r="P9" s="369">
        <v>100</v>
      </c>
      <c r="Q9" s="369">
        <v>100</v>
      </c>
      <c r="R9" s="369"/>
      <c r="S9" s="369"/>
      <c r="T9" s="369">
        <v>969.04</v>
      </c>
      <c r="U9" s="368">
        <v>986.7</v>
      </c>
      <c r="V9" s="373"/>
      <c r="W9" s="368"/>
      <c r="X9" s="346"/>
      <c r="Y9" s="343"/>
    </row>
    <row r="10" spans="1:25" x14ac:dyDescent="0.25">
      <c r="A10" s="372">
        <f t="shared" si="3"/>
        <v>3</v>
      </c>
      <c r="B10" s="375" t="s">
        <v>37</v>
      </c>
      <c r="C10" s="379" t="s">
        <v>310</v>
      </c>
      <c r="D10" s="371" t="s">
        <v>309</v>
      </c>
      <c r="E10" s="374">
        <v>190518498219</v>
      </c>
      <c r="F10" s="378" t="s">
        <v>308</v>
      </c>
      <c r="G10" s="369">
        <v>10492.39</v>
      </c>
      <c r="H10" s="369">
        <v>10502.27</v>
      </c>
      <c r="I10" s="370">
        <f t="shared" si="0"/>
        <v>20994.66</v>
      </c>
      <c r="J10" s="369">
        <v>581.29999999999995</v>
      </c>
      <c r="K10" s="369">
        <v>1178.7</v>
      </c>
      <c r="L10" s="369">
        <v>30</v>
      </c>
      <c r="M10" s="369">
        <f t="shared" si="1"/>
        <v>1790</v>
      </c>
      <c r="N10" s="369">
        <v>275</v>
      </c>
      <c r="O10" s="369">
        <f t="shared" si="2"/>
        <v>275</v>
      </c>
      <c r="P10" s="369">
        <v>100</v>
      </c>
      <c r="Q10" s="369">
        <v>100</v>
      </c>
      <c r="R10" s="369">
        <v>0</v>
      </c>
      <c r="S10" s="369">
        <v>3202.78</v>
      </c>
      <c r="T10" s="377">
        <v>1476.64</v>
      </c>
      <c r="U10" s="368">
        <v>0</v>
      </c>
      <c r="V10" s="376"/>
      <c r="W10" s="368">
        <v>0</v>
      </c>
      <c r="X10" s="346"/>
      <c r="Y10" s="343"/>
    </row>
    <row r="11" spans="1:25" x14ac:dyDescent="0.25">
      <c r="A11" s="372">
        <f t="shared" si="3"/>
        <v>4</v>
      </c>
      <c r="B11" s="375" t="s">
        <v>307</v>
      </c>
      <c r="C11" s="375" t="s">
        <v>306</v>
      </c>
      <c r="D11" s="371" t="s">
        <v>305</v>
      </c>
      <c r="E11" s="374">
        <v>30505180662</v>
      </c>
      <c r="F11" s="371" t="s">
        <v>304</v>
      </c>
      <c r="G11" s="369">
        <v>6671.1</v>
      </c>
      <c r="H11" s="369">
        <v>6664.83</v>
      </c>
      <c r="I11" s="370">
        <f t="shared" si="0"/>
        <v>13335.93</v>
      </c>
      <c r="J11" s="369">
        <v>490.5</v>
      </c>
      <c r="K11" s="369">
        <v>994.5</v>
      </c>
      <c r="L11" s="369">
        <v>10</v>
      </c>
      <c r="M11" s="369">
        <f t="shared" si="1"/>
        <v>1495</v>
      </c>
      <c r="N11" s="369">
        <v>175</v>
      </c>
      <c r="O11" s="369">
        <f t="shared" si="2"/>
        <v>175</v>
      </c>
      <c r="P11" s="369">
        <v>100</v>
      </c>
      <c r="Q11" s="369">
        <v>100</v>
      </c>
      <c r="R11" s="369">
        <v>0</v>
      </c>
      <c r="S11" s="369">
        <v>3074.67</v>
      </c>
      <c r="T11" s="369">
        <v>1200</v>
      </c>
      <c r="U11" s="368">
        <v>1134</v>
      </c>
      <c r="V11" s="373"/>
      <c r="W11" s="368">
        <v>0</v>
      </c>
      <c r="X11" s="346"/>
      <c r="Y11" s="343"/>
    </row>
    <row r="12" spans="1:25" x14ac:dyDescent="0.25">
      <c r="A12" s="372">
        <f t="shared" si="3"/>
        <v>5</v>
      </c>
      <c r="B12" s="366" t="s">
        <v>39</v>
      </c>
      <c r="C12" s="366" t="s">
        <v>303</v>
      </c>
      <c r="D12" s="364" t="s">
        <v>302</v>
      </c>
      <c r="E12" s="365">
        <v>30500211845</v>
      </c>
      <c r="F12" s="371" t="s">
        <v>301</v>
      </c>
      <c r="G12" s="369">
        <v>6664.83</v>
      </c>
      <c r="H12" s="369">
        <v>6683.65</v>
      </c>
      <c r="I12" s="370">
        <f t="shared" si="0"/>
        <v>13348.48</v>
      </c>
      <c r="J12" s="369">
        <v>490.5</v>
      </c>
      <c r="K12" s="369">
        <v>994.5</v>
      </c>
      <c r="L12" s="369">
        <v>10</v>
      </c>
      <c r="M12" s="369">
        <f t="shared" si="1"/>
        <v>1495</v>
      </c>
      <c r="N12" s="369">
        <v>187.5</v>
      </c>
      <c r="O12" s="369">
        <f t="shared" si="2"/>
        <v>187.5</v>
      </c>
      <c r="P12" s="369">
        <v>100</v>
      </c>
      <c r="Q12" s="369">
        <v>100</v>
      </c>
      <c r="R12" s="369">
        <v>0</v>
      </c>
      <c r="S12" s="369">
        <v>0</v>
      </c>
      <c r="T12" s="369">
        <v>1245.9100000000001</v>
      </c>
      <c r="U12" s="368">
        <v>0</v>
      </c>
      <c r="V12" s="361"/>
      <c r="W12" s="368">
        <v>0</v>
      </c>
      <c r="X12" s="346"/>
      <c r="Y12" s="343"/>
    </row>
    <row r="13" spans="1:25" x14ac:dyDescent="0.25">
      <c r="A13" s="367">
        <f t="shared" si="3"/>
        <v>6</v>
      </c>
      <c r="B13" s="366" t="s">
        <v>32</v>
      </c>
      <c r="C13" s="366"/>
      <c r="D13" s="364"/>
      <c r="E13" s="365"/>
      <c r="F13" s="364"/>
      <c r="G13" s="362">
        <v>5900.55</v>
      </c>
      <c r="H13" s="362">
        <v>5964.58</v>
      </c>
      <c r="I13" s="370">
        <f t="shared" si="0"/>
        <v>11865.130000000001</v>
      </c>
      <c r="J13" s="369">
        <v>436</v>
      </c>
      <c r="K13" s="369">
        <v>884</v>
      </c>
      <c r="L13" s="369">
        <v>10</v>
      </c>
      <c r="M13" s="369">
        <f t="shared" si="1"/>
        <v>1330</v>
      </c>
      <c r="N13" s="369">
        <v>182.5</v>
      </c>
      <c r="O13" s="369">
        <f t="shared" si="2"/>
        <v>182.5</v>
      </c>
      <c r="P13" s="369">
        <v>100</v>
      </c>
      <c r="Q13" s="369">
        <v>100</v>
      </c>
      <c r="R13" s="369">
        <v>0</v>
      </c>
      <c r="S13" s="369">
        <v>0</v>
      </c>
      <c r="T13" s="369">
        <v>1015.2</v>
      </c>
      <c r="U13" s="368">
        <v>861.46</v>
      </c>
      <c r="V13" s="361"/>
      <c r="W13" s="360"/>
      <c r="X13" s="346"/>
      <c r="Y13" s="343"/>
    </row>
    <row r="14" spans="1:25" x14ac:dyDescent="0.25">
      <c r="A14" s="367">
        <f t="shared" si="3"/>
        <v>7</v>
      </c>
      <c r="B14" s="366" t="s">
        <v>30</v>
      </c>
      <c r="C14" s="366"/>
      <c r="D14" s="364"/>
      <c r="E14" s="365"/>
      <c r="F14" s="364"/>
      <c r="G14" s="362">
        <v>5170.2</v>
      </c>
      <c r="H14" s="362">
        <v>5605.65</v>
      </c>
      <c r="I14" s="363">
        <f t="shared" si="0"/>
        <v>10775.849999999999</v>
      </c>
      <c r="J14" s="362">
        <v>417.8</v>
      </c>
      <c r="K14" s="362">
        <v>847.2</v>
      </c>
      <c r="L14" s="362">
        <v>10</v>
      </c>
      <c r="M14" s="362">
        <f t="shared" si="1"/>
        <v>1275</v>
      </c>
      <c r="N14" s="362">
        <v>162.5</v>
      </c>
      <c r="O14" s="362">
        <f t="shared" si="2"/>
        <v>162.5</v>
      </c>
      <c r="P14" s="362">
        <v>100</v>
      </c>
      <c r="Q14" s="362">
        <v>100</v>
      </c>
      <c r="R14" s="362"/>
      <c r="S14" s="362"/>
      <c r="T14" s="362">
        <v>1015.2</v>
      </c>
      <c r="U14" s="360"/>
      <c r="V14" s="361"/>
      <c r="W14" s="360"/>
      <c r="X14" s="346"/>
      <c r="Y14" s="343"/>
    </row>
    <row r="15" spans="1:25" ht="15.75" thickBot="1" x14ac:dyDescent="0.3">
      <c r="A15" s="359"/>
      <c r="B15" s="357"/>
      <c r="C15" s="357"/>
      <c r="D15" s="357"/>
      <c r="E15" s="358"/>
      <c r="F15" s="357"/>
      <c r="G15" s="355">
        <f t="shared" ref="G15:U15" si="4">SUM(G8:G14)</f>
        <v>47311.98</v>
      </c>
      <c r="H15" s="355">
        <f t="shared" si="4"/>
        <v>48267.460000000006</v>
      </c>
      <c r="I15" s="355">
        <f t="shared" si="4"/>
        <v>95579.44</v>
      </c>
      <c r="J15" s="355">
        <f t="shared" si="4"/>
        <v>3360.8</v>
      </c>
      <c r="K15" s="355">
        <f t="shared" si="4"/>
        <v>6814.2</v>
      </c>
      <c r="L15" s="355">
        <f t="shared" si="4"/>
        <v>90</v>
      </c>
      <c r="M15" s="355">
        <f t="shared" si="4"/>
        <v>10265</v>
      </c>
      <c r="N15" s="355">
        <f t="shared" si="4"/>
        <v>1345</v>
      </c>
      <c r="O15" s="355">
        <f t="shared" si="4"/>
        <v>1345</v>
      </c>
      <c r="P15" s="355">
        <f t="shared" si="4"/>
        <v>700</v>
      </c>
      <c r="Q15" s="355">
        <f t="shared" si="4"/>
        <v>700</v>
      </c>
      <c r="R15" s="355">
        <f t="shared" si="4"/>
        <v>0</v>
      </c>
      <c r="S15" s="355">
        <f t="shared" si="4"/>
        <v>6277.4500000000007</v>
      </c>
      <c r="T15" s="355">
        <f t="shared" si="4"/>
        <v>8167.91</v>
      </c>
      <c r="U15" s="355">
        <f t="shared" si="4"/>
        <v>4140.68</v>
      </c>
      <c r="V15" s="356">
        <v>0</v>
      </c>
      <c r="W15" s="355">
        <f>SUM(W8:W12)</f>
        <v>0</v>
      </c>
      <c r="X15" s="346"/>
      <c r="Y15" s="343"/>
    </row>
    <row r="16" spans="1:25" x14ac:dyDescent="0.25">
      <c r="A16" s="347"/>
      <c r="B16" s="350" t="s">
        <v>6</v>
      </c>
      <c r="C16" s="347"/>
      <c r="D16" s="347"/>
      <c r="E16" s="347"/>
      <c r="F16" s="347"/>
      <c r="G16" s="347"/>
      <c r="H16" s="347"/>
      <c r="I16" s="347"/>
      <c r="J16" s="353">
        <f>J15+K15+L15</f>
        <v>10265</v>
      </c>
      <c r="K16" s="354"/>
      <c r="L16" s="354"/>
      <c r="M16" s="354"/>
      <c r="N16" s="353">
        <f>N15+O15</f>
        <v>2690</v>
      </c>
      <c r="O16" s="347"/>
      <c r="P16" s="348">
        <f>P15+Q15</f>
        <v>1400</v>
      </c>
      <c r="Q16" s="347"/>
      <c r="R16" s="353">
        <f>R15</f>
        <v>0</v>
      </c>
      <c r="S16" s="353">
        <f>S15</f>
        <v>6277.4500000000007</v>
      </c>
      <c r="T16" s="353">
        <f>T15</f>
        <v>8167.91</v>
      </c>
      <c r="U16" s="353">
        <f>U15</f>
        <v>4140.68</v>
      </c>
      <c r="V16" s="354">
        <v>0</v>
      </c>
      <c r="W16" s="353">
        <f>W15</f>
        <v>0</v>
      </c>
      <c r="X16" s="346"/>
      <c r="Y16" s="343"/>
    </row>
    <row r="17" spans="1:25" x14ac:dyDescent="0.25">
      <c r="A17" s="347"/>
      <c r="B17" s="350" t="s">
        <v>300</v>
      </c>
      <c r="C17" s="347"/>
      <c r="D17" s="347"/>
      <c r="E17" s="347"/>
      <c r="F17" s="347"/>
      <c r="G17" s="347"/>
      <c r="H17" s="347"/>
      <c r="I17" s="347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47"/>
      <c r="X17" s="346"/>
      <c r="Y17" s="343"/>
    </row>
    <row r="18" spans="1:25" x14ac:dyDescent="0.25">
      <c r="A18" s="347"/>
      <c r="B18" s="350" t="s">
        <v>299</v>
      </c>
      <c r="C18" s="347"/>
      <c r="D18" s="347"/>
      <c r="E18" s="347"/>
      <c r="F18" s="347"/>
      <c r="G18" s="347"/>
      <c r="H18" s="347"/>
      <c r="I18" s="347"/>
      <c r="J18" s="352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47"/>
      <c r="X18" s="346"/>
      <c r="Y18" s="343"/>
    </row>
    <row r="19" spans="1:25" ht="15.75" thickBot="1" x14ac:dyDescent="0.3">
      <c r="A19" s="347"/>
      <c r="B19" s="350" t="s">
        <v>298</v>
      </c>
      <c r="C19" s="347"/>
      <c r="D19" s="347"/>
      <c r="E19" s="347"/>
      <c r="F19" s="347"/>
      <c r="G19" s="347"/>
      <c r="H19" s="347"/>
      <c r="I19" s="347"/>
      <c r="J19" s="349">
        <f>J16</f>
        <v>10265</v>
      </c>
      <c r="K19" s="347"/>
      <c r="L19" s="347"/>
      <c r="M19" s="347"/>
      <c r="N19" s="349">
        <f>N16</f>
        <v>2690</v>
      </c>
      <c r="O19" s="347"/>
      <c r="P19" s="349">
        <f>P16</f>
        <v>1400</v>
      </c>
      <c r="Q19" s="347"/>
      <c r="R19" s="349">
        <f>R16</f>
        <v>0</v>
      </c>
      <c r="S19" s="349">
        <f>S16</f>
        <v>6277.4500000000007</v>
      </c>
      <c r="T19" s="349">
        <f>T16</f>
        <v>8167.91</v>
      </c>
      <c r="U19" s="349">
        <f>U16</f>
        <v>4140.68</v>
      </c>
      <c r="V19" s="349">
        <v>0</v>
      </c>
      <c r="W19" s="349">
        <f>W16</f>
        <v>0</v>
      </c>
      <c r="X19" s="346"/>
      <c r="Y19" s="343"/>
    </row>
    <row r="20" spans="1:25" ht="15.75" thickTop="1" x14ac:dyDescent="0.25">
      <c r="A20" s="346"/>
      <c r="B20" s="347"/>
      <c r="C20" s="347"/>
      <c r="D20" s="347"/>
      <c r="E20" s="347"/>
      <c r="F20" s="347"/>
      <c r="G20" s="348"/>
      <c r="H20" s="347"/>
      <c r="I20" s="347"/>
      <c r="J20" s="347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3"/>
    </row>
    <row r="21" spans="1:25" x14ac:dyDescent="0.25">
      <c r="A21" s="343"/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</row>
    <row r="22" spans="1:25" x14ac:dyDescent="0.25">
      <c r="A22" s="343"/>
      <c r="B22" s="345"/>
      <c r="C22" s="344"/>
      <c r="D22" s="344"/>
      <c r="E22" s="344"/>
      <c r="F22" s="344"/>
      <c r="G22" s="344"/>
      <c r="H22" s="344"/>
      <c r="I22" s="344"/>
      <c r="J22" s="45"/>
      <c r="K22" s="343"/>
      <c r="L22" s="343"/>
      <c r="M22" s="343"/>
      <c r="N22" s="343"/>
      <c r="O22" s="343"/>
      <c r="P22" s="343"/>
      <c r="Q22" s="343"/>
      <c r="R22" s="343"/>
      <c r="S22" s="343"/>
      <c r="T22" s="343"/>
      <c r="U22" s="343"/>
      <c r="V22" s="343"/>
      <c r="W22" s="343"/>
      <c r="X22" s="343"/>
      <c r="Y22" s="343"/>
    </row>
    <row r="23" spans="1:25" x14ac:dyDescent="0.25">
      <c r="A23" s="343"/>
      <c r="B23" s="345"/>
      <c r="C23" s="344"/>
      <c r="D23" s="344"/>
      <c r="E23" s="344"/>
      <c r="F23" s="344"/>
      <c r="G23" s="344"/>
      <c r="H23" s="344"/>
      <c r="I23" s="344"/>
      <c r="J23" s="45"/>
      <c r="K23" s="343"/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3"/>
      <c r="W23" s="343"/>
      <c r="X23" s="343"/>
      <c r="Y23" s="343"/>
    </row>
    <row r="24" spans="1:25" x14ac:dyDescent="0.25">
      <c r="B24" s="342"/>
      <c r="C24" s="340"/>
      <c r="D24" s="340"/>
      <c r="E24" s="340"/>
      <c r="F24" s="340"/>
      <c r="G24" s="340"/>
      <c r="H24" s="340"/>
      <c r="I24" s="340"/>
      <c r="J24" s="45"/>
    </row>
    <row r="25" spans="1:25" x14ac:dyDescent="0.25">
      <c r="J25" s="45"/>
    </row>
    <row r="26" spans="1:25" x14ac:dyDescent="0.25">
      <c r="J26" s="45"/>
    </row>
    <row r="27" spans="1:25" x14ac:dyDescent="0.25">
      <c r="J27" s="45"/>
    </row>
    <row r="28" spans="1:25" x14ac:dyDescent="0.25">
      <c r="B28" s="340"/>
      <c r="C28" s="340"/>
      <c r="D28" s="340"/>
      <c r="E28" s="340"/>
      <c r="F28" s="340"/>
      <c r="G28" s="340"/>
      <c r="H28" s="341" t="s">
        <v>297</v>
      </c>
      <c r="I28" s="340"/>
      <c r="J28" s="45"/>
    </row>
  </sheetData>
  <protectedRanges>
    <protectedRange password="A316" sqref="J22:J28" name="Range1"/>
  </protectedRanges>
  <mergeCells count="17">
    <mergeCell ref="A5:A6"/>
    <mergeCell ref="B5:B6"/>
    <mergeCell ref="C5:C6"/>
    <mergeCell ref="D5:D6"/>
    <mergeCell ref="E5:E6"/>
    <mergeCell ref="W5:W6"/>
    <mergeCell ref="R5:R6"/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workbookViewId="0"/>
  </sheetViews>
  <sheetFormatPr defaultRowHeight="12.75" x14ac:dyDescent="0.2"/>
  <cols>
    <col min="1" max="1" width="3.5703125" style="202" customWidth="1"/>
    <col min="2" max="2" width="15.140625" style="202" customWidth="1"/>
    <col min="3" max="3" width="0" style="202" hidden="1" customWidth="1"/>
    <col min="4" max="4" width="14.7109375" style="202" customWidth="1"/>
    <col min="5" max="16384" width="9.140625" style="202"/>
  </cols>
  <sheetData>
    <row r="1" spans="1:23" x14ac:dyDescent="0.2">
      <c r="A1" s="287" t="s">
        <v>202</v>
      </c>
      <c r="B1" s="287"/>
      <c r="C1" s="287"/>
      <c r="D1" s="281"/>
      <c r="E1" s="206"/>
      <c r="F1" s="281" t="s">
        <v>201</v>
      </c>
      <c r="G1" s="276"/>
      <c r="H1" s="276"/>
      <c r="I1" s="276"/>
      <c r="J1" s="286">
        <f>'[11]Sales Summary'!K44</f>
        <v>25566.1368</v>
      </c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</row>
    <row r="2" spans="1:23" x14ac:dyDescent="0.2">
      <c r="A2" s="281" t="s">
        <v>200</v>
      </c>
      <c r="B2" s="281"/>
      <c r="C2" s="281"/>
      <c r="D2" s="281"/>
      <c r="E2" s="206"/>
      <c r="F2" s="277" t="s">
        <v>199</v>
      </c>
      <c r="G2" s="277"/>
      <c r="H2" s="277"/>
      <c r="I2" s="277"/>
      <c r="J2" s="285">
        <f>N28</f>
        <v>350</v>
      </c>
      <c r="K2" s="279"/>
      <c r="L2" s="279"/>
      <c r="M2" s="277"/>
      <c r="N2" s="284"/>
      <c r="O2" s="284"/>
      <c r="P2" s="284"/>
      <c r="Q2" s="284"/>
      <c r="R2" s="283"/>
      <c r="S2" s="283"/>
      <c r="T2" s="283"/>
      <c r="U2" s="276"/>
      <c r="V2" s="276"/>
      <c r="W2" s="276"/>
    </row>
    <row r="3" spans="1:23" x14ac:dyDescent="0.2">
      <c r="A3" s="282" t="s">
        <v>198</v>
      </c>
      <c r="B3" s="282"/>
      <c r="C3" s="282"/>
      <c r="D3" s="281"/>
      <c r="E3" s="206"/>
      <c r="F3" s="277" t="s">
        <v>197</v>
      </c>
      <c r="G3" s="280"/>
      <c r="H3" s="280"/>
      <c r="I3" s="277"/>
      <c r="J3" s="279">
        <f>+J1-J2</f>
        <v>25216.1368</v>
      </c>
      <c r="K3" s="278"/>
      <c r="L3" s="278"/>
      <c r="M3" s="277"/>
      <c r="N3" s="277"/>
      <c r="O3" s="277"/>
      <c r="P3" s="277"/>
      <c r="Q3" s="277"/>
      <c r="R3" s="276"/>
      <c r="S3" s="276"/>
      <c r="T3" s="276"/>
      <c r="U3" s="276"/>
      <c r="V3" s="276"/>
      <c r="W3" s="276"/>
    </row>
    <row r="4" spans="1:23" ht="13.5" thickBot="1" x14ac:dyDescent="0.25">
      <c r="A4" s="205"/>
      <c r="B4" s="205"/>
      <c r="C4" s="205"/>
      <c r="D4" s="205"/>
      <c r="E4" s="206"/>
      <c r="F4" s="266" t="s">
        <v>196</v>
      </c>
      <c r="G4" s="266"/>
      <c r="H4" s="266"/>
      <c r="I4" s="266"/>
      <c r="J4" s="275">
        <f>+G28</f>
        <v>140</v>
      </c>
      <c r="K4" s="271"/>
      <c r="L4" s="271"/>
      <c r="M4" s="266"/>
      <c r="N4" s="274" t="s">
        <v>195</v>
      </c>
      <c r="O4" s="274"/>
      <c r="P4" s="274"/>
      <c r="Q4" s="274"/>
      <c r="R4" s="273"/>
      <c r="S4" s="205"/>
      <c r="T4" s="205"/>
      <c r="U4" s="205"/>
      <c r="V4" s="205"/>
      <c r="W4" s="205"/>
    </row>
    <row r="5" spans="1:23" ht="13.5" thickBot="1" x14ac:dyDescent="0.25">
      <c r="A5" s="205" t="s">
        <v>163</v>
      </c>
      <c r="B5" s="205"/>
      <c r="C5" s="205"/>
      <c r="D5" s="270">
        <f>COUNTIF($D$13:$D$27,A5)</f>
        <v>7</v>
      </c>
      <c r="E5" s="206"/>
      <c r="F5" s="266" t="s">
        <v>194</v>
      </c>
      <c r="G5" s="266"/>
      <c r="H5" s="266"/>
      <c r="I5" s="266"/>
      <c r="J5" s="272">
        <f>+J3/J4</f>
        <v>180.11526285714285</v>
      </c>
      <c r="K5" s="271"/>
      <c r="L5" s="271"/>
      <c r="M5" s="266"/>
      <c r="N5" s="266"/>
      <c r="O5" s="266"/>
      <c r="P5" s="266"/>
      <c r="Q5" s="266"/>
      <c r="R5" s="205"/>
      <c r="S5" s="205"/>
      <c r="T5" s="205"/>
      <c r="U5" s="205"/>
      <c r="V5" s="205"/>
      <c r="W5" s="205"/>
    </row>
    <row r="6" spans="1:23" ht="13.5" thickBot="1" x14ac:dyDescent="0.25">
      <c r="A6" s="205" t="s">
        <v>193</v>
      </c>
      <c r="B6" s="205"/>
      <c r="C6" s="205"/>
      <c r="D6" s="270">
        <f>COUNTIF($D$13:$D$27,A6)</f>
        <v>0</v>
      </c>
      <c r="E6" s="206"/>
      <c r="F6" s="266"/>
      <c r="G6" s="266"/>
      <c r="H6" s="266"/>
      <c r="I6" s="266"/>
      <c r="J6" s="266"/>
      <c r="K6" s="271"/>
      <c r="L6" s="271"/>
      <c r="M6" s="266"/>
      <c r="N6" s="266"/>
      <c r="O6" s="266"/>
      <c r="P6" s="266"/>
      <c r="Q6" s="266"/>
      <c r="R6" s="205"/>
      <c r="S6" s="205"/>
      <c r="T6" s="205"/>
      <c r="U6" s="205"/>
      <c r="V6" s="205"/>
      <c r="W6" s="205"/>
    </row>
    <row r="7" spans="1:23" ht="13.5" thickBot="1" x14ac:dyDescent="0.25">
      <c r="A7" s="205" t="s">
        <v>156</v>
      </c>
      <c r="B7" s="205"/>
      <c r="C7" s="205"/>
      <c r="D7" s="270">
        <v>2</v>
      </c>
      <c r="E7" s="206"/>
      <c r="F7" s="266"/>
      <c r="G7" s="266"/>
      <c r="H7" s="266"/>
      <c r="I7" s="266"/>
      <c r="J7" s="266"/>
      <c r="K7" s="266"/>
      <c r="L7" s="266" t="s">
        <v>192</v>
      </c>
      <c r="M7" s="267">
        <f>E28-M8-M9</f>
        <v>22</v>
      </c>
      <c r="N7" s="267"/>
      <c r="O7" s="266"/>
      <c r="P7" s="266"/>
      <c r="Q7" s="266"/>
      <c r="R7" s="205"/>
      <c r="S7" s="205"/>
      <c r="T7" s="205"/>
      <c r="U7" s="205"/>
      <c r="V7" s="205"/>
      <c r="W7" s="205"/>
    </row>
    <row r="8" spans="1:23" ht="13.5" thickBot="1" x14ac:dyDescent="0.25">
      <c r="A8" s="205" t="s">
        <v>161</v>
      </c>
      <c r="B8" s="205"/>
      <c r="C8" s="205"/>
      <c r="D8" s="270">
        <f>COUNTIF($D$13:$D$27,A8)</f>
        <v>1</v>
      </c>
      <c r="E8" s="206"/>
      <c r="F8" s="266"/>
      <c r="G8" s="266"/>
      <c r="H8" s="266"/>
      <c r="I8" s="266"/>
      <c r="J8" s="266"/>
      <c r="K8" s="266"/>
      <c r="L8" s="266" t="s">
        <v>191</v>
      </c>
      <c r="M8" s="266">
        <f>SUMIF(D13:D27,"Regular",E13:E27)</f>
        <v>94.5</v>
      </c>
      <c r="N8" s="266"/>
      <c r="O8" s="266"/>
      <c r="P8" s="266"/>
      <c r="Q8" s="266"/>
      <c r="R8" s="205"/>
      <c r="S8" s="205"/>
      <c r="T8" s="205"/>
      <c r="U8" s="205"/>
      <c r="V8" s="205"/>
      <c r="W8" s="205"/>
    </row>
    <row r="9" spans="1:23" ht="13.5" thickBot="1" x14ac:dyDescent="0.25">
      <c r="A9" s="205" t="s">
        <v>190</v>
      </c>
      <c r="B9" s="205"/>
      <c r="C9" s="205"/>
      <c r="D9" s="269">
        <v>14</v>
      </c>
      <c r="E9" s="206"/>
      <c r="F9" s="266"/>
      <c r="G9" s="266"/>
      <c r="H9" s="266"/>
      <c r="I9" s="266"/>
      <c r="J9" s="266"/>
      <c r="K9" s="266"/>
      <c r="L9" s="266" t="s">
        <v>189</v>
      </c>
      <c r="M9" s="267">
        <f>SUMIF(D13:D26,"special",E13:E26)</f>
        <v>14</v>
      </c>
      <c r="N9" s="266"/>
      <c r="O9" s="266"/>
      <c r="P9" s="266"/>
      <c r="Q9" s="266"/>
      <c r="R9" s="205"/>
      <c r="S9" s="205"/>
      <c r="T9" s="205"/>
      <c r="U9" s="205"/>
      <c r="V9" s="205"/>
      <c r="W9" s="205"/>
    </row>
    <row r="10" spans="1:23" ht="13.5" thickBot="1" x14ac:dyDescent="0.25">
      <c r="A10" s="205"/>
      <c r="B10" s="205"/>
      <c r="C10" s="205"/>
      <c r="D10" s="268"/>
      <c r="E10" s="206"/>
      <c r="F10" s="266"/>
      <c r="G10" s="266"/>
      <c r="H10" s="266"/>
      <c r="I10" s="266"/>
      <c r="J10" s="267"/>
      <c r="K10" s="266"/>
      <c r="L10" s="266"/>
      <c r="M10" s="266"/>
      <c r="N10" s="266"/>
      <c r="O10" s="266"/>
      <c r="P10" s="266"/>
      <c r="Q10" s="266"/>
      <c r="R10" s="205"/>
      <c r="S10" s="205"/>
      <c r="T10" s="205"/>
      <c r="U10" s="205"/>
      <c r="V10" s="205"/>
      <c r="W10" s="205"/>
    </row>
    <row r="11" spans="1:23" ht="13.5" thickBot="1" x14ac:dyDescent="0.25">
      <c r="A11" s="265"/>
      <c r="B11" s="795" t="s">
        <v>188</v>
      </c>
      <c r="C11" s="795" t="s">
        <v>187</v>
      </c>
      <c r="D11" s="795" t="s">
        <v>186</v>
      </c>
      <c r="E11" s="806" t="s">
        <v>185</v>
      </c>
      <c r="F11" s="792" t="s">
        <v>184</v>
      </c>
      <c r="G11" s="792" t="s">
        <v>183</v>
      </c>
      <c r="H11" s="792" t="s">
        <v>182</v>
      </c>
      <c r="I11" s="792" t="s">
        <v>181</v>
      </c>
      <c r="J11" s="792" t="s">
        <v>180</v>
      </c>
      <c r="K11" s="792" t="s">
        <v>179</v>
      </c>
      <c r="L11" s="792" t="s">
        <v>179</v>
      </c>
      <c r="M11" s="792" t="s">
        <v>178</v>
      </c>
      <c r="N11" s="792" t="s">
        <v>177</v>
      </c>
      <c r="O11" s="792" t="s">
        <v>176</v>
      </c>
      <c r="P11" s="264" t="s">
        <v>175</v>
      </c>
      <c r="Q11" s="792" t="s">
        <v>6</v>
      </c>
      <c r="R11" s="795" t="s">
        <v>174</v>
      </c>
      <c r="S11" s="801" t="s">
        <v>173</v>
      </c>
      <c r="T11" s="801" t="s">
        <v>172</v>
      </c>
      <c r="U11" s="794" t="s">
        <v>171</v>
      </c>
      <c r="V11" s="205"/>
      <c r="W11" s="205"/>
    </row>
    <row r="12" spans="1:23" ht="45" x14ac:dyDescent="0.2">
      <c r="A12" s="263"/>
      <c r="B12" s="796"/>
      <c r="C12" s="796"/>
      <c r="D12" s="796"/>
      <c r="E12" s="807"/>
      <c r="F12" s="793"/>
      <c r="G12" s="793"/>
      <c r="H12" s="793"/>
      <c r="I12" s="793"/>
      <c r="J12" s="793"/>
      <c r="K12" s="793"/>
      <c r="L12" s="793"/>
      <c r="M12" s="793"/>
      <c r="N12" s="793"/>
      <c r="O12" s="793"/>
      <c r="P12" s="262" t="s">
        <v>170</v>
      </c>
      <c r="Q12" s="793"/>
      <c r="R12" s="796"/>
      <c r="S12" s="802"/>
      <c r="T12" s="802"/>
      <c r="U12" s="794"/>
      <c r="V12" s="205"/>
      <c r="W12" s="205"/>
    </row>
    <row r="13" spans="1:23" x14ac:dyDescent="0.2">
      <c r="A13" s="252">
        <v>1</v>
      </c>
      <c r="B13" s="256" t="s">
        <v>169</v>
      </c>
      <c r="C13" s="255"/>
      <c r="D13" s="255" t="s">
        <v>163</v>
      </c>
      <c r="E13" s="255">
        <f>'[11]Number of Days'!E7</f>
        <v>13.5</v>
      </c>
      <c r="F13" s="254">
        <v>1</v>
      </c>
      <c r="G13" s="248">
        <f t="shared" ref="G13:G26" si="0">IF(C13="Exec Chef",E13*F13,F13*$D$9)</f>
        <v>14</v>
      </c>
      <c r="H13" s="248">
        <f t="shared" ref="H13:H26" si="1">+E13*F13</f>
        <v>13.5</v>
      </c>
      <c r="I13" s="247">
        <f t="shared" ref="I13:I27" si="2">+IF(G13&lt;&gt;0,$J$5,0)</f>
        <v>180.11526285714285</v>
      </c>
      <c r="J13" s="245">
        <f t="shared" ref="J13:J27" si="3">H13*I13</f>
        <v>2431.5560485714286</v>
      </c>
      <c r="K13" s="245">
        <f t="shared" ref="K13:K27" si="4">+IF(D13=$A$5,$K$28/$D$5,0)</f>
        <v>244.44214244897998</v>
      </c>
      <c r="L13" s="245">
        <f>+IF(K13&lt;=900,K13,900)</f>
        <v>244.44214244897998</v>
      </c>
      <c r="M13" s="246">
        <f t="shared" ref="M13:M27" si="5">IF(D13=$A$7,$M$28/$M$7*$E13,IF(D13=$A$6,$M$28/$M$7*$E13,0))</f>
        <v>0</v>
      </c>
      <c r="N13" s="253"/>
      <c r="O13" s="245">
        <f t="shared" ref="O13:O27" si="6">J13+L13+M13+N13</f>
        <v>2675.9981910204087</v>
      </c>
      <c r="P13" s="245"/>
      <c r="Q13" s="245">
        <f t="shared" ref="Q13:Q27" si="7">O13-P13</f>
        <v>2675.9981910204087</v>
      </c>
      <c r="R13" s="253">
        <f>J13*1.5</f>
        <v>3647.3340728571429</v>
      </c>
      <c r="S13" s="243">
        <f t="shared" ref="S13:S27" si="8">+Q13+R13</f>
        <v>6323.3322638775517</v>
      </c>
      <c r="T13" s="257"/>
      <c r="U13" s="241">
        <f t="shared" ref="U13:U27" si="9">+S13-T13</f>
        <v>6323.3322638775517</v>
      </c>
      <c r="V13" s="261"/>
      <c r="W13" s="261"/>
    </row>
    <row r="14" spans="1:23" x14ac:dyDescent="0.2">
      <c r="A14" s="252">
        <v>2</v>
      </c>
      <c r="B14" s="256" t="s">
        <v>168</v>
      </c>
      <c r="C14" s="255"/>
      <c r="D14" s="255" t="s">
        <v>163</v>
      </c>
      <c r="E14" s="255">
        <f>'[11]Number of Days'!E8</f>
        <v>14</v>
      </c>
      <c r="F14" s="254">
        <v>1</v>
      </c>
      <c r="G14" s="248">
        <f t="shared" si="0"/>
        <v>14</v>
      </c>
      <c r="H14" s="248">
        <f t="shared" si="1"/>
        <v>14</v>
      </c>
      <c r="I14" s="247">
        <f t="shared" si="2"/>
        <v>180.11526285714285</v>
      </c>
      <c r="J14" s="245">
        <f t="shared" si="3"/>
        <v>2521.6136799999999</v>
      </c>
      <c r="K14" s="245">
        <f t="shared" si="4"/>
        <v>244.44214244897998</v>
      </c>
      <c r="L14" s="245">
        <f>+IF(K14&lt;=900,K14,900)</f>
        <v>244.44214244897998</v>
      </c>
      <c r="M14" s="246">
        <f t="shared" si="5"/>
        <v>0</v>
      </c>
      <c r="N14" s="253"/>
      <c r="O14" s="245">
        <f t="shared" si="6"/>
        <v>2766.0558224489801</v>
      </c>
      <c r="P14" s="245"/>
      <c r="Q14" s="245">
        <f t="shared" si="7"/>
        <v>2766.0558224489801</v>
      </c>
      <c r="R14" s="253">
        <f>J14*0.25</f>
        <v>630.40341999999998</v>
      </c>
      <c r="S14" s="243">
        <f t="shared" si="8"/>
        <v>3396.4592424489801</v>
      </c>
      <c r="T14" s="257"/>
      <c r="U14" s="241">
        <f t="shared" si="9"/>
        <v>3396.4592424489801</v>
      </c>
      <c r="V14" s="259"/>
      <c r="W14" s="258"/>
    </row>
    <row r="15" spans="1:23" x14ac:dyDescent="0.2">
      <c r="A15" s="252">
        <v>3</v>
      </c>
      <c r="B15" s="256" t="s">
        <v>152</v>
      </c>
      <c r="C15" s="255"/>
      <c r="D15" s="255" t="s">
        <v>163</v>
      </c>
      <c r="E15" s="255">
        <f>'[11]Number of Days'!E9</f>
        <v>13</v>
      </c>
      <c r="F15" s="254">
        <v>1</v>
      </c>
      <c r="G15" s="248">
        <f t="shared" si="0"/>
        <v>14</v>
      </c>
      <c r="H15" s="248">
        <f t="shared" si="1"/>
        <v>13</v>
      </c>
      <c r="I15" s="260">
        <f t="shared" si="2"/>
        <v>180.11526285714285</v>
      </c>
      <c r="J15" s="245">
        <f t="shared" si="3"/>
        <v>2341.4984171428569</v>
      </c>
      <c r="K15" s="245">
        <f t="shared" si="4"/>
        <v>244.44214244897998</v>
      </c>
      <c r="L15" s="245">
        <f>+IF(K15&lt;=900,K15,900)/14*13</f>
        <v>226.98198941691001</v>
      </c>
      <c r="M15" s="246">
        <f t="shared" si="5"/>
        <v>0</v>
      </c>
      <c r="N15" s="253"/>
      <c r="O15" s="245">
        <f t="shared" si="6"/>
        <v>2568.4804065597668</v>
      </c>
      <c r="P15" s="245"/>
      <c r="Q15" s="245">
        <f t="shared" si="7"/>
        <v>2568.4804065597668</v>
      </c>
      <c r="R15" s="253">
        <f>J15*0.25</f>
        <v>585.37460428571421</v>
      </c>
      <c r="S15" s="243">
        <f t="shared" si="8"/>
        <v>3153.855010845481</v>
      </c>
      <c r="T15" s="257"/>
      <c r="U15" s="241">
        <f t="shared" si="9"/>
        <v>3153.855010845481</v>
      </c>
      <c r="V15" s="259"/>
      <c r="W15" s="258"/>
    </row>
    <row r="16" spans="1:23" x14ac:dyDescent="0.2">
      <c r="A16" s="252">
        <v>4</v>
      </c>
      <c r="B16" s="256" t="s">
        <v>167</v>
      </c>
      <c r="C16" s="255"/>
      <c r="D16" s="255" t="s">
        <v>163</v>
      </c>
      <c r="E16" s="255">
        <f>'[11]Number of Days'!E10</f>
        <v>13</v>
      </c>
      <c r="F16" s="254">
        <v>1</v>
      </c>
      <c r="G16" s="248">
        <f t="shared" si="0"/>
        <v>14</v>
      </c>
      <c r="H16" s="248">
        <f t="shared" si="1"/>
        <v>13</v>
      </c>
      <c r="I16" s="247">
        <f t="shared" si="2"/>
        <v>180.11526285714285</v>
      </c>
      <c r="J16" s="245">
        <f t="shared" si="3"/>
        <v>2341.4984171428569</v>
      </c>
      <c r="K16" s="245">
        <f t="shared" si="4"/>
        <v>244.44214244897998</v>
      </c>
      <c r="L16" s="245">
        <f>+IF(K16&lt;=900,K16,900)/14*13</f>
        <v>226.98198941691001</v>
      </c>
      <c r="M16" s="246">
        <f t="shared" si="5"/>
        <v>0</v>
      </c>
      <c r="N16" s="253"/>
      <c r="O16" s="245">
        <f t="shared" si="6"/>
        <v>2568.4804065597668</v>
      </c>
      <c r="P16" s="245"/>
      <c r="Q16" s="245">
        <f t="shared" si="7"/>
        <v>2568.4804065597668</v>
      </c>
      <c r="R16" s="253">
        <f>J16*0.25</f>
        <v>585.37460428571421</v>
      </c>
      <c r="S16" s="243">
        <f t="shared" si="8"/>
        <v>3153.855010845481</v>
      </c>
      <c r="T16" s="257"/>
      <c r="U16" s="241">
        <f t="shared" si="9"/>
        <v>3153.855010845481</v>
      </c>
      <c r="V16" s="259"/>
      <c r="W16" s="258"/>
    </row>
    <row r="17" spans="1:23" x14ac:dyDescent="0.2">
      <c r="A17" s="252">
        <v>5</v>
      </c>
      <c r="B17" s="256" t="s">
        <v>166</v>
      </c>
      <c r="C17" s="255"/>
      <c r="D17" s="255" t="s">
        <v>163</v>
      </c>
      <c r="E17" s="255">
        <f>'[11]Number of Days'!E11</f>
        <v>14</v>
      </c>
      <c r="F17" s="254">
        <v>1</v>
      </c>
      <c r="G17" s="248">
        <f t="shared" si="0"/>
        <v>14</v>
      </c>
      <c r="H17" s="248">
        <f t="shared" si="1"/>
        <v>14</v>
      </c>
      <c r="I17" s="260">
        <f t="shared" si="2"/>
        <v>180.11526285714285</v>
      </c>
      <c r="J17" s="245">
        <f t="shared" si="3"/>
        <v>2521.6136799999999</v>
      </c>
      <c r="K17" s="245">
        <f t="shared" si="4"/>
        <v>244.44214244897998</v>
      </c>
      <c r="L17" s="245">
        <f t="shared" ref="L17:L27" si="10">+IF(K17&lt;=900,K17,900)</f>
        <v>244.44214244897998</v>
      </c>
      <c r="M17" s="246">
        <f t="shared" si="5"/>
        <v>0</v>
      </c>
      <c r="N17" s="253"/>
      <c r="O17" s="245">
        <f t="shared" si="6"/>
        <v>2766.0558224489801</v>
      </c>
      <c r="P17" s="245"/>
      <c r="Q17" s="245">
        <f t="shared" si="7"/>
        <v>2766.0558224489801</v>
      </c>
      <c r="R17" s="253"/>
      <c r="S17" s="243">
        <f t="shared" si="8"/>
        <v>2766.0558224489801</v>
      </c>
      <c r="T17" s="257"/>
      <c r="U17" s="241">
        <f t="shared" si="9"/>
        <v>2766.0558224489801</v>
      </c>
      <c r="V17" s="259"/>
      <c r="W17" s="258"/>
    </row>
    <row r="18" spans="1:23" x14ac:dyDescent="0.2">
      <c r="A18" s="252">
        <f>A17+1</f>
        <v>6</v>
      </c>
      <c r="B18" s="256" t="s">
        <v>165</v>
      </c>
      <c r="C18" s="255"/>
      <c r="D18" s="255" t="s">
        <v>163</v>
      </c>
      <c r="E18" s="255">
        <f>'[11]Number of Days'!E12</f>
        <v>14</v>
      </c>
      <c r="F18" s="254">
        <v>1</v>
      </c>
      <c r="G18" s="248">
        <f t="shared" si="0"/>
        <v>14</v>
      </c>
      <c r="H18" s="248">
        <f t="shared" si="1"/>
        <v>14</v>
      </c>
      <c r="I18" s="247">
        <f t="shared" si="2"/>
        <v>180.11526285714285</v>
      </c>
      <c r="J18" s="245">
        <f t="shared" si="3"/>
        <v>2521.6136799999999</v>
      </c>
      <c r="K18" s="245">
        <f t="shared" si="4"/>
        <v>244.44214244897998</v>
      </c>
      <c r="L18" s="245">
        <f t="shared" si="10"/>
        <v>244.44214244897998</v>
      </c>
      <c r="M18" s="246">
        <f t="shared" si="5"/>
        <v>0</v>
      </c>
      <c r="N18" s="253"/>
      <c r="O18" s="245">
        <f t="shared" si="6"/>
        <v>2766.0558224489801</v>
      </c>
      <c r="P18" s="245"/>
      <c r="Q18" s="245">
        <f t="shared" si="7"/>
        <v>2766.0558224489801</v>
      </c>
      <c r="R18" s="253"/>
      <c r="S18" s="243">
        <f t="shared" si="8"/>
        <v>2766.0558224489801</v>
      </c>
      <c r="T18" s="257"/>
      <c r="U18" s="241">
        <f t="shared" si="9"/>
        <v>2766.0558224489801</v>
      </c>
      <c r="V18" s="258"/>
      <c r="W18" s="258"/>
    </row>
    <row r="19" spans="1:23" x14ac:dyDescent="0.2">
      <c r="A19" s="252">
        <f>A18+1</f>
        <v>7</v>
      </c>
      <c r="B19" s="256" t="s">
        <v>164</v>
      </c>
      <c r="C19" s="255"/>
      <c r="D19" s="255" t="s">
        <v>163</v>
      </c>
      <c r="E19" s="255">
        <f>'[11]Number of Days'!E13</f>
        <v>13</v>
      </c>
      <c r="F19" s="254">
        <v>1</v>
      </c>
      <c r="G19" s="248">
        <f t="shared" si="0"/>
        <v>14</v>
      </c>
      <c r="H19" s="248">
        <f t="shared" si="1"/>
        <v>13</v>
      </c>
      <c r="I19" s="247">
        <f t="shared" si="2"/>
        <v>180.11526285714285</v>
      </c>
      <c r="J19" s="245">
        <f t="shared" si="3"/>
        <v>2341.4984171428569</v>
      </c>
      <c r="K19" s="245">
        <f t="shared" si="4"/>
        <v>244.44214244897998</v>
      </c>
      <c r="L19" s="245">
        <f t="shared" si="10"/>
        <v>244.44214244897998</v>
      </c>
      <c r="M19" s="246">
        <f t="shared" si="5"/>
        <v>0</v>
      </c>
      <c r="N19" s="253"/>
      <c r="O19" s="245">
        <f t="shared" si="6"/>
        <v>2585.940559591837</v>
      </c>
      <c r="P19" s="245"/>
      <c r="Q19" s="245">
        <f t="shared" si="7"/>
        <v>2585.940559591837</v>
      </c>
      <c r="R19" s="253"/>
      <c r="S19" s="243">
        <f t="shared" si="8"/>
        <v>2585.940559591837</v>
      </c>
      <c r="T19" s="257"/>
      <c r="U19" s="241">
        <f t="shared" si="9"/>
        <v>2585.940559591837</v>
      </c>
      <c r="V19" s="205"/>
      <c r="W19" s="207"/>
    </row>
    <row r="20" spans="1:23" x14ac:dyDescent="0.2">
      <c r="A20" s="252">
        <f>A19+1</f>
        <v>8</v>
      </c>
      <c r="B20" s="256" t="s">
        <v>162</v>
      </c>
      <c r="C20" s="255"/>
      <c r="D20" s="255" t="s">
        <v>161</v>
      </c>
      <c r="E20" s="255">
        <f>'[11]Number of Days'!E14</f>
        <v>14</v>
      </c>
      <c r="F20" s="254">
        <v>1</v>
      </c>
      <c r="G20" s="248">
        <f t="shared" si="0"/>
        <v>14</v>
      </c>
      <c r="H20" s="248">
        <f t="shared" si="1"/>
        <v>14</v>
      </c>
      <c r="I20" s="247">
        <f t="shared" si="2"/>
        <v>180.11526285714285</v>
      </c>
      <c r="J20" s="245">
        <f t="shared" si="3"/>
        <v>2521.6136799999999</v>
      </c>
      <c r="K20" s="245">
        <f t="shared" si="4"/>
        <v>0</v>
      </c>
      <c r="L20" s="245">
        <f t="shared" si="10"/>
        <v>0</v>
      </c>
      <c r="M20" s="246">
        <f t="shared" si="5"/>
        <v>0</v>
      </c>
      <c r="N20" s="253">
        <v>350</v>
      </c>
      <c r="O20" s="245">
        <f t="shared" si="6"/>
        <v>2871.6136799999999</v>
      </c>
      <c r="P20" s="245"/>
      <c r="Q20" s="245">
        <f t="shared" si="7"/>
        <v>2871.6136799999999</v>
      </c>
      <c r="R20" s="253"/>
      <c r="S20" s="243">
        <f t="shared" si="8"/>
        <v>2871.6136799999999</v>
      </c>
      <c r="T20" s="242"/>
      <c r="U20" s="241">
        <f t="shared" si="9"/>
        <v>2871.6136799999999</v>
      </c>
      <c r="V20" s="205"/>
      <c r="W20" s="207"/>
    </row>
    <row r="21" spans="1:23" hidden="1" x14ac:dyDescent="0.2">
      <c r="A21" s="252">
        <f>A20+1</f>
        <v>9</v>
      </c>
      <c r="B21" s="256" t="s">
        <v>160</v>
      </c>
      <c r="C21" s="255"/>
      <c r="D21" s="255"/>
      <c r="E21" s="255">
        <v>0</v>
      </c>
      <c r="F21" s="254"/>
      <c r="G21" s="248">
        <f t="shared" si="0"/>
        <v>0</v>
      </c>
      <c r="H21" s="248">
        <f t="shared" si="1"/>
        <v>0</v>
      </c>
      <c r="I21" s="247">
        <f t="shared" si="2"/>
        <v>0</v>
      </c>
      <c r="J21" s="245">
        <f t="shared" si="3"/>
        <v>0</v>
      </c>
      <c r="K21" s="245">
        <f t="shared" si="4"/>
        <v>0</v>
      </c>
      <c r="L21" s="245">
        <f t="shared" si="10"/>
        <v>0</v>
      </c>
      <c r="M21" s="246">
        <f t="shared" si="5"/>
        <v>0</v>
      </c>
      <c r="N21" s="253"/>
      <c r="O21" s="245">
        <f t="shared" si="6"/>
        <v>0</v>
      </c>
      <c r="P21" s="245"/>
      <c r="Q21" s="245">
        <f t="shared" si="7"/>
        <v>0</v>
      </c>
      <c r="R21" s="253"/>
      <c r="S21" s="243">
        <f t="shared" si="8"/>
        <v>0</v>
      </c>
      <c r="T21" s="242"/>
      <c r="U21" s="241">
        <f t="shared" si="9"/>
        <v>0</v>
      </c>
      <c r="V21" s="205" t="s">
        <v>159</v>
      </c>
      <c r="W21" s="207"/>
    </row>
    <row r="22" spans="1:23" x14ac:dyDescent="0.2">
      <c r="A22" s="252">
        <v>9</v>
      </c>
      <c r="B22" s="256" t="s">
        <v>158</v>
      </c>
      <c r="C22" s="255"/>
      <c r="D22" s="255" t="s">
        <v>156</v>
      </c>
      <c r="E22" s="255">
        <f>'[11]Number of Days'!E15</f>
        <v>12</v>
      </c>
      <c r="F22" s="254">
        <v>1</v>
      </c>
      <c r="G22" s="248">
        <f t="shared" si="0"/>
        <v>14</v>
      </c>
      <c r="H22" s="248">
        <f t="shared" si="1"/>
        <v>12</v>
      </c>
      <c r="I22" s="247">
        <f t="shared" si="2"/>
        <v>180.11526285714285</v>
      </c>
      <c r="J22" s="245">
        <f t="shared" si="3"/>
        <v>2161.3831542857142</v>
      </c>
      <c r="K22" s="245">
        <f t="shared" si="4"/>
        <v>0</v>
      </c>
      <c r="L22" s="245">
        <f t="shared" si="10"/>
        <v>0</v>
      </c>
      <c r="M22" s="246">
        <f t="shared" si="5"/>
        <v>19.047439671349242</v>
      </c>
      <c r="N22" s="253"/>
      <c r="O22" s="245">
        <f t="shared" si="6"/>
        <v>2180.4305939570636</v>
      </c>
      <c r="P22" s="245"/>
      <c r="Q22" s="245">
        <f t="shared" si="7"/>
        <v>2180.4305939570636</v>
      </c>
      <c r="R22" s="253"/>
      <c r="S22" s="243">
        <f t="shared" si="8"/>
        <v>2180.4305939570636</v>
      </c>
      <c r="T22" s="257"/>
      <c r="U22" s="241">
        <f t="shared" si="9"/>
        <v>2180.4305939570636</v>
      </c>
      <c r="V22" s="205"/>
      <c r="W22" s="207"/>
    </row>
    <row r="23" spans="1:23" x14ac:dyDescent="0.2">
      <c r="A23" s="252">
        <f>A22+1</f>
        <v>10</v>
      </c>
      <c r="B23" s="256" t="s">
        <v>157</v>
      </c>
      <c r="C23" s="255"/>
      <c r="D23" s="255" t="s">
        <v>156</v>
      </c>
      <c r="E23" s="255">
        <f>'[11]Number of Days'!E16</f>
        <v>10</v>
      </c>
      <c r="F23" s="254">
        <v>1</v>
      </c>
      <c r="G23" s="248">
        <f t="shared" si="0"/>
        <v>14</v>
      </c>
      <c r="H23" s="248">
        <f t="shared" si="1"/>
        <v>10</v>
      </c>
      <c r="I23" s="247">
        <f t="shared" si="2"/>
        <v>180.11526285714285</v>
      </c>
      <c r="J23" s="245">
        <f t="shared" si="3"/>
        <v>1801.1526285714285</v>
      </c>
      <c r="K23" s="245">
        <f t="shared" si="4"/>
        <v>0</v>
      </c>
      <c r="L23" s="245">
        <f t="shared" si="10"/>
        <v>0</v>
      </c>
      <c r="M23" s="246">
        <f t="shared" si="5"/>
        <v>15.872866392791034</v>
      </c>
      <c r="N23" s="253"/>
      <c r="O23" s="245">
        <f t="shared" si="6"/>
        <v>1817.0254949642197</v>
      </c>
      <c r="P23" s="245"/>
      <c r="Q23" s="245">
        <f t="shared" si="7"/>
        <v>1817.0254949642197</v>
      </c>
      <c r="R23" s="253"/>
      <c r="S23" s="243">
        <f t="shared" si="8"/>
        <v>1817.0254949642197</v>
      </c>
      <c r="T23" s="257"/>
      <c r="U23" s="241">
        <f t="shared" si="9"/>
        <v>1817.0254949642197</v>
      </c>
      <c r="V23" s="205"/>
      <c r="W23" s="207"/>
    </row>
    <row r="24" spans="1:23" x14ac:dyDescent="0.2">
      <c r="A24" s="252">
        <f>A23+1</f>
        <v>11</v>
      </c>
      <c r="B24" s="256"/>
      <c r="C24" s="255"/>
      <c r="D24" s="255"/>
      <c r="E24" s="255"/>
      <c r="F24" s="254"/>
      <c r="G24" s="248">
        <f t="shared" si="0"/>
        <v>0</v>
      </c>
      <c r="H24" s="248">
        <f t="shared" si="1"/>
        <v>0</v>
      </c>
      <c r="I24" s="247">
        <f t="shared" si="2"/>
        <v>0</v>
      </c>
      <c r="J24" s="245">
        <f t="shared" si="3"/>
        <v>0</v>
      </c>
      <c r="K24" s="245">
        <f t="shared" si="4"/>
        <v>0</v>
      </c>
      <c r="L24" s="245">
        <f t="shared" si="10"/>
        <v>0</v>
      </c>
      <c r="M24" s="246">
        <f t="shared" si="5"/>
        <v>0</v>
      </c>
      <c r="N24" s="253"/>
      <c r="O24" s="245">
        <f t="shared" si="6"/>
        <v>0</v>
      </c>
      <c r="P24" s="245"/>
      <c r="Q24" s="245">
        <f t="shared" si="7"/>
        <v>0</v>
      </c>
      <c r="R24" s="253"/>
      <c r="S24" s="243">
        <f t="shared" si="8"/>
        <v>0</v>
      </c>
      <c r="T24" s="242"/>
      <c r="U24" s="241">
        <f t="shared" si="9"/>
        <v>0</v>
      </c>
      <c r="V24" s="205"/>
      <c r="W24" s="207"/>
    </row>
    <row r="25" spans="1:23" x14ac:dyDescent="0.2">
      <c r="A25" s="252">
        <f>A24+1</f>
        <v>12</v>
      </c>
      <c r="B25" s="256"/>
      <c r="C25" s="255"/>
      <c r="D25" s="255"/>
      <c r="E25" s="255"/>
      <c r="F25" s="254"/>
      <c r="G25" s="248">
        <f t="shared" si="0"/>
        <v>0</v>
      </c>
      <c r="H25" s="248">
        <f t="shared" si="1"/>
        <v>0</v>
      </c>
      <c r="I25" s="247">
        <f t="shared" si="2"/>
        <v>0</v>
      </c>
      <c r="J25" s="245">
        <f t="shared" si="3"/>
        <v>0</v>
      </c>
      <c r="K25" s="245">
        <f t="shared" si="4"/>
        <v>0</v>
      </c>
      <c r="L25" s="245">
        <f t="shared" si="10"/>
        <v>0</v>
      </c>
      <c r="M25" s="246">
        <f t="shared" si="5"/>
        <v>0</v>
      </c>
      <c r="N25" s="253"/>
      <c r="O25" s="245">
        <f t="shared" si="6"/>
        <v>0</v>
      </c>
      <c r="P25" s="245"/>
      <c r="Q25" s="245">
        <f t="shared" si="7"/>
        <v>0</v>
      </c>
      <c r="R25" s="253"/>
      <c r="S25" s="243">
        <f t="shared" si="8"/>
        <v>0</v>
      </c>
      <c r="T25" s="242"/>
      <c r="U25" s="241">
        <f t="shared" si="9"/>
        <v>0</v>
      </c>
      <c r="V25" s="224"/>
      <c r="W25" s="225"/>
    </row>
    <row r="26" spans="1:23" x14ac:dyDescent="0.2">
      <c r="A26" s="252">
        <f>A25+1</f>
        <v>13</v>
      </c>
      <c r="B26" s="256"/>
      <c r="C26" s="255"/>
      <c r="D26" s="255"/>
      <c r="E26" s="255"/>
      <c r="F26" s="254"/>
      <c r="G26" s="248">
        <f t="shared" si="0"/>
        <v>0</v>
      </c>
      <c r="H26" s="248">
        <f t="shared" si="1"/>
        <v>0</v>
      </c>
      <c r="I26" s="247">
        <f t="shared" si="2"/>
        <v>0</v>
      </c>
      <c r="J26" s="245">
        <f t="shared" si="3"/>
        <v>0</v>
      </c>
      <c r="K26" s="245">
        <f t="shared" si="4"/>
        <v>0</v>
      </c>
      <c r="L26" s="245">
        <f t="shared" si="10"/>
        <v>0</v>
      </c>
      <c r="M26" s="246">
        <f t="shared" si="5"/>
        <v>0</v>
      </c>
      <c r="N26" s="253"/>
      <c r="O26" s="245">
        <f t="shared" si="6"/>
        <v>0</v>
      </c>
      <c r="P26" s="245"/>
      <c r="Q26" s="245">
        <f t="shared" si="7"/>
        <v>0</v>
      </c>
      <c r="R26" s="253"/>
      <c r="S26" s="243">
        <f t="shared" si="8"/>
        <v>0</v>
      </c>
      <c r="T26" s="242"/>
      <c r="U26" s="241">
        <f t="shared" si="9"/>
        <v>0</v>
      </c>
      <c r="V26" s="205"/>
      <c r="W26" s="207"/>
    </row>
    <row r="27" spans="1:23" x14ac:dyDescent="0.2">
      <c r="A27" s="252"/>
      <c r="B27" s="251"/>
      <c r="C27" s="250"/>
      <c r="D27" s="250"/>
      <c r="E27" s="249"/>
      <c r="F27" s="248"/>
      <c r="G27" s="248"/>
      <c r="H27" s="248"/>
      <c r="I27" s="247">
        <f t="shared" si="2"/>
        <v>0</v>
      </c>
      <c r="J27" s="245">
        <f t="shared" si="3"/>
        <v>0</v>
      </c>
      <c r="K27" s="245">
        <f t="shared" si="4"/>
        <v>0</v>
      </c>
      <c r="L27" s="245">
        <f t="shared" si="10"/>
        <v>0</v>
      </c>
      <c r="M27" s="246">
        <f t="shared" si="5"/>
        <v>0</v>
      </c>
      <c r="N27" s="245"/>
      <c r="O27" s="245">
        <f t="shared" si="6"/>
        <v>0</v>
      </c>
      <c r="P27" s="245"/>
      <c r="Q27" s="245">
        <f t="shared" si="7"/>
        <v>0</v>
      </c>
      <c r="R27" s="244"/>
      <c r="S27" s="243">
        <f t="shared" si="8"/>
        <v>0</v>
      </c>
      <c r="T27" s="242"/>
      <c r="U27" s="241">
        <f t="shared" si="9"/>
        <v>0</v>
      </c>
      <c r="V27" s="205"/>
      <c r="W27" s="207"/>
    </row>
    <row r="28" spans="1:23" ht="13.5" thickBot="1" x14ac:dyDescent="0.25">
      <c r="A28" s="240"/>
      <c r="B28" s="239"/>
      <c r="C28" s="239"/>
      <c r="D28" s="239"/>
      <c r="E28" s="238">
        <f>SUM(E13:E27)</f>
        <v>130.5</v>
      </c>
      <c r="F28" s="233">
        <f>SUM(F13:F27)</f>
        <v>10</v>
      </c>
      <c r="G28" s="233">
        <f>SUM(G13:G27)</f>
        <v>140</v>
      </c>
      <c r="H28" s="233"/>
      <c r="I28" s="237"/>
      <c r="J28" s="233">
        <f>SUM(J13:J27)</f>
        <v>23505.04180285714</v>
      </c>
      <c r="K28" s="236">
        <f>+J3-J28</f>
        <v>1711.0949971428599</v>
      </c>
      <c r="L28" s="233">
        <f>SUM(L13:L27)</f>
        <v>1676.1746910787197</v>
      </c>
      <c r="M28" s="235">
        <f>+K28-L28</f>
        <v>34.920306064140277</v>
      </c>
      <c r="N28" s="233">
        <f t="shared" ref="N28:U28" si="11">SUM(N13:N27)</f>
        <v>350</v>
      </c>
      <c r="O28" s="233">
        <f t="shared" si="11"/>
        <v>25566.1368</v>
      </c>
      <c r="P28" s="233">
        <f t="shared" si="11"/>
        <v>0</v>
      </c>
      <c r="Q28" s="233">
        <f t="shared" si="11"/>
        <v>25566.1368</v>
      </c>
      <c r="R28" s="233">
        <f t="shared" si="11"/>
        <v>5448.4867014285719</v>
      </c>
      <c r="S28" s="233">
        <f t="shared" si="11"/>
        <v>31014.623501428567</v>
      </c>
      <c r="T28" s="234">
        <f t="shared" si="11"/>
        <v>0</v>
      </c>
      <c r="U28" s="233">
        <f t="shared" si="11"/>
        <v>31014.623501428567</v>
      </c>
      <c r="V28" s="232"/>
      <c r="W28" s="232"/>
    </row>
    <row r="29" spans="1:23" x14ac:dyDescent="0.2">
      <c r="A29" s="205"/>
      <c r="B29" s="205"/>
      <c r="C29" s="205"/>
      <c r="D29" s="205"/>
      <c r="E29" s="206"/>
      <c r="F29" s="205"/>
      <c r="G29" s="205"/>
      <c r="H29" s="205"/>
      <c r="I29" s="205"/>
      <c r="J29" s="205"/>
      <c r="K29" s="205"/>
      <c r="L29" s="205"/>
      <c r="M29" s="207"/>
      <c r="N29" s="205"/>
      <c r="O29" s="205"/>
      <c r="P29" s="205"/>
      <c r="Q29" s="209"/>
      <c r="R29" s="209"/>
      <c r="S29" s="209"/>
      <c r="T29" s="209"/>
      <c r="U29" s="205"/>
      <c r="V29" s="205"/>
      <c r="W29" s="205"/>
    </row>
    <row r="30" spans="1:23" x14ac:dyDescent="0.2">
      <c r="A30" s="205"/>
      <c r="B30" s="229" t="s">
        <v>155</v>
      </c>
      <c r="C30" s="229"/>
      <c r="D30" s="230"/>
      <c r="E30" s="231" t="s">
        <v>154</v>
      </c>
      <c r="F30" s="229"/>
      <c r="G30" s="229"/>
      <c r="H30" s="229"/>
      <c r="I30" s="230"/>
      <c r="J30" s="229" t="s">
        <v>153</v>
      </c>
      <c r="K30" s="230"/>
      <c r="L30" s="205"/>
      <c r="M30" s="229"/>
      <c r="N30" s="206"/>
      <c r="O30" s="227"/>
      <c r="P30" s="210"/>
      <c r="Q30" s="228"/>
      <c r="R30" s="211"/>
      <c r="S30" s="223"/>
      <c r="T30" s="223"/>
      <c r="U30" s="205"/>
      <c r="V30" s="205"/>
      <c r="W30" s="205"/>
    </row>
    <row r="31" spans="1:23" x14ac:dyDescent="0.2">
      <c r="A31" s="205"/>
      <c r="B31" s="206"/>
      <c r="C31" s="205"/>
      <c r="D31" s="205"/>
      <c r="E31" s="206"/>
      <c r="F31" s="205"/>
      <c r="G31" s="205"/>
      <c r="H31" s="205"/>
      <c r="I31" s="205"/>
      <c r="J31" s="205"/>
      <c r="K31" s="205"/>
      <c r="L31" s="205"/>
      <c r="M31" s="207"/>
      <c r="N31" s="227"/>
      <c r="O31" s="226"/>
      <c r="P31" s="225"/>
      <c r="Q31" s="224"/>
      <c r="R31" s="224"/>
      <c r="S31" s="223">
        <f>U28-U20</f>
        <v>28143.009821428568</v>
      </c>
      <c r="T31" s="223"/>
      <c r="U31" s="205"/>
      <c r="V31" s="205"/>
      <c r="W31" s="205"/>
    </row>
    <row r="32" spans="1:23" x14ac:dyDescent="0.2">
      <c r="A32" s="205"/>
      <c r="B32" s="205"/>
      <c r="C32" s="205"/>
      <c r="D32" s="205"/>
      <c r="E32" s="206"/>
      <c r="F32" s="205"/>
      <c r="G32" s="205"/>
      <c r="H32" s="205"/>
      <c r="I32" s="205"/>
      <c r="J32" s="205"/>
      <c r="K32" s="205"/>
      <c r="L32" s="205"/>
      <c r="M32" s="207"/>
      <c r="N32" s="206"/>
      <c r="O32" s="206"/>
      <c r="P32" s="222"/>
      <c r="Q32" s="221"/>
      <c r="R32" s="221"/>
      <c r="S32" s="211"/>
      <c r="T32" s="211"/>
      <c r="U32" s="205"/>
      <c r="V32" s="205"/>
      <c r="W32" s="205"/>
    </row>
    <row r="33" spans="1:23" ht="15" x14ac:dyDescent="0.2">
      <c r="A33" s="205"/>
      <c r="B33" s="803" t="s">
        <v>152</v>
      </c>
      <c r="C33" s="803"/>
      <c r="D33" s="205"/>
      <c r="E33" s="804"/>
      <c r="F33" s="804"/>
      <c r="G33" s="804"/>
      <c r="H33" s="804"/>
      <c r="I33" s="205"/>
      <c r="J33" s="805"/>
      <c r="K33" s="805"/>
      <c r="L33" s="805"/>
      <c r="M33" s="220"/>
      <c r="N33" s="212"/>
      <c r="O33" s="219"/>
      <c r="P33" s="218"/>
      <c r="Q33" s="217"/>
      <c r="R33" s="216"/>
      <c r="S33" s="213"/>
      <c r="T33" s="213"/>
      <c r="U33" s="797"/>
      <c r="V33" s="797"/>
      <c r="W33" s="205"/>
    </row>
    <row r="34" spans="1:23" x14ac:dyDescent="0.2">
      <c r="A34" s="205"/>
      <c r="B34" s="798" t="s">
        <v>14</v>
      </c>
      <c r="C34" s="798"/>
      <c r="D34" s="205"/>
      <c r="E34" s="799"/>
      <c r="F34" s="799"/>
      <c r="G34" s="799"/>
      <c r="H34" s="799"/>
      <c r="I34" s="205"/>
      <c r="J34" s="797"/>
      <c r="K34" s="797"/>
      <c r="L34" s="797"/>
      <c r="M34" s="215"/>
      <c r="N34" s="206"/>
      <c r="O34" s="214"/>
      <c r="P34" s="210"/>
      <c r="Q34" s="800"/>
      <c r="R34" s="800"/>
      <c r="S34" s="213"/>
      <c r="T34" s="213"/>
      <c r="U34" s="797"/>
      <c r="V34" s="797"/>
      <c r="W34" s="205"/>
    </row>
    <row r="35" spans="1:23" x14ac:dyDescent="0.2">
      <c r="A35" s="205"/>
      <c r="B35" s="205"/>
      <c r="C35" s="205"/>
      <c r="D35" s="205"/>
      <c r="E35" s="206"/>
      <c r="F35" s="205"/>
      <c r="G35" s="205"/>
      <c r="H35" s="205"/>
      <c r="I35" s="205"/>
      <c r="J35" s="205"/>
      <c r="K35" s="205"/>
      <c r="L35" s="205"/>
      <c r="M35" s="205"/>
      <c r="N35" s="212"/>
      <c r="O35" s="206"/>
      <c r="P35" s="206"/>
      <c r="Q35" s="206"/>
      <c r="R35" s="205"/>
      <c r="S35" s="211"/>
      <c r="T35" s="211"/>
      <c r="U35" s="205"/>
      <c r="V35" s="205"/>
      <c r="W35" s="205"/>
    </row>
    <row r="36" spans="1:23" x14ac:dyDescent="0.2">
      <c r="A36" s="205"/>
      <c r="B36" s="205"/>
      <c r="C36" s="205"/>
      <c r="D36" s="205"/>
      <c r="E36" s="206"/>
      <c r="F36" s="205"/>
      <c r="G36" s="205"/>
      <c r="H36" s="205"/>
      <c r="I36" s="205"/>
      <c r="J36" s="205"/>
      <c r="K36" s="205"/>
      <c r="L36" s="205"/>
      <c r="M36" s="207"/>
      <c r="N36" s="206"/>
      <c r="O36" s="206"/>
      <c r="P36" s="206"/>
      <c r="Q36" s="210"/>
      <c r="R36" s="207"/>
      <c r="S36" s="209"/>
      <c r="T36" s="209"/>
      <c r="U36" s="205"/>
      <c r="V36" s="205"/>
      <c r="W36" s="205"/>
    </row>
    <row r="37" spans="1:23" x14ac:dyDescent="0.2">
      <c r="A37" s="205"/>
      <c r="B37" s="205"/>
      <c r="C37" s="205"/>
      <c r="D37" s="205"/>
      <c r="E37" s="206"/>
      <c r="F37" s="205"/>
      <c r="G37" s="205"/>
      <c r="H37" s="205"/>
      <c r="I37" s="205"/>
      <c r="J37" s="205"/>
      <c r="K37" s="205"/>
      <c r="L37" s="205"/>
      <c r="M37" s="207"/>
      <c r="N37" s="206"/>
      <c r="O37" s="206"/>
      <c r="P37" s="208"/>
      <c r="Q37" s="206"/>
      <c r="R37" s="205"/>
      <c r="S37" s="205"/>
      <c r="T37" s="205"/>
      <c r="U37" s="205"/>
      <c r="V37" s="205"/>
      <c r="W37" s="205"/>
    </row>
    <row r="38" spans="1:23" x14ac:dyDescent="0.2">
      <c r="A38" s="205"/>
      <c r="B38" s="205"/>
      <c r="C38" s="205"/>
      <c r="D38" s="205"/>
      <c r="E38" s="206"/>
      <c r="F38" s="205"/>
      <c r="G38" s="205"/>
      <c r="H38" s="205"/>
      <c r="I38" s="205"/>
      <c r="J38" s="205"/>
      <c r="K38" s="205"/>
      <c r="L38" s="205"/>
      <c r="M38" s="205"/>
      <c r="N38" s="205"/>
      <c r="O38" s="207"/>
      <c r="P38" s="205"/>
      <c r="Q38" s="205"/>
      <c r="R38" s="205"/>
      <c r="S38" s="205"/>
      <c r="T38" s="205"/>
      <c r="U38" s="205"/>
      <c r="V38" s="205"/>
      <c r="W38" s="205"/>
    </row>
    <row r="39" spans="1:23" x14ac:dyDescent="0.2">
      <c r="A39" s="205"/>
      <c r="B39" s="205"/>
      <c r="C39" s="205"/>
      <c r="D39" s="205"/>
      <c r="E39" s="206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</row>
    <row r="40" spans="1:23" x14ac:dyDescent="0.2">
      <c r="A40" s="205"/>
      <c r="B40" s="205"/>
      <c r="C40" s="205"/>
      <c r="D40" s="205"/>
      <c r="E40" s="206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</row>
    <row r="41" spans="1:23" x14ac:dyDescent="0.2">
      <c r="A41" s="203"/>
      <c r="B41" s="203"/>
      <c r="C41" s="203"/>
      <c r="D41" s="203"/>
      <c r="E41" s="204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</row>
  </sheetData>
  <mergeCells count="27">
    <mergeCell ref="G11:G12"/>
    <mergeCell ref="H11:H12"/>
    <mergeCell ref="I11:I12"/>
    <mergeCell ref="J11:J12"/>
    <mergeCell ref="B11:B12"/>
    <mergeCell ref="C11:C12"/>
    <mergeCell ref="D11:D12"/>
    <mergeCell ref="E11:E12"/>
    <mergeCell ref="F11:F12"/>
    <mergeCell ref="U33:V34"/>
    <mergeCell ref="B34:C34"/>
    <mergeCell ref="E34:H34"/>
    <mergeCell ref="J34:L34"/>
    <mergeCell ref="Q34:R34"/>
    <mergeCell ref="B33:C33"/>
    <mergeCell ref="E33:H33"/>
    <mergeCell ref="J33:L33"/>
    <mergeCell ref="K11:K12"/>
    <mergeCell ref="U11:U12"/>
    <mergeCell ref="N11:N12"/>
    <mergeCell ref="O11:O12"/>
    <mergeCell ref="Q11:Q12"/>
    <mergeCell ref="R11:R12"/>
    <mergeCell ref="S11:S12"/>
    <mergeCell ref="T11:T12"/>
    <mergeCell ref="M11:M12"/>
    <mergeCell ref="L11:L12"/>
  </mergeCells>
  <dataValidations count="2">
    <dataValidation type="list" allowBlank="1" showErrorMessage="1" sqref="D13:D27">
      <formula1>$A$5:$A$8</formula1>
      <formula2>0</formula2>
    </dataValidation>
    <dataValidation type="list" allowBlank="1" showErrorMessage="1" sqref="C13:C27">
      <formula1>$V$14:$V$17</formula1>
      <formula2>0</formula2>
    </dataValidation>
  </dataValidations>
  <pageMargins left="0.2" right="0.2" top="0.5" bottom="0.5" header="0.3" footer="0.3"/>
  <pageSetup paperSize="32767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B1" workbookViewId="0"/>
  </sheetViews>
  <sheetFormatPr defaultColWidth="8.85546875" defaultRowHeight="11.25" x14ac:dyDescent="0.2"/>
  <cols>
    <col min="1" max="1" width="11.7109375" style="646" hidden="1" customWidth="1"/>
    <col min="2" max="2" width="26.7109375" style="646" customWidth="1"/>
    <col min="3" max="6" width="4.7109375" style="646" customWidth="1"/>
    <col min="7" max="10" width="12.7109375" style="647" customWidth="1"/>
    <col min="11" max="16384" width="8.85546875" style="646"/>
  </cols>
  <sheetData>
    <row r="1" spans="1:7" x14ac:dyDescent="0.2">
      <c r="B1" s="648" t="s">
        <v>370</v>
      </c>
    </row>
    <row r="2" spans="1:7" x14ac:dyDescent="0.2">
      <c r="B2" s="648" t="s">
        <v>756</v>
      </c>
    </row>
    <row r="3" spans="1:7" x14ac:dyDescent="0.2">
      <c r="B3" s="648" t="s">
        <v>779</v>
      </c>
    </row>
    <row r="4" spans="1:7" x14ac:dyDescent="0.2">
      <c r="B4" s="648" t="s">
        <v>778</v>
      </c>
    </row>
    <row r="7" spans="1:7" s="647" customFormat="1" x14ac:dyDescent="0.2">
      <c r="A7" s="646"/>
      <c r="B7" s="648" t="s">
        <v>796</v>
      </c>
      <c r="C7" s="646"/>
      <c r="D7" s="646"/>
      <c r="E7" s="646"/>
      <c r="F7" s="646"/>
    </row>
    <row r="8" spans="1:7" s="647" customFormat="1" x14ac:dyDescent="0.2">
      <c r="A8" s="646"/>
      <c r="B8" s="658" t="s">
        <v>795</v>
      </c>
      <c r="C8" s="646"/>
      <c r="D8" s="646"/>
      <c r="E8" s="646"/>
      <c r="F8" s="646"/>
    </row>
    <row r="9" spans="1:7" s="647" customFormat="1" x14ac:dyDescent="0.2">
      <c r="A9" s="650">
        <v>4001</v>
      </c>
      <c r="B9" s="657" t="s">
        <v>711</v>
      </c>
      <c r="C9" s="646"/>
      <c r="D9" s="646"/>
      <c r="E9" s="646"/>
      <c r="F9" s="646"/>
      <c r="G9" s="647">
        <f>-SUMIF(WTB!A:A,A9,WTB!L:L)</f>
        <v>0</v>
      </c>
    </row>
    <row r="10" spans="1:7" s="647" customFormat="1" x14ac:dyDescent="0.2">
      <c r="A10" s="650">
        <v>4002</v>
      </c>
      <c r="B10" s="657" t="s">
        <v>710</v>
      </c>
      <c r="C10" s="646"/>
      <c r="D10" s="646"/>
      <c r="E10" s="646"/>
      <c r="F10" s="646"/>
      <c r="G10" s="647">
        <f>-SUMIF(WTB!A:A,A10,WTB!L:L)</f>
        <v>0</v>
      </c>
    </row>
    <row r="11" spans="1:7" s="647" customFormat="1" x14ac:dyDescent="0.2">
      <c r="A11" s="650">
        <v>4003</v>
      </c>
      <c r="B11" s="657" t="s">
        <v>709</v>
      </c>
      <c r="C11" s="646"/>
      <c r="D11" s="646"/>
      <c r="E11" s="646"/>
      <c r="F11" s="646"/>
      <c r="G11" s="647">
        <f>-SUMIF(WTB!A:A,A11,WTB!L:L)</f>
        <v>0</v>
      </c>
    </row>
    <row r="12" spans="1:7" s="647" customFormat="1" x14ac:dyDescent="0.2">
      <c r="A12" s="646"/>
      <c r="B12" s="655" t="s">
        <v>794</v>
      </c>
      <c r="C12" s="646"/>
      <c r="D12" s="646"/>
      <c r="E12" s="646"/>
      <c r="F12" s="646"/>
      <c r="G12" s="656">
        <f>SUM(G9:G11)</f>
        <v>0</v>
      </c>
    </row>
    <row r="13" spans="1:7" s="647" customFormat="1" x14ac:dyDescent="0.2">
      <c r="A13" s="646"/>
      <c r="B13" s="658" t="s">
        <v>793</v>
      </c>
      <c r="C13" s="646"/>
      <c r="D13" s="646"/>
      <c r="E13" s="646"/>
      <c r="F13" s="646"/>
    </row>
    <row r="14" spans="1:7" s="647" customFormat="1" x14ac:dyDescent="0.2">
      <c r="A14" s="650">
        <v>4101</v>
      </c>
      <c r="B14" s="657" t="s">
        <v>708</v>
      </c>
      <c r="C14" s="646"/>
      <c r="D14" s="646"/>
      <c r="E14" s="646"/>
      <c r="F14" s="646"/>
      <c r="G14" s="647">
        <f>SUMIF(WTB!A:A,A14,WTB!L:L)</f>
        <v>4976.6900000000005</v>
      </c>
    </row>
    <row r="15" spans="1:7" s="647" customFormat="1" x14ac:dyDescent="0.2">
      <c r="A15" s="650">
        <v>4102</v>
      </c>
      <c r="B15" s="657" t="s">
        <v>707</v>
      </c>
      <c r="C15" s="646"/>
      <c r="D15" s="646"/>
      <c r="E15" s="646"/>
      <c r="F15" s="646"/>
      <c r="G15" s="647">
        <f>SUMIF(WTB!A:A,A15,WTB!L:L)</f>
        <v>803</v>
      </c>
    </row>
    <row r="16" spans="1:7" s="647" customFormat="1" x14ac:dyDescent="0.2">
      <c r="A16" s="650">
        <v>4103</v>
      </c>
      <c r="B16" s="657" t="s">
        <v>706</v>
      </c>
      <c r="C16" s="646"/>
      <c r="D16" s="646"/>
      <c r="E16" s="646"/>
      <c r="F16" s="646"/>
      <c r="G16" s="647">
        <f>SUMIF(WTB!A:A,A16,WTB!L:L)</f>
        <v>261</v>
      </c>
    </row>
    <row r="17" spans="1:7" s="647" customFormat="1" x14ac:dyDescent="0.2">
      <c r="A17" s="650">
        <v>4104</v>
      </c>
      <c r="B17" s="657" t="s">
        <v>705</v>
      </c>
      <c r="C17" s="646"/>
      <c r="D17" s="646"/>
      <c r="E17" s="646"/>
      <c r="F17" s="646"/>
      <c r="G17" s="647">
        <f>SUMIF(WTB!A:A,A17,WTB!L:L)</f>
        <v>6062.7699999999986</v>
      </c>
    </row>
    <row r="18" spans="1:7" s="647" customFormat="1" x14ac:dyDescent="0.2">
      <c r="A18" s="646"/>
      <c r="B18" s="655" t="s">
        <v>792</v>
      </c>
      <c r="C18" s="646"/>
      <c r="D18" s="646"/>
      <c r="E18" s="646"/>
      <c r="F18" s="646"/>
      <c r="G18" s="656">
        <f>SUM(G14:G17)</f>
        <v>12103.46</v>
      </c>
    </row>
    <row r="19" spans="1:7" s="647" customFormat="1" x14ac:dyDescent="0.2">
      <c r="A19" s="646"/>
      <c r="B19" s="658" t="s">
        <v>791</v>
      </c>
      <c r="C19" s="646"/>
      <c r="D19" s="646"/>
      <c r="E19" s="646"/>
      <c r="F19" s="646"/>
      <c r="G19" s="656">
        <f>G12-G18</f>
        <v>-12103.46</v>
      </c>
    </row>
    <row r="20" spans="1:7" s="647" customFormat="1" x14ac:dyDescent="0.2">
      <c r="A20" s="646"/>
      <c r="B20" s="658" t="s">
        <v>703</v>
      </c>
      <c r="C20" s="646"/>
      <c r="D20" s="646"/>
      <c r="E20" s="646"/>
      <c r="F20" s="646"/>
    </row>
    <row r="21" spans="1:7" s="647" customFormat="1" x14ac:dyDescent="0.2">
      <c r="A21" s="650">
        <v>4901</v>
      </c>
      <c r="B21" s="657" t="s">
        <v>704</v>
      </c>
      <c r="C21" s="646"/>
      <c r="D21" s="646"/>
      <c r="E21" s="646"/>
      <c r="F21" s="646"/>
      <c r="G21" s="647">
        <f>-SUMIF(WTB!A:A,A21,WTB!L:L)</f>
        <v>104.4900000000066</v>
      </c>
    </row>
    <row r="22" spans="1:7" s="647" customFormat="1" x14ac:dyDescent="0.2">
      <c r="A22" s="650">
        <v>4999</v>
      </c>
      <c r="B22" s="657" t="s">
        <v>703</v>
      </c>
      <c r="C22" s="646"/>
      <c r="D22" s="646"/>
      <c r="E22" s="646"/>
      <c r="F22" s="646"/>
      <c r="G22" s="647">
        <f>-SUMIF(WTB!A:A,A22,WTB!L:L)</f>
        <v>0</v>
      </c>
    </row>
    <row r="23" spans="1:7" s="647" customFormat="1" x14ac:dyDescent="0.2">
      <c r="A23" s="646"/>
      <c r="B23" s="655" t="s">
        <v>790</v>
      </c>
      <c r="C23" s="646"/>
      <c r="D23" s="646"/>
      <c r="E23" s="646"/>
      <c r="F23" s="646"/>
      <c r="G23" s="656">
        <f>SUM(G21:G22)</f>
        <v>104.4900000000066</v>
      </c>
    </row>
    <row r="24" spans="1:7" s="647" customFormat="1" x14ac:dyDescent="0.2">
      <c r="A24" s="646"/>
      <c r="B24" s="648" t="s">
        <v>789</v>
      </c>
      <c r="C24" s="646"/>
      <c r="D24" s="646"/>
      <c r="E24" s="646"/>
      <c r="F24" s="646"/>
      <c r="G24" s="663">
        <f>G19+G23</f>
        <v>-11998.969999999992</v>
      </c>
    </row>
    <row r="25" spans="1:7" s="647" customFormat="1" x14ac:dyDescent="0.2">
      <c r="A25" s="650"/>
      <c r="B25" s="657"/>
      <c r="C25" s="646"/>
      <c r="D25" s="646"/>
      <c r="E25" s="646"/>
      <c r="F25" s="646"/>
    </row>
    <row r="26" spans="1:7" s="647" customFormat="1" x14ac:dyDescent="0.2">
      <c r="A26" s="650"/>
      <c r="B26" s="657"/>
      <c r="C26" s="646"/>
      <c r="D26" s="646"/>
      <c r="E26" s="646"/>
      <c r="F26" s="646"/>
    </row>
    <row r="27" spans="1:7" s="647" customFormat="1" x14ac:dyDescent="0.2">
      <c r="A27" s="646"/>
      <c r="B27" s="648" t="s">
        <v>788</v>
      </c>
      <c r="C27" s="646"/>
      <c r="D27" s="646"/>
      <c r="E27" s="646"/>
      <c r="F27" s="646"/>
    </row>
    <row r="28" spans="1:7" s="647" customFormat="1" x14ac:dyDescent="0.2">
      <c r="A28" s="646"/>
      <c r="B28" s="657" t="s">
        <v>787</v>
      </c>
      <c r="C28" s="646"/>
      <c r="D28" s="646"/>
      <c r="E28" s="646"/>
      <c r="F28" s="646"/>
      <c r="G28" s="647">
        <f>+WTB!D15</f>
        <v>0</v>
      </c>
    </row>
    <row r="29" spans="1:7" s="647" customFormat="1" x14ac:dyDescent="0.2">
      <c r="A29" s="650">
        <v>5001</v>
      </c>
      <c r="B29" s="657" t="s">
        <v>128</v>
      </c>
      <c r="C29" s="646"/>
      <c r="D29" s="646"/>
      <c r="E29" s="646"/>
      <c r="F29" s="646"/>
      <c r="G29" s="647">
        <f>SUMIF(WTB!A:A,A29,WTB!L:L)</f>
        <v>0</v>
      </c>
    </row>
    <row r="30" spans="1:7" s="647" customFormat="1" x14ac:dyDescent="0.2">
      <c r="A30" s="650">
        <v>5002</v>
      </c>
      <c r="B30" s="657" t="s">
        <v>127</v>
      </c>
      <c r="C30" s="646"/>
      <c r="D30" s="646"/>
      <c r="E30" s="646"/>
      <c r="F30" s="646"/>
      <c r="G30" s="668">
        <f>SUMIF(WTB!A:A,A30,WTB!L:L)</f>
        <v>0</v>
      </c>
    </row>
    <row r="31" spans="1:7" s="647" customFormat="1" x14ac:dyDescent="0.2">
      <c r="A31" s="650"/>
      <c r="B31" s="667" t="s">
        <v>786</v>
      </c>
      <c r="C31" s="646"/>
      <c r="D31" s="646"/>
      <c r="E31" s="646"/>
      <c r="F31" s="646"/>
      <c r="G31" s="647">
        <f>SUM(G28:G30)</f>
        <v>0</v>
      </c>
    </row>
    <row r="32" spans="1:7" s="647" customFormat="1" x14ac:dyDescent="0.2">
      <c r="A32" s="650" t="s">
        <v>702</v>
      </c>
      <c r="B32" s="657" t="s">
        <v>701</v>
      </c>
      <c r="C32" s="646"/>
      <c r="D32" s="646"/>
      <c r="E32" s="646"/>
      <c r="F32" s="646"/>
      <c r="G32" s="647">
        <f>SUMIF(WTB!A:A,A32,WTB!L:L)</f>
        <v>0</v>
      </c>
    </row>
    <row r="33" spans="1:8" s="647" customFormat="1" x14ac:dyDescent="0.2">
      <c r="A33" s="650" t="s">
        <v>700</v>
      </c>
      <c r="B33" s="657" t="s">
        <v>699</v>
      </c>
      <c r="C33" s="646"/>
      <c r="D33" s="646"/>
      <c r="E33" s="646"/>
      <c r="F33" s="646"/>
      <c r="G33" s="647">
        <f>SUMIF(WTB!A:A,A33,WTB!L:L)</f>
        <v>0</v>
      </c>
    </row>
    <row r="34" spans="1:8" s="647" customFormat="1" x14ac:dyDescent="0.2">
      <c r="A34" s="650">
        <v>5003</v>
      </c>
      <c r="B34" s="657" t="s">
        <v>698</v>
      </c>
      <c r="C34" s="646"/>
      <c r="D34" s="646"/>
      <c r="E34" s="646"/>
      <c r="F34" s="646"/>
      <c r="G34" s="647">
        <f>SUMIF(WTB!A:A,A34,WTB!L:L)</f>
        <v>0</v>
      </c>
    </row>
    <row r="35" spans="1:8" s="647" customFormat="1" x14ac:dyDescent="0.2">
      <c r="A35" s="650">
        <v>1401</v>
      </c>
      <c r="B35" s="657" t="s">
        <v>785</v>
      </c>
      <c r="C35" s="646"/>
      <c r="D35" s="646"/>
      <c r="E35" s="646"/>
      <c r="F35" s="646"/>
      <c r="G35" s="647">
        <f>-WTB!L15</f>
        <v>0</v>
      </c>
      <c r="H35" s="666">
        <f>-G35</f>
        <v>0</v>
      </c>
    </row>
    <row r="36" spans="1:8" s="647" customFormat="1" x14ac:dyDescent="0.2">
      <c r="A36" s="650"/>
      <c r="B36" s="664" t="s">
        <v>784</v>
      </c>
      <c r="C36" s="646"/>
      <c r="D36" s="646"/>
      <c r="E36" s="646"/>
      <c r="F36" s="646"/>
      <c r="G36" s="663">
        <f>SUM(G31:G35)</f>
        <v>0</v>
      </c>
      <c r="H36" s="665" t="e">
        <f>+G36/G12</f>
        <v>#DIV/0!</v>
      </c>
    </row>
    <row r="37" spans="1:8" s="647" customFormat="1" x14ac:dyDescent="0.2">
      <c r="A37" s="650"/>
      <c r="B37" s="664"/>
      <c r="C37" s="646"/>
      <c r="D37" s="646"/>
      <c r="E37" s="646"/>
      <c r="F37" s="646"/>
    </row>
    <row r="38" spans="1:8" s="647" customFormat="1" x14ac:dyDescent="0.2">
      <c r="A38" s="650"/>
      <c r="B38" s="648" t="s">
        <v>783</v>
      </c>
      <c r="C38" s="646"/>
      <c r="D38" s="646"/>
      <c r="E38" s="646"/>
      <c r="F38" s="646"/>
      <c r="G38" s="651">
        <f>G24-G36</f>
        <v>-11998.969999999992</v>
      </c>
    </row>
    <row r="39" spans="1:8" s="647" customFormat="1" x14ac:dyDescent="0.2">
      <c r="A39" s="650"/>
      <c r="B39" s="648"/>
      <c r="C39" s="646"/>
      <c r="D39" s="646"/>
      <c r="E39" s="646"/>
      <c r="F39" s="646"/>
    </row>
    <row r="40" spans="1:8" s="647" customFormat="1" x14ac:dyDescent="0.2">
      <c r="A40" s="650"/>
      <c r="B40" s="648" t="s">
        <v>782</v>
      </c>
      <c r="C40" s="646"/>
      <c r="D40" s="646"/>
      <c r="E40" s="646"/>
      <c r="F40" s="646"/>
    </row>
    <row r="41" spans="1:8" s="647" customFormat="1" x14ac:dyDescent="0.2">
      <c r="A41" s="650">
        <v>6101</v>
      </c>
      <c r="B41" s="657" t="s">
        <v>696</v>
      </c>
      <c r="C41" s="646"/>
      <c r="D41" s="646"/>
      <c r="E41" s="646"/>
      <c r="F41" s="646"/>
      <c r="G41" s="647">
        <f>SUMIF(WTB!A:A,A41,WTB!L:L)</f>
        <v>0</v>
      </c>
    </row>
    <row r="42" spans="1:8" s="647" customFormat="1" x14ac:dyDescent="0.2">
      <c r="A42" s="650">
        <v>6102</v>
      </c>
      <c r="B42" s="657" t="s">
        <v>695</v>
      </c>
      <c r="C42" s="646"/>
      <c r="D42" s="646"/>
      <c r="E42" s="646"/>
      <c r="F42" s="646"/>
      <c r="G42" s="647">
        <f>SUMIF(WTB!A:A,A42,WTB!L:L)</f>
        <v>0</v>
      </c>
    </row>
    <row r="43" spans="1:8" s="647" customFormat="1" x14ac:dyDescent="0.2">
      <c r="A43" s="650">
        <v>6103</v>
      </c>
      <c r="B43" s="657" t="s">
        <v>694</v>
      </c>
      <c r="C43" s="646"/>
      <c r="D43" s="646"/>
      <c r="E43" s="646"/>
      <c r="F43" s="646"/>
      <c r="G43" s="647">
        <f>SUMIF(WTB!A:A,A43,WTB!L:L)</f>
        <v>0</v>
      </c>
    </row>
    <row r="44" spans="1:8" s="647" customFormat="1" x14ac:dyDescent="0.2">
      <c r="A44" s="650">
        <v>6104</v>
      </c>
      <c r="B44" s="657" t="s">
        <v>693</v>
      </c>
      <c r="C44" s="646"/>
      <c r="D44" s="646"/>
      <c r="E44" s="646"/>
      <c r="F44" s="646"/>
      <c r="G44" s="647">
        <f>SUMIF(WTB!A:A,A44,WTB!L:L)</f>
        <v>0</v>
      </c>
    </row>
    <row r="45" spans="1:8" s="647" customFormat="1" x14ac:dyDescent="0.2">
      <c r="A45" s="650">
        <v>6105</v>
      </c>
      <c r="B45" s="657" t="s">
        <v>692</v>
      </c>
      <c r="C45" s="646"/>
      <c r="D45" s="646"/>
      <c r="E45" s="646"/>
      <c r="F45" s="646"/>
      <c r="G45" s="647">
        <f>SUMIF(WTB!A:A,A45,WTB!L:L)</f>
        <v>0</v>
      </c>
    </row>
    <row r="46" spans="1:8" s="647" customFormat="1" x14ac:dyDescent="0.2">
      <c r="A46" s="650">
        <v>6106</v>
      </c>
      <c r="B46" s="657" t="s">
        <v>691</v>
      </c>
      <c r="C46" s="646"/>
      <c r="D46" s="646"/>
      <c r="E46" s="646"/>
      <c r="F46" s="646"/>
      <c r="G46" s="647">
        <f>SUMIF(WTB!A:A,A46,WTB!L:L)</f>
        <v>0</v>
      </c>
    </row>
    <row r="47" spans="1:8" s="647" customFormat="1" x14ac:dyDescent="0.2">
      <c r="A47" s="650">
        <v>6107</v>
      </c>
      <c r="B47" s="657" t="s">
        <v>690</v>
      </c>
      <c r="C47" s="646"/>
      <c r="D47" s="646"/>
      <c r="E47" s="646"/>
      <c r="F47" s="646"/>
      <c r="G47" s="647">
        <f>SUMIF(WTB!A:A,A47,WTB!L:L)</f>
        <v>0</v>
      </c>
    </row>
    <row r="48" spans="1:8" s="647" customFormat="1" x14ac:dyDescent="0.2">
      <c r="A48" s="650">
        <v>6108</v>
      </c>
      <c r="B48" s="657" t="s">
        <v>689</v>
      </c>
      <c r="C48" s="646"/>
      <c r="D48" s="646"/>
      <c r="E48" s="646"/>
      <c r="F48" s="646"/>
      <c r="G48" s="647">
        <f>SUMIF(WTB!A:A,A48,WTB!L:L)</f>
        <v>0</v>
      </c>
    </row>
    <row r="49" spans="1:7" s="647" customFormat="1" x14ac:dyDescent="0.2">
      <c r="A49" s="650">
        <v>6109</v>
      </c>
      <c r="B49" s="657" t="s">
        <v>227</v>
      </c>
      <c r="C49" s="646"/>
      <c r="D49" s="646"/>
      <c r="E49" s="646"/>
      <c r="F49" s="646"/>
      <c r="G49" s="647">
        <f>SUMIF(WTB!A:A,A49,WTB!L:L)</f>
        <v>0</v>
      </c>
    </row>
    <row r="50" spans="1:7" s="647" customFormat="1" x14ac:dyDescent="0.2">
      <c r="A50" s="650">
        <v>6110</v>
      </c>
      <c r="B50" s="657" t="s">
        <v>688</v>
      </c>
      <c r="C50" s="646"/>
      <c r="D50" s="646"/>
      <c r="E50" s="646"/>
      <c r="F50" s="646"/>
      <c r="G50" s="647">
        <f>SUMIF(WTB!A:A,A50,WTB!L:L)</f>
        <v>0</v>
      </c>
    </row>
    <row r="51" spans="1:7" s="647" customFormat="1" x14ac:dyDescent="0.2">
      <c r="A51" s="650">
        <v>6401</v>
      </c>
      <c r="B51" s="657" t="s">
        <v>679</v>
      </c>
      <c r="C51" s="646"/>
      <c r="D51" s="646"/>
      <c r="E51" s="646"/>
      <c r="F51" s="646"/>
      <c r="G51" s="647">
        <f>SUMIF(WTB!A:A,A51,WTB!L:L)</f>
        <v>0</v>
      </c>
    </row>
    <row r="52" spans="1:7" s="647" customFormat="1" x14ac:dyDescent="0.2">
      <c r="A52" s="650">
        <v>6402</v>
      </c>
      <c r="B52" s="657" t="s">
        <v>678</v>
      </c>
      <c r="C52" s="646"/>
      <c r="D52" s="646"/>
      <c r="E52" s="646"/>
      <c r="F52" s="646"/>
      <c r="G52" s="647">
        <f>SUMIF(WTB!A:A,A52,WTB!L:L)</f>
        <v>0</v>
      </c>
    </row>
    <row r="53" spans="1:7" s="647" customFormat="1" x14ac:dyDescent="0.2">
      <c r="A53" s="650">
        <v>6201</v>
      </c>
      <c r="B53" s="657" t="s">
        <v>686</v>
      </c>
      <c r="C53" s="646"/>
      <c r="D53" s="646"/>
      <c r="E53" s="646"/>
      <c r="F53" s="646"/>
      <c r="G53" s="647">
        <f>SUMIF(WTB!A:A,A53,WTB!L:L)</f>
        <v>0</v>
      </c>
    </row>
    <row r="54" spans="1:7" s="647" customFormat="1" x14ac:dyDescent="0.2">
      <c r="A54" s="650">
        <v>6202</v>
      </c>
      <c r="B54" s="657" t="s">
        <v>685</v>
      </c>
      <c r="C54" s="646"/>
      <c r="D54" s="646"/>
      <c r="E54" s="646"/>
      <c r="F54" s="646"/>
      <c r="G54" s="647">
        <f>SUMIF(WTB!A:A,A54,WTB!L:L)</f>
        <v>0</v>
      </c>
    </row>
    <row r="55" spans="1:7" s="647" customFormat="1" x14ac:dyDescent="0.2">
      <c r="A55" s="650">
        <v>6204</v>
      </c>
      <c r="B55" s="657" t="s">
        <v>112</v>
      </c>
      <c r="C55" s="646"/>
      <c r="D55" s="646"/>
      <c r="E55" s="646"/>
      <c r="F55" s="646"/>
      <c r="G55" s="647">
        <f>SUMIF(WTB!A:A,A55,WTB!L:L)</f>
        <v>0</v>
      </c>
    </row>
    <row r="56" spans="1:7" s="647" customFormat="1" x14ac:dyDescent="0.2">
      <c r="A56" s="650">
        <v>5101</v>
      </c>
      <c r="B56" s="657" t="s">
        <v>697</v>
      </c>
      <c r="C56" s="646"/>
      <c r="D56" s="646"/>
      <c r="E56" s="646"/>
      <c r="F56" s="646"/>
      <c r="G56" s="647">
        <f>SUMIF(WTB!A:A,A56,WTB!L:L)</f>
        <v>0</v>
      </c>
    </row>
    <row r="57" spans="1:7" s="647" customFormat="1" x14ac:dyDescent="0.2">
      <c r="A57" s="650">
        <v>6211</v>
      </c>
      <c r="B57" s="657" t="s">
        <v>120</v>
      </c>
      <c r="C57" s="646"/>
      <c r="D57" s="646"/>
      <c r="E57" s="646"/>
      <c r="F57" s="646"/>
      <c r="G57" s="647">
        <f>SUMIF(WTB!A:A,A57,WTB!L:L)</f>
        <v>0</v>
      </c>
    </row>
    <row r="58" spans="1:7" s="647" customFormat="1" x14ac:dyDescent="0.2">
      <c r="A58" s="650">
        <v>6212</v>
      </c>
      <c r="B58" s="657" t="s">
        <v>109</v>
      </c>
      <c r="C58" s="646"/>
      <c r="D58" s="646"/>
      <c r="E58" s="646"/>
      <c r="F58" s="646"/>
      <c r="G58" s="647">
        <f>SUMIF(WTB!A:A,A58,WTB!L:L)</f>
        <v>0</v>
      </c>
    </row>
    <row r="59" spans="1:7" s="647" customFormat="1" x14ac:dyDescent="0.2">
      <c r="A59" s="650">
        <v>6214</v>
      </c>
      <c r="B59" s="657" t="s">
        <v>126</v>
      </c>
      <c r="C59" s="646"/>
      <c r="D59" s="646"/>
      <c r="E59" s="646"/>
      <c r="F59" s="646"/>
      <c r="G59" s="647">
        <f>SUMIF(WTB!A:A,A59,WTB!L:L)</f>
        <v>0</v>
      </c>
    </row>
    <row r="60" spans="1:7" s="647" customFormat="1" x14ac:dyDescent="0.2">
      <c r="A60" s="650">
        <v>6217</v>
      </c>
      <c r="B60" s="657" t="s">
        <v>124</v>
      </c>
      <c r="C60" s="646"/>
      <c r="D60" s="646"/>
      <c r="E60" s="646"/>
      <c r="F60" s="646"/>
      <c r="G60" s="647">
        <f>SUMIF(WTB!A:A,A60,WTB!L:L)</f>
        <v>0</v>
      </c>
    </row>
    <row r="61" spans="1:7" s="647" customFormat="1" x14ac:dyDescent="0.2">
      <c r="A61" s="650">
        <v>6218</v>
      </c>
      <c r="B61" s="657" t="s">
        <v>125</v>
      </c>
      <c r="C61" s="646"/>
      <c r="D61" s="646"/>
      <c r="E61" s="646"/>
      <c r="F61" s="646"/>
      <c r="G61" s="647">
        <f>SUMIF(WTB!A:A,A61,WTB!L:L)</f>
        <v>0</v>
      </c>
    </row>
    <row r="62" spans="1:7" s="647" customFormat="1" x14ac:dyDescent="0.2">
      <c r="A62" s="650">
        <v>6219</v>
      </c>
      <c r="B62" s="657" t="s">
        <v>123</v>
      </c>
      <c r="C62" s="646"/>
      <c r="D62" s="646"/>
      <c r="E62" s="646"/>
      <c r="F62" s="646"/>
      <c r="G62" s="647">
        <f>SUMIF(WTB!A:A,A62,WTB!L:L)</f>
        <v>0</v>
      </c>
    </row>
    <row r="63" spans="1:7" s="647" customFormat="1" x14ac:dyDescent="0.2">
      <c r="A63" s="650">
        <v>6220</v>
      </c>
      <c r="B63" s="657" t="s">
        <v>122</v>
      </c>
      <c r="C63" s="646"/>
      <c r="D63" s="646"/>
      <c r="E63" s="646"/>
      <c r="F63" s="646"/>
      <c r="G63" s="647">
        <f>SUMIF(WTB!A:A,A63,WTB!L:L)</f>
        <v>0</v>
      </c>
    </row>
    <row r="64" spans="1:7" s="647" customFormat="1" x14ac:dyDescent="0.2">
      <c r="A64" s="650">
        <v>6223</v>
      </c>
      <c r="B64" s="657" t="s">
        <v>684</v>
      </c>
      <c r="C64" s="646"/>
      <c r="D64" s="646"/>
      <c r="E64" s="646"/>
      <c r="F64" s="646"/>
      <c r="G64" s="647">
        <f>SUMIF(WTB!A:A,A64,WTB!L:L)</f>
        <v>0</v>
      </c>
    </row>
    <row r="65" spans="1:7" s="647" customFormat="1" x14ac:dyDescent="0.2">
      <c r="A65" s="650">
        <v>6229</v>
      </c>
      <c r="B65" s="657" t="s">
        <v>121</v>
      </c>
      <c r="C65" s="646"/>
      <c r="D65" s="646"/>
      <c r="E65" s="646"/>
      <c r="F65" s="646"/>
      <c r="G65" s="647">
        <f>SUMIF(WTB!A:A,A65,WTB!L:L)</f>
        <v>0</v>
      </c>
    </row>
    <row r="66" spans="1:7" s="647" customFormat="1" x14ac:dyDescent="0.2">
      <c r="A66" s="650">
        <v>6230</v>
      </c>
      <c r="B66" s="657" t="s">
        <v>527</v>
      </c>
      <c r="C66" s="646"/>
      <c r="D66" s="646"/>
      <c r="E66" s="646"/>
      <c r="F66" s="646"/>
      <c r="G66" s="647">
        <f>SUMIF(WTB!A:A,A66,WTB!L:L)</f>
        <v>0</v>
      </c>
    </row>
    <row r="67" spans="1:7" s="647" customFormat="1" x14ac:dyDescent="0.2">
      <c r="A67" s="650">
        <v>6231</v>
      </c>
      <c r="B67" s="657" t="s">
        <v>683</v>
      </c>
      <c r="C67" s="646"/>
      <c r="D67" s="646"/>
      <c r="E67" s="646"/>
      <c r="F67" s="646"/>
      <c r="G67" s="647">
        <f>SUMIF(WTB!A:A,A67,WTB!L:L)</f>
        <v>0</v>
      </c>
    </row>
    <row r="68" spans="1:7" s="647" customFormat="1" x14ac:dyDescent="0.2">
      <c r="A68" s="650">
        <v>6232</v>
      </c>
      <c r="B68" s="657" t="s">
        <v>682</v>
      </c>
      <c r="C68" s="646"/>
      <c r="D68" s="646"/>
      <c r="E68" s="646"/>
      <c r="F68" s="646"/>
      <c r="G68" s="647">
        <f>SUMIF(WTB!A:A,A68,WTB!L:L)</f>
        <v>0</v>
      </c>
    </row>
    <row r="69" spans="1:7" s="647" customFormat="1" x14ac:dyDescent="0.2">
      <c r="A69" s="650">
        <v>6308</v>
      </c>
      <c r="B69" s="657" t="s">
        <v>118</v>
      </c>
      <c r="C69" s="646"/>
      <c r="D69" s="646"/>
      <c r="E69" s="646"/>
      <c r="F69" s="646"/>
      <c r="G69" s="647">
        <f>SUMIF(WTB!A:A,A69,WTB!L:L)</f>
        <v>0</v>
      </c>
    </row>
    <row r="70" spans="1:7" s="647" customFormat="1" x14ac:dyDescent="0.2">
      <c r="A70" s="650">
        <v>6312</v>
      </c>
      <c r="B70" s="657" t="s">
        <v>117</v>
      </c>
      <c r="C70" s="646"/>
      <c r="D70" s="646"/>
      <c r="E70" s="646"/>
      <c r="F70" s="646"/>
      <c r="G70" s="647">
        <f>SUMIF(WTB!A:A,A70,WTB!L:L)</f>
        <v>0</v>
      </c>
    </row>
    <row r="71" spans="1:7" s="647" customFormat="1" x14ac:dyDescent="0.2">
      <c r="A71" s="650">
        <v>6313</v>
      </c>
      <c r="B71" s="657" t="s">
        <v>116</v>
      </c>
      <c r="C71" s="646"/>
      <c r="D71" s="646"/>
      <c r="E71" s="646"/>
      <c r="F71" s="646"/>
      <c r="G71" s="647">
        <f>SUMIF(WTB!A:A,A71,WTB!L:L)</f>
        <v>0</v>
      </c>
    </row>
    <row r="72" spans="1:7" s="647" customFormat="1" x14ac:dyDescent="0.2">
      <c r="A72" s="650">
        <v>6234</v>
      </c>
      <c r="B72" s="657" t="s">
        <v>115</v>
      </c>
      <c r="C72" s="646"/>
      <c r="D72" s="646"/>
      <c r="E72" s="646"/>
      <c r="F72" s="646"/>
      <c r="G72" s="647">
        <f>SUMIF(WTB!A:A,A72,WTB!L:L)</f>
        <v>0</v>
      </c>
    </row>
    <row r="73" spans="1:7" s="647" customFormat="1" x14ac:dyDescent="0.2">
      <c r="A73" s="650">
        <v>6315</v>
      </c>
      <c r="B73" s="657" t="s">
        <v>114</v>
      </c>
      <c r="C73" s="646"/>
      <c r="D73" s="646"/>
      <c r="E73" s="646"/>
      <c r="F73" s="646"/>
      <c r="G73" s="647">
        <f>SUMIF(WTB!A:A,A73,WTB!L:L)</f>
        <v>0</v>
      </c>
    </row>
    <row r="74" spans="1:7" s="647" customFormat="1" x14ac:dyDescent="0.2">
      <c r="A74" s="650">
        <v>6316</v>
      </c>
      <c r="B74" s="657" t="s">
        <v>113</v>
      </c>
      <c r="C74" s="646"/>
      <c r="D74" s="646"/>
      <c r="E74" s="646"/>
      <c r="F74" s="646"/>
      <c r="G74" s="647">
        <f>SUMIF(WTB!A:A,A74,WTB!L:L)</f>
        <v>0</v>
      </c>
    </row>
    <row r="75" spans="1:7" s="647" customFormat="1" x14ac:dyDescent="0.2">
      <c r="A75" s="650">
        <v>6317</v>
      </c>
      <c r="B75" s="657" t="s">
        <v>681</v>
      </c>
      <c r="C75" s="646"/>
      <c r="D75" s="646"/>
      <c r="E75" s="646"/>
      <c r="F75" s="646"/>
      <c r="G75" s="647">
        <f>SUMIF(WTB!A:A,A75,WTB!L:L)</f>
        <v>0</v>
      </c>
    </row>
    <row r="76" spans="1:7" s="647" customFormat="1" x14ac:dyDescent="0.2">
      <c r="A76" s="650">
        <v>6318</v>
      </c>
      <c r="B76" s="657" t="s">
        <v>680</v>
      </c>
      <c r="C76" s="646"/>
      <c r="D76" s="646"/>
      <c r="E76" s="646"/>
      <c r="F76" s="646"/>
      <c r="G76" s="647">
        <f>SUMIF(WTB!A:A,A76,WTB!L:L)</f>
        <v>5492.6901400000006</v>
      </c>
    </row>
    <row r="77" spans="1:7" s="647" customFormat="1" x14ac:dyDescent="0.2">
      <c r="A77" s="650">
        <v>6901</v>
      </c>
      <c r="B77" s="657" t="s">
        <v>677</v>
      </c>
      <c r="C77" s="646"/>
      <c r="D77" s="646"/>
      <c r="E77" s="646"/>
      <c r="F77" s="646"/>
      <c r="G77" s="647">
        <f>SUMIF(WTB!A:A,A77,WTB!L:L)</f>
        <v>0</v>
      </c>
    </row>
    <row r="78" spans="1:7" s="647" customFormat="1" x14ac:dyDescent="0.2">
      <c r="A78" s="650">
        <v>6902</v>
      </c>
      <c r="B78" s="657" t="s">
        <v>676</v>
      </c>
      <c r="C78" s="646"/>
      <c r="D78" s="646"/>
      <c r="E78" s="646"/>
      <c r="F78" s="646"/>
      <c r="G78" s="647">
        <f>SUMIF(WTB!A:A,A78,WTB!L:L)</f>
        <v>1.2100000000009459</v>
      </c>
    </row>
    <row r="79" spans="1:7" s="647" customFormat="1" x14ac:dyDescent="0.2">
      <c r="A79" s="650">
        <v>6999</v>
      </c>
      <c r="B79" s="657" t="s">
        <v>675</v>
      </c>
      <c r="C79" s="646"/>
      <c r="D79" s="646"/>
      <c r="E79" s="646"/>
      <c r="F79" s="646"/>
      <c r="G79" s="647">
        <f>SUMIF(WTB!A:A,A79,WTB!L:L)</f>
        <v>0</v>
      </c>
    </row>
    <row r="80" spans="1:7" s="647" customFormat="1" x14ac:dyDescent="0.2">
      <c r="A80" s="650"/>
      <c r="B80" s="648" t="s">
        <v>781</v>
      </c>
      <c r="C80" s="646"/>
      <c r="D80" s="646"/>
      <c r="E80" s="646"/>
      <c r="F80" s="646"/>
      <c r="G80" s="663">
        <f>+SUM(G41:G79)</f>
        <v>5493.9001400000016</v>
      </c>
    </row>
    <row r="82" spans="1:7" s="647" customFormat="1" ht="12" thickBot="1" x14ac:dyDescent="0.25">
      <c r="A82" s="650"/>
      <c r="B82" s="648" t="s">
        <v>780</v>
      </c>
      <c r="C82" s="646"/>
      <c r="D82" s="646"/>
      <c r="E82" s="646"/>
      <c r="F82" s="646"/>
      <c r="G82" s="649">
        <f>G38-G80</f>
        <v>-17492.870139999992</v>
      </c>
    </row>
    <row r="83" spans="1:7" ht="12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6" zoomScale="200" zoomScaleNormal="200" workbookViewId="0">
      <selection activeCell="A96" sqref="A96"/>
    </sheetView>
  </sheetViews>
  <sheetFormatPr defaultColWidth="8.85546875" defaultRowHeight="11.25" x14ac:dyDescent="0.2"/>
  <cols>
    <col min="1" max="1" width="11.7109375" style="630" customWidth="1"/>
    <col min="2" max="2" width="23.85546875" style="630" bestFit="1" customWidth="1"/>
    <col min="3" max="3" width="26.7109375" style="630" customWidth="1"/>
    <col min="4" max="4" width="15.7109375" style="630" bestFit="1" customWidth="1"/>
    <col min="5" max="12" width="13.85546875" style="630" customWidth="1"/>
    <col min="13" max="16384" width="8.85546875" style="630"/>
  </cols>
  <sheetData>
    <row r="1" spans="1:12" x14ac:dyDescent="0.2">
      <c r="A1" s="632" t="s">
        <v>370</v>
      </c>
      <c r="B1" s="632"/>
    </row>
    <row r="2" spans="1:12" x14ac:dyDescent="0.2">
      <c r="A2" s="632" t="s">
        <v>756</v>
      </c>
      <c r="B2" s="632"/>
    </row>
    <row r="3" spans="1:12" x14ac:dyDescent="0.2">
      <c r="A3" s="632" t="s">
        <v>755</v>
      </c>
      <c r="B3" s="632"/>
    </row>
    <row r="5" spans="1:12" ht="14.45" customHeight="1" x14ac:dyDescent="0.2">
      <c r="A5" s="634"/>
      <c r="B5" s="808"/>
      <c r="C5" s="670" t="s">
        <v>754</v>
      </c>
      <c r="D5" s="642">
        <v>43465</v>
      </c>
      <c r="E5" s="669" t="s">
        <v>753</v>
      </c>
      <c r="F5" s="669"/>
      <c r="G5" s="669"/>
      <c r="H5" s="669"/>
      <c r="I5" s="669"/>
      <c r="J5" s="669"/>
      <c r="K5" s="669"/>
      <c r="L5" s="669"/>
    </row>
    <row r="6" spans="1:12" ht="14.45" customHeight="1" x14ac:dyDescent="0.2">
      <c r="A6" s="645" t="s">
        <v>752</v>
      </c>
      <c r="B6" s="809"/>
      <c r="C6" s="671"/>
      <c r="D6" s="673" t="s">
        <v>674</v>
      </c>
      <c r="E6" s="670" t="s">
        <v>751</v>
      </c>
      <c r="F6" s="670" t="s">
        <v>750</v>
      </c>
      <c r="G6" s="670" t="s">
        <v>749</v>
      </c>
      <c r="H6" s="670" t="s">
        <v>748</v>
      </c>
      <c r="I6" s="675" t="s">
        <v>747</v>
      </c>
      <c r="J6" s="676"/>
      <c r="K6" s="643" t="s">
        <v>746</v>
      </c>
      <c r="L6" s="643" t="s">
        <v>674</v>
      </c>
    </row>
    <row r="7" spans="1:12" x14ac:dyDescent="0.2">
      <c r="A7" s="644"/>
      <c r="B7" s="644"/>
      <c r="C7" s="672"/>
      <c r="D7" s="674"/>
      <c r="E7" s="672"/>
      <c r="F7" s="672"/>
      <c r="G7" s="672"/>
      <c r="H7" s="672"/>
      <c r="I7" s="643" t="s">
        <v>745</v>
      </c>
      <c r="J7" s="643" t="s">
        <v>111</v>
      </c>
      <c r="K7" s="642"/>
      <c r="L7" s="642"/>
    </row>
    <row r="8" spans="1:12" x14ac:dyDescent="0.2">
      <c r="A8" s="643">
        <v>1101</v>
      </c>
      <c r="B8" s="635" t="str">
        <f>PROPER(C8)</f>
        <v>Cash In Bank</v>
      </c>
      <c r="C8" s="634" t="s">
        <v>744</v>
      </c>
      <c r="D8" s="633"/>
      <c r="E8" s="633">
        <f>sales!E103</f>
        <v>567372</v>
      </c>
      <c r="F8" s="633"/>
      <c r="G8" s="633"/>
      <c r="H8" s="633"/>
      <c r="I8" s="633"/>
      <c r="J8" s="633"/>
      <c r="K8" s="633">
        <f t="shared" ref="K8:K39" si="0">SUM(E8:J8)</f>
        <v>567372</v>
      </c>
      <c r="L8" s="633">
        <f t="shared" ref="L8:L39" si="1">+D8+K8</f>
        <v>567372</v>
      </c>
    </row>
    <row r="9" spans="1:12" x14ac:dyDescent="0.2">
      <c r="A9" s="643">
        <v>1111</v>
      </c>
      <c r="B9" s="635" t="str">
        <f t="shared" ref="B9:B72" si="2">PROPER(C9)</f>
        <v>Petty Cash</v>
      </c>
      <c r="C9" s="634" t="s">
        <v>522</v>
      </c>
      <c r="D9" s="633"/>
      <c r="E9" s="633"/>
      <c r="F9" s="633"/>
      <c r="G9" s="633"/>
      <c r="H9" s="633"/>
      <c r="I9" s="633"/>
      <c r="J9" s="633"/>
      <c r="K9" s="633">
        <f t="shared" si="0"/>
        <v>0</v>
      </c>
      <c r="L9" s="633">
        <f t="shared" si="1"/>
        <v>0</v>
      </c>
    </row>
    <row r="10" spans="1:12" x14ac:dyDescent="0.2">
      <c r="A10" s="643">
        <v>1250</v>
      </c>
      <c r="B10" s="635" t="str">
        <f t="shared" si="2"/>
        <v>Advances To Employees</v>
      </c>
      <c r="C10" s="634" t="s">
        <v>743</v>
      </c>
      <c r="D10" s="633"/>
      <c r="E10" s="633"/>
      <c r="F10" s="633"/>
      <c r="G10" s="633"/>
      <c r="H10" s="633"/>
      <c r="I10" s="633"/>
      <c r="J10" s="633"/>
      <c r="K10" s="633">
        <f t="shared" si="0"/>
        <v>0</v>
      </c>
      <c r="L10" s="633">
        <f t="shared" si="1"/>
        <v>0</v>
      </c>
    </row>
    <row r="11" spans="1:12" x14ac:dyDescent="0.2">
      <c r="A11" s="643">
        <v>1301</v>
      </c>
      <c r="B11" s="635" t="str">
        <f t="shared" si="2"/>
        <v>Accounts Receivable</v>
      </c>
      <c r="C11" s="634" t="s">
        <v>742</v>
      </c>
      <c r="D11" s="633"/>
      <c r="E11" s="633"/>
      <c r="F11" s="633"/>
      <c r="G11" s="633"/>
      <c r="H11" s="633"/>
      <c r="I11" s="633"/>
      <c r="J11" s="633"/>
      <c r="K11" s="633">
        <f t="shared" si="0"/>
        <v>0</v>
      </c>
      <c r="L11" s="633">
        <f t="shared" si="1"/>
        <v>0</v>
      </c>
    </row>
    <row r="12" spans="1:12" x14ac:dyDescent="0.2">
      <c r="A12" s="643">
        <v>1302</v>
      </c>
      <c r="B12" s="635" t="str">
        <f t="shared" si="2"/>
        <v>Credit Card Receivable</v>
      </c>
      <c r="C12" s="634" t="s">
        <v>741</v>
      </c>
      <c r="D12" s="633"/>
      <c r="E12" s="633">
        <f>sales!O103</f>
        <v>248703.90005999993</v>
      </c>
      <c r="F12" s="633"/>
      <c r="G12" s="633"/>
      <c r="H12" s="633"/>
      <c r="I12" s="633"/>
      <c r="J12" s="633"/>
      <c r="K12" s="633">
        <f t="shared" si="0"/>
        <v>248703.90005999993</v>
      </c>
      <c r="L12" s="637">
        <f t="shared" si="1"/>
        <v>248703.90005999993</v>
      </c>
    </row>
    <row r="13" spans="1:12" x14ac:dyDescent="0.2">
      <c r="A13" s="643">
        <v>1303</v>
      </c>
      <c r="B13" s="635" t="str">
        <f t="shared" si="2"/>
        <v>Gift Check Receivable</v>
      </c>
      <c r="C13" s="634" t="s">
        <v>740</v>
      </c>
      <c r="D13" s="633"/>
      <c r="E13" s="633">
        <f>sales!I103</f>
        <v>1100</v>
      </c>
      <c r="F13" s="633"/>
      <c r="G13" s="633"/>
      <c r="H13" s="633"/>
      <c r="I13" s="633"/>
      <c r="J13" s="633"/>
      <c r="K13" s="633">
        <f t="shared" si="0"/>
        <v>1100</v>
      </c>
      <c r="L13" s="633">
        <f t="shared" si="1"/>
        <v>1100</v>
      </c>
    </row>
    <row r="14" spans="1:12" x14ac:dyDescent="0.2">
      <c r="A14" s="643">
        <v>1304</v>
      </c>
      <c r="B14" s="635" t="str">
        <f t="shared" si="2"/>
        <v>Delivery Company Receivable</v>
      </c>
      <c r="C14" s="634" t="s">
        <v>739</v>
      </c>
      <c r="D14" s="633"/>
      <c r="E14" s="633">
        <f>sales!AE103</f>
        <v>131359.07</v>
      </c>
      <c r="F14" s="633"/>
      <c r="G14" s="633"/>
      <c r="H14" s="633"/>
      <c r="I14" s="633"/>
      <c r="J14" s="633"/>
      <c r="K14" s="633">
        <f t="shared" si="0"/>
        <v>131359.07</v>
      </c>
      <c r="L14" s="633">
        <f t="shared" si="1"/>
        <v>131359.07</v>
      </c>
    </row>
    <row r="15" spans="1:12" x14ac:dyDescent="0.2">
      <c r="A15" s="643">
        <v>1401</v>
      </c>
      <c r="B15" s="635" t="str">
        <f t="shared" si="2"/>
        <v>Inventories</v>
      </c>
      <c r="C15" s="634" t="s">
        <v>738</v>
      </c>
      <c r="D15" s="633"/>
      <c r="E15" s="633"/>
      <c r="F15" s="633"/>
      <c r="G15" s="633"/>
      <c r="H15" s="633"/>
      <c r="I15" s="633"/>
      <c r="J15" s="633"/>
      <c r="K15" s="633">
        <f t="shared" si="0"/>
        <v>0</v>
      </c>
      <c r="L15" s="633">
        <f t="shared" si="1"/>
        <v>0</v>
      </c>
    </row>
    <row r="16" spans="1:12" x14ac:dyDescent="0.2">
      <c r="A16" s="643">
        <v>1402</v>
      </c>
      <c r="B16" s="635" t="str">
        <f t="shared" si="2"/>
        <v>Supplies Inventories</v>
      </c>
      <c r="C16" s="634" t="s">
        <v>737</v>
      </c>
      <c r="D16" s="633"/>
      <c r="E16" s="633"/>
      <c r="F16" s="633"/>
      <c r="G16" s="633"/>
      <c r="H16" s="633"/>
      <c r="I16" s="633"/>
      <c r="J16" s="633"/>
      <c r="K16" s="633">
        <f t="shared" si="0"/>
        <v>0</v>
      </c>
      <c r="L16" s="633">
        <f t="shared" si="1"/>
        <v>0</v>
      </c>
    </row>
    <row r="17" spans="1:12" x14ac:dyDescent="0.2">
      <c r="A17" s="643">
        <v>1501</v>
      </c>
      <c r="B17" s="635" t="str">
        <f t="shared" si="2"/>
        <v>Input Tax</v>
      </c>
      <c r="C17" s="634" t="s">
        <v>736</v>
      </c>
      <c r="D17" s="633"/>
      <c r="E17" s="633"/>
      <c r="F17" s="633"/>
      <c r="G17" s="633"/>
      <c r="H17" s="633"/>
      <c r="I17" s="633"/>
      <c r="J17" s="633"/>
      <c r="K17" s="633">
        <f t="shared" si="0"/>
        <v>0</v>
      </c>
      <c r="L17" s="633">
        <f t="shared" si="1"/>
        <v>0</v>
      </c>
    </row>
    <row r="18" spans="1:12" x14ac:dyDescent="0.2">
      <c r="A18" s="643">
        <v>1502</v>
      </c>
      <c r="B18" s="635" t="str">
        <f t="shared" si="2"/>
        <v>Input Tax Carry Over</v>
      </c>
      <c r="C18" s="634" t="s">
        <v>735</v>
      </c>
      <c r="D18" s="633"/>
      <c r="E18" s="633"/>
      <c r="F18" s="633"/>
      <c r="G18" s="633"/>
      <c r="H18" s="633"/>
      <c r="I18" s="633"/>
      <c r="J18" s="633"/>
      <c r="K18" s="633">
        <f t="shared" si="0"/>
        <v>0</v>
      </c>
      <c r="L18" s="633">
        <f t="shared" si="1"/>
        <v>0</v>
      </c>
    </row>
    <row r="19" spans="1:12" x14ac:dyDescent="0.2">
      <c r="A19" s="643">
        <v>1503</v>
      </c>
      <c r="B19" s="635" t="str">
        <f t="shared" si="2"/>
        <v>Deferred Input Tax</v>
      </c>
      <c r="C19" s="634" t="s">
        <v>734</v>
      </c>
      <c r="D19" s="633"/>
      <c r="E19" s="633"/>
      <c r="F19" s="633"/>
      <c r="G19" s="633"/>
      <c r="H19" s="633"/>
      <c r="I19" s="633"/>
      <c r="J19" s="633"/>
      <c r="K19" s="633">
        <f t="shared" si="0"/>
        <v>0</v>
      </c>
      <c r="L19" s="633">
        <f t="shared" si="1"/>
        <v>0</v>
      </c>
    </row>
    <row r="20" spans="1:12" x14ac:dyDescent="0.2">
      <c r="A20" s="643">
        <v>1504</v>
      </c>
      <c r="B20" s="635" t="str">
        <f t="shared" si="2"/>
        <v>Creditable Withholdig Tax</v>
      </c>
      <c r="C20" s="634" t="s">
        <v>733</v>
      </c>
      <c r="D20" s="633"/>
      <c r="E20" s="633">
        <f>sales!N103</f>
        <v>1277.3697999999999</v>
      </c>
      <c r="F20" s="633"/>
      <c r="G20" s="633"/>
      <c r="H20" s="633"/>
      <c r="I20" s="633"/>
      <c r="J20" s="633"/>
      <c r="K20" s="633">
        <f t="shared" si="0"/>
        <v>1277.3697999999999</v>
      </c>
      <c r="L20" s="633">
        <f t="shared" si="1"/>
        <v>1277.3697999999999</v>
      </c>
    </row>
    <row r="21" spans="1:12" x14ac:dyDescent="0.2">
      <c r="A21" s="643">
        <v>2101</v>
      </c>
      <c r="B21" s="635" t="str">
        <f t="shared" si="2"/>
        <v>Accounts Payable</v>
      </c>
      <c r="C21" s="634" t="s">
        <v>110</v>
      </c>
      <c r="D21" s="633"/>
      <c r="E21" s="633"/>
      <c r="F21" s="633"/>
      <c r="G21" s="633"/>
      <c r="H21" s="633"/>
      <c r="I21" s="633"/>
      <c r="J21" s="633"/>
      <c r="K21" s="633">
        <f t="shared" si="0"/>
        <v>0</v>
      </c>
      <c r="L21" s="633">
        <f t="shared" si="1"/>
        <v>0</v>
      </c>
    </row>
    <row r="22" spans="1:12" x14ac:dyDescent="0.2">
      <c r="A22" s="643">
        <v>2110</v>
      </c>
      <c r="B22" s="635" t="str">
        <f t="shared" si="2"/>
        <v>Advances From Suppliers</v>
      </c>
      <c r="C22" s="634" t="s">
        <v>732</v>
      </c>
      <c r="D22" s="633"/>
      <c r="E22" s="633"/>
      <c r="F22" s="633"/>
      <c r="G22" s="633"/>
      <c r="H22" s="633"/>
      <c r="I22" s="633"/>
      <c r="J22" s="633"/>
      <c r="K22" s="633">
        <f t="shared" si="0"/>
        <v>0</v>
      </c>
      <c r="L22" s="633">
        <f t="shared" si="1"/>
        <v>0</v>
      </c>
    </row>
    <row r="23" spans="1:12" x14ac:dyDescent="0.2">
      <c r="A23" s="810">
        <v>2201</v>
      </c>
      <c r="B23" s="635" t="str">
        <f t="shared" si="2"/>
        <v>Withholding Tax - E</v>
      </c>
      <c r="C23" s="640" t="s">
        <v>731</v>
      </c>
      <c r="D23" s="639"/>
      <c r="E23" s="639"/>
      <c r="F23" s="639"/>
      <c r="G23" s="639"/>
      <c r="H23" s="639"/>
      <c r="I23" s="639"/>
      <c r="J23" s="639"/>
      <c r="K23" s="639">
        <f t="shared" si="0"/>
        <v>0</v>
      </c>
      <c r="L23" s="639">
        <f t="shared" si="1"/>
        <v>0</v>
      </c>
    </row>
    <row r="24" spans="1:12" s="636" customFormat="1" x14ac:dyDescent="0.2">
      <c r="A24" s="811">
        <v>2202</v>
      </c>
      <c r="B24" s="635" t="str">
        <f t="shared" si="2"/>
        <v>Withholding Tax - C</v>
      </c>
      <c r="C24" s="638" t="s">
        <v>730</v>
      </c>
      <c r="D24" s="637"/>
      <c r="E24" s="637"/>
      <c r="F24" s="637"/>
      <c r="G24" s="637"/>
      <c r="H24" s="637"/>
      <c r="I24" s="637"/>
      <c r="J24" s="637"/>
      <c r="K24" s="637">
        <f t="shared" si="0"/>
        <v>0</v>
      </c>
      <c r="L24" s="637">
        <f t="shared" si="1"/>
        <v>0</v>
      </c>
    </row>
    <row r="25" spans="1:12" s="636" customFormat="1" x14ac:dyDescent="0.2">
      <c r="A25" s="811">
        <v>2203</v>
      </c>
      <c r="B25" s="635" t="str">
        <f t="shared" si="2"/>
        <v>Withholding Tax - F</v>
      </c>
      <c r="C25" s="638" t="s">
        <v>729</v>
      </c>
      <c r="D25" s="637"/>
      <c r="E25" s="637"/>
      <c r="F25" s="637"/>
      <c r="G25" s="637"/>
      <c r="H25" s="637"/>
      <c r="I25" s="637"/>
      <c r="J25" s="637"/>
      <c r="K25" s="637">
        <f t="shared" si="0"/>
        <v>0</v>
      </c>
      <c r="L25" s="637">
        <f t="shared" si="1"/>
        <v>0</v>
      </c>
    </row>
    <row r="26" spans="1:12" s="636" customFormat="1" x14ac:dyDescent="0.2">
      <c r="A26" s="811">
        <v>2204</v>
      </c>
      <c r="B26" s="635" t="str">
        <f t="shared" si="2"/>
        <v>Output Tax</v>
      </c>
      <c r="C26" s="638" t="s">
        <v>728</v>
      </c>
      <c r="D26" s="637"/>
      <c r="E26" s="637"/>
      <c r="F26" s="637"/>
      <c r="G26" s="637"/>
      <c r="H26" s="637"/>
      <c r="I26" s="637"/>
      <c r="J26" s="637"/>
      <c r="K26" s="637">
        <f t="shared" si="0"/>
        <v>0</v>
      </c>
      <c r="L26" s="637">
        <f t="shared" si="1"/>
        <v>0</v>
      </c>
    </row>
    <row r="27" spans="1:12" s="636" customFormat="1" x14ac:dyDescent="0.2">
      <c r="A27" s="641">
        <v>2201</v>
      </c>
      <c r="B27" s="635" t="str">
        <f t="shared" si="2"/>
        <v>Withholding Tax - E</v>
      </c>
      <c r="C27" s="640" t="s">
        <v>731</v>
      </c>
      <c r="D27" s="639"/>
      <c r="E27" s="639"/>
      <c r="F27" s="639"/>
      <c r="G27" s="639"/>
      <c r="H27" s="639"/>
      <c r="I27" s="639"/>
      <c r="J27" s="639"/>
      <c r="K27" s="639">
        <f t="shared" si="0"/>
        <v>0</v>
      </c>
      <c r="L27" s="639">
        <f t="shared" si="1"/>
        <v>0</v>
      </c>
    </row>
    <row r="28" spans="1:12" s="636" customFormat="1" x14ac:dyDescent="0.2">
      <c r="A28" s="641">
        <v>2201</v>
      </c>
      <c r="B28" s="635" t="str">
        <f t="shared" si="2"/>
        <v>Withholding Tax - E</v>
      </c>
      <c r="C28" s="640" t="s">
        <v>731</v>
      </c>
      <c r="D28" s="639"/>
      <c r="E28" s="639"/>
      <c r="F28" s="639"/>
      <c r="G28" s="639"/>
      <c r="H28" s="639"/>
      <c r="I28" s="639"/>
      <c r="J28" s="639"/>
      <c r="K28" s="639">
        <f t="shared" si="0"/>
        <v>0</v>
      </c>
      <c r="L28" s="639">
        <f t="shared" si="1"/>
        <v>0</v>
      </c>
    </row>
    <row r="29" spans="1:12" x14ac:dyDescent="0.2">
      <c r="A29" s="635">
        <v>2300</v>
      </c>
      <c r="B29" s="635" t="str">
        <f t="shared" si="2"/>
        <v>Salaries Payable</v>
      </c>
      <c r="C29" s="634" t="s">
        <v>725</v>
      </c>
      <c r="D29" s="633"/>
      <c r="E29" s="633"/>
      <c r="F29" s="633"/>
      <c r="G29" s="633"/>
      <c r="H29" s="633"/>
      <c r="I29" s="633"/>
      <c r="J29" s="633"/>
      <c r="K29" s="633">
        <f t="shared" si="0"/>
        <v>0</v>
      </c>
      <c r="L29" s="633">
        <f t="shared" si="1"/>
        <v>0</v>
      </c>
    </row>
    <row r="30" spans="1:12" x14ac:dyDescent="0.2">
      <c r="A30" s="635">
        <v>2301</v>
      </c>
      <c r="B30" s="635" t="str">
        <f t="shared" si="2"/>
        <v>Sss Premium Payable</v>
      </c>
      <c r="C30" s="634" t="s">
        <v>724</v>
      </c>
      <c r="D30" s="633"/>
      <c r="E30" s="633"/>
      <c r="F30" s="633"/>
      <c r="G30" s="633"/>
      <c r="H30" s="633"/>
      <c r="I30" s="633"/>
      <c r="J30" s="633"/>
      <c r="K30" s="633">
        <f t="shared" si="0"/>
        <v>0</v>
      </c>
      <c r="L30" s="633">
        <f t="shared" si="1"/>
        <v>0</v>
      </c>
    </row>
    <row r="31" spans="1:12" x14ac:dyDescent="0.2">
      <c r="A31" s="635">
        <v>2302</v>
      </c>
      <c r="B31" s="635" t="str">
        <f t="shared" si="2"/>
        <v>Sss Loan Payable</v>
      </c>
      <c r="C31" s="634" t="s">
        <v>723</v>
      </c>
      <c r="D31" s="633"/>
      <c r="E31" s="633"/>
      <c r="F31" s="633"/>
      <c r="G31" s="633"/>
      <c r="H31" s="633"/>
      <c r="I31" s="633"/>
      <c r="J31" s="633"/>
      <c r="K31" s="633">
        <f t="shared" si="0"/>
        <v>0</v>
      </c>
      <c r="L31" s="633">
        <f t="shared" si="1"/>
        <v>0</v>
      </c>
    </row>
    <row r="32" spans="1:12" x14ac:dyDescent="0.2">
      <c r="A32" s="635">
        <v>2303</v>
      </c>
      <c r="B32" s="635" t="str">
        <f t="shared" si="2"/>
        <v>Phic Premium Payable</v>
      </c>
      <c r="C32" s="634" t="s">
        <v>722</v>
      </c>
      <c r="D32" s="633"/>
      <c r="E32" s="633"/>
      <c r="F32" s="633"/>
      <c r="G32" s="633"/>
      <c r="H32" s="633"/>
      <c r="I32" s="633"/>
      <c r="J32" s="633"/>
      <c r="K32" s="633">
        <f t="shared" si="0"/>
        <v>0</v>
      </c>
      <c r="L32" s="633">
        <f t="shared" si="1"/>
        <v>0</v>
      </c>
    </row>
    <row r="33" spans="1:12" x14ac:dyDescent="0.2">
      <c r="A33" s="635">
        <v>2304</v>
      </c>
      <c r="B33" s="635" t="str">
        <f t="shared" si="2"/>
        <v>Hdmf Premium Payable</v>
      </c>
      <c r="C33" s="634" t="s">
        <v>721</v>
      </c>
      <c r="D33" s="633"/>
      <c r="E33" s="633"/>
      <c r="F33" s="633"/>
      <c r="G33" s="633"/>
      <c r="H33" s="633"/>
      <c r="I33" s="633"/>
      <c r="J33" s="633"/>
      <c r="K33" s="633">
        <f t="shared" si="0"/>
        <v>0</v>
      </c>
      <c r="L33" s="633">
        <f t="shared" si="1"/>
        <v>0</v>
      </c>
    </row>
    <row r="34" spans="1:12" x14ac:dyDescent="0.2">
      <c r="A34" s="635">
        <v>2305</v>
      </c>
      <c r="B34" s="635" t="str">
        <f t="shared" si="2"/>
        <v>Hdmf Loan Payable</v>
      </c>
      <c r="C34" s="634" t="s">
        <v>720</v>
      </c>
      <c r="D34" s="633"/>
      <c r="E34" s="633"/>
      <c r="F34" s="633"/>
      <c r="G34" s="633"/>
      <c r="H34" s="633"/>
      <c r="I34" s="633"/>
      <c r="J34" s="633"/>
      <c r="K34" s="633">
        <f t="shared" si="0"/>
        <v>0</v>
      </c>
      <c r="L34" s="633">
        <f t="shared" si="1"/>
        <v>0</v>
      </c>
    </row>
    <row r="35" spans="1:12" x14ac:dyDescent="0.2">
      <c r="A35" s="635">
        <v>2306</v>
      </c>
      <c r="B35" s="635" t="str">
        <f t="shared" si="2"/>
        <v>Employee Bank Loan</v>
      </c>
      <c r="C35" s="634" t="s">
        <v>719</v>
      </c>
      <c r="D35" s="633"/>
      <c r="E35" s="633"/>
      <c r="F35" s="633"/>
      <c r="G35" s="633"/>
      <c r="H35" s="633"/>
      <c r="I35" s="633"/>
      <c r="J35" s="633"/>
      <c r="K35" s="633">
        <f t="shared" si="0"/>
        <v>0</v>
      </c>
      <c r="L35" s="633">
        <f t="shared" si="1"/>
        <v>0</v>
      </c>
    </row>
    <row r="36" spans="1:12" x14ac:dyDescent="0.2">
      <c r="A36" s="635">
        <v>2401</v>
      </c>
      <c r="B36" s="635" t="str">
        <f t="shared" si="2"/>
        <v>Service Charge Payable</v>
      </c>
      <c r="C36" s="634" t="s">
        <v>718</v>
      </c>
      <c r="D36" s="633"/>
      <c r="E36" s="633">
        <f>-sales!AG103</f>
        <v>-44049.658799999997</v>
      </c>
      <c r="F36" s="633"/>
      <c r="G36" s="633"/>
      <c r="H36" s="633"/>
      <c r="I36" s="633"/>
      <c r="J36" s="633"/>
      <c r="K36" s="633">
        <f t="shared" si="0"/>
        <v>-44049.658799999997</v>
      </c>
      <c r="L36" s="633">
        <f t="shared" si="1"/>
        <v>-44049.658799999997</v>
      </c>
    </row>
    <row r="37" spans="1:12" x14ac:dyDescent="0.2">
      <c r="A37" s="635">
        <v>2402</v>
      </c>
      <c r="B37" s="635" t="str">
        <f t="shared" si="2"/>
        <v>Provision For Loss</v>
      </c>
      <c r="C37" s="634" t="s">
        <v>717</v>
      </c>
      <c r="D37" s="633"/>
      <c r="E37" s="633">
        <f>-sales!AH103</f>
        <v>-7773.4692000000005</v>
      </c>
      <c r="F37" s="633"/>
      <c r="G37" s="633"/>
      <c r="H37" s="633"/>
      <c r="I37" s="633"/>
      <c r="J37" s="633"/>
      <c r="K37" s="633">
        <f t="shared" si="0"/>
        <v>-7773.4692000000005</v>
      </c>
      <c r="L37" s="633">
        <f t="shared" si="1"/>
        <v>-7773.4692000000005</v>
      </c>
    </row>
    <row r="38" spans="1:12" x14ac:dyDescent="0.2">
      <c r="A38" s="635">
        <v>2403</v>
      </c>
      <c r="B38" s="635" t="str">
        <f t="shared" si="2"/>
        <v>Provision For Taxes</v>
      </c>
      <c r="C38" s="634" t="s">
        <v>716</v>
      </c>
      <c r="D38" s="633"/>
      <c r="E38" s="633">
        <f>-sales!AH103</f>
        <v>-7773.4692000000005</v>
      </c>
      <c r="F38" s="633"/>
      <c r="G38" s="633"/>
      <c r="H38" s="633"/>
      <c r="I38" s="633"/>
      <c r="J38" s="633"/>
      <c r="K38" s="633">
        <f t="shared" si="0"/>
        <v>-7773.4692000000005</v>
      </c>
      <c r="L38" s="633">
        <f t="shared" si="1"/>
        <v>-7773.4692000000005</v>
      </c>
    </row>
    <row r="39" spans="1:12" x14ac:dyDescent="0.2">
      <c r="A39" s="635">
        <v>3001</v>
      </c>
      <c r="B39" s="635" t="str">
        <f t="shared" si="2"/>
        <v>Capital Stock</v>
      </c>
      <c r="C39" s="634" t="s">
        <v>715</v>
      </c>
      <c r="D39" s="633"/>
      <c r="E39" s="633"/>
      <c r="F39" s="633"/>
      <c r="G39" s="633"/>
      <c r="H39" s="633"/>
      <c r="I39" s="633"/>
      <c r="J39" s="633"/>
      <c r="K39" s="633">
        <f t="shared" si="0"/>
        <v>0</v>
      </c>
      <c r="L39" s="633">
        <f t="shared" si="1"/>
        <v>0</v>
      </c>
    </row>
    <row r="40" spans="1:12" x14ac:dyDescent="0.2">
      <c r="A40" s="635">
        <v>3002</v>
      </c>
      <c r="B40" s="635" t="str">
        <f t="shared" si="2"/>
        <v>Retained Earnings</v>
      </c>
      <c r="C40" s="634" t="s">
        <v>714</v>
      </c>
      <c r="D40" s="633"/>
      <c r="E40" s="633"/>
      <c r="F40" s="633"/>
      <c r="G40" s="633"/>
      <c r="H40" s="633"/>
      <c r="I40" s="633"/>
      <c r="J40" s="633"/>
      <c r="K40" s="633">
        <f t="shared" ref="K40:K71" si="3">SUM(E40:J40)</f>
        <v>0</v>
      </c>
      <c r="L40" s="633">
        <f t="shared" ref="L40:L71" si="4">+D40+K40</f>
        <v>0</v>
      </c>
    </row>
    <row r="41" spans="1:12" x14ac:dyDescent="0.2">
      <c r="A41" s="635">
        <v>3003</v>
      </c>
      <c r="B41" s="635" t="str">
        <f t="shared" si="2"/>
        <v>Appropriated Retained Earnings</v>
      </c>
      <c r="C41" s="634" t="s">
        <v>713</v>
      </c>
      <c r="D41" s="633"/>
      <c r="E41" s="633"/>
      <c r="F41" s="633"/>
      <c r="G41" s="633"/>
      <c r="H41" s="633"/>
      <c r="I41" s="633"/>
      <c r="J41" s="633"/>
      <c r="K41" s="633">
        <f t="shared" si="3"/>
        <v>0</v>
      </c>
      <c r="L41" s="633">
        <f t="shared" si="4"/>
        <v>0</v>
      </c>
    </row>
    <row r="42" spans="1:12" x14ac:dyDescent="0.2">
      <c r="A42" s="635">
        <v>3004</v>
      </c>
      <c r="B42" s="635" t="str">
        <f t="shared" si="2"/>
        <v>Income Summary</v>
      </c>
      <c r="C42" s="634" t="s">
        <v>712</v>
      </c>
      <c r="D42" s="633"/>
      <c r="E42" s="633"/>
      <c r="F42" s="633"/>
      <c r="G42" s="633"/>
      <c r="H42" s="633"/>
      <c r="I42" s="633"/>
      <c r="J42" s="633"/>
      <c r="K42" s="633">
        <f t="shared" si="3"/>
        <v>0</v>
      </c>
      <c r="L42" s="633">
        <f t="shared" si="4"/>
        <v>0</v>
      </c>
    </row>
    <row r="43" spans="1:12" x14ac:dyDescent="0.2">
      <c r="A43" s="635">
        <v>4001</v>
      </c>
      <c r="B43" s="635" t="str">
        <f t="shared" si="2"/>
        <v>Sales - Vatable</v>
      </c>
      <c r="C43" s="634" t="s">
        <v>711</v>
      </c>
      <c r="D43" s="633"/>
      <c r="E43" s="633"/>
      <c r="F43" s="633"/>
      <c r="G43" s="633"/>
      <c r="H43" s="633"/>
      <c r="I43" s="633"/>
      <c r="J43" s="633"/>
      <c r="K43" s="633">
        <f t="shared" si="3"/>
        <v>0</v>
      </c>
      <c r="L43" s="633">
        <f t="shared" si="4"/>
        <v>0</v>
      </c>
    </row>
    <row r="44" spans="1:12" x14ac:dyDescent="0.2">
      <c r="A44" s="635">
        <v>4002</v>
      </c>
      <c r="B44" s="635" t="str">
        <f t="shared" si="2"/>
        <v>Sales - Exempted</v>
      </c>
      <c r="C44" s="634" t="s">
        <v>710</v>
      </c>
      <c r="D44" s="633"/>
      <c r="E44" s="633"/>
      <c r="F44" s="633"/>
      <c r="G44" s="633"/>
      <c r="H44" s="633"/>
      <c r="I44" s="633"/>
      <c r="J44" s="633"/>
      <c r="K44" s="633">
        <f t="shared" si="3"/>
        <v>0</v>
      </c>
      <c r="L44" s="633">
        <f t="shared" si="4"/>
        <v>0</v>
      </c>
    </row>
    <row r="45" spans="1:12" x14ac:dyDescent="0.2">
      <c r="A45" s="635">
        <v>4003</v>
      </c>
      <c r="B45" s="635" t="str">
        <f t="shared" si="2"/>
        <v>Sales - Zero-Rated</v>
      </c>
      <c r="C45" s="634" t="s">
        <v>709</v>
      </c>
      <c r="D45" s="633"/>
      <c r="E45" s="633"/>
      <c r="F45" s="633"/>
      <c r="G45" s="633"/>
      <c r="H45" s="633"/>
      <c r="I45" s="633"/>
      <c r="J45" s="633"/>
      <c r="K45" s="633">
        <f t="shared" si="3"/>
        <v>0</v>
      </c>
      <c r="L45" s="633">
        <f t="shared" si="4"/>
        <v>0</v>
      </c>
    </row>
    <row r="46" spans="1:12" x14ac:dyDescent="0.2">
      <c r="A46" s="635">
        <v>4101</v>
      </c>
      <c r="B46" s="635" t="str">
        <f t="shared" si="2"/>
        <v>Regular Discounts</v>
      </c>
      <c r="C46" s="634" t="s">
        <v>708</v>
      </c>
      <c r="D46" s="633"/>
      <c r="E46" s="633">
        <f>sales!Z103</f>
        <v>4976.6900000000005</v>
      </c>
      <c r="F46" s="633"/>
      <c r="G46" s="633"/>
      <c r="H46" s="633"/>
      <c r="I46" s="633"/>
      <c r="J46" s="633"/>
      <c r="K46" s="633">
        <f t="shared" si="3"/>
        <v>4976.6900000000005</v>
      </c>
      <c r="L46" s="633">
        <f t="shared" si="4"/>
        <v>4976.6900000000005</v>
      </c>
    </row>
    <row r="47" spans="1:12" x14ac:dyDescent="0.2">
      <c r="A47" s="635">
        <v>4102</v>
      </c>
      <c r="B47" s="635" t="str">
        <f t="shared" si="2"/>
        <v>Stockholders Discounts</v>
      </c>
      <c r="C47" s="634" t="s">
        <v>707</v>
      </c>
      <c r="D47" s="633"/>
      <c r="E47" s="633">
        <f>sales!AA103</f>
        <v>803</v>
      </c>
      <c r="F47" s="633"/>
      <c r="G47" s="633"/>
      <c r="H47" s="633"/>
      <c r="I47" s="633"/>
      <c r="J47" s="633"/>
      <c r="K47" s="633">
        <f t="shared" si="3"/>
        <v>803</v>
      </c>
      <c r="L47" s="633">
        <f t="shared" si="4"/>
        <v>803</v>
      </c>
    </row>
    <row r="48" spans="1:12" x14ac:dyDescent="0.2">
      <c r="A48" s="635">
        <v>4103</v>
      </c>
      <c r="B48" s="635" t="str">
        <f t="shared" si="2"/>
        <v>Employees Discounts</v>
      </c>
      <c r="C48" s="634" t="s">
        <v>706</v>
      </c>
      <c r="D48" s="633"/>
      <c r="E48" s="633">
        <f>sales!AB103</f>
        <v>261</v>
      </c>
      <c r="F48" s="633"/>
      <c r="G48" s="633"/>
      <c r="H48" s="633"/>
      <c r="I48" s="633"/>
      <c r="J48" s="633"/>
      <c r="K48" s="633">
        <f t="shared" si="3"/>
        <v>261</v>
      </c>
      <c r="L48" s="633">
        <f t="shared" si="4"/>
        <v>261</v>
      </c>
    </row>
    <row r="49" spans="1:12" x14ac:dyDescent="0.2">
      <c r="A49" s="635">
        <v>4104</v>
      </c>
      <c r="B49" s="635" t="str">
        <f t="shared" si="2"/>
        <v>Senior Citizen Discounts</v>
      </c>
      <c r="C49" s="634" t="s">
        <v>705</v>
      </c>
      <c r="D49" s="633"/>
      <c r="E49" s="633">
        <f>sales!AC103</f>
        <v>6062.7699999999986</v>
      </c>
      <c r="F49" s="633"/>
      <c r="G49" s="633"/>
      <c r="H49" s="633"/>
      <c r="I49" s="633"/>
      <c r="J49" s="633"/>
      <c r="K49" s="633">
        <f t="shared" si="3"/>
        <v>6062.7699999999986</v>
      </c>
      <c r="L49" s="633">
        <f t="shared" si="4"/>
        <v>6062.7699999999986</v>
      </c>
    </row>
    <row r="50" spans="1:12" x14ac:dyDescent="0.2">
      <c r="A50" s="635">
        <v>4901</v>
      </c>
      <c r="B50" s="635" t="str">
        <f t="shared" si="2"/>
        <v>Cash Overage</v>
      </c>
      <c r="C50" s="634" t="s">
        <v>704</v>
      </c>
      <c r="D50" s="633"/>
      <c r="E50" s="633">
        <f>-sales!H103</f>
        <v>-104.4900000000066</v>
      </c>
      <c r="F50" s="633"/>
      <c r="G50" s="633"/>
      <c r="H50" s="633"/>
      <c r="I50" s="633"/>
      <c r="J50" s="633"/>
      <c r="K50" s="633">
        <f t="shared" si="3"/>
        <v>-104.4900000000066</v>
      </c>
      <c r="L50" s="633">
        <f t="shared" si="4"/>
        <v>-104.4900000000066</v>
      </c>
    </row>
    <row r="51" spans="1:12" x14ac:dyDescent="0.2">
      <c r="A51" s="635">
        <v>4999</v>
      </c>
      <c r="B51" s="635" t="str">
        <f t="shared" si="2"/>
        <v>Other Income</v>
      </c>
      <c r="C51" s="634" t="s">
        <v>703</v>
      </c>
      <c r="D51" s="633"/>
      <c r="E51" s="633"/>
      <c r="F51" s="633"/>
      <c r="G51" s="633"/>
      <c r="H51" s="633"/>
      <c r="I51" s="633"/>
      <c r="J51" s="633"/>
      <c r="K51" s="633">
        <f t="shared" si="3"/>
        <v>0</v>
      </c>
      <c r="L51" s="633">
        <f t="shared" si="4"/>
        <v>0</v>
      </c>
    </row>
    <row r="52" spans="1:12" x14ac:dyDescent="0.2">
      <c r="A52" s="635">
        <v>5001</v>
      </c>
      <c r="B52" s="635" t="str">
        <f t="shared" si="2"/>
        <v>Raw Mats Food</v>
      </c>
      <c r="C52" s="634" t="s">
        <v>128</v>
      </c>
      <c r="D52" s="633"/>
      <c r="E52" s="633"/>
      <c r="F52" s="633"/>
      <c r="G52" s="633"/>
      <c r="H52" s="633"/>
      <c r="I52" s="633"/>
      <c r="J52" s="633"/>
      <c r="K52" s="633">
        <f t="shared" si="3"/>
        <v>0</v>
      </c>
      <c r="L52" s="633">
        <f t="shared" si="4"/>
        <v>0</v>
      </c>
    </row>
    <row r="53" spans="1:12" x14ac:dyDescent="0.2">
      <c r="A53" s="635" t="s">
        <v>702</v>
      </c>
      <c r="B53" s="635" t="str">
        <f t="shared" si="2"/>
        <v>Food Spoilages</v>
      </c>
      <c r="C53" s="634" t="s">
        <v>701</v>
      </c>
      <c r="D53" s="633"/>
      <c r="E53" s="633"/>
      <c r="F53" s="633"/>
      <c r="G53" s="633"/>
      <c r="H53" s="633"/>
      <c r="I53" s="633"/>
      <c r="J53" s="633"/>
      <c r="K53" s="633">
        <f t="shared" si="3"/>
        <v>0</v>
      </c>
      <c r="L53" s="633">
        <f t="shared" si="4"/>
        <v>0</v>
      </c>
    </row>
    <row r="54" spans="1:12" x14ac:dyDescent="0.2">
      <c r="A54" s="635">
        <v>5002</v>
      </c>
      <c r="B54" s="635" t="str">
        <f t="shared" si="2"/>
        <v>Raw Mats Beverages</v>
      </c>
      <c r="C54" s="634" t="s">
        <v>127</v>
      </c>
      <c r="D54" s="633"/>
      <c r="E54" s="633"/>
      <c r="F54" s="633"/>
      <c r="G54" s="633"/>
      <c r="H54" s="633"/>
      <c r="I54" s="633"/>
      <c r="J54" s="633"/>
      <c r="K54" s="633">
        <f t="shared" si="3"/>
        <v>0</v>
      </c>
      <c r="L54" s="633">
        <f t="shared" si="4"/>
        <v>0</v>
      </c>
    </row>
    <row r="55" spans="1:12" x14ac:dyDescent="0.2">
      <c r="A55" s="635" t="s">
        <v>700</v>
      </c>
      <c r="B55" s="635" t="str">
        <f t="shared" si="2"/>
        <v>Beverage Spoilages</v>
      </c>
      <c r="C55" s="634" t="s">
        <v>699</v>
      </c>
      <c r="D55" s="633"/>
      <c r="E55" s="633"/>
      <c r="F55" s="633"/>
      <c r="G55" s="633"/>
      <c r="H55" s="633"/>
      <c r="I55" s="633"/>
      <c r="J55" s="633"/>
      <c r="K55" s="633">
        <f t="shared" si="3"/>
        <v>0</v>
      </c>
      <c r="L55" s="633">
        <f t="shared" si="4"/>
        <v>0</v>
      </c>
    </row>
    <row r="56" spans="1:12" x14ac:dyDescent="0.2">
      <c r="A56" s="635">
        <v>5003</v>
      </c>
      <c r="B56" s="635" t="str">
        <f t="shared" si="2"/>
        <v>Oc And Marketing Adjustment</v>
      </c>
      <c r="C56" s="634" t="s">
        <v>698</v>
      </c>
      <c r="D56" s="633"/>
      <c r="E56" s="633"/>
      <c r="F56" s="633"/>
      <c r="G56" s="633"/>
      <c r="H56" s="633"/>
      <c r="I56" s="633"/>
      <c r="J56" s="633"/>
      <c r="K56" s="633">
        <f t="shared" si="3"/>
        <v>0</v>
      </c>
      <c r="L56" s="633">
        <f t="shared" si="4"/>
        <v>0</v>
      </c>
    </row>
    <row r="57" spans="1:12" x14ac:dyDescent="0.2">
      <c r="A57" s="635">
        <v>5101</v>
      </c>
      <c r="B57" s="635" t="str">
        <f t="shared" si="2"/>
        <v>Fuel And Gas</v>
      </c>
      <c r="C57" s="634" t="s">
        <v>697</v>
      </c>
      <c r="D57" s="633"/>
      <c r="E57" s="633"/>
      <c r="F57" s="633"/>
      <c r="G57" s="633"/>
      <c r="H57" s="633"/>
      <c r="I57" s="633"/>
      <c r="J57" s="633"/>
      <c r="K57" s="633">
        <f t="shared" si="3"/>
        <v>0</v>
      </c>
      <c r="L57" s="633">
        <f t="shared" si="4"/>
        <v>0</v>
      </c>
    </row>
    <row r="58" spans="1:12" x14ac:dyDescent="0.2">
      <c r="A58" s="635">
        <v>6101</v>
      </c>
      <c r="B58" s="635" t="str">
        <f t="shared" si="2"/>
        <v>Salaries And Wages</v>
      </c>
      <c r="C58" s="634" t="s">
        <v>696</v>
      </c>
      <c r="D58" s="633"/>
      <c r="E58" s="633"/>
      <c r="F58" s="633"/>
      <c r="G58" s="633"/>
      <c r="H58" s="633"/>
      <c r="I58" s="633"/>
      <c r="J58" s="633"/>
      <c r="K58" s="633">
        <f t="shared" si="3"/>
        <v>0</v>
      </c>
      <c r="L58" s="633">
        <f t="shared" si="4"/>
        <v>0</v>
      </c>
    </row>
    <row r="59" spans="1:12" x14ac:dyDescent="0.2">
      <c r="A59" s="635">
        <v>6102</v>
      </c>
      <c r="B59" s="635" t="str">
        <f t="shared" si="2"/>
        <v>Allowances</v>
      </c>
      <c r="C59" s="634" t="s">
        <v>695</v>
      </c>
      <c r="D59" s="633"/>
      <c r="E59" s="633"/>
      <c r="F59" s="633"/>
      <c r="G59" s="633"/>
      <c r="H59" s="633"/>
      <c r="I59" s="633"/>
      <c r="J59" s="633"/>
      <c r="K59" s="633">
        <f t="shared" si="3"/>
        <v>0</v>
      </c>
      <c r="L59" s="633">
        <f t="shared" si="4"/>
        <v>0</v>
      </c>
    </row>
    <row r="60" spans="1:12" x14ac:dyDescent="0.2">
      <c r="A60" s="635">
        <v>6103</v>
      </c>
      <c r="B60" s="635" t="str">
        <f t="shared" si="2"/>
        <v>Overtime Pay</v>
      </c>
      <c r="C60" s="634" t="s">
        <v>694</v>
      </c>
      <c r="D60" s="633"/>
      <c r="E60" s="633"/>
      <c r="F60" s="633"/>
      <c r="G60" s="633"/>
      <c r="H60" s="633"/>
      <c r="I60" s="633"/>
      <c r="J60" s="633"/>
      <c r="K60" s="633">
        <f t="shared" si="3"/>
        <v>0</v>
      </c>
      <c r="L60" s="633">
        <f t="shared" si="4"/>
        <v>0</v>
      </c>
    </row>
    <row r="61" spans="1:12" x14ac:dyDescent="0.2">
      <c r="A61" s="635">
        <v>6104</v>
      </c>
      <c r="B61" s="635" t="str">
        <f t="shared" si="2"/>
        <v>Holiday Pay</v>
      </c>
      <c r="C61" s="634" t="s">
        <v>693</v>
      </c>
      <c r="D61" s="633"/>
      <c r="E61" s="633"/>
      <c r="F61" s="633"/>
      <c r="G61" s="633"/>
      <c r="H61" s="633"/>
      <c r="I61" s="633"/>
      <c r="J61" s="633"/>
      <c r="K61" s="633">
        <f t="shared" si="3"/>
        <v>0</v>
      </c>
      <c r="L61" s="633">
        <f t="shared" si="4"/>
        <v>0</v>
      </c>
    </row>
    <row r="62" spans="1:12" x14ac:dyDescent="0.2">
      <c r="A62" s="635">
        <v>6105</v>
      </c>
      <c r="B62" s="635" t="str">
        <f t="shared" si="2"/>
        <v>13Th Month And Bonus</v>
      </c>
      <c r="C62" s="634" t="s">
        <v>692</v>
      </c>
      <c r="D62" s="633"/>
      <c r="E62" s="633"/>
      <c r="F62" s="633"/>
      <c r="G62" s="633"/>
      <c r="H62" s="633"/>
      <c r="I62" s="633"/>
      <c r="J62" s="633"/>
      <c r="K62" s="633">
        <f t="shared" si="3"/>
        <v>0</v>
      </c>
      <c r="L62" s="633">
        <f t="shared" si="4"/>
        <v>0</v>
      </c>
    </row>
    <row r="63" spans="1:12" x14ac:dyDescent="0.2">
      <c r="A63" s="635">
        <v>6106</v>
      </c>
      <c r="B63" s="635" t="str">
        <f t="shared" si="2"/>
        <v>Sss Premium Expense</v>
      </c>
      <c r="C63" s="634" t="s">
        <v>691</v>
      </c>
      <c r="D63" s="633"/>
      <c r="E63" s="633"/>
      <c r="F63" s="633"/>
      <c r="G63" s="633"/>
      <c r="H63" s="633"/>
      <c r="I63" s="633"/>
      <c r="J63" s="633"/>
      <c r="K63" s="633">
        <f t="shared" si="3"/>
        <v>0</v>
      </c>
      <c r="L63" s="633">
        <f t="shared" si="4"/>
        <v>0</v>
      </c>
    </row>
    <row r="64" spans="1:12" x14ac:dyDescent="0.2">
      <c r="A64" s="635">
        <v>6107</v>
      </c>
      <c r="B64" s="635" t="str">
        <f t="shared" si="2"/>
        <v>Phic Premium Expense</v>
      </c>
      <c r="C64" s="634" t="s">
        <v>690</v>
      </c>
      <c r="D64" s="633"/>
      <c r="E64" s="633"/>
      <c r="F64" s="633"/>
      <c r="G64" s="633"/>
      <c r="H64" s="633"/>
      <c r="I64" s="633"/>
      <c r="J64" s="633"/>
      <c r="K64" s="633">
        <f t="shared" si="3"/>
        <v>0</v>
      </c>
      <c r="L64" s="633">
        <f t="shared" si="4"/>
        <v>0</v>
      </c>
    </row>
    <row r="65" spans="1:12" x14ac:dyDescent="0.2">
      <c r="A65" s="635">
        <v>6108</v>
      </c>
      <c r="B65" s="635" t="str">
        <f t="shared" si="2"/>
        <v>Hdmf Premium Expense</v>
      </c>
      <c r="C65" s="634" t="s">
        <v>689</v>
      </c>
      <c r="D65" s="633"/>
      <c r="E65" s="633"/>
      <c r="F65" s="633"/>
      <c r="G65" s="633"/>
      <c r="H65" s="633"/>
      <c r="I65" s="633"/>
      <c r="J65" s="633"/>
      <c r="K65" s="633">
        <f t="shared" si="3"/>
        <v>0</v>
      </c>
      <c r="L65" s="633">
        <f t="shared" si="4"/>
        <v>0</v>
      </c>
    </row>
    <row r="66" spans="1:12" x14ac:dyDescent="0.2">
      <c r="A66" s="635">
        <v>6109</v>
      </c>
      <c r="B66" s="635" t="str">
        <f t="shared" si="2"/>
        <v>Employees Meal</v>
      </c>
      <c r="C66" s="634" t="s">
        <v>227</v>
      </c>
      <c r="D66" s="633"/>
      <c r="E66" s="633"/>
      <c r="F66" s="633"/>
      <c r="G66" s="633"/>
      <c r="H66" s="633"/>
      <c r="I66" s="633"/>
      <c r="J66" s="633"/>
      <c r="K66" s="633">
        <f t="shared" si="3"/>
        <v>0</v>
      </c>
      <c r="L66" s="633">
        <f t="shared" si="4"/>
        <v>0</v>
      </c>
    </row>
    <row r="67" spans="1:12" x14ac:dyDescent="0.2">
      <c r="A67" s="635">
        <v>6110</v>
      </c>
      <c r="B67" s="635" t="str">
        <f t="shared" si="2"/>
        <v>Contractual Salaries And Wages</v>
      </c>
      <c r="C67" s="634" t="s">
        <v>688</v>
      </c>
      <c r="D67" s="633"/>
      <c r="E67" s="633"/>
      <c r="F67" s="633"/>
      <c r="G67" s="633"/>
      <c r="H67" s="633"/>
      <c r="I67" s="633"/>
      <c r="J67" s="633"/>
      <c r="K67" s="633">
        <f t="shared" si="3"/>
        <v>0</v>
      </c>
      <c r="L67" s="633">
        <f t="shared" si="4"/>
        <v>0</v>
      </c>
    </row>
    <row r="68" spans="1:12" x14ac:dyDescent="0.2">
      <c r="A68" s="635">
        <v>6200</v>
      </c>
      <c r="B68" s="635" t="str">
        <f t="shared" si="2"/>
        <v>Officer Charge Expense</v>
      </c>
      <c r="C68" s="634" t="s">
        <v>687</v>
      </c>
      <c r="D68" s="633"/>
      <c r="E68" s="633"/>
      <c r="F68" s="633"/>
      <c r="G68" s="633"/>
      <c r="H68" s="633"/>
      <c r="I68" s="633"/>
      <c r="J68" s="633"/>
      <c r="K68" s="633">
        <f t="shared" si="3"/>
        <v>0</v>
      </c>
      <c r="L68" s="633">
        <f t="shared" si="4"/>
        <v>0</v>
      </c>
    </row>
    <row r="69" spans="1:12" x14ac:dyDescent="0.2">
      <c r="A69" s="635">
        <v>6201</v>
      </c>
      <c r="B69" s="635" t="str">
        <f t="shared" si="2"/>
        <v>Space Rent</v>
      </c>
      <c r="C69" s="634" t="s">
        <v>686</v>
      </c>
      <c r="D69" s="633"/>
      <c r="E69" s="633"/>
      <c r="F69" s="633"/>
      <c r="G69" s="633"/>
      <c r="H69" s="633"/>
      <c r="I69" s="633"/>
      <c r="J69" s="633"/>
      <c r="K69" s="633">
        <f t="shared" si="3"/>
        <v>0</v>
      </c>
      <c r="L69" s="633">
        <f t="shared" si="4"/>
        <v>0</v>
      </c>
    </row>
    <row r="70" spans="1:12" x14ac:dyDescent="0.2">
      <c r="A70" s="635">
        <v>6202</v>
      </c>
      <c r="B70" s="635" t="str">
        <f t="shared" si="2"/>
        <v>Equipment Rent</v>
      </c>
      <c r="C70" s="634" t="s">
        <v>685</v>
      </c>
      <c r="D70" s="633"/>
      <c r="E70" s="633"/>
      <c r="F70" s="633"/>
      <c r="G70" s="633"/>
      <c r="H70" s="633"/>
      <c r="I70" s="633"/>
      <c r="J70" s="633"/>
      <c r="K70" s="633">
        <f t="shared" si="3"/>
        <v>0</v>
      </c>
      <c r="L70" s="633">
        <f t="shared" si="4"/>
        <v>0</v>
      </c>
    </row>
    <row r="71" spans="1:12" x14ac:dyDescent="0.2">
      <c r="A71" s="635">
        <v>6204</v>
      </c>
      <c r="B71" s="635" t="str">
        <f t="shared" si="2"/>
        <v>Telephone</v>
      </c>
      <c r="C71" s="634" t="s">
        <v>112</v>
      </c>
      <c r="D71" s="633"/>
      <c r="E71" s="633"/>
      <c r="F71" s="633"/>
      <c r="G71" s="633"/>
      <c r="H71" s="633"/>
      <c r="I71" s="633"/>
      <c r="J71" s="633"/>
      <c r="K71" s="633">
        <f t="shared" si="3"/>
        <v>0</v>
      </c>
      <c r="L71" s="633">
        <f t="shared" si="4"/>
        <v>0</v>
      </c>
    </row>
    <row r="72" spans="1:12" x14ac:dyDescent="0.2">
      <c r="A72" s="635">
        <v>6211</v>
      </c>
      <c r="B72" s="635" t="str">
        <f t="shared" si="2"/>
        <v>Utensils / Equipment</v>
      </c>
      <c r="C72" s="634" t="s">
        <v>120</v>
      </c>
      <c r="D72" s="633"/>
      <c r="E72" s="633"/>
      <c r="F72" s="633"/>
      <c r="G72" s="633"/>
      <c r="H72" s="633"/>
      <c r="I72" s="633"/>
      <c r="J72" s="633"/>
      <c r="K72" s="633">
        <f t="shared" ref="K72:K96" si="5">SUM(E72:J72)</f>
        <v>0</v>
      </c>
      <c r="L72" s="633">
        <f t="shared" ref="L72:L96" si="6">+D72+K72</f>
        <v>0</v>
      </c>
    </row>
    <row r="73" spans="1:12" x14ac:dyDescent="0.2">
      <c r="A73" s="635">
        <v>6212</v>
      </c>
      <c r="B73" s="635" t="str">
        <f t="shared" ref="B73:B96" si="7">PROPER(C73)</f>
        <v>Office Supplies</v>
      </c>
      <c r="C73" s="634" t="s">
        <v>109</v>
      </c>
      <c r="D73" s="633"/>
      <c r="E73" s="633"/>
      <c r="F73" s="633"/>
      <c r="G73" s="633"/>
      <c r="H73" s="633"/>
      <c r="I73" s="633"/>
      <c r="J73" s="633"/>
      <c r="K73" s="633">
        <f t="shared" si="5"/>
        <v>0</v>
      </c>
      <c r="L73" s="633">
        <f t="shared" si="6"/>
        <v>0</v>
      </c>
    </row>
    <row r="74" spans="1:12" x14ac:dyDescent="0.2">
      <c r="A74" s="635">
        <v>6214</v>
      </c>
      <c r="B74" s="635" t="str">
        <f t="shared" si="7"/>
        <v>Bar Supplies</v>
      </c>
      <c r="C74" s="634" t="s">
        <v>126</v>
      </c>
      <c r="D74" s="633"/>
      <c r="E74" s="633"/>
      <c r="F74" s="633"/>
      <c r="G74" s="633"/>
      <c r="H74" s="633"/>
      <c r="I74" s="633"/>
      <c r="J74" s="633"/>
      <c r="K74" s="633">
        <f t="shared" si="5"/>
        <v>0</v>
      </c>
      <c r="L74" s="633">
        <f t="shared" si="6"/>
        <v>0</v>
      </c>
    </row>
    <row r="75" spans="1:12" x14ac:dyDescent="0.2">
      <c r="A75" s="635">
        <v>6217</v>
      </c>
      <c r="B75" s="635" t="str">
        <f t="shared" si="7"/>
        <v>Guest Supplies</v>
      </c>
      <c r="C75" s="634" t="s">
        <v>124</v>
      </c>
      <c r="D75" s="633"/>
      <c r="E75" s="633"/>
      <c r="F75" s="633"/>
      <c r="G75" s="633"/>
      <c r="H75" s="633"/>
      <c r="I75" s="633"/>
      <c r="J75" s="633"/>
      <c r="K75" s="633">
        <f t="shared" si="5"/>
        <v>0</v>
      </c>
      <c r="L75" s="633">
        <f t="shared" si="6"/>
        <v>0</v>
      </c>
    </row>
    <row r="76" spans="1:12" x14ac:dyDescent="0.2">
      <c r="A76" s="635">
        <v>6218</v>
      </c>
      <c r="B76" s="635" t="str">
        <f t="shared" si="7"/>
        <v>Dining Supplies</v>
      </c>
      <c r="C76" s="634" t="s">
        <v>125</v>
      </c>
      <c r="D76" s="633"/>
      <c r="E76" s="633"/>
      <c r="F76" s="633"/>
      <c r="G76" s="633"/>
      <c r="H76" s="633"/>
      <c r="I76" s="633"/>
      <c r="J76" s="633"/>
      <c r="K76" s="633">
        <f t="shared" si="5"/>
        <v>0</v>
      </c>
      <c r="L76" s="633">
        <f t="shared" si="6"/>
        <v>0</v>
      </c>
    </row>
    <row r="77" spans="1:12" x14ac:dyDescent="0.2">
      <c r="A77" s="635">
        <v>6219</v>
      </c>
      <c r="B77" s="635" t="str">
        <f t="shared" si="7"/>
        <v>Cleaning Supplies</v>
      </c>
      <c r="C77" s="634" t="s">
        <v>123</v>
      </c>
      <c r="D77" s="633"/>
      <c r="E77" s="633"/>
      <c r="F77" s="633"/>
      <c r="G77" s="633"/>
      <c r="H77" s="633"/>
      <c r="I77" s="633"/>
      <c r="J77" s="633"/>
      <c r="K77" s="633">
        <f t="shared" si="5"/>
        <v>0</v>
      </c>
      <c r="L77" s="633">
        <f t="shared" si="6"/>
        <v>0</v>
      </c>
    </row>
    <row r="78" spans="1:12" x14ac:dyDescent="0.2">
      <c r="A78" s="635">
        <v>6220</v>
      </c>
      <c r="B78" s="635" t="str">
        <f t="shared" si="7"/>
        <v>Packaging Supplies</v>
      </c>
      <c r="C78" s="634" t="s">
        <v>122</v>
      </c>
      <c r="D78" s="633"/>
      <c r="E78" s="633"/>
      <c r="F78" s="633"/>
      <c r="G78" s="633"/>
      <c r="H78" s="633"/>
      <c r="I78" s="633"/>
      <c r="J78" s="633"/>
      <c r="K78" s="633">
        <f t="shared" si="5"/>
        <v>0</v>
      </c>
      <c r="L78" s="633">
        <f t="shared" si="6"/>
        <v>0</v>
      </c>
    </row>
    <row r="79" spans="1:12" x14ac:dyDescent="0.2">
      <c r="A79" s="635">
        <v>6223</v>
      </c>
      <c r="B79" s="635" t="str">
        <f t="shared" si="7"/>
        <v>Repairs And Maintenance</v>
      </c>
      <c r="C79" s="634" t="s">
        <v>684</v>
      </c>
      <c r="D79" s="633"/>
      <c r="E79" s="633"/>
      <c r="F79" s="633"/>
      <c r="G79" s="633"/>
      <c r="H79" s="633"/>
      <c r="I79" s="633"/>
      <c r="J79" s="633"/>
      <c r="K79" s="633">
        <f t="shared" si="5"/>
        <v>0</v>
      </c>
      <c r="L79" s="633">
        <f t="shared" si="6"/>
        <v>0</v>
      </c>
    </row>
    <row r="80" spans="1:12" x14ac:dyDescent="0.2">
      <c r="A80" s="635">
        <v>6229</v>
      </c>
      <c r="B80" s="635" t="str">
        <f t="shared" si="7"/>
        <v>Medical Supplies</v>
      </c>
      <c r="C80" s="634" t="s">
        <v>121</v>
      </c>
      <c r="D80" s="633"/>
      <c r="E80" s="633"/>
      <c r="F80" s="633"/>
      <c r="G80" s="633"/>
      <c r="H80" s="633"/>
      <c r="I80" s="633"/>
      <c r="J80" s="633"/>
      <c r="K80" s="633">
        <f t="shared" si="5"/>
        <v>0</v>
      </c>
      <c r="L80" s="633">
        <f t="shared" si="6"/>
        <v>0</v>
      </c>
    </row>
    <row r="81" spans="1:12" x14ac:dyDescent="0.2">
      <c r="A81" s="635">
        <v>6230</v>
      </c>
      <c r="B81" s="635" t="str">
        <f t="shared" si="7"/>
        <v>Transpo</v>
      </c>
      <c r="C81" s="634" t="s">
        <v>527</v>
      </c>
      <c r="D81" s="633"/>
      <c r="E81" s="633"/>
      <c r="F81" s="633"/>
      <c r="G81" s="633"/>
      <c r="H81" s="633"/>
      <c r="I81" s="633"/>
      <c r="J81" s="633"/>
      <c r="K81" s="633">
        <f t="shared" si="5"/>
        <v>0</v>
      </c>
      <c r="L81" s="633">
        <f t="shared" si="6"/>
        <v>0</v>
      </c>
    </row>
    <row r="82" spans="1:12" x14ac:dyDescent="0.2">
      <c r="A82" s="635">
        <v>6231</v>
      </c>
      <c r="B82" s="635" t="str">
        <f t="shared" si="7"/>
        <v>Photocopy</v>
      </c>
      <c r="C82" s="634" t="s">
        <v>683</v>
      </c>
      <c r="D82" s="633"/>
      <c r="E82" s="633"/>
      <c r="F82" s="633"/>
      <c r="G82" s="633"/>
      <c r="H82" s="633"/>
      <c r="I82" s="633"/>
      <c r="J82" s="633"/>
      <c r="K82" s="633">
        <f t="shared" si="5"/>
        <v>0</v>
      </c>
      <c r="L82" s="633">
        <f t="shared" si="6"/>
        <v>0</v>
      </c>
    </row>
    <row r="83" spans="1:12" x14ac:dyDescent="0.2">
      <c r="A83" s="635">
        <v>6232</v>
      </c>
      <c r="B83" s="635" t="str">
        <f t="shared" si="7"/>
        <v>Décors</v>
      </c>
      <c r="C83" s="634" t="s">
        <v>682</v>
      </c>
      <c r="D83" s="633"/>
      <c r="E83" s="633"/>
      <c r="F83" s="633"/>
      <c r="G83" s="633"/>
      <c r="H83" s="633"/>
      <c r="I83" s="633"/>
      <c r="J83" s="633"/>
      <c r="K83" s="633">
        <f t="shared" si="5"/>
        <v>0</v>
      </c>
      <c r="L83" s="633">
        <f t="shared" si="6"/>
        <v>0</v>
      </c>
    </row>
    <row r="84" spans="1:12" x14ac:dyDescent="0.2">
      <c r="A84" s="635">
        <v>6234</v>
      </c>
      <c r="B84" s="635" t="str">
        <f t="shared" si="7"/>
        <v>Pest Control</v>
      </c>
      <c r="C84" s="634" t="s">
        <v>115</v>
      </c>
      <c r="D84" s="633"/>
      <c r="E84" s="633"/>
      <c r="F84" s="633"/>
      <c r="G84" s="633"/>
      <c r="H84" s="633"/>
      <c r="I84" s="633"/>
      <c r="J84" s="633"/>
      <c r="K84" s="633">
        <f t="shared" si="5"/>
        <v>0</v>
      </c>
      <c r="L84" s="633">
        <f t="shared" si="6"/>
        <v>0</v>
      </c>
    </row>
    <row r="85" spans="1:12" x14ac:dyDescent="0.2">
      <c r="A85" s="635">
        <v>6308</v>
      </c>
      <c r="B85" s="635" t="str">
        <f t="shared" si="7"/>
        <v>Insurance</v>
      </c>
      <c r="C85" s="634" t="s">
        <v>118</v>
      </c>
      <c r="D85" s="633"/>
      <c r="E85" s="633"/>
      <c r="F85" s="633"/>
      <c r="G85" s="633"/>
      <c r="H85" s="633"/>
      <c r="I85" s="633"/>
      <c r="J85" s="633"/>
      <c r="K85" s="633">
        <f t="shared" si="5"/>
        <v>0</v>
      </c>
      <c r="L85" s="633">
        <f t="shared" si="6"/>
        <v>0</v>
      </c>
    </row>
    <row r="86" spans="1:12" x14ac:dyDescent="0.2">
      <c r="A86" s="635">
        <v>6312</v>
      </c>
      <c r="B86" s="635" t="str">
        <f t="shared" si="7"/>
        <v>Accounting Fee</v>
      </c>
      <c r="C86" s="634" t="s">
        <v>117</v>
      </c>
      <c r="D86" s="633"/>
      <c r="E86" s="633"/>
      <c r="F86" s="633"/>
      <c r="G86" s="633"/>
      <c r="H86" s="633"/>
      <c r="I86" s="633"/>
      <c r="J86" s="633"/>
      <c r="K86" s="633">
        <f t="shared" si="5"/>
        <v>0</v>
      </c>
      <c r="L86" s="633">
        <f t="shared" si="6"/>
        <v>0</v>
      </c>
    </row>
    <row r="87" spans="1:12" x14ac:dyDescent="0.2">
      <c r="A87" s="635">
        <v>6313</v>
      </c>
      <c r="B87" s="635" t="str">
        <f t="shared" si="7"/>
        <v>Security Services</v>
      </c>
      <c r="C87" s="634" t="s">
        <v>116</v>
      </c>
      <c r="D87" s="633"/>
      <c r="E87" s="633"/>
      <c r="F87" s="633"/>
      <c r="G87" s="633"/>
      <c r="H87" s="633"/>
      <c r="I87" s="633"/>
      <c r="J87" s="633"/>
      <c r="K87" s="633">
        <f t="shared" si="5"/>
        <v>0</v>
      </c>
      <c r="L87" s="633">
        <f t="shared" si="6"/>
        <v>0</v>
      </c>
    </row>
    <row r="88" spans="1:12" x14ac:dyDescent="0.2">
      <c r="A88" s="635">
        <v>6315</v>
      </c>
      <c r="B88" s="635" t="str">
        <f t="shared" si="7"/>
        <v>Marketing Support</v>
      </c>
      <c r="C88" s="634" t="s">
        <v>114</v>
      </c>
      <c r="D88" s="633"/>
      <c r="E88" s="633"/>
      <c r="F88" s="633"/>
      <c r="G88" s="633"/>
      <c r="H88" s="633"/>
      <c r="I88" s="633"/>
      <c r="J88" s="633"/>
      <c r="K88" s="633">
        <f t="shared" si="5"/>
        <v>0</v>
      </c>
      <c r="L88" s="633">
        <f t="shared" si="6"/>
        <v>0</v>
      </c>
    </row>
    <row r="89" spans="1:12" x14ac:dyDescent="0.2">
      <c r="A89" s="635">
        <v>6316</v>
      </c>
      <c r="B89" s="635" t="str">
        <f t="shared" si="7"/>
        <v>Consultancy</v>
      </c>
      <c r="C89" s="634" t="s">
        <v>113</v>
      </c>
      <c r="D89" s="633"/>
      <c r="E89" s="633"/>
      <c r="F89" s="633"/>
      <c r="G89" s="633"/>
      <c r="H89" s="633"/>
      <c r="I89" s="633"/>
      <c r="J89" s="633"/>
      <c r="K89" s="633">
        <f t="shared" si="5"/>
        <v>0</v>
      </c>
      <c r="L89" s="633">
        <f t="shared" si="6"/>
        <v>0</v>
      </c>
    </row>
    <row r="90" spans="1:12" x14ac:dyDescent="0.2">
      <c r="A90" s="635">
        <v>6317</v>
      </c>
      <c r="B90" s="635" t="str">
        <f t="shared" si="7"/>
        <v>Marketing Expense</v>
      </c>
      <c r="C90" s="634" t="s">
        <v>681</v>
      </c>
      <c r="D90" s="633"/>
      <c r="E90" s="633"/>
      <c r="F90" s="633"/>
      <c r="G90" s="633"/>
      <c r="H90" s="633"/>
      <c r="I90" s="633"/>
      <c r="J90" s="633"/>
      <c r="K90" s="633">
        <f t="shared" si="5"/>
        <v>0</v>
      </c>
      <c r="L90" s="633">
        <f t="shared" si="6"/>
        <v>0</v>
      </c>
    </row>
    <row r="91" spans="1:12" x14ac:dyDescent="0.2">
      <c r="A91" s="635">
        <v>6318</v>
      </c>
      <c r="B91" s="635" t="str">
        <f t="shared" si="7"/>
        <v>Credit Card Commission</v>
      </c>
      <c r="C91" s="634" t="s">
        <v>680</v>
      </c>
      <c r="D91" s="633"/>
      <c r="E91" s="633">
        <f>sales!M103</f>
        <v>5492.6901400000006</v>
      </c>
      <c r="F91" s="633"/>
      <c r="G91" s="633"/>
      <c r="H91" s="633"/>
      <c r="I91" s="633"/>
      <c r="J91" s="633"/>
      <c r="K91" s="633">
        <f t="shared" si="5"/>
        <v>5492.6901400000006</v>
      </c>
      <c r="L91" s="633">
        <f t="shared" si="6"/>
        <v>5492.6901400000006</v>
      </c>
    </row>
    <row r="92" spans="1:12" x14ac:dyDescent="0.2">
      <c r="A92" s="635">
        <v>6401</v>
      </c>
      <c r="B92" s="635" t="str">
        <f t="shared" si="7"/>
        <v>Director'S Fee</v>
      </c>
      <c r="C92" s="634" t="s">
        <v>679</v>
      </c>
      <c r="D92" s="633"/>
      <c r="E92" s="633"/>
      <c r="F92" s="633"/>
      <c r="G92" s="633"/>
      <c r="H92" s="633"/>
      <c r="I92" s="633"/>
      <c r="J92" s="633"/>
      <c r="K92" s="633">
        <f t="shared" si="5"/>
        <v>0</v>
      </c>
      <c r="L92" s="633">
        <f t="shared" si="6"/>
        <v>0</v>
      </c>
    </row>
    <row r="93" spans="1:12" x14ac:dyDescent="0.2">
      <c r="A93" s="635">
        <v>6402</v>
      </c>
      <c r="B93" s="635" t="str">
        <f t="shared" si="7"/>
        <v>Accounting Services</v>
      </c>
      <c r="C93" s="634" t="s">
        <v>678</v>
      </c>
      <c r="D93" s="633"/>
      <c r="E93" s="633"/>
      <c r="F93" s="633"/>
      <c r="G93" s="633"/>
      <c r="H93" s="633"/>
      <c r="I93" s="633"/>
      <c r="J93" s="633"/>
      <c r="K93" s="633">
        <f t="shared" si="5"/>
        <v>0</v>
      </c>
      <c r="L93" s="633">
        <f t="shared" si="6"/>
        <v>0</v>
      </c>
    </row>
    <row r="94" spans="1:12" x14ac:dyDescent="0.2">
      <c r="A94" s="635">
        <v>6901</v>
      </c>
      <c r="B94" s="635" t="str">
        <f t="shared" si="7"/>
        <v>Loss On Spoilages</v>
      </c>
      <c r="C94" s="634" t="s">
        <v>677</v>
      </c>
      <c r="D94" s="633"/>
      <c r="E94" s="633"/>
      <c r="F94" s="633"/>
      <c r="G94" s="633"/>
      <c r="H94" s="633"/>
      <c r="I94" s="633"/>
      <c r="J94" s="633"/>
      <c r="K94" s="633">
        <f t="shared" si="5"/>
        <v>0</v>
      </c>
      <c r="L94" s="633">
        <f t="shared" si="6"/>
        <v>0</v>
      </c>
    </row>
    <row r="95" spans="1:12" x14ac:dyDescent="0.2">
      <c r="A95" s="635">
        <v>6902</v>
      </c>
      <c r="B95" s="635" t="str">
        <f t="shared" si="7"/>
        <v>Cash Shortage</v>
      </c>
      <c r="C95" s="634" t="s">
        <v>676</v>
      </c>
      <c r="D95" s="633"/>
      <c r="E95" s="633">
        <f>sales!G103</f>
        <v>1.2100000000009459</v>
      </c>
      <c r="F95" s="633"/>
      <c r="G95" s="633"/>
      <c r="H95" s="633"/>
      <c r="I95" s="633"/>
      <c r="J95" s="633"/>
      <c r="K95" s="633">
        <f t="shared" si="5"/>
        <v>1.2100000000009459</v>
      </c>
      <c r="L95" s="633">
        <f t="shared" si="6"/>
        <v>1.2100000000009459</v>
      </c>
    </row>
    <row r="96" spans="1:12" x14ac:dyDescent="0.2">
      <c r="A96" s="635">
        <v>6999</v>
      </c>
      <c r="B96" s="635" t="str">
        <f t="shared" si="7"/>
        <v>Miscellaneous</v>
      </c>
      <c r="C96" s="634" t="s">
        <v>675</v>
      </c>
      <c r="D96" s="633"/>
      <c r="E96" s="633"/>
      <c r="F96" s="633"/>
      <c r="G96" s="633"/>
      <c r="H96" s="633"/>
      <c r="I96" s="633"/>
      <c r="J96" s="633"/>
      <c r="K96" s="633">
        <f t="shared" si="5"/>
        <v>0</v>
      </c>
      <c r="L96" s="633">
        <f t="shared" si="6"/>
        <v>0</v>
      </c>
    </row>
    <row r="97" spans="1:12" x14ac:dyDescent="0.2">
      <c r="A97" s="635"/>
      <c r="B97" s="635"/>
      <c r="C97" s="634"/>
      <c r="D97" s="633"/>
      <c r="E97" s="633"/>
      <c r="F97" s="633"/>
      <c r="G97" s="633"/>
      <c r="H97" s="633"/>
      <c r="I97" s="633"/>
      <c r="J97" s="633"/>
      <c r="K97" s="633"/>
      <c r="L97" s="633"/>
    </row>
    <row r="99" spans="1:12" x14ac:dyDescent="0.2">
      <c r="A99" s="632" t="s">
        <v>674</v>
      </c>
      <c r="B99" s="632"/>
      <c r="C99" s="632"/>
      <c r="D99" s="631">
        <f t="shared" ref="D99:L99" si="8">SUM(D6:D98)</f>
        <v>0</v>
      </c>
      <c r="E99" s="631">
        <f t="shared" si="8"/>
        <v>907708.61279999977</v>
      </c>
      <c r="F99" s="631">
        <f t="shared" si="8"/>
        <v>0</v>
      </c>
      <c r="G99" s="631">
        <f t="shared" si="8"/>
        <v>0</v>
      </c>
      <c r="H99" s="631">
        <f t="shared" si="8"/>
        <v>0</v>
      </c>
      <c r="I99" s="631">
        <f t="shared" si="8"/>
        <v>0</v>
      </c>
      <c r="J99" s="631">
        <f t="shared" si="8"/>
        <v>0</v>
      </c>
      <c r="K99" s="631">
        <f t="shared" si="8"/>
        <v>907708.61279999977</v>
      </c>
      <c r="L99" s="631">
        <f t="shared" si="8"/>
        <v>907708.61279999977</v>
      </c>
    </row>
  </sheetData>
  <mergeCells count="8">
    <mergeCell ref="E5:L5"/>
    <mergeCell ref="C5:C7"/>
    <mergeCell ref="D6:D7"/>
    <mergeCell ref="E6:E7"/>
    <mergeCell ref="F6:F7"/>
    <mergeCell ref="G6:G7"/>
    <mergeCell ref="H6:H7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88"/>
  <sheetViews>
    <sheetView topLeftCell="A6" workbookViewId="0">
      <pane xSplit="2" ySplit="2" topLeftCell="AI92" activePane="bottomRight" state="frozen"/>
      <selection activeCell="A6" sqref="A6"/>
      <selection pane="topRight" activeCell="C6" sqref="C6"/>
      <selection pane="bottomLeft" activeCell="A8" sqref="A8"/>
      <selection pane="bottomRight" activeCell="AP103" sqref="AP103"/>
    </sheetView>
  </sheetViews>
  <sheetFormatPr defaultColWidth="9.140625" defaultRowHeight="15" x14ac:dyDescent="0.25"/>
  <cols>
    <col min="1" max="1" width="13" style="469" customWidth="1"/>
    <col min="2" max="2" width="5.28515625" style="469" hidden="1" customWidth="1"/>
    <col min="3" max="3" width="21" style="469" customWidth="1"/>
    <col min="4" max="29" width="10.7109375" style="469" customWidth="1"/>
    <col min="30" max="30" width="12.140625" style="469" customWidth="1"/>
    <col min="31" max="31" width="19.28515625" style="469" customWidth="1"/>
    <col min="32" max="38" width="10.7109375" style="469" customWidth="1"/>
    <col min="39" max="39" width="11.42578125" style="469" customWidth="1"/>
    <col min="40" max="40" width="15.28515625" style="469" customWidth="1"/>
    <col min="41" max="41" width="10.7109375" style="469" customWidth="1"/>
    <col min="42" max="42" width="12" style="469" customWidth="1"/>
    <col min="43" max="57" width="10.7109375" style="469" customWidth="1"/>
    <col min="58" max="58" width="10.7109375" style="469" hidden="1" customWidth="1"/>
    <col min="59" max="59" width="10.7109375" style="469" customWidth="1"/>
    <col min="60" max="60" width="13" style="469" customWidth="1"/>
    <col min="61" max="70" width="10.7109375" style="469" customWidth="1"/>
    <col min="71" max="72" width="9.140625" style="469"/>
    <col min="73" max="125" width="12.7109375" style="470" customWidth="1"/>
    <col min="126" max="16384" width="9.140625" style="469"/>
  </cols>
  <sheetData>
    <row r="1" spans="1:125" ht="15.75" hidden="1" thickBot="1" x14ac:dyDescent="0.3">
      <c r="A1" s="478" t="s">
        <v>635</v>
      </c>
      <c r="B1" s="478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478"/>
      <c r="N1" s="478"/>
      <c r="O1" s="478"/>
      <c r="P1" s="478"/>
      <c r="Q1" s="478"/>
      <c r="R1" s="573"/>
      <c r="S1" s="573"/>
      <c r="T1" s="478"/>
      <c r="U1" s="478"/>
      <c r="V1" s="478"/>
      <c r="W1" s="478"/>
      <c r="X1" s="478"/>
      <c r="Y1" s="573"/>
      <c r="Z1" s="573"/>
      <c r="AA1" s="573"/>
      <c r="AB1" s="573"/>
      <c r="AC1" s="573"/>
      <c r="AD1" s="573"/>
      <c r="AE1" s="573"/>
      <c r="AF1" s="573"/>
      <c r="AG1" s="573"/>
      <c r="AH1" s="573"/>
      <c r="AI1" s="573"/>
      <c r="AJ1" s="573"/>
      <c r="AK1" s="481"/>
      <c r="AL1" s="481"/>
      <c r="AM1" s="573"/>
      <c r="AN1" s="573"/>
      <c r="AO1" s="573"/>
      <c r="AP1" s="478"/>
      <c r="AQ1" s="470"/>
      <c r="AR1" s="478"/>
      <c r="AS1" s="576"/>
      <c r="AT1" s="576"/>
      <c r="AU1" s="576"/>
      <c r="AV1" s="576"/>
      <c r="AW1" s="575"/>
      <c r="AX1" s="575"/>
      <c r="AY1" s="575"/>
      <c r="AZ1" s="575"/>
      <c r="BA1" s="470"/>
      <c r="BB1" s="470"/>
      <c r="BC1" s="470"/>
      <c r="BD1" s="470"/>
      <c r="BE1" s="470"/>
      <c r="BF1" s="470"/>
      <c r="BG1" s="470"/>
      <c r="BH1" s="470"/>
      <c r="BI1" s="470"/>
      <c r="BJ1" s="470"/>
      <c r="BK1" s="470"/>
      <c r="BL1" s="470"/>
      <c r="BM1" s="470"/>
      <c r="BN1" s="470"/>
      <c r="BO1" s="470"/>
      <c r="BP1" s="470"/>
      <c r="BQ1" s="470"/>
      <c r="BR1" s="470"/>
    </row>
    <row r="2" spans="1:125" ht="15.75" hidden="1" thickBot="1" x14ac:dyDescent="0.3">
      <c r="A2" s="478" t="s">
        <v>59</v>
      </c>
      <c r="B2" s="478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478"/>
      <c r="N2" s="478"/>
      <c r="O2" s="478"/>
      <c r="P2" s="478"/>
      <c r="Q2" s="478"/>
      <c r="R2" s="573"/>
      <c r="S2" s="573"/>
      <c r="T2" s="478"/>
      <c r="U2" s="478"/>
      <c r="V2" s="478"/>
      <c r="W2" s="478"/>
      <c r="X2" s="478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481"/>
      <c r="AL2" s="481"/>
      <c r="AM2" s="573"/>
      <c r="AN2" s="573"/>
      <c r="AO2" s="573"/>
      <c r="AP2" s="478"/>
      <c r="AQ2" s="470"/>
      <c r="AR2" s="478"/>
      <c r="AS2" s="576"/>
      <c r="AT2" s="576"/>
      <c r="AU2" s="576"/>
      <c r="AV2" s="576"/>
      <c r="AW2" s="575"/>
      <c r="AX2" s="575"/>
      <c r="AY2" s="575"/>
      <c r="AZ2" s="575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</row>
    <row r="3" spans="1:125" ht="15.75" hidden="1" thickBot="1" x14ac:dyDescent="0.3">
      <c r="A3" s="478" t="s">
        <v>634</v>
      </c>
      <c r="B3" s="478"/>
      <c r="C3" s="572"/>
      <c r="D3" s="572"/>
      <c r="E3" s="572"/>
      <c r="F3" s="572"/>
      <c r="G3" s="572"/>
      <c r="H3" s="572"/>
      <c r="I3" s="573"/>
      <c r="J3" s="573"/>
      <c r="K3" s="573"/>
      <c r="L3" s="573"/>
      <c r="M3" s="478"/>
      <c r="N3" s="478"/>
      <c r="O3" s="478"/>
      <c r="P3" s="478"/>
      <c r="Q3" s="478"/>
      <c r="R3" s="573"/>
      <c r="S3" s="573"/>
      <c r="T3" s="478"/>
      <c r="U3" s="478"/>
      <c r="V3" s="478"/>
      <c r="W3" s="478"/>
      <c r="X3" s="478"/>
      <c r="Y3" s="573"/>
      <c r="Z3" s="573"/>
      <c r="AA3" s="573"/>
      <c r="AB3" s="577"/>
      <c r="AC3" s="573"/>
      <c r="AD3" s="573"/>
      <c r="AE3" s="573"/>
      <c r="AF3" s="573"/>
      <c r="AG3" s="573"/>
      <c r="AH3" s="573"/>
      <c r="AI3" s="573"/>
      <c r="AJ3" s="572"/>
      <c r="AK3" s="478"/>
      <c r="AL3" s="478"/>
      <c r="AM3" s="573"/>
      <c r="AN3" s="573"/>
      <c r="AO3" s="573"/>
      <c r="AP3" s="478"/>
      <c r="AQ3" s="470"/>
      <c r="AR3" s="478"/>
      <c r="AS3" s="576"/>
      <c r="AT3" s="576"/>
      <c r="AU3" s="576"/>
      <c r="AV3" s="576"/>
      <c r="AW3" s="575"/>
      <c r="AX3" s="575"/>
      <c r="AY3" s="575"/>
      <c r="AZ3" s="575"/>
      <c r="BA3" s="470"/>
      <c r="BB3" s="470"/>
      <c r="BC3" s="470"/>
      <c r="BD3" s="470"/>
      <c r="BE3" s="470"/>
      <c r="BF3" s="470"/>
      <c r="BG3" s="470"/>
      <c r="BH3" s="470"/>
      <c r="BI3" s="470"/>
      <c r="BJ3" s="470"/>
      <c r="BK3" s="470"/>
      <c r="BL3" s="470"/>
      <c r="BM3" s="470"/>
      <c r="BN3" s="470"/>
      <c r="BO3" s="470"/>
      <c r="BP3" s="470"/>
      <c r="BQ3" s="470"/>
      <c r="BR3" s="470"/>
    </row>
    <row r="4" spans="1:125" ht="24" hidden="1" thickBot="1" x14ac:dyDescent="0.3">
      <c r="A4" s="574" t="s">
        <v>633</v>
      </c>
      <c r="B4" s="478"/>
      <c r="C4" s="572"/>
      <c r="D4" s="572"/>
      <c r="E4" s="572"/>
      <c r="F4" s="572"/>
      <c r="G4" s="572"/>
      <c r="H4" s="572"/>
      <c r="I4" s="572"/>
      <c r="J4" s="573"/>
      <c r="K4" s="572"/>
      <c r="L4" s="573"/>
      <c r="M4" s="478"/>
      <c r="N4" s="478"/>
      <c r="O4" s="478"/>
      <c r="P4" s="478"/>
      <c r="Q4" s="478"/>
      <c r="R4" s="573"/>
      <c r="S4" s="573"/>
      <c r="T4" s="478"/>
      <c r="U4" s="478"/>
      <c r="V4" s="478"/>
      <c r="W4" s="478"/>
      <c r="X4" s="478"/>
      <c r="Y4" s="573"/>
      <c r="Z4" s="572"/>
      <c r="AA4" s="573"/>
      <c r="AB4" s="572"/>
      <c r="AC4" s="478"/>
      <c r="AD4" s="478"/>
      <c r="AE4" s="573"/>
      <c r="AF4" s="573"/>
      <c r="AG4" s="573"/>
      <c r="AH4" s="573"/>
      <c r="AI4" s="573"/>
      <c r="AJ4" s="572"/>
      <c r="AK4" s="478"/>
      <c r="AL4" s="481"/>
      <c r="AM4" s="470"/>
      <c r="AN4" s="470"/>
      <c r="AO4" s="478"/>
      <c r="AP4" s="470"/>
      <c r="AQ4" s="470"/>
      <c r="AR4" s="470"/>
      <c r="AS4" s="470"/>
      <c r="AT4" s="470"/>
      <c r="AU4" s="470"/>
      <c r="AV4" s="470"/>
      <c r="AW4" s="470"/>
      <c r="AX4" s="470"/>
      <c r="AY4" s="470"/>
      <c r="AZ4" s="470"/>
      <c r="BA4" s="470"/>
      <c r="BB4" s="470"/>
      <c r="BC4" s="470"/>
      <c r="BD4" s="470"/>
      <c r="BE4" s="470"/>
      <c r="BF4" s="470"/>
      <c r="BG4" s="470"/>
      <c r="BH4" s="470"/>
      <c r="BI4" s="470"/>
      <c r="BJ4" s="470"/>
      <c r="BK4" s="470"/>
      <c r="BL4" s="470"/>
      <c r="BM4" s="470"/>
      <c r="BN4" s="470"/>
      <c r="BO4" s="470"/>
      <c r="BP4" s="470"/>
      <c r="BQ4" s="470"/>
      <c r="BR4" s="470"/>
      <c r="CT4" s="566"/>
      <c r="CU4" s="566"/>
      <c r="CV4" s="566"/>
      <c r="CW4" s="566"/>
      <c r="CX4" s="566"/>
      <c r="CY4" s="566"/>
      <c r="CZ4" s="566"/>
      <c r="DA4" s="566"/>
      <c r="DB4" s="566"/>
      <c r="DC4" s="566"/>
      <c r="DD4" s="566"/>
      <c r="DE4" s="566" t="s">
        <v>525</v>
      </c>
      <c r="DF4" s="566"/>
      <c r="DG4" s="566" t="s">
        <v>590</v>
      </c>
      <c r="DH4" s="566" t="s">
        <v>589</v>
      </c>
      <c r="DI4" s="566"/>
      <c r="DJ4" s="566"/>
      <c r="DK4" s="566"/>
      <c r="DL4" s="566"/>
      <c r="DM4" s="566"/>
      <c r="DN4" s="566"/>
      <c r="DO4" s="566"/>
      <c r="DP4" s="566"/>
      <c r="DQ4" s="566"/>
      <c r="DR4" s="566"/>
      <c r="DS4" s="566"/>
      <c r="DT4" s="566"/>
      <c r="DU4" s="566" t="s">
        <v>567</v>
      </c>
    </row>
    <row r="5" spans="1:125" ht="24" hidden="1" thickBot="1" x14ac:dyDescent="0.3">
      <c r="A5" s="470"/>
      <c r="B5" s="470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71">
        <v>2.1499999999999998E-2</v>
      </c>
      <c r="N5" s="570">
        <v>5.0000000000000001E-3</v>
      </c>
      <c r="O5" s="485"/>
      <c r="P5" s="569"/>
      <c r="Q5" s="569"/>
      <c r="R5" s="568"/>
      <c r="S5" s="568"/>
      <c r="T5" s="571">
        <v>2.2499999999999999E-2</v>
      </c>
      <c r="U5" s="570">
        <v>5.0000000000000001E-3</v>
      </c>
      <c r="V5" s="569"/>
      <c r="W5" s="569"/>
      <c r="X5" s="569"/>
      <c r="Y5" s="568"/>
      <c r="Z5" s="568"/>
      <c r="AA5" s="568"/>
      <c r="AB5" s="568"/>
      <c r="AC5" s="568"/>
      <c r="AD5" s="568"/>
      <c r="AE5" s="568"/>
      <c r="AF5" s="568"/>
      <c r="AG5" s="568"/>
      <c r="AH5" s="568"/>
      <c r="AI5" s="568"/>
      <c r="AJ5" s="568"/>
      <c r="AK5" s="470"/>
      <c r="AL5" s="470"/>
      <c r="AM5" s="568"/>
      <c r="AN5" s="568"/>
      <c r="AO5" s="568"/>
      <c r="AP5" s="470"/>
      <c r="AQ5" s="470"/>
      <c r="AR5" s="470"/>
      <c r="AS5" s="526"/>
      <c r="AT5" s="526"/>
      <c r="AU5" s="526"/>
      <c r="AV5" s="526"/>
      <c r="AW5" s="521"/>
      <c r="AX5" s="521"/>
      <c r="AY5" s="521"/>
      <c r="AZ5" s="521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567">
        <v>0.5</v>
      </c>
      <c r="BO5" s="470"/>
      <c r="BP5" s="470"/>
      <c r="BQ5" s="470"/>
      <c r="BR5" s="470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 t="s">
        <v>573</v>
      </c>
      <c r="DE5" s="566"/>
      <c r="DF5" s="566" t="s">
        <v>572</v>
      </c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</row>
    <row r="6" spans="1:125" ht="34.5" customHeight="1" thickTop="1" thickBot="1" x14ac:dyDescent="0.3">
      <c r="A6" s="704" t="s">
        <v>544</v>
      </c>
      <c r="B6" s="679" t="s">
        <v>632</v>
      </c>
      <c r="C6" s="687" t="s">
        <v>631</v>
      </c>
      <c r="D6" s="683" t="s">
        <v>630</v>
      </c>
      <c r="E6" s="683" t="s">
        <v>629</v>
      </c>
      <c r="F6" s="683" t="s">
        <v>628</v>
      </c>
      <c r="G6" s="687" t="s">
        <v>627</v>
      </c>
      <c r="H6" s="687" t="s">
        <v>626</v>
      </c>
      <c r="I6" s="683" t="s">
        <v>625</v>
      </c>
      <c r="J6" s="683" t="s">
        <v>624</v>
      </c>
      <c r="K6" s="683" t="s">
        <v>623</v>
      </c>
      <c r="L6" s="683" t="s">
        <v>622</v>
      </c>
      <c r="M6" s="679" t="s">
        <v>621</v>
      </c>
      <c r="N6" s="679" t="s">
        <v>620</v>
      </c>
      <c r="O6" s="679" t="s">
        <v>619</v>
      </c>
      <c r="P6" s="679" t="s">
        <v>618</v>
      </c>
      <c r="Q6" s="683" t="s">
        <v>611</v>
      </c>
      <c r="R6" s="683" t="s">
        <v>617</v>
      </c>
      <c r="S6" s="683" t="s">
        <v>616</v>
      </c>
      <c r="T6" s="679" t="s">
        <v>615</v>
      </c>
      <c r="U6" s="679" t="s">
        <v>614</v>
      </c>
      <c r="V6" s="679" t="s">
        <v>613</v>
      </c>
      <c r="W6" s="679" t="s">
        <v>612</v>
      </c>
      <c r="X6" s="683" t="s">
        <v>611</v>
      </c>
      <c r="Y6" s="565"/>
      <c r="Z6" s="683" t="s">
        <v>610</v>
      </c>
      <c r="AA6" s="696" t="s">
        <v>609</v>
      </c>
      <c r="AB6" s="683" t="s">
        <v>590</v>
      </c>
      <c r="AC6" s="683" t="s">
        <v>608</v>
      </c>
      <c r="AD6" s="701" t="s">
        <v>607</v>
      </c>
      <c r="AE6" s="702"/>
      <c r="AF6" s="686" t="s">
        <v>606</v>
      </c>
      <c r="AG6" s="690" t="s">
        <v>605</v>
      </c>
      <c r="AH6" s="698"/>
      <c r="AI6" s="687" t="s">
        <v>604</v>
      </c>
      <c r="AJ6" s="565"/>
      <c r="AK6" s="687" t="s">
        <v>603</v>
      </c>
      <c r="AL6" s="687" t="s">
        <v>602</v>
      </c>
      <c r="AM6" s="677" t="s">
        <v>601</v>
      </c>
      <c r="AN6" s="699" t="s">
        <v>600</v>
      </c>
      <c r="AO6" s="564"/>
      <c r="AP6" s="681" t="s">
        <v>599</v>
      </c>
      <c r="AQ6" s="681" t="s">
        <v>598</v>
      </c>
      <c r="AR6" s="681" t="s">
        <v>597</v>
      </c>
      <c r="AS6" s="681" t="s">
        <v>596</v>
      </c>
      <c r="AT6" s="681" t="s">
        <v>595</v>
      </c>
      <c r="AU6" s="681" t="s">
        <v>594</v>
      </c>
      <c r="AV6" s="681" t="s">
        <v>593</v>
      </c>
      <c r="AW6" s="681" t="s">
        <v>592</v>
      </c>
      <c r="AX6" s="681" t="s">
        <v>591</v>
      </c>
      <c r="AY6" s="563"/>
      <c r="AZ6" s="562"/>
      <c r="BA6" s="692" t="s">
        <v>525</v>
      </c>
      <c r="BB6" s="561"/>
      <c r="BC6" s="687" t="s">
        <v>590</v>
      </c>
      <c r="BD6" s="687" t="s">
        <v>589</v>
      </c>
      <c r="BE6" s="681" t="s">
        <v>588</v>
      </c>
      <c r="BF6" s="681" t="s">
        <v>587</v>
      </c>
      <c r="BG6" s="681" t="s">
        <v>586</v>
      </c>
      <c r="BH6" s="681" t="s">
        <v>585</v>
      </c>
      <c r="BI6" s="681" t="s">
        <v>584</v>
      </c>
      <c r="BJ6" s="681" t="s">
        <v>583</v>
      </c>
      <c r="BK6" s="681" t="s">
        <v>582</v>
      </c>
      <c r="BL6" s="681" t="s">
        <v>581</v>
      </c>
      <c r="BM6" s="681" t="s">
        <v>580</v>
      </c>
      <c r="BN6" s="681" t="s">
        <v>579</v>
      </c>
      <c r="BO6" s="560"/>
      <c r="BP6" s="560"/>
      <c r="BQ6" s="560"/>
      <c r="BR6" s="690" t="s">
        <v>567</v>
      </c>
    </row>
    <row r="7" spans="1:125" ht="35.25" thickTop="1" thickBot="1" x14ac:dyDescent="0.3">
      <c r="A7" s="705"/>
      <c r="B7" s="680"/>
      <c r="C7" s="689"/>
      <c r="D7" s="685"/>
      <c r="E7" s="685"/>
      <c r="F7" s="684"/>
      <c r="G7" s="689"/>
      <c r="H7" s="689"/>
      <c r="I7" s="684"/>
      <c r="J7" s="684"/>
      <c r="K7" s="685"/>
      <c r="L7" s="684"/>
      <c r="M7" s="680"/>
      <c r="N7" s="680"/>
      <c r="O7" s="680"/>
      <c r="P7" s="680"/>
      <c r="Q7" s="684"/>
      <c r="R7" s="685"/>
      <c r="S7" s="684"/>
      <c r="T7" s="680"/>
      <c r="U7" s="680"/>
      <c r="V7" s="680"/>
      <c r="W7" s="680"/>
      <c r="X7" s="684"/>
      <c r="Y7" s="559" t="s">
        <v>578</v>
      </c>
      <c r="Z7" s="685"/>
      <c r="AA7" s="697"/>
      <c r="AB7" s="685"/>
      <c r="AC7" s="685"/>
      <c r="AD7" s="558" t="s">
        <v>547</v>
      </c>
      <c r="AE7" s="557" t="s">
        <v>26</v>
      </c>
      <c r="AF7" s="685"/>
      <c r="AG7" s="556" t="s">
        <v>577</v>
      </c>
      <c r="AH7" s="556" t="s">
        <v>576</v>
      </c>
      <c r="AI7" s="688"/>
      <c r="AJ7" s="555" t="s">
        <v>575</v>
      </c>
      <c r="AK7" s="689"/>
      <c r="AL7" s="689"/>
      <c r="AM7" s="678"/>
      <c r="AN7" s="700"/>
      <c r="AO7" s="554" t="s">
        <v>574</v>
      </c>
      <c r="AP7" s="682"/>
      <c r="AQ7" s="682"/>
      <c r="AR7" s="682"/>
      <c r="AS7" s="682"/>
      <c r="AT7" s="682"/>
      <c r="AU7" s="682"/>
      <c r="AV7" s="682"/>
      <c r="AW7" s="682"/>
      <c r="AX7" s="682"/>
      <c r="AY7" s="553"/>
      <c r="AZ7" s="552" t="s">
        <v>573</v>
      </c>
      <c r="BA7" s="693"/>
      <c r="BB7" s="551" t="s">
        <v>572</v>
      </c>
      <c r="BC7" s="688"/>
      <c r="BD7" s="688"/>
      <c r="BE7" s="682"/>
      <c r="BF7" s="682"/>
      <c r="BG7" s="682"/>
      <c r="BH7" s="682"/>
      <c r="BI7" s="682"/>
      <c r="BJ7" s="682"/>
      <c r="BK7" s="682"/>
      <c r="BL7" s="682"/>
      <c r="BM7" s="682"/>
      <c r="BN7" s="682"/>
      <c r="BO7" s="550"/>
      <c r="BP7" s="550"/>
      <c r="BQ7" s="550"/>
      <c r="BR7" s="691"/>
      <c r="BU7" s="470" t="s">
        <v>571</v>
      </c>
      <c r="BV7" s="470" t="s">
        <v>570</v>
      </c>
      <c r="BW7" s="470" t="s">
        <v>569</v>
      </c>
      <c r="BX7" s="470" t="s">
        <v>568</v>
      </c>
      <c r="BY7" s="470" t="s">
        <v>567</v>
      </c>
    </row>
    <row r="8" spans="1:125" ht="15.75" thickTop="1" x14ac:dyDescent="0.25">
      <c r="A8" s="549"/>
      <c r="B8" s="548"/>
      <c r="C8" s="543"/>
      <c r="D8" s="546"/>
      <c r="E8" s="546"/>
      <c r="F8" s="546"/>
      <c r="G8" s="543"/>
      <c r="H8" s="543"/>
      <c r="I8" s="546"/>
      <c r="J8" s="546"/>
      <c r="K8" s="546"/>
      <c r="L8" s="546"/>
      <c r="M8" s="548"/>
      <c r="N8" s="548"/>
      <c r="O8" s="548"/>
      <c r="P8" s="548"/>
      <c r="Q8" s="547"/>
      <c r="R8" s="546"/>
      <c r="S8" s="546"/>
      <c r="T8" s="548"/>
      <c r="U8" s="548"/>
      <c r="V8" s="548"/>
      <c r="W8" s="548"/>
      <c r="X8" s="547"/>
      <c r="Y8" s="546"/>
      <c r="Z8" s="546"/>
      <c r="AA8" s="546"/>
      <c r="AB8" s="546"/>
      <c r="AC8" s="517"/>
      <c r="AD8" s="544"/>
      <c r="AE8" s="544"/>
      <c r="AF8" s="546"/>
      <c r="AG8" s="543"/>
      <c r="AH8" s="543"/>
      <c r="AI8" s="543"/>
      <c r="AJ8" s="546"/>
      <c r="AK8" s="543"/>
      <c r="AL8" s="543"/>
      <c r="AM8" s="543"/>
      <c r="AN8" s="543"/>
      <c r="AO8" s="542"/>
      <c r="AP8" s="545"/>
      <c r="AQ8" s="545"/>
      <c r="AR8" s="545"/>
      <c r="AS8" s="545"/>
      <c r="AT8" s="545"/>
      <c r="AU8" s="545"/>
      <c r="AV8" s="545"/>
      <c r="AW8" s="545"/>
      <c r="AX8" s="545"/>
      <c r="AY8" s="545"/>
      <c r="AZ8" s="543"/>
      <c r="BA8" s="544"/>
      <c r="BB8" s="544"/>
      <c r="BC8" s="543"/>
      <c r="BD8" s="543"/>
      <c r="BE8" s="542"/>
      <c r="BF8" s="542"/>
      <c r="BG8" s="542"/>
      <c r="BH8" s="542"/>
      <c r="BI8" s="542"/>
      <c r="BJ8" s="542"/>
      <c r="BK8" s="542"/>
      <c r="BL8" s="542"/>
      <c r="BM8" s="542"/>
      <c r="BN8" s="542"/>
      <c r="BO8" s="542"/>
      <c r="BP8" s="542"/>
      <c r="BQ8" s="542"/>
      <c r="BR8" s="541"/>
    </row>
    <row r="9" spans="1:125" x14ac:dyDescent="0.25">
      <c r="A9" s="694">
        <v>43466</v>
      </c>
      <c r="B9" s="527" t="s">
        <v>561</v>
      </c>
      <c r="C9" s="514" t="s">
        <v>566</v>
      </c>
      <c r="D9" s="517"/>
      <c r="E9" s="517"/>
      <c r="F9" s="520"/>
      <c r="G9" s="514">
        <f>IF(E9-D9&lt;0,E9-D9,0)*-1</f>
        <v>0</v>
      </c>
      <c r="H9" s="514">
        <f>IF(E9-D9&gt;0,E9-D9,0)</f>
        <v>0</v>
      </c>
      <c r="I9" s="517"/>
      <c r="J9" s="517"/>
      <c r="K9" s="517"/>
      <c r="L9" s="517"/>
      <c r="M9" s="519">
        <f>(+K9)*M$5</f>
        <v>0</v>
      </c>
      <c r="N9" s="519">
        <f>(+K9)*N$5</f>
        <v>0</v>
      </c>
      <c r="O9" s="519">
        <f>+K9-M9-N9+P9</f>
        <v>0</v>
      </c>
      <c r="P9" s="519">
        <f>L9-(L9*(M$5+N$5))</f>
        <v>0</v>
      </c>
      <c r="Q9" s="518"/>
      <c r="R9" s="517"/>
      <c r="S9" s="517"/>
      <c r="T9" s="519">
        <f>+R9*T$5</f>
        <v>0</v>
      </c>
      <c r="U9" s="519">
        <f>+R9*U$5</f>
        <v>0</v>
      </c>
      <c r="V9" s="519">
        <f>+R9-T9-U9+W9</f>
        <v>0</v>
      </c>
      <c r="W9" s="519">
        <f>+S9-(S9*(T$5+U$5))</f>
        <v>0</v>
      </c>
      <c r="X9" s="518"/>
      <c r="Y9" s="517"/>
      <c r="Z9" s="517"/>
      <c r="AA9" s="517"/>
      <c r="AB9" s="517"/>
      <c r="AC9" s="517"/>
      <c r="AD9" s="515"/>
      <c r="AE9" s="515"/>
      <c r="AF9" s="517"/>
      <c r="AG9" s="514">
        <f>(AF9*0.8)*0.85</f>
        <v>0</v>
      </c>
      <c r="AH9" s="514">
        <f>(AF9*0.8)*0.15</f>
        <v>0</v>
      </c>
      <c r="AI9" s="514">
        <f>AF9*0.2</f>
        <v>0</v>
      </c>
      <c r="AJ9" s="517"/>
      <c r="AK9" s="514">
        <v>0</v>
      </c>
      <c r="AL9" s="514">
        <f>AK9-SUM(Y9:AC9)</f>
        <v>0</v>
      </c>
      <c r="AM9" s="514">
        <f>+AL9*0.12</f>
        <v>0</v>
      </c>
      <c r="AN9" s="514">
        <f>+AM9+AL9+AJ9</f>
        <v>0</v>
      </c>
      <c r="AO9" s="513"/>
      <c r="AP9" s="516"/>
      <c r="AQ9" s="516"/>
      <c r="AR9" s="516"/>
      <c r="AS9" s="516"/>
      <c r="AT9" s="516"/>
      <c r="AU9" s="516"/>
      <c r="AV9" s="516"/>
      <c r="AW9" s="516"/>
      <c r="AX9" s="516"/>
      <c r="AY9" s="516"/>
      <c r="AZ9" s="514">
        <f>SUM(AO9:AY9)</f>
        <v>0</v>
      </c>
      <c r="BA9" s="515"/>
      <c r="BB9" s="515"/>
      <c r="BC9" s="514">
        <f>SUM(BE9:BM9)*0.1+(BN9*0.5)</f>
        <v>0</v>
      </c>
      <c r="BD9" s="514">
        <f>SUM(BE9:BM9)+(BN9*0.5)</f>
        <v>0</v>
      </c>
      <c r="BE9" s="513"/>
      <c r="BF9" s="513"/>
      <c r="BG9" s="513"/>
      <c r="BH9" s="513"/>
      <c r="BI9" s="513"/>
      <c r="BJ9" s="513"/>
      <c r="BK9" s="513"/>
      <c r="BL9" s="513"/>
      <c r="BM9" s="513"/>
      <c r="BN9" s="513"/>
      <c r="BO9" s="513"/>
      <c r="BP9" s="513"/>
      <c r="BQ9" s="513"/>
      <c r="BR9" s="524">
        <f>AZ9+BA9+BB9+BD9-BC9</f>
        <v>0</v>
      </c>
    </row>
    <row r="10" spans="1:125" ht="15.75" thickBot="1" x14ac:dyDescent="0.3">
      <c r="A10" s="703"/>
      <c r="B10" s="526" t="s">
        <v>560</v>
      </c>
      <c r="C10" s="514"/>
      <c r="D10" s="517"/>
      <c r="E10" s="517"/>
      <c r="F10" s="520"/>
      <c r="G10" s="514">
        <f>IF(E10-D10&lt;0,E10-D10,0)*-1</f>
        <v>0</v>
      </c>
      <c r="H10" s="514">
        <f>IF(E10-D10&gt;0,E10-D10,0)</f>
        <v>0</v>
      </c>
      <c r="I10" s="517"/>
      <c r="J10" s="517"/>
      <c r="K10" s="517"/>
      <c r="L10" s="517"/>
      <c r="M10" s="519">
        <f>(+K10)*M$5</f>
        <v>0</v>
      </c>
      <c r="N10" s="519">
        <f>(+K10)*N$5</f>
        <v>0</v>
      </c>
      <c r="O10" s="519">
        <f>+K10-M10-N10+P10</f>
        <v>0</v>
      </c>
      <c r="P10" s="519">
        <f>L10-(L10*(M$5+N$5))</f>
        <v>0</v>
      </c>
      <c r="Q10" s="518"/>
      <c r="R10" s="517"/>
      <c r="S10" s="517"/>
      <c r="T10" s="519">
        <f>+R10*T$5</f>
        <v>0</v>
      </c>
      <c r="U10" s="519">
        <f>+R10*U$5</f>
        <v>0</v>
      </c>
      <c r="V10" s="519">
        <f>+R10-T10-U10+W10</f>
        <v>0</v>
      </c>
      <c r="W10" s="519">
        <f>+S10-(S10*(T$5+U$5))</f>
        <v>0</v>
      </c>
      <c r="X10" s="518"/>
      <c r="Y10" s="517"/>
      <c r="Z10" s="517"/>
      <c r="AA10" s="517"/>
      <c r="AB10" s="517"/>
      <c r="AC10" s="517"/>
      <c r="AD10" s="515"/>
      <c r="AE10" s="515"/>
      <c r="AF10" s="517"/>
      <c r="AG10" s="514">
        <f>(AF10*0.8)*0.85</f>
        <v>0</v>
      </c>
      <c r="AH10" s="514">
        <f>(AF10*0.8)*0.15</f>
        <v>0</v>
      </c>
      <c r="AI10" s="514">
        <f>AF10*0.2</f>
        <v>0</v>
      </c>
      <c r="AJ10" s="517"/>
      <c r="AK10" s="514">
        <f>(C10-AF10-AJ10)/1.12</f>
        <v>0</v>
      </c>
      <c r="AL10" s="514">
        <f>AK10-SUM(Y10:AC10)</f>
        <v>0</v>
      </c>
      <c r="AM10" s="514">
        <f>+AL10*0.12</f>
        <v>0</v>
      </c>
      <c r="AN10" s="514">
        <f>+AM10+AL10+AJ10</f>
        <v>0</v>
      </c>
      <c r="AO10" s="513"/>
      <c r="AP10" s="516"/>
      <c r="AQ10" s="516"/>
      <c r="AR10" s="516"/>
      <c r="AS10" s="516"/>
      <c r="AT10" s="516"/>
      <c r="AU10" s="516"/>
      <c r="AV10" s="516"/>
      <c r="AW10" s="516"/>
      <c r="AX10" s="516"/>
      <c r="AY10" s="516"/>
      <c r="AZ10" s="514">
        <f>SUM(AO10:AY10)</f>
        <v>0</v>
      </c>
      <c r="BA10" s="515"/>
      <c r="BB10" s="515"/>
      <c r="BC10" s="514">
        <v>0</v>
      </c>
      <c r="BD10" s="514">
        <f>SUM(BE10:BM10)+(BN10*0.5)</f>
        <v>0</v>
      </c>
      <c r="BE10" s="513"/>
      <c r="BF10" s="513"/>
      <c r="BG10" s="513"/>
      <c r="BH10" s="513"/>
      <c r="BI10" s="513"/>
      <c r="BJ10" s="513"/>
      <c r="BK10" s="513"/>
      <c r="BL10" s="513"/>
      <c r="BM10" s="513"/>
      <c r="BN10" s="513"/>
      <c r="BO10" s="513"/>
      <c r="BP10" s="513"/>
      <c r="BQ10" s="513"/>
      <c r="BR10" s="524">
        <f>AZ10+BA10+BB10+BD10-BC10</f>
        <v>0</v>
      </c>
    </row>
    <row r="11" spans="1:125" s="534" customFormat="1" ht="15.75" thickBot="1" x14ac:dyDescent="0.3">
      <c r="A11" s="523"/>
      <c r="B11" s="508"/>
      <c r="C11" s="501">
        <f>SUBTOTAL(9,C9:C10)</f>
        <v>0</v>
      </c>
      <c r="D11" s="504">
        <f>SUBTOTAL(9,D9:D10)</f>
        <v>0</v>
      </c>
      <c r="E11" s="504">
        <f>SUBTOTAL(9,E9:E10)</f>
        <v>0</v>
      </c>
      <c r="F11" s="504"/>
      <c r="G11" s="504">
        <f t="shared" ref="G11:P11" si="0">SUBTOTAL(9,G9:G10)</f>
        <v>0</v>
      </c>
      <c r="H11" s="504">
        <f t="shared" si="0"/>
        <v>0</v>
      </c>
      <c r="I11" s="504">
        <f t="shared" si="0"/>
        <v>0</v>
      </c>
      <c r="J11" s="504">
        <f t="shared" si="0"/>
        <v>0</v>
      </c>
      <c r="K11" s="507">
        <f t="shared" si="0"/>
        <v>0</v>
      </c>
      <c r="L11" s="504">
        <f t="shared" si="0"/>
        <v>0</v>
      </c>
      <c r="M11" s="506">
        <f t="shared" si="0"/>
        <v>0</v>
      </c>
      <c r="N11" s="506">
        <f t="shared" si="0"/>
        <v>0</v>
      </c>
      <c r="O11" s="506">
        <f t="shared" si="0"/>
        <v>0</v>
      </c>
      <c r="P11" s="506">
        <f t="shared" si="0"/>
        <v>0</v>
      </c>
      <c r="Q11" s="505"/>
      <c r="R11" s="504">
        <f t="shared" ref="R11:W11" si="1">SUBTOTAL(9,R9:R10)</f>
        <v>0</v>
      </c>
      <c r="S11" s="504">
        <f t="shared" si="1"/>
        <v>0</v>
      </c>
      <c r="T11" s="506">
        <f t="shared" si="1"/>
        <v>0</v>
      </c>
      <c r="U11" s="506">
        <f t="shared" si="1"/>
        <v>0</v>
      </c>
      <c r="V11" s="506">
        <f t="shared" si="1"/>
        <v>0</v>
      </c>
      <c r="W11" s="506">
        <f t="shared" si="1"/>
        <v>0</v>
      </c>
      <c r="X11" s="505"/>
      <c r="Y11" s="504">
        <f>SUBTOTAL(9,Y9:Y10)</f>
        <v>0</v>
      </c>
      <c r="Z11" s="504"/>
      <c r="AA11" s="504"/>
      <c r="AB11" s="504"/>
      <c r="AC11" s="540"/>
      <c r="AD11" s="503"/>
      <c r="AE11" s="503"/>
      <c r="AF11" s="504"/>
      <c r="AG11" s="501">
        <f t="shared" ref="AG11:AM11" si="2">SUBTOTAL(9,AG9:AG10)</f>
        <v>0</v>
      </c>
      <c r="AH11" s="501">
        <f t="shared" si="2"/>
        <v>0</v>
      </c>
      <c r="AI11" s="501">
        <f t="shared" si="2"/>
        <v>0</v>
      </c>
      <c r="AJ11" s="504">
        <f t="shared" si="2"/>
        <v>0</v>
      </c>
      <c r="AK11" s="501">
        <f t="shared" si="2"/>
        <v>0</v>
      </c>
      <c r="AL11" s="501">
        <f t="shared" si="2"/>
        <v>0</v>
      </c>
      <c r="AM11" s="501">
        <f t="shared" si="2"/>
        <v>0</v>
      </c>
      <c r="AN11" s="501">
        <f>+AN10+AN9</f>
        <v>0</v>
      </c>
      <c r="AO11" s="502">
        <f t="shared" ref="AO11:BR11" si="3">SUBTOTAL(9,AO9:AO10)</f>
        <v>0</v>
      </c>
      <c r="AP11" s="502">
        <f t="shared" si="3"/>
        <v>0</v>
      </c>
      <c r="AQ11" s="502">
        <f t="shared" si="3"/>
        <v>0</v>
      </c>
      <c r="AR11" s="502">
        <f t="shared" si="3"/>
        <v>0</v>
      </c>
      <c r="AS11" s="502">
        <f t="shared" si="3"/>
        <v>0</v>
      </c>
      <c r="AT11" s="502">
        <f t="shared" si="3"/>
        <v>0</v>
      </c>
      <c r="AU11" s="502">
        <f t="shared" si="3"/>
        <v>0</v>
      </c>
      <c r="AV11" s="502">
        <f t="shared" si="3"/>
        <v>0</v>
      </c>
      <c r="AW11" s="502">
        <f t="shared" si="3"/>
        <v>0</v>
      </c>
      <c r="AX11" s="502">
        <f t="shared" si="3"/>
        <v>0</v>
      </c>
      <c r="AY11" s="502">
        <f t="shared" si="3"/>
        <v>0</v>
      </c>
      <c r="AZ11" s="501">
        <f t="shared" si="3"/>
        <v>0</v>
      </c>
      <c r="BA11" s="503">
        <f t="shared" si="3"/>
        <v>0</v>
      </c>
      <c r="BB11" s="503">
        <f t="shared" si="3"/>
        <v>0</v>
      </c>
      <c r="BC11" s="501">
        <f t="shared" si="3"/>
        <v>0</v>
      </c>
      <c r="BD11" s="501">
        <f t="shared" si="3"/>
        <v>0</v>
      </c>
      <c r="BE11" s="502">
        <f t="shared" si="3"/>
        <v>0</v>
      </c>
      <c r="BF11" s="502">
        <f t="shared" si="3"/>
        <v>0</v>
      </c>
      <c r="BG11" s="502">
        <f t="shared" si="3"/>
        <v>0</v>
      </c>
      <c r="BH11" s="502">
        <f t="shared" si="3"/>
        <v>0</v>
      </c>
      <c r="BI11" s="502">
        <f t="shared" si="3"/>
        <v>0</v>
      </c>
      <c r="BJ11" s="502">
        <f t="shared" si="3"/>
        <v>0</v>
      </c>
      <c r="BK11" s="502">
        <f t="shared" si="3"/>
        <v>0</v>
      </c>
      <c r="BL11" s="502">
        <f t="shared" si="3"/>
        <v>0</v>
      </c>
      <c r="BM11" s="502">
        <f t="shared" si="3"/>
        <v>0</v>
      </c>
      <c r="BN11" s="502">
        <f t="shared" si="3"/>
        <v>0</v>
      </c>
      <c r="BO11" s="502">
        <f t="shared" si="3"/>
        <v>0</v>
      </c>
      <c r="BP11" s="502">
        <f t="shared" si="3"/>
        <v>0</v>
      </c>
      <c r="BQ11" s="502">
        <f t="shared" si="3"/>
        <v>0</v>
      </c>
      <c r="BR11" s="501">
        <f t="shared" si="3"/>
        <v>0</v>
      </c>
      <c r="BU11" s="535"/>
      <c r="BV11" s="535"/>
      <c r="BW11" s="535"/>
      <c r="BX11" s="535"/>
      <c r="BY11" s="535"/>
      <c r="BZ11" s="535"/>
      <c r="CA11" s="535"/>
      <c r="CB11" s="535"/>
      <c r="CC11" s="535"/>
      <c r="CD11" s="535"/>
      <c r="CE11" s="535"/>
      <c r="CF11" s="535"/>
      <c r="CG11" s="535"/>
      <c r="CH11" s="535"/>
      <c r="CI11" s="535"/>
      <c r="CJ11" s="535"/>
      <c r="CK11" s="535"/>
      <c r="CL11" s="535"/>
      <c r="CM11" s="535"/>
      <c r="CN11" s="535"/>
      <c r="CO11" s="535"/>
      <c r="CP11" s="535"/>
      <c r="CQ11" s="535"/>
      <c r="CR11" s="535"/>
      <c r="CS11" s="535"/>
      <c r="CT11" s="535"/>
      <c r="CU11" s="539"/>
      <c r="CV11" s="535"/>
      <c r="CW11" s="535"/>
      <c r="CX11" s="535"/>
      <c r="CY11" s="535"/>
      <c r="CZ11" s="535"/>
      <c r="DA11" s="535"/>
      <c r="DB11" s="535"/>
      <c r="DC11" s="535"/>
      <c r="DD11" s="535"/>
      <c r="DE11" s="535"/>
      <c r="DF11" s="535"/>
      <c r="DG11" s="535"/>
      <c r="DH11" s="535"/>
      <c r="DI11" s="535"/>
      <c r="DJ11" s="535"/>
      <c r="DK11" s="535"/>
      <c r="DL11" s="535"/>
      <c r="DM11" s="535"/>
      <c r="DN11" s="535"/>
      <c r="DO11" s="535"/>
      <c r="DP11" s="535"/>
      <c r="DQ11" s="535"/>
      <c r="DR11" s="535"/>
      <c r="DS11" s="535"/>
      <c r="DT11" s="535"/>
      <c r="DU11" s="535"/>
    </row>
    <row r="12" spans="1:125" x14ac:dyDescent="0.25">
      <c r="A12" s="694">
        <f>A9+1</f>
        <v>43467</v>
      </c>
      <c r="B12" s="527" t="s">
        <v>561</v>
      </c>
      <c r="C12" s="514">
        <v>17661.099999999999</v>
      </c>
      <c r="D12" s="517">
        <v>9906.3700000000008</v>
      </c>
      <c r="E12" s="517">
        <v>9907</v>
      </c>
      <c r="F12" s="520">
        <v>43467</v>
      </c>
      <c r="G12" s="514">
        <f>IF(E12-D12&lt;0,E12-D12,0)*-1</f>
        <v>0</v>
      </c>
      <c r="H12" s="514">
        <f>IF(E12-D12&gt;0,E12-D12,0)</f>
        <v>0.62999999999919964</v>
      </c>
      <c r="I12" s="517"/>
      <c r="J12" s="517"/>
      <c r="K12" s="517">
        <v>7343.32</v>
      </c>
      <c r="L12" s="517"/>
      <c r="M12" s="519">
        <f t="shared" ref="M12:M22" si="4">(+K12)*M$5</f>
        <v>157.88137999999998</v>
      </c>
      <c r="N12" s="519">
        <f t="shared" ref="N12:N22" si="5">(+K12)*N$5</f>
        <v>36.7166</v>
      </c>
      <c r="O12" s="519">
        <f t="shared" ref="O12:O22" si="6">+K12-M12-N12+P12</f>
        <v>7148.7220200000002</v>
      </c>
      <c r="P12" s="519"/>
      <c r="Q12" s="518"/>
      <c r="R12" s="517"/>
      <c r="S12" s="517"/>
      <c r="T12" s="519">
        <f>+R12*T$5</f>
        <v>0</v>
      </c>
      <c r="U12" s="519">
        <f>+R12*U$5</f>
        <v>0</v>
      </c>
      <c r="V12" s="519">
        <f>+R12-T12-U12+W12</f>
        <v>0</v>
      </c>
      <c r="W12" s="519">
        <f>+S12-(S12*(T$5+U$5))</f>
        <v>0</v>
      </c>
      <c r="X12" s="518"/>
      <c r="Y12" s="517"/>
      <c r="Z12" s="517">
        <v>26</v>
      </c>
      <c r="AA12" s="517"/>
      <c r="AB12" s="517"/>
      <c r="AC12" s="517">
        <v>385.41</v>
      </c>
      <c r="AD12" s="515"/>
      <c r="AE12" s="515"/>
      <c r="AF12" s="517">
        <v>1372.32</v>
      </c>
      <c r="AG12" s="514">
        <f>(AF12*0.8)*0.85</f>
        <v>933.17759999999998</v>
      </c>
      <c r="AH12" s="514">
        <f>(AF12*0.8)*0.15</f>
        <v>164.67839999999998</v>
      </c>
      <c r="AI12" s="514">
        <f>AF12*0.2</f>
        <v>274.464</v>
      </c>
      <c r="AJ12" s="517"/>
      <c r="AK12" s="514">
        <f>(C12-AF12-AJ12)/1.12</f>
        <v>14543.553571428569</v>
      </c>
      <c r="AL12" s="514">
        <f>AK12-SUM(Y12:AC12)</f>
        <v>14132.143571428569</v>
      </c>
      <c r="AM12" s="514">
        <f>+AL12*0.12</f>
        <v>1695.8572285714283</v>
      </c>
      <c r="AN12" s="514">
        <f t="shared" ref="AN12:AN43" si="7">+AM12+AL12+AJ12</f>
        <v>15828.000799999998</v>
      </c>
      <c r="AO12" s="513"/>
      <c r="AP12" s="516"/>
      <c r="AQ12" s="516"/>
      <c r="AR12" s="516"/>
      <c r="AS12" s="516"/>
      <c r="AT12" s="516"/>
      <c r="AU12" s="516"/>
      <c r="AV12" s="516"/>
      <c r="AW12" s="516"/>
      <c r="AX12" s="516"/>
      <c r="AY12" s="516"/>
      <c r="AZ12" s="514">
        <f>SUM(AO12:AY12)</f>
        <v>0</v>
      </c>
      <c r="BA12" s="515"/>
      <c r="BB12" s="515"/>
      <c r="BC12" s="514">
        <f>SUM(BE12:BM12)*0.1+(BN12*0.5)</f>
        <v>0</v>
      </c>
      <c r="BD12" s="514">
        <f>SUM(BE12:BM12)+(BN12*0.5)</f>
        <v>0</v>
      </c>
      <c r="BE12" s="513"/>
      <c r="BF12" s="513"/>
      <c r="BG12" s="513"/>
      <c r="BH12" s="513"/>
      <c r="BI12" s="513"/>
      <c r="BJ12" s="513"/>
      <c r="BK12" s="513"/>
      <c r="BL12" s="513"/>
      <c r="BM12" s="513"/>
      <c r="BN12" s="513"/>
      <c r="BO12" s="513"/>
      <c r="BP12" s="513"/>
      <c r="BQ12" s="513"/>
      <c r="BR12" s="524">
        <f>AZ12+BA12+BB12+BD12-BC12</f>
        <v>0</v>
      </c>
      <c r="BT12" s="511"/>
      <c r="BU12" s="510"/>
      <c r="BV12" s="510"/>
      <c r="BW12" s="510"/>
      <c r="BX12" s="510"/>
      <c r="BY12" s="510"/>
      <c r="BZ12" s="510"/>
      <c r="CA12" s="510"/>
      <c r="CB12" s="510"/>
      <c r="CC12" s="510"/>
      <c r="CD12" s="510"/>
      <c r="CE12" s="510"/>
      <c r="CF12" s="510"/>
      <c r="CG12" s="510"/>
      <c r="CH12" s="510"/>
      <c r="CI12" s="510"/>
      <c r="CJ12" s="510"/>
      <c r="CK12" s="510"/>
      <c r="CL12" s="510"/>
      <c r="CM12" s="510"/>
      <c r="CN12" s="510"/>
      <c r="CO12" s="510"/>
      <c r="CP12" s="510"/>
      <c r="CQ12" s="510"/>
      <c r="CR12" s="510"/>
      <c r="CS12" s="510"/>
    </row>
    <row r="13" spans="1:125" ht="15.75" thickBot="1" x14ac:dyDescent="0.3">
      <c r="A13" s="695"/>
      <c r="B13" s="526" t="s">
        <v>560</v>
      </c>
      <c r="C13" s="514">
        <v>2489.02</v>
      </c>
      <c r="D13" s="517">
        <v>2167.6799999999998</v>
      </c>
      <c r="E13" s="517">
        <v>2172</v>
      </c>
      <c r="F13" s="520">
        <v>43468</v>
      </c>
      <c r="G13" s="514">
        <f>IF(E13-D13&lt;0,E13-D13,0)*-1</f>
        <v>0</v>
      </c>
      <c r="H13" s="514">
        <f>IF(E13-D13&gt;0,E13-D13,0)</f>
        <v>4.3200000000001637</v>
      </c>
      <c r="I13" s="517"/>
      <c r="J13" s="517"/>
      <c r="K13" s="517">
        <v>321.33999999999997</v>
      </c>
      <c r="L13" s="517"/>
      <c r="M13" s="519">
        <f t="shared" si="4"/>
        <v>6.908809999999999</v>
      </c>
      <c r="N13" s="519">
        <f t="shared" si="5"/>
        <v>1.6067</v>
      </c>
      <c r="O13" s="519">
        <f t="shared" si="6"/>
        <v>312.82448999999997</v>
      </c>
      <c r="P13" s="519">
        <f>L13-(L13*(M$5+N$5))</f>
        <v>0</v>
      </c>
      <c r="Q13" s="518"/>
      <c r="R13" s="517"/>
      <c r="S13" s="517"/>
      <c r="T13" s="519">
        <f>+R13*T$5</f>
        <v>0</v>
      </c>
      <c r="U13" s="519">
        <f>+R13*U$5</f>
        <v>0</v>
      </c>
      <c r="V13" s="519">
        <f>+R13-T13-U13+W13</f>
        <v>0</v>
      </c>
      <c r="W13" s="519">
        <f>+S13-(S13*(T$5+U$5))</f>
        <v>0</v>
      </c>
      <c r="X13" s="518"/>
      <c r="Y13" s="517"/>
      <c r="Z13" s="517"/>
      <c r="AA13" s="517"/>
      <c r="AB13" s="517"/>
      <c r="AC13" s="517"/>
      <c r="AD13" s="515"/>
      <c r="AE13" s="515"/>
      <c r="AF13" s="517">
        <v>204.02</v>
      </c>
      <c r="AG13" s="514">
        <f>(AF13*0.8)*0.85</f>
        <v>138.7336</v>
      </c>
      <c r="AH13" s="514">
        <f>(AF13*0.8)*0.15</f>
        <v>24.482400000000002</v>
      </c>
      <c r="AI13" s="514">
        <f>AF13*0.2</f>
        <v>40.804000000000002</v>
      </c>
      <c r="AJ13" s="517">
        <v>0</v>
      </c>
      <c r="AK13" s="514">
        <f>(C13-AF13-AJ13)/1.12</f>
        <v>2040.1785714285713</v>
      </c>
      <c r="AL13" s="514">
        <f>AK13-SUM(Y13:AC13)</f>
        <v>2040.1785714285713</v>
      </c>
      <c r="AM13" s="514">
        <f>+AL13*0.12</f>
        <v>244.82142857142856</v>
      </c>
      <c r="AN13" s="514">
        <f t="shared" si="7"/>
        <v>2285</v>
      </c>
      <c r="AO13" s="513"/>
      <c r="AP13" s="516">
        <v>205</v>
      </c>
      <c r="AQ13" s="516">
        <v>110</v>
      </c>
      <c r="AR13" s="516"/>
      <c r="AS13" s="516"/>
      <c r="AT13" s="516"/>
      <c r="AU13" s="516"/>
      <c r="AV13" s="516"/>
      <c r="AW13" s="516"/>
      <c r="AX13" s="516"/>
      <c r="AY13" s="516"/>
      <c r="AZ13" s="514">
        <f>SUM(AO13:AY13)</f>
        <v>315</v>
      </c>
      <c r="BA13" s="515"/>
      <c r="BB13" s="515">
        <v>0</v>
      </c>
      <c r="BC13" s="514">
        <v>0</v>
      </c>
      <c r="BD13" s="514">
        <v>0</v>
      </c>
      <c r="BE13" s="513"/>
      <c r="BF13" s="513"/>
      <c r="BG13" s="513"/>
      <c r="BH13" s="513">
        <v>0</v>
      </c>
      <c r="BI13" s="513"/>
      <c r="BJ13" s="513"/>
      <c r="BK13" s="513"/>
      <c r="BL13" s="513"/>
      <c r="BM13" s="513"/>
      <c r="BN13" s="513"/>
      <c r="BO13" s="513"/>
      <c r="BP13" s="513"/>
      <c r="BQ13" s="513"/>
      <c r="BR13" s="524">
        <f>AZ13+BA13+BB13+BD13-BC13</f>
        <v>315</v>
      </c>
      <c r="BT13" s="511"/>
      <c r="BU13" s="510"/>
      <c r="BV13" s="510"/>
      <c r="BW13" s="510"/>
      <c r="BX13" s="510"/>
      <c r="BY13" s="510"/>
      <c r="BZ13" s="510"/>
      <c r="CA13" s="510"/>
      <c r="CB13" s="510"/>
      <c r="CC13" s="510"/>
      <c r="CD13" s="510"/>
      <c r="CE13" s="510"/>
      <c r="CF13" s="510"/>
      <c r="CG13" s="510"/>
      <c r="CH13" s="510"/>
      <c r="CI13" s="510"/>
      <c r="CJ13" s="510"/>
      <c r="CK13" s="510"/>
      <c r="CL13" s="510"/>
      <c r="CM13" s="510"/>
      <c r="CN13" s="510"/>
      <c r="CO13" s="510"/>
      <c r="CP13" s="510"/>
      <c r="CQ13" s="510"/>
      <c r="CR13" s="510"/>
      <c r="CS13" s="510"/>
    </row>
    <row r="14" spans="1:125" s="534" customFormat="1" ht="15.75" thickBot="1" x14ac:dyDescent="0.3">
      <c r="A14" s="523"/>
      <c r="B14" s="508"/>
      <c r="C14" s="501">
        <f>SUBTOTAL(9,C12:C13)</f>
        <v>20150.12</v>
      </c>
      <c r="D14" s="504">
        <f>SUBTOTAL(9,D12:D13)</f>
        <v>12074.050000000001</v>
      </c>
      <c r="E14" s="504">
        <f>SUBTOTAL(9,E12:E13)</f>
        <v>12079</v>
      </c>
      <c r="F14" s="537"/>
      <c r="G14" s="504">
        <f t="shared" ref="G14:L14" si="8">SUBTOTAL(9,G12:G13)</f>
        <v>0</v>
      </c>
      <c r="H14" s="504">
        <f t="shared" si="8"/>
        <v>4.9499999999993634</v>
      </c>
      <c r="I14" s="504">
        <f t="shared" si="8"/>
        <v>0</v>
      </c>
      <c r="J14" s="504">
        <f t="shared" si="8"/>
        <v>0</v>
      </c>
      <c r="K14" s="507">
        <f t="shared" si="8"/>
        <v>7664.66</v>
      </c>
      <c r="L14" s="538">
        <f t="shared" si="8"/>
        <v>0</v>
      </c>
      <c r="M14" s="536">
        <f t="shared" si="4"/>
        <v>164.79019</v>
      </c>
      <c r="N14" s="536">
        <f t="shared" si="5"/>
        <v>38.323300000000003</v>
      </c>
      <c r="O14" s="536">
        <f t="shared" si="6"/>
        <v>7461.5465100000001</v>
      </c>
      <c r="P14" s="536">
        <f>L14-(L14*(M$5+N$5))</f>
        <v>0</v>
      </c>
      <c r="Q14" s="505"/>
      <c r="R14" s="504">
        <f t="shared" ref="R14:W14" si="9">SUBTOTAL(9,R12:R13)</f>
        <v>0</v>
      </c>
      <c r="S14" s="504">
        <f t="shared" si="9"/>
        <v>0</v>
      </c>
      <c r="T14" s="506">
        <f t="shared" si="9"/>
        <v>0</v>
      </c>
      <c r="U14" s="506">
        <f t="shared" si="9"/>
        <v>0</v>
      </c>
      <c r="V14" s="506">
        <f t="shared" si="9"/>
        <v>0</v>
      </c>
      <c r="W14" s="506">
        <f t="shared" si="9"/>
        <v>0</v>
      </c>
      <c r="X14" s="505"/>
      <c r="Y14" s="504">
        <f>SUBTOTAL(9,Y12:Y13)</f>
        <v>0</v>
      </c>
      <c r="Z14" s="504"/>
      <c r="AA14" s="504"/>
      <c r="AB14" s="504"/>
      <c r="AC14" s="504"/>
      <c r="AD14" s="503"/>
      <c r="AE14" s="503"/>
      <c r="AF14" s="504"/>
      <c r="AG14" s="501">
        <f t="shared" ref="AG14:AM14" si="10">SUBTOTAL(9,AG12:AG13)</f>
        <v>1071.9112</v>
      </c>
      <c r="AH14" s="501">
        <f t="shared" si="10"/>
        <v>189.16079999999999</v>
      </c>
      <c r="AI14" s="501">
        <f t="shared" si="10"/>
        <v>315.26800000000003</v>
      </c>
      <c r="AJ14" s="504">
        <f t="shared" si="10"/>
        <v>0</v>
      </c>
      <c r="AK14" s="501">
        <f t="shared" si="10"/>
        <v>16583.732142857141</v>
      </c>
      <c r="AL14" s="501">
        <f t="shared" si="10"/>
        <v>16172.32214285714</v>
      </c>
      <c r="AM14" s="501">
        <f t="shared" si="10"/>
        <v>1940.678657142857</v>
      </c>
      <c r="AN14" s="501">
        <f t="shared" si="7"/>
        <v>18113.000799999998</v>
      </c>
      <c r="AO14" s="502">
        <f t="shared" ref="AO14:BC14" si="11">SUBTOTAL(9,AO12:AO13)</f>
        <v>0</v>
      </c>
      <c r="AP14" s="502">
        <f t="shared" si="11"/>
        <v>205</v>
      </c>
      <c r="AQ14" s="502">
        <f t="shared" si="11"/>
        <v>110</v>
      </c>
      <c r="AR14" s="502">
        <f t="shared" si="11"/>
        <v>0</v>
      </c>
      <c r="AS14" s="502">
        <f t="shared" si="11"/>
        <v>0</v>
      </c>
      <c r="AT14" s="502">
        <f t="shared" si="11"/>
        <v>0</v>
      </c>
      <c r="AU14" s="502">
        <f t="shared" si="11"/>
        <v>0</v>
      </c>
      <c r="AV14" s="502">
        <f t="shared" si="11"/>
        <v>0</v>
      </c>
      <c r="AW14" s="502">
        <f t="shared" si="11"/>
        <v>0</v>
      </c>
      <c r="AX14" s="502">
        <f t="shared" si="11"/>
        <v>0</v>
      </c>
      <c r="AY14" s="502">
        <f t="shared" si="11"/>
        <v>0</v>
      </c>
      <c r="AZ14" s="501">
        <f t="shared" si="11"/>
        <v>315</v>
      </c>
      <c r="BA14" s="503">
        <f t="shared" si="11"/>
        <v>0</v>
      </c>
      <c r="BB14" s="503">
        <f t="shared" si="11"/>
        <v>0</v>
      </c>
      <c r="BC14" s="501">
        <f t="shared" si="11"/>
        <v>0</v>
      </c>
      <c r="BD14" s="501">
        <v>0</v>
      </c>
      <c r="BE14" s="502">
        <f t="shared" ref="BE14:BR14" si="12">SUBTOTAL(9,BE12:BE13)</f>
        <v>0</v>
      </c>
      <c r="BF14" s="502">
        <f t="shared" si="12"/>
        <v>0</v>
      </c>
      <c r="BG14" s="502">
        <f t="shared" si="12"/>
        <v>0</v>
      </c>
      <c r="BH14" s="502">
        <f t="shared" si="12"/>
        <v>0</v>
      </c>
      <c r="BI14" s="502">
        <f t="shared" si="12"/>
        <v>0</v>
      </c>
      <c r="BJ14" s="502">
        <f t="shared" si="12"/>
        <v>0</v>
      </c>
      <c r="BK14" s="502">
        <f t="shared" si="12"/>
        <v>0</v>
      </c>
      <c r="BL14" s="502">
        <f t="shared" si="12"/>
        <v>0</v>
      </c>
      <c r="BM14" s="502">
        <f t="shared" si="12"/>
        <v>0</v>
      </c>
      <c r="BN14" s="502">
        <f t="shared" si="12"/>
        <v>0</v>
      </c>
      <c r="BO14" s="502">
        <f t="shared" si="12"/>
        <v>0</v>
      </c>
      <c r="BP14" s="502">
        <f t="shared" si="12"/>
        <v>0</v>
      </c>
      <c r="BQ14" s="502">
        <f t="shared" si="12"/>
        <v>0</v>
      </c>
      <c r="BR14" s="501">
        <f t="shared" si="12"/>
        <v>315</v>
      </c>
      <c r="BU14" s="535"/>
      <c r="BV14" s="535"/>
      <c r="BW14" s="535"/>
      <c r="BX14" s="535"/>
      <c r="BY14" s="535"/>
      <c r="BZ14" s="535"/>
      <c r="CA14" s="535"/>
      <c r="CB14" s="535"/>
      <c r="CC14" s="535"/>
      <c r="CD14" s="535"/>
      <c r="CE14" s="535"/>
      <c r="CF14" s="535"/>
      <c r="CG14" s="535"/>
      <c r="CH14" s="535"/>
      <c r="CI14" s="535"/>
      <c r="CJ14" s="535"/>
      <c r="CK14" s="535"/>
      <c r="CL14" s="535"/>
      <c r="CM14" s="535"/>
      <c r="CN14" s="535"/>
      <c r="CO14" s="535"/>
      <c r="CP14" s="535"/>
      <c r="CQ14" s="535"/>
      <c r="CR14" s="535"/>
      <c r="CS14" s="535"/>
      <c r="CT14" s="535"/>
      <c r="CU14" s="535"/>
      <c r="CV14" s="535"/>
      <c r="CW14" s="535"/>
      <c r="CX14" s="535"/>
      <c r="CY14" s="535"/>
      <c r="CZ14" s="535"/>
      <c r="DA14" s="535"/>
      <c r="DB14" s="535"/>
      <c r="DC14" s="535"/>
      <c r="DD14" s="535"/>
      <c r="DE14" s="535"/>
      <c r="DF14" s="535"/>
      <c r="DG14" s="535"/>
      <c r="DH14" s="535"/>
      <c r="DI14" s="535"/>
      <c r="DJ14" s="535"/>
      <c r="DK14" s="535"/>
      <c r="DL14" s="535"/>
      <c r="DM14" s="535"/>
      <c r="DN14" s="535"/>
      <c r="DO14" s="535"/>
      <c r="DP14" s="535"/>
      <c r="DQ14" s="535"/>
      <c r="DR14" s="535"/>
      <c r="DS14" s="535"/>
      <c r="DT14" s="535"/>
      <c r="DU14" s="535"/>
    </row>
    <row r="15" spans="1:125" x14ac:dyDescent="0.25">
      <c r="A15" s="694">
        <f>+A12+1</f>
        <v>43468</v>
      </c>
      <c r="B15" s="527" t="s">
        <v>561</v>
      </c>
      <c r="C15" s="514">
        <v>18628.87</v>
      </c>
      <c r="D15" s="517">
        <v>12274.63</v>
      </c>
      <c r="E15" s="517">
        <v>12280</v>
      </c>
      <c r="F15" s="520">
        <v>43468</v>
      </c>
      <c r="G15" s="514">
        <f>IF(E15-D15&lt;0,E15-D15,0)*-1</f>
        <v>0</v>
      </c>
      <c r="H15" s="514">
        <f>IF(E15-D15&gt;0,E15-D15,0)</f>
        <v>5.3700000000008004</v>
      </c>
      <c r="I15" s="517"/>
      <c r="J15" s="517"/>
      <c r="K15" s="517">
        <v>4547.7700000000004</v>
      </c>
      <c r="L15" s="517"/>
      <c r="M15" s="519">
        <f t="shared" si="4"/>
        <v>97.777055000000004</v>
      </c>
      <c r="N15" s="519">
        <f t="shared" si="5"/>
        <v>22.738850000000003</v>
      </c>
      <c r="O15" s="519">
        <f t="shared" si="6"/>
        <v>4427.2540950000011</v>
      </c>
      <c r="P15" s="519">
        <f>L15-(L15*(M$5+N$5))</f>
        <v>0</v>
      </c>
      <c r="Q15" s="518"/>
      <c r="R15" s="517"/>
      <c r="S15" s="517"/>
      <c r="T15" s="519">
        <f>+R15*T$5</f>
        <v>0</v>
      </c>
      <c r="U15" s="519">
        <f>+R15*U$5</f>
        <v>0</v>
      </c>
      <c r="V15" s="519">
        <f>+R15-T15-U15+W15</f>
        <v>0</v>
      </c>
      <c r="W15" s="519">
        <f>+S15-(S15*(T$5+U$5))</f>
        <v>0</v>
      </c>
      <c r="X15" s="518"/>
      <c r="Y15" s="517"/>
      <c r="Z15" s="517">
        <f>118.75+277.5</f>
        <v>396.25</v>
      </c>
      <c r="AA15" s="517"/>
      <c r="AB15" s="517"/>
      <c r="AC15" s="517">
        <v>210.72</v>
      </c>
      <c r="AD15" s="515"/>
      <c r="AE15" s="515">
        <v>1200</v>
      </c>
      <c r="AF15" s="517">
        <v>1334.95</v>
      </c>
      <c r="AG15" s="514">
        <f>(AF15*0.8)*0.85</f>
        <v>907.76599999999996</v>
      </c>
      <c r="AH15" s="514">
        <f>(AF15*0.8)*0.15</f>
        <v>160.19399999999999</v>
      </c>
      <c r="AI15" s="514">
        <f>AF15*0.2</f>
        <v>266.99</v>
      </c>
      <c r="AJ15" s="517"/>
      <c r="AK15" s="514">
        <f>(C15-AF15-AJ15)/1.12</f>
        <v>15440.999999999996</v>
      </c>
      <c r="AL15" s="514">
        <f>AK15-SUM(Y15:AC15)</f>
        <v>14834.029999999997</v>
      </c>
      <c r="AM15" s="514">
        <f>+AL15*0.12</f>
        <v>1780.0835999999995</v>
      </c>
      <c r="AN15" s="514">
        <f t="shared" si="7"/>
        <v>16614.113599999997</v>
      </c>
      <c r="AO15" s="513"/>
      <c r="AP15" s="516"/>
      <c r="AQ15" s="516"/>
      <c r="AR15" s="516"/>
      <c r="AS15" s="516"/>
      <c r="AT15" s="516"/>
      <c r="AU15" s="516"/>
      <c r="AV15" s="516"/>
      <c r="AW15" s="516"/>
      <c r="AX15" s="516"/>
      <c r="AY15" s="516"/>
      <c r="AZ15" s="514">
        <f>SUM(AO15:AY15)</f>
        <v>0</v>
      </c>
      <c r="BA15" s="515"/>
      <c r="BB15" s="515"/>
      <c r="BC15" s="514">
        <f>SUM(BE15:BM15)*0.1+(BN15*0.5)</f>
        <v>0</v>
      </c>
      <c r="BD15" s="514">
        <f>SUM(BE15:BM15)+(BN15*0.5)</f>
        <v>0</v>
      </c>
      <c r="BE15" s="513"/>
      <c r="BF15" s="513"/>
      <c r="BG15" s="513"/>
      <c r="BH15" s="513"/>
      <c r="BI15" s="513"/>
      <c r="BJ15" s="513"/>
      <c r="BK15" s="513"/>
      <c r="BL15" s="513"/>
      <c r="BM15" s="513"/>
      <c r="BN15" s="513"/>
      <c r="BO15" s="513"/>
      <c r="BP15" s="513"/>
      <c r="BQ15" s="513"/>
      <c r="BR15" s="524">
        <f>AZ15+BA15+BB15+BD15-BC15</f>
        <v>0</v>
      </c>
      <c r="BT15" s="511"/>
      <c r="BU15" s="510"/>
      <c r="BV15" s="510"/>
      <c r="BW15" s="510"/>
      <c r="BX15" s="510"/>
      <c r="BY15" s="510"/>
      <c r="BZ15" s="510"/>
      <c r="CA15" s="510"/>
      <c r="CB15" s="510"/>
      <c r="CC15" s="510"/>
      <c r="CD15" s="510"/>
      <c r="CE15" s="510"/>
      <c r="CF15" s="510"/>
      <c r="CG15" s="510"/>
      <c r="CH15" s="510"/>
      <c r="CI15" s="510"/>
      <c r="CJ15" s="510"/>
      <c r="CK15" s="510"/>
      <c r="CL15" s="510"/>
      <c r="CM15" s="510"/>
      <c r="CN15" s="510"/>
      <c r="CO15" s="510"/>
      <c r="CP15" s="510"/>
      <c r="CQ15" s="510"/>
      <c r="CR15" s="510"/>
      <c r="CS15" s="510"/>
    </row>
    <row r="16" spans="1:125" ht="15.75" thickBot="1" x14ac:dyDescent="0.3">
      <c r="A16" s="695"/>
      <c r="B16" s="526" t="s">
        <v>560</v>
      </c>
      <c r="C16" s="514">
        <v>9562.25</v>
      </c>
      <c r="D16" s="517">
        <v>6688.05</v>
      </c>
      <c r="E16" s="517">
        <v>6690</v>
      </c>
      <c r="F16" s="520">
        <v>43469</v>
      </c>
      <c r="G16" s="514">
        <f>IF(E16-D16&lt;0,E16-D16,0)*-1</f>
        <v>0</v>
      </c>
      <c r="H16" s="514">
        <f>IF(E16-D16&gt;0,E16-D16,0)</f>
        <v>1.9499999999998181</v>
      </c>
      <c r="I16" s="517"/>
      <c r="J16" s="517"/>
      <c r="K16" s="517">
        <v>718.93</v>
      </c>
      <c r="L16" s="517"/>
      <c r="M16" s="519">
        <f t="shared" si="4"/>
        <v>15.456994999999997</v>
      </c>
      <c r="N16" s="519">
        <f t="shared" si="5"/>
        <v>3.5946499999999997</v>
      </c>
      <c r="O16" s="519">
        <f t="shared" si="6"/>
        <v>699.87835499999994</v>
      </c>
      <c r="P16" s="519">
        <f>L16-(L16*(M$5+N$5))</f>
        <v>0</v>
      </c>
      <c r="Q16" s="518"/>
      <c r="R16" s="517"/>
      <c r="S16" s="517"/>
      <c r="T16" s="519">
        <f>+R16*T$5</f>
        <v>0</v>
      </c>
      <c r="U16" s="519">
        <f>+R16*U$5</f>
        <v>0</v>
      </c>
      <c r="V16" s="519">
        <f>+R16-T16-U16+W16</f>
        <v>0</v>
      </c>
      <c r="W16" s="519">
        <f>+S16-(S16*(T$5+U$5))</f>
        <v>0</v>
      </c>
      <c r="X16" s="518"/>
      <c r="Y16" s="517"/>
      <c r="Z16" s="517"/>
      <c r="AA16" s="517"/>
      <c r="AB16" s="517"/>
      <c r="AC16" s="517">
        <v>135.27000000000001</v>
      </c>
      <c r="AD16" s="515"/>
      <c r="AE16" s="515">
        <v>2020</v>
      </c>
      <c r="AF16" s="517">
        <v>530.41</v>
      </c>
      <c r="AG16" s="514">
        <f>(AF16*0.8)*0.85</f>
        <v>360.67879999999997</v>
      </c>
      <c r="AH16" s="514">
        <f>(AF16*0.8)*0.15</f>
        <v>63.649199999999993</v>
      </c>
      <c r="AI16" s="514">
        <f>AF16*0.2</f>
        <v>106.08199999999999</v>
      </c>
      <c r="AJ16" s="517">
        <v>0</v>
      </c>
      <c r="AK16" s="514">
        <f>(C16-AF16-AJ16)/1.12</f>
        <v>8064.1428571428569</v>
      </c>
      <c r="AL16" s="514">
        <f>AK16-SUM(Y16:AC16)</f>
        <v>7928.8728571428564</v>
      </c>
      <c r="AM16" s="514">
        <f>+AL16*0.12</f>
        <v>951.46474285714271</v>
      </c>
      <c r="AN16" s="514">
        <f t="shared" si="7"/>
        <v>8880.3375999999989</v>
      </c>
      <c r="AO16" s="513">
        <v>20</v>
      </c>
      <c r="AP16" s="516"/>
      <c r="AQ16" s="516"/>
      <c r="AR16" s="516"/>
      <c r="AS16" s="516"/>
      <c r="AT16" s="516"/>
      <c r="AU16" s="516"/>
      <c r="AV16" s="516"/>
      <c r="AW16" s="516"/>
      <c r="AX16" s="516"/>
      <c r="AY16" s="516"/>
      <c r="AZ16" s="514">
        <f>SUM(AO16:AY16)</f>
        <v>20</v>
      </c>
      <c r="BA16" s="515"/>
      <c r="BB16" s="515"/>
      <c r="BC16" s="514">
        <v>0</v>
      </c>
      <c r="BD16" s="514">
        <v>0</v>
      </c>
      <c r="BE16" s="513"/>
      <c r="BF16" s="513"/>
      <c r="BG16" s="513"/>
      <c r="BH16" s="513"/>
      <c r="BI16" s="513"/>
      <c r="BJ16" s="513"/>
      <c r="BK16" s="513"/>
      <c r="BL16" s="513"/>
      <c r="BM16" s="513"/>
      <c r="BN16" s="513"/>
      <c r="BO16" s="513"/>
      <c r="BP16" s="513"/>
      <c r="BQ16" s="513"/>
      <c r="BR16" s="524">
        <f>AZ16+BA16+BB16+BD16-BC16</f>
        <v>20</v>
      </c>
      <c r="BT16" s="511"/>
      <c r="BU16" s="510"/>
      <c r="BV16" s="510"/>
      <c r="BW16" s="510"/>
      <c r="BX16" s="510"/>
      <c r="BY16" s="510"/>
      <c r="BZ16" s="510"/>
      <c r="CA16" s="510"/>
      <c r="CB16" s="510"/>
      <c r="CC16" s="510"/>
      <c r="CD16" s="510"/>
      <c r="CE16" s="510"/>
      <c r="CF16" s="510"/>
      <c r="CG16" s="510"/>
      <c r="CH16" s="510"/>
      <c r="CI16" s="510"/>
      <c r="CJ16" s="510"/>
      <c r="CK16" s="510"/>
      <c r="CL16" s="510"/>
      <c r="CM16" s="510"/>
      <c r="CN16" s="510"/>
      <c r="CO16" s="510"/>
      <c r="CP16" s="510"/>
      <c r="CQ16" s="510"/>
      <c r="CR16" s="510"/>
      <c r="CS16" s="510"/>
    </row>
    <row r="17" spans="1:125" s="534" customFormat="1" ht="15.75" thickBot="1" x14ac:dyDescent="0.3">
      <c r="A17" s="523"/>
      <c r="B17" s="508"/>
      <c r="C17" s="501">
        <f>SUBTOTAL(9,C15:C16)</f>
        <v>28191.119999999999</v>
      </c>
      <c r="D17" s="504">
        <f>SUBTOTAL(9,D15:D16)</f>
        <v>18962.68</v>
      </c>
      <c r="E17" s="504">
        <f>SUBTOTAL(9,E15:E16)</f>
        <v>18970</v>
      </c>
      <c r="F17" s="537"/>
      <c r="G17" s="504">
        <f t="shared" ref="G17:L17" si="13">SUBTOTAL(9,G15:G16)</f>
        <v>0</v>
      </c>
      <c r="H17" s="504">
        <f t="shared" si="13"/>
        <v>7.3200000000006185</v>
      </c>
      <c r="I17" s="504">
        <f t="shared" si="13"/>
        <v>0</v>
      </c>
      <c r="J17" s="504">
        <f t="shared" si="13"/>
        <v>0</v>
      </c>
      <c r="K17" s="507">
        <f t="shared" si="13"/>
        <v>5266.7000000000007</v>
      </c>
      <c r="L17" s="504">
        <f t="shared" si="13"/>
        <v>0</v>
      </c>
      <c r="M17" s="536">
        <f t="shared" si="4"/>
        <v>113.23405000000001</v>
      </c>
      <c r="N17" s="536">
        <f t="shared" si="5"/>
        <v>26.333500000000004</v>
      </c>
      <c r="O17" s="536">
        <f t="shared" si="6"/>
        <v>5127.132450000001</v>
      </c>
      <c r="P17" s="536">
        <f>L17-(L17*(M$5+N$5))</f>
        <v>0</v>
      </c>
      <c r="Q17" s="505"/>
      <c r="R17" s="504">
        <f t="shared" ref="R17:W17" si="14">SUBTOTAL(9,R15:R16)</f>
        <v>0</v>
      </c>
      <c r="S17" s="504">
        <f t="shared" si="14"/>
        <v>0</v>
      </c>
      <c r="T17" s="506">
        <f t="shared" si="14"/>
        <v>0</v>
      </c>
      <c r="U17" s="506">
        <f t="shared" si="14"/>
        <v>0</v>
      </c>
      <c r="V17" s="506">
        <f t="shared" si="14"/>
        <v>0</v>
      </c>
      <c r="W17" s="506">
        <f t="shared" si="14"/>
        <v>0</v>
      </c>
      <c r="X17" s="505"/>
      <c r="Y17" s="504">
        <f>SUBTOTAL(9,Y15:Y16)</f>
        <v>0</v>
      </c>
      <c r="Z17" s="504"/>
      <c r="AA17" s="504"/>
      <c r="AB17" s="504"/>
      <c r="AC17" s="504"/>
      <c r="AD17" s="503"/>
      <c r="AE17" s="503"/>
      <c r="AF17" s="504"/>
      <c r="AG17" s="501">
        <f t="shared" ref="AG17:AM17" si="15">SUBTOTAL(9,AG15:AG16)</f>
        <v>1268.4448</v>
      </c>
      <c r="AH17" s="501">
        <f t="shared" si="15"/>
        <v>223.84319999999997</v>
      </c>
      <c r="AI17" s="501">
        <f t="shared" si="15"/>
        <v>373.072</v>
      </c>
      <c r="AJ17" s="504">
        <f t="shared" si="15"/>
        <v>0</v>
      </c>
      <c r="AK17" s="501">
        <f t="shared" si="15"/>
        <v>23505.142857142855</v>
      </c>
      <c r="AL17" s="501">
        <f t="shared" si="15"/>
        <v>22762.902857142853</v>
      </c>
      <c r="AM17" s="501">
        <f t="shared" si="15"/>
        <v>2731.5483428571424</v>
      </c>
      <c r="AN17" s="501">
        <f t="shared" si="7"/>
        <v>25494.451199999996</v>
      </c>
      <c r="AO17" s="502">
        <f t="shared" ref="AO17:BR17" si="16">SUBTOTAL(9,AO15:AO16)</f>
        <v>20</v>
      </c>
      <c r="AP17" s="502">
        <f t="shared" si="16"/>
        <v>0</v>
      </c>
      <c r="AQ17" s="502">
        <f t="shared" si="16"/>
        <v>0</v>
      </c>
      <c r="AR17" s="502">
        <f t="shared" si="16"/>
        <v>0</v>
      </c>
      <c r="AS17" s="502">
        <f t="shared" si="16"/>
        <v>0</v>
      </c>
      <c r="AT17" s="502">
        <f t="shared" si="16"/>
        <v>0</v>
      </c>
      <c r="AU17" s="502">
        <f t="shared" si="16"/>
        <v>0</v>
      </c>
      <c r="AV17" s="502">
        <f t="shared" si="16"/>
        <v>0</v>
      </c>
      <c r="AW17" s="502">
        <f t="shared" si="16"/>
        <v>0</v>
      </c>
      <c r="AX17" s="502">
        <f t="shared" si="16"/>
        <v>0</v>
      </c>
      <c r="AY17" s="502">
        <f t="shared" si="16"/>
        <v>0</v>
      </c>
      <c r="AZ17" s="501">
        <f t="shared" si="16"/>
        <v>20</v>
      </c>
      <c r="BA17" s="503">
        <f t="shared" si="16"/>
        <v>0</v>
      </c>
      <c r="BB17" s="503">
        <f t="shared" si="16"/>
        <v>0</v>
      </c>
      <c r="BC17" s="501">
        <f t="shared" si="16"/>
        <v>0</v>
      </c>
      <c r="BD17" s="501">
        <f t="shared" si="16"/>
        <v>0</v>
      </c>
      <c r="BE17" s="502">
        <f t="shared" si="16"/>
        <v>0</v>
      </c>
      <c r="BF17" s="502">
        <f t="shared" si="16"/>
        <v>0</v>
      </c>
      <c r="BG17" s="502">
        <f t="shared" si="16"/>
        <v>0</v>
      </c>
      <c r="BH17" s="502">
        <f t="shared" si="16"/>
        <v>0</v>
      </c>
      <c r="BI17" s="502">
        <f t="shared" si="16"/>
        <v>0</v>
      </c>
      <c r="BJ17" s="502">
        <f t="shared" si="16"/>
        <v>0</v>
      </c>
      <c r="BK17" s="502">
        <f t="shared" si="16"/>
        <v>0</v>
      </c>
      <c r="BL17" s="502">
        <f t="shared" si="16"/>
        <v>0</v>
      </c>
      <c r="BM17" s="502">
        <f t="shared" si="16"/>
        <v>0</v>
      </c>
      <c r="BN17" s="502">
        <f t="shared" si="16"/>
        <v>0</v>
      </c>
      <c r="BO17" s="502">
        <f t="shared" si="16"/>
        <v>0</v>
      </c>
      <c r="BP17" s="502">
        <f t="shared" si="16"/>
        <v>0</v>
      </c>
      <c r="BQ17" s="502">
        <f t="shared" si="16"/>
        <v>0</v>
      </c>
      <c r="BR17" s="501">
        <f t="shared" si="16"/>
        <v>20</v>
      </c>
      <c r="BU17" s="535"/>
      <c r="BV17" s="535"/>
      <c r="BW17" s="535"/>
      <c r="BX17" s="535"/>
      <c r="BY17" s="535"/>
      <c r="BZ17" s="535"/>
      <c r="CA17" s="535"/>
      <c r="CB17" s="535"/>
      <c r="CC17" s="535"/>
      <c r="CD17" s="535"/>
      <c r="CE17" s="535"/>
      <c r="CF17" s="535"/>
      <c r="CG17" s="535"/>
      <c r="CH17" s="535"/>
      <c r="CI17" s="535"/>
      <c r="CJ17" s="535"/>
      <c r="CK17" s="535"/>
      <c r="CL17" s="535"/>
      <c r="CM17" s="535"/>
      <c r="CN17" s="535"/>
      <c r="CO17" s="535"/>
      <c r="CP17" s="535"/>
      <c r="CQ17" s="535"/>
      <c r="CR17" s="535"/>
      <c r="CS17" s="535"/>
      <c r="CT17" s="535"/>
      <c r="CU17" s="535"/>
      <c r="CV17" s="535"/>
      <c r="CW17" s="535"/>
      <c r="CX17" s="535"/>
      <c r="CY17" s="535"/>
      <c r="CZ17" s="535"/>
      <c r="DA17" s="535"/>
      <c r="DB17" s="535"/>
      <c r="DC17" s="535"/>
      <c r="DD17" s="535"/>
      <c r="DE17" s="535"/>
      <c r="DF17" s="535"/>
      <c r="DG17" s="535"/>
      <c r="DH17" s="535"/>
      <c r="DI17" s="535"/>
      <c r="DJ17" s="535"/>
      <c r="DK17" s="535"/>
      <c r="DL17" s="535"/>
      <c r="DM17" s="535"/>
      <c r="DN17" s="535"/>
      <c r="DO17" s="535"/>
      <c r="DP17" s="535"/>
      <c r="DQ17" s="535"/>
      <c r="DR17" s="535"/>
      <c r="DS17" s="535"/>
      <c r="DT17" s="535"/>
      <c r="DU17" s="535"/>
    </row>
    <row r="18" spans="1:125" x14ac:dyDescent="0.25">
      <c r="A18" s="694">
        <f>+A15+1</f>
        <v>43469</v>
      </c>
      <c r="B18" s="527" t="s">
        <v>561</v>
      </c>
      <c r="C18" s="514">
        <v>20871.34</v>
      </c>
      <c r="D18" s="517">
        <v>17131.25</v>
      </c>
      <c r="E18" s="517">
        <v>17132</v>
      </c>
      <c r="F18" s="520">
        <v>43469</v>
      </c>
      <c r="G18" s="514">
        <f>IF(E18-D18&lt;0,E18-D18,0)*-1</f>
        <v>0</v>
      </c>
      <c r="H18" s="514">
        <f>IF(E18-D18&gt;0,E18-D18,0)</f>
        <v>0.75</v>
      </c>
      <c r="I18" s="517"/>
      <c r="J18" s="517"/>
      <c r="K18" s="517">
        <v>1889.91</v>
      </c>
      <c r="L18" s="517"/>
      <c r="M18" s="519">
        <f t="shared" si="4"/>
        <v>40.633065000000002</v>
      </c>
      <c r="N18" s="519">
        <f t="shared" si="5"/>
        <v>9.4495500000000003</v>
      </c>
      <c r="O18" s="519">
        <f t="shared" si="6"/>
        <v>1839.827385</v>
      </c>
      <c r="P18" s="519"/>
      <c r="Q18" s="518"/>
      <c r="R18" s="517"/>
      <c r="S18" s="517"/>
      <c r="T18" s="519"/>
      <c r="U18" s="519"/>
      <c r="V18" s="519"/>
      <c r="W18" s="519"/>
      <c r="X18" s="518"/>
      <c r="Y18" s="517"/>
      <c r="Z18" s="517"/>
      <c r="AA18" s="517"/>
      <c r="AB18" s="517"/>
      <c r="AC18" s="517">
        <v>65.180000000000007</v>
      </c>
      <c r="AD18" s="515"/>
      <c r="AE18" s="515">
        <v>1785</v>
      </c>
      <c r="AF18" s="517">
        <v>1275.45</v>
      </c>
      <c r="AG18" s="514">
        <f>(AF18*0.8)*0.85</f>
        <v>867.30600000000004</v>
      </c>
      <c r="AH18" s="514">
        <f>(AF18*0.8)*0.15</f>
        <v>153.054</v>
      </c>
      <c r="AI18" s="514">
        <f>AF18*0.2</f>
        <v>255.09000000000003</v>
      </c>
      <c r="AJ18" s="517"/>
      <c r="AK18" s="514">
        <f>(C18-AF18-AJ18)/1.12</f>
        <v>17496.330357142855</v>
      </c>
      <c r="AL18" s="514">
        <f>AK18-SUM(Y18:AC18)</f>
        <v>17431.150357142855</v>
      </c>
      <c r="AM18" s="514">
        <f>+AL18*0.12</f>
        <v>2091.7380428571423</v>
      </c>
      <c r="AN18" s="514">
        <f t="shared" si="7"/>
        <v>19522.888399999996</v>
      </c>
      <c r="AO18" s="513"/>
      <c r="AP18" s="516"/>
      <c r="AQ18" s="516"/>
      <c r="AR18" s="516"/>
      <c r="AS18" s="516"/>
      <c r="AT18" s="516"/>
      <c r="AU18" s="516"/>
      <c r="AV18" s="516"/>
      <c r="AW18" s="516"/>
      <c r="AX18" s="516"/>
      <c r="AY18" s="516"/>
      <c r="AZ18" s="514">
        <f>SUM(AO18:AY18)</f>
        <v>0</v>
      </c>
      <c r="BA18" s="515"/>
      <c r="BB18" s="515"/>
      <c r="BC18" s="514">
        <f>SUM(BE18:BM18)*0.1+(BN18*0.5)</f>
        <v>0</v>
      </c>
      <c r="BD18" s="514">
        <f>SUM(BE18:BM18)+(BN18*0.5)</f>
        <v>0</v>
      </c>
      <c r="BE18" s="513"/>
      <c r="BF18" s="513"/>
      <c r="BG18" s="513"/>
      <c r="BH18" s="513"/>
      <c r="BI18" s="513"/>
      <c r="BJ18" s="513"/>
      <c r="BK18" s="513"/>
      <c r="BL18" s="513"/>
      <c r="BM18" s="513"/>
      <c r="BN18" s="513"/>
      <c r="BO18" s="513"/>
      <c r="BP18" s="513"/>
      <c r="BQ18" s="513"/>
      <c r="BR18" s="524">
        <f>AZ18+BA18+BB18+BD18-BC18</f>
        <v>0</v>
      </c>
      <c r="BT18" s="511"/>
      <c r="BU18" s="510"/>
      <c r="BV18" s="510"/>
      <c r="BW18" s="510"/>
      <c r="BX18" s="510"/>
      <c r="BY18" s="510"/>
      <c r="BZ18" s="510"/>
      <c r="CA18" s="510"/>
      <c r="CB18" s="510"/>
      <c r="CC18" s="510"/>
      <c r="CD18" s="510"/>
      <c r="CE18" s="510"/>
      <c r="CF18" s="510"/>
      <c r="CG18" s="510"/>
      <c r="CH18" s="510"/>
      <c r="CI18" s="510"/>
      <c r="CJ18" s="510"/>
      <c r="CK18" s="510"/>
      <c r="CL18" s="510"/>
      <c r="CM18" s="510"/>
      <c r="CN18" s="510"/>
      <c r="CO18" s="510"/>
      <c r="CP18" s="510"/>
      <c r="CQ18" s="510"/>
      <c r="CR18" s="510"/>
      <c r="CS18" s="510"/>
    </row>
    <row r="19" spans="1:125" ht="15.75" thickBot="1" x14ac:dyDescent="0.3">
      <c r="A19" s="695"/>
      <c r="B19" s="526" t="s">
        <v>560</v>
      </c>
      <c r="C19" s="514">
        <v>12558.59</v>
      </c>
      <c r="D19" s="517">
        <v>6958.46</v>
      </c>
      <c r="E19" s="517">
        <v>6970</v>
      </c>
      <c r="F19" s="520">
        <v>43470</v>
      </c>
      <c r="G19" s="514">
        <f>IF(E19-D19&lt;0,E19-D19,0)*-1</f>
        <v>0</v>
      </c>
      <c r="H19" s="514">
        <f>IF(E19-D19&gt;0,E19-D19,0)</f>
        <v>11.539999999999964</v>
      </c>
      <c r="I19" s="517"/>
      <c r="J19" s="517"/>
      <c r="K19" s="517">
        <v>4825.57</v>
      </c>
      <c r="L19" s="517"/>
      <c r="M19" s="519">
        <f t="shared" si="4"/>
        <v>103.74975499999998</v>
      </c>
      <c r="N19" s="519">
        <f t="shared" si="5"/>
        <v>24.127849999999999</v>
      </c>
      <c r="O19" s="519">
        <f t="shared" si="6"/>
        <v>4697.692395</v>
      </c>
      <c r="P19" s="519"/>
      <c r="Q19" s="518"/>
      <c r="R19" s="517"/>
      <c r="S19" s="517"/>
      <c r="T19" s="519"/>
      <c r="U19" s="519"/>
      <c r="V19" s="519"/>
      <c r="W19" s="519"/>
      <c r="X19" s="518"/>
      <c r="Y19" s="517"/>
      <c r="Z19" s="517">
        <f>11.25+147.5</f>
        <v>158.75</v>
      </c>
      <c r="AA19" s="517"/>
      <c r="AB19" s="517"/>
      <c r="AC19" s="517">
        <v>80.81</v>
      </c>
      <c r="AD19" s="515"/>
      <c r="AE19" s="515">
        <v>535</v>
      </c>
      <c r="AF19" s="517">
        <v>969.07</v>
      </c>
      <c r="AG19" s="514">
        <f>(AF19*0.8)*0.85</f>
        <v>658.96760000000006</v>
      </c>
      <c r="AH19" s="514">
        <f>(AF19*0.8)*0.15</f>
        <v>116.28840000000001</v>
      </c>
      <c r="AI19" s="514">
        <f>AF19*0.2</f>
        <v>193.81400000000002</v>
      </c>
      <c r="AJ19" s="517">
        <v>0</v>
      </c>
      <c r="AK19" s="514">
        <f>(C19-AF19-AJ19)/1.12</f>
        <v>10347.785714285714</v>
      </c>
      <c r="AL19" s="514">
        <f>AK19-SUM(Y19:AC19)</f>
        <v>10108.225714285714</v>
      </c>
      <c r="AM19" s="514">
        <f>+AL19*0.12</f>
        <v>1212.9870857142857</v>
      </c>
      <c r="AN19" s="514">
        <f t="shared" si="7"/>
        <v>11321.212799999999</v>
      </c>
      <c r="AO19" s="513">
        <v>620</v>
      </c>
      <c r="AP19" s="516"/>
      <c r="AQ19" s="516"/>
      <c r="AR19" s="516"/>
      <c r="AS19" s="516"/>
      <c r="AT19" s="516"/>
      <c r="AU19" s="516"/>
      <c r="AV19" s="516"/>
      <c r="AW19" s="516"/>
      <c r="AX19" s="516"/>
      <c r="AY19" s="516"/>
      <c r="AZ19" s="514">
        <f>SUM(AO19:AY19)</f>
        <v>620</v>
      </c>
      <c r="BA19" s="515"/>
      <c r="BB19" s="515"/>
      <c r="BC19" s="514">
        <v>0</v>
      </c>
      <c r="BD19" s="514">
        <v>0</v>
      </c>
      <c r="BE19" s="513"/>
      <c r="BF19" s="513"/>
      <c r="BG19" s="513"/>
      <c r="BH19" s="513"/>
      <c r="BI19" s="513"/>
      <c r="BJ19" s="513"/>
      <c r="BK19" s="513"/>
      <c r="BL19" s="513"/>
      <c r="BM19" s="513"/>
      <c r="BN19" s="513"/>
      <c r="BO19" s="513"/>
      <c r="BP19" s="513"/>
      <c r="BQ19" s="513"/>
      <c r="BR19" s="524">
        <f>AZ19+BA19+BB19+BD19-BC19</f>
        <v>620</v>
      </c>
      <c r="BT19" s="511"/>
      <c r="BU19" s="510"/>
      <c r="BV19" s="510"/>
      <c r="BW19" s="510"/>
      <c r="BX19" s="510"/>
      <c r="BY19" s="510"/>
      <c r="BZ19" s="510"/>
      <c r="CA19" s="510"/>
      <c r="CB19" s="510"/>
      <c r="CC19" s="510"/>
      <c r="CD19" s="510"/>
      <c r="CE19" s="510"/>
      <c r="CF19" s="510"/>
      <c r="CG19" s="510"/>
      <c r="CH19" s="510"/>
      <c r="CI19" s="510"/>
      <c r="CJ19" s="510"/>
      <c r="CK19" s="510"/>
      <c r="CL19" s="510"/>
      <c r="CM19" s="510"/>
      <c r="CN19" s="510"/>
      <c r="CO19" s="510"/>
      <c r="CP19" s="510"/>
      <c r="CQ19" s="510"/>
      <c r="CR19" s="510"/>
      <c r="CS19" s="510"/>
    </row>
    <row r="20" spans="1:125" s="534" customFormat="1" ht="15.75" thickBot="1" x14ac:dyDescent="0.3">
      <c r="A20" s="523"/>
      <c r="B20" s="508"/>
      <c r="C20" s="501">
        <f>SUBTOTAL(9,C18:C19)</f>
        <v>33429.93</v>
      </c>
      <c r="D20" s="504">
        <f>SUBTOTAL(9,D18:D19)</f>
        <v>24089.71</v>
      </c>
      <c r="E20" s="504">
        <f>SUBTOTAL(9,E18:E19)</f>
        <v>24102</v>
      </c>
      <c r="F20" s="505"/>
      <c r="G20" s="504">
        <f t="shared" ref="G20:L20" si="17">SUBTOTAL(9,G18:G19)</f>
        <v>0</v>
      </c>
      <c r="H20" s="504">
        <f t="shared" si="17"/>
        <v>12.289999999999964</v>
      </c>
      <c r="I20" s="504">
        <f t="shared" si="17"/>
        <v>0</v>
      </c>
      <c r="J20" s="504">
        <f t="shared" si="17"/>
        <v>0</v>
      </c>
      <c r="K20" s="507">
        <f t="shared" si="17"/>
        <v>6715.48</v>
      </c>
      <c r="L20" s="504">
        <f t="shared" si="17"/>
        <v>0</v>
      </c>
      <c r="M20" s="536">
        <f t="shared" si="4"/>
        <v>144.38281999999998</v>
      </c>
      <c r="N20" s="536">
        <f t="shared" si="5"/>
        <v>33.577399999999997</v>
      </c>
      <c r="O20" s="536">
        <f t="shared" si="6"/>
        <v>6537.5197799999996</v>
      </c>
      <c r="P20" s="536">
        <f>L20-(L20*(M$5+N$5))</f>
        <v>0</v>
      </c>
      <c r="Q20" s="505"/>
      <c r="R20" s="504">
        <f t="shared" ref="R20:W20" si="18">SUBTOTAL(9,R18:R19)</f>
        <v>0</v>
      </c>
      <c r="S20" s="504">
        <f t="shared" si="18"/>
        <v>0</v>
      </c>
      <c r="T20" s="506">
        <f t="shared" si="18"/>
        <v>0</v>
      </c>
      <c r="U20" s="506">
        <f t="shared" si="18"/>
        <v>0</v>
      </c>
      <c r="V20" s="506">
        <f t="shared" si="18"/>
        <v>0</v>
      </c>
      <c r="W20" s="506">
        <f t="shared" si="18"/>
        <v>0</v>
      </c>
      <c r="X20" s="505"/>
      <c r="Y20" s="504">
        <f>SUBTOTAL(9,Y18:Y19)</f>
        <v>0</v>
      </c>
      <c r="Z20" s="504"/>
      <c r="AA20" s="504"/>
      <c r="AB20" s="504"/>
      <c r="AC20" s="504"/>
      <c r="AD20" s="503"/>
      <c r="AE20" s="503"/>
      <c r="AF20" s="504"/>
      <c r="AG20" s="501">
        <f>SUBTOTAL(9,AG18:AG19)</f>
        <v>1526.2736</v>
      </c>
      <c r="AH20" s="501">
        <f>SUBTOTAL(9,AH18:AH19)</f>
        <v>269.3424</v>
      </c>
      <c r="AI20" s="501">
        <f>SUBTOTAL(9,AI18:AI19)</f>
        <v>448.90400000000005</v>
      </c>
      <c r="AJ20" s="504">
        <v>0</v>
      </c>
      <c r="AK20" s="501">
        <f>SUBTOTAL(9,AK18:AK19)</f>
        <v>27844.116071428569</v>
      </c>
      <c r="AL20" s="501">
        <f>SUBTOTAL(9,AL18:AL19)</f>
        <v>27539.376071428567</v>
      </c>
      <c r="AM20" s="501">
        <f>SUBTOTAL(9,AM18:AM19)</f>
        <v>3304.7251285714283</v>
      </c>
      <c r="AN20" s="501">
        <f t="shared" si="7"/>
        <v>30844.101199999997</v>
      </c>
      <c r="AO20" s="502">
        <f t="shared" ref="AO20:BR20" si="19">SUBTOTAL(9,AO18:AO19)</f>
        <v>620</v>
      </c>
      <c r="AP20" s="502">
        <f t="shared" si="19"/>
        <v>0</v>
      </c>
      <c r="AQ20" s="502">
        <f t="shared" si="19"/>
        <v>0</v>
      </c>
      <c r="AR20" s="502">
        <f t="shared" si="19"/>
        <v>0</v>
      </c>
      <c r="AS20" s="502">
        <f t="shared" si="19"/>
        <v>0</v>
      </c>
      <c r="AT20" s="502">
        <f t="shared" si="19"/>
        <v>0</v>
      </c>
      <c r="AU20" s="502">
        <f t="shared" si="19"/>
        <v>0</v>
      </c>
      <c r="AV20" s="502">
        <f t="shared" si="19"/>
        <v>0</v>
      </c>
      <c r="AW20" s="502">
        <f t="shared" si="19"/>
        <v>0</v>
      </c>
      <c r="AX20" s="502">
        <f t="shared" si="19"/>
        <v>0</v>
      </c>
      <c r="AY20" s="502">
        <f t="shared" si="19"/>
        <v>0</v>
      </c>
      <c r="AZ20" s="501">
        <f t="shared" si="19"/>
        <v>620</v>
      </c>
      <c r="BA20" s="503">
        <f t="shared" si="19"/>
        <v>0</v>
      </c>
      <c r="BB20" s="503">
        <f t="shared" si="19"/>
        <v>0</v>
      </c>
      <c r="BC20" s="501">
        <f t="shared" si="19"/>
        <v>0</v>
      </c>
      <c r="BD20" s="501">
        <f t="shared" si="19"/>
        <v>0</v>
      </c>
      <c r="BE20" s="502">
        <f t="shared" si="19"/>
        <v>0</v>
      </c>
      <c r="BF20" s="502">
        <f t="shared" si="19"/>
        <v>0</v>
      </c>
      <c r="BG20" s="502">
        <f t="shared" si="19"/>
        <v>0</v>
      </c>
      <c r="BH20" s="502">
        <f t="shared" si="19"/>
        <v>0</v>
      </c>
      <c r="BI20" s="502">
        <f t="shared" si="19"/>
        <v>0</v>
      </c>
      <c r="BJ20" s="502">
        <f t="shared" si="19"/>
        <v>0</v>
      </c>
      <c r="BK20" s="502">
        <f t="shared" si="19"/>
        <v>0</v>
      </c>
      <c r="BL20" s="502">
        <f t="shared" si="19"/>
        <v>0</v>
      </c>
      <c r="BM20" s="502">
        <f t="shared" si="19"/>
        <v>0</v>
      </c>
      <c r="BN20" s="502">
        <f t="shared" si="19"/>
        <v>0</v>
      </c>
      <c r="BO20" s="502">
        <f t="shared" si="19"/>
        <v>0</v>
      </c>
      <c r="BP20" s="502">
        <f t="shared" si="19"/>
        <v>0</v>
      </c>
      <c r="BQ20" s="502">
        <f t="shared" si="19"/>
        <v>0</v>
      </c>
      <c r="BR20" s="501">
        <f t="shared" si="19"/>
        <v>620</v>
      </c>
      <c r="BU20" s="535"/>
      <c r="BV20" s="535"/>
      <c r="BW20" s="535"/>
      <c r="BX20" s="535"/>
      <c r="BY20" s="535"/>
      <c r="BZ20" s="535"/>
      <c r="CA20" s="535"/>
      <c r="CB20" s="535"/>
      <c r="CC20" s="535"/>
      <c r="CD20" s="535"/>
      <c r="CE20" s="535"/>
      <c r="CF20" s="535"/>
      <c r="CG20" s="535"/>
      <c r="CH20" s="535"/>
      <c r="CI20" s="535"/>
      <c r="CJ20" s="535"/>
      <c r="CK20" s="535"/>
      <c r="CL20" s="535"/>
      <c r="CM20" s="535"/>
      <c r="CN20" s="535"/>
      <c r="CO20" s="535"/>
      <c r="CP20" s="535"/>
      <c r="CQ20" s="535"/>
      <c r="CR20" s="535"/>
      <c r="CS20" s="535"/>
      <c r="CT20" s="535"/>
      <c r="CU20" s="535"/>
      <c r="CV20" s="535"/>
      <c r="CW20" s="535"/>
      <c r="CX20" s="535"/>
      <c r="CY20" s="535"/>
      <c r="CZ20" s="535"/>
      <c r="DA20" s="535"/>
      <c r="DB20" s="535"/>
      <c r="DC20" s="535"/>
      <c r="DD20" s="535"/>
      <c r="DE20" s="535"/>
      <c r="DF20" s="535"/>
      <c r="DG20" s="535"/>
      <c r="DH20" s="535"/>
      <c r="DI20" s="535"/>
      <c r="DJ20" s="535"/>
      <c r="DK20" s="535"/>
      <c r="DL20" s="535"/>
      <c r="DM20" s="535"/>
      <c r="DN20" s="535"/>
      <c r="DO20" s="535"/>
      <c r="DP20" s="535"/>
      <c r="DQ20" s="535"/>
      <c r="DR20" s="535"/>
      <c r="DS20" s="535"/>
      <c r="DT20" s="535"/>
      <c r="DU20" s="535"/>
    </row>
    <row r="21" spans="1:125" x14ac:dyDescent="0.25">
      <c r="A21" s="694">
        <f>+A18+1</f>
        <v>43470</v>
      </c>
      <c r="B21" s="527" t="s">
        <v>561</v>
      </c>
      <c r="C21" s="514" t="s">
        <v>564</v>
      </c>
      <c r="D21" s="517"/>
      <c r="E21" s="517"/>
      <c r="F21" s="520"/>
      <c r="G21" s="514">
        <f>IF(E21-D21&lt;0,E21-D21,0)*-1</f>
        <v>0</v>
      </c>
      <c r="H21" s="514">
        <f>IF(E21-D21&gt;0,E21-D21,0)</f>
        <v>0</v>
      </c>
      <c r="I21" s="517"/>
      <c r="J21" s="517"/>
      <c r="K21" s="517"/>
      <c r="L21" s="517"/>
      <c r="M21" s="519">
        <f t="shared" si="4"/>
        <v>0</v>
      </c>
      <c r="N21" s="519">
        <f t="shared" si="5"/>
        <v>0</v>
      </c>
      <c r="O21" s="519">
        <f t="shared" si="6"/>
        <v>0</v>
      </c>
      <c r="P21" s="519"/>
      <c r="Q21" s="518"/>
      <c r="R21" s="517"/>
      <c r="S21" s="517"/>
      <c r="T21" s="519"/>
      <c r="U21" s="519"/>
      <c r="V21" s="519"/>
      <c r="W21" s="519"/>
      <c r="X21" s="518"/>
      <c r="Y21" s="517"/>
      <c r="Z21" s="517"/>
      <c r="AA21" s="517"/>
      <c r="AB21" s="517"/>
      <c r="AC21" s="517"/>
      <c r="AD21" s="515"/>
      <c r="AE21" s="515"/>
      <c r="AF21" s="517"/>
      <c r="AG21" s="514">
        <f>(AF21*0.8)*0.85</f>
        <v>0</v>
      </c>
      <c r="AH21" s="514">
        <f>(AF21*0.8)*0.15</f>
        <v>0</v>
      </c>
      <c r="AI21" s="514">
        <f>AF21*0.2</f>
        <v>0</v>
      </c>
      <c r="AJ21" s="517">
        <v>0</v>
      </c>
      <c r="AK21" s="514">
        <v>0</v>
      </c>
      <c r="AL21" s="514">
        <f>AK21-SUM(Y21:AC21)</f>
        <v>0</v>
      </c>
      <c r="AM21" s="514">
        <f>+AL21*0.12</f>
        <v>0</v>
      </c>
      <c r="AN21" s="514">
        <f t="shared" si="7"/>
        <v>0</v>
      </c>
      <c r="AO21" s="513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4">
        <f>SUM(AO21:AY21)</f>
        <v>0</v>
      </c>
      <c r="BA21" s="515"/>
      <c r="BB21" s="515"/>
      <c r="BC21" s="514">
        <f>SUM(BE21:BM21)*0.1+(BN21*0.5)</f>
        <v>0</v>
      </c>
      <c r="BD21" s="514">
        <f>SUM(BE21:BM21)+(BN21*0.5)</f>
        <v>0</v>
      </c>
      <c r="BE21" s="513"/>
      <c r="BF21" s="513"/>
      <c r="BG21" s="513"/>
      <c r="BH21" s="513"/>
      <c r="BI21" s="513"/>
      <c r="BJ21" s="513"/>
      <c r="BK21" s="513"/>
      <c r="BL21" s="513"/>
      <c r="BM21" s="513"/>
      <c r="BN21" s="513"/>
      <c r="BO21" s="513"/>
      <c r="BP21" s="513"/>
      <c r="BQ21" s="513"/>
      <c r="BR21" s="524">
        <f>AZ21+BA21+BB21+BD21-BC21</f>
        <v>0</v>
      </c>
      <c r="BT21" s="511"/>
      <c r="BU21" s="510"/>
      <c r="BV21" s="510"/>
      <c r="BW21" s="510"/>
      <c r="BX21" s="510"/>
      <c r="BY21" s="510"/>
      <c r="BZ21" s="510"/>
      <c r="CA21" s="510"/>
      <c r="CB21" s="510"/>
      <c r="CC21" s="510"/>
      <c r="CD21" s="510"/>
      <c r="CE21" s="510"/>
      <c r="CF21" s="510"/>
      <c r="CG21" s="510"/>
      <c r="CH21" s="510"/>
      <c r="CI21" s="510"/>
      <c r="CJ21" s="510"/>
      <c r="CK21" s="510"/>
      <c r="CL21" s="510"/>
      <c r="CM21" s="510"/>
      <c r="CN21" s="510"/>
      <c r="CO21" s="510"/>
      <c r="CP21" s="510"/>
      <c r="CQ21" s="510"/>
      <c r="CR21" s="510"/>
      <c r="CS21" s="510"/>
    </row>
    <row r="22" spans="1:125" ht="15.75" thickBot="1" x14ac:dyDescent="0.3">
      <c r="A22" s="695"/>
      <c r="B22" s="526" t="s">
        <v>560</v>
      </c>
      <c r="C22" s="514">
        <v>11569.19</v>
      </c>
      <c r="D22" s="517">
        <v>3415.62</v>
      </c>
      <c r="E22" s="517">
        <v>3416</v>
      </c>
      <c r="F22" s="520">
        <v>43470</v>
      </c>
      <c r="G22" s="514">
        <f>IF(E22-D22&lt;0,E22-D22,0)*-1</f>
        <v>0</v>
      </c>
      <c r="H22" s="514">
        <f>IF(E22-D22&gt;0,E22-D22,0)</f>
        <v>0.38000000000010914</v>
      </c>
      <c r="I22" s="517"/>
      <c r="J22" s="517"/>
      <c r="K22" s="517">
        <v>904.11</v>
      </c>
      <c r="L22" s="517"/>
      <c r="M22" s="519">
        <f t="shared" si="4"/>
        <v>19.438364999999997</v>
      </c>
      <c r="N22" s="519">
        <f t="shared" si="5"/>
        <v>4.5205500000000001</v>
      </c>
      <c r="O22" s="519">
        <f t="shared" si="6"/>
        <v>880.15108500000008</v>
      </c>
      <c r="P22" s="519"/>
      <c r="Q22" s="518"/>
      <c r="R22" s="517"/>
      <c r="S22" s="517"/>
      <c r="T22" s="519"/>
      <c r="U22" s="519"/>
      <c r="V22" s="519"/>
      <c r="W22" s="519"/>
      <c r="X22" s="518"/>
      <c r="Y22" s="517"/>
      <c r="Z22" s="517"/>
      <c r="AA22" s="517"/>
      <c r="AB22" s="517"/>
      <c r="AC22" s="517">
        <v>54.46</v>
      </c>
      <c r="AD22" s="515"/>
      <c r="AE22" s="515">
        <v>7195</v>
      </c>
      <c r="AF22" s="517">
        <v>691.16</v>
      </c>
      <c r="AG22" s="514">
        <f>(AF22*0.8)*0.85</f>
        <v>469.98879999999997</v>
      </c>
      <c r="AH22" s="514">
        <f>(AF22*0.8)*0.15</f>
        <v>82.9392</v>
      </c>
      <c r="AI22" s="514">
        <f>AF22*0.2</f>
        <v>138.232</v>
      </c>
      <c r="AJ22" s="517">
        <v>0</v>
      </c>
      <c r="AK22" s="514">
        <f>(C22-AF22-AJ22)/1.12</f>
        <v>9712.5267857142862</v>
      </c>
      <c r="AL22" s="514">
        <f>AK22-SUM(Y22:AC22)</f>
        <v>9658.0667857142871</v>
      </c>
      <c r="AM22" s="514">
        <f>+AL22*0.12</f>
        <v>1158.9680142857144</v>
      </c>
      <c r="AN22" s="514">
        <f t="shared" si="7"/>
        <v>10817.034800000001</v>
      </c>
      <c r="AO22" s="513"/>
      <c r="AP22" s="516"/>
      <c r="AQ22" s="516">
        <v>800</v>
      </c>
      <c r="AR22" s="516">
        <v>1060</v>
      </c>
      <c r="AS22" s="516"/>
      <c r="AT22" s="516"/>
      <c r="AU22" s="516"/>
      <c r="AV22" s="516"/>
      <c r="AW22" s="516"/>
      <c r="AX22" s="516"/>
      <c r="AY22" s="516"/>
      <c r="AZ22" s="514">
        <f>SUM(AO22:AY22)</f>
        <v>1860</v>
      </c>
      <c r="BA22" s="515"/>
      <c r="BB22" s="515"/>
      <c r="BC22" s="514">
        <v>0</v>
      </c>
      <c r="BD22" s="514">
        <v>0</v>
      </c>
      <c r="BE22" s="513"/>
      <c r="BF22" s="513"/>
      <c r="BG22" s="513">
        <v>215</v>
      </c>
      <c r="BH22" s="513"/>
      <c r="BI22" s="513"/>
      <c r="BJ22" s="513"/>
      <c r="BK22" s="513"/>
      <c r="BL22" s="513">
        <v>215</v>
      </c>
      <c r="BM22" s="513"/>
      <c r="BN22" s="513"/>
      <c r="BO22" s="513"/>
      <c r="BP22" s="513"/>
      <c r="BQ22" s="513"/>
      <c r="BR22" s="524">
        <f>AZ22+BA22+BB22+BD22-BC22</f>
        <v>1860</v>
      </c>
      <c r="BT22" s="511"/>
      <c r="BU22" s="510"/>
      <c r="BV22" s="510"/>
      <c r="BW22" s="510"/>
      <c r="BX22" s="510"/>
      <c r="BY22" s="510"/>
      <c r="BZ22" s="510"/>
      <c r="CA22" s="510"/>
      <c r="CB22" s="510"/>
      <c r="CC22" s="510"/>
      <c r="CD22" s="510"/>
      <c r="CE22" s="510"/>
      <c r="CF22" s="510"/>
      <c r="CG22" s="510"/>
      <c r="CH22" s="510"/>
      <c r="CI22" s="510"/>
      <c r="CJ22" s="510"/>
      <c r="CK22" s="510"/>
      <c r="CL22" s="510"/>
      <c r="CM22" s="510"/>
      <c r="CN22" s="510"/>
      <c r="CO22" s="510"/>
      <c r="CP22" s="510"/>
      <c r="CQ22" s="510"/>
      <c r="CR22" s="510"/>
      <c r="CS22" s="510"/>
    </row>
    <row r="23" spans="1:125" ht="15.75" thickBot="1" x14ac:dyDescent="0.3">
      <c r="A23" s="509"/>
      <c r="B23" s="508"/>
      <c r="C23" s="501">
        <f>SUBTOTAL(9,C21:C22)</f>
        <v>11569.19</v>
      </c>
      <c r="D23" s="504">
        <f>SUBTOTAL(9,D21:D22)</f>
        <v>3415.62</v>
      </c>
      <c r="E23" s="504">
        <f>SUBTOTAL(9,E21:E22)</f>
        <v>3416</v>
      </c>
      <c r="F23" s="505"/>
      <c r="G23" s="504">
        <f t="shared" ref="G23:P23" si="20">SUBTOTAL(9,G21:G22)</f>
        <v>0</v>
      </c>
      <c r="H23" s="504">
        <f t="shared" si="20"/>
        <v>0.38000000000010914</v>
      </c>
      <c r="I23" s="504">
        <f t="shared" si="20"/>
        <v>0</v>
      </c>
      <c r="J23" s="504">
        <f t="shared" si="20"/>
        <v>0</v>
      </c>
      <c r="K23" s="507">
        <f t="shared" si="20"/>
        <v>904.11</v>
      </c>
      <c r="L23" s="504">
        <f t="shared" si="20"/>
        <v>0</v>
      </c>
      <c r="M23" s="506">
        <f t="shared" si="20"/>
        <v>19.438364999999997</v>
      </c>
      <c r="N23" s="506">
        <f t="shared" si="20"/>
        <v>4.5205500000000001</v>
      </c>
      <c r="O23" s="506">
        <f t="shared" si="20"/>
        <v>880.15108500000008</v>
      </c>
      <c r="P23" s="506">
        <f t="shared" si="20"/>
        <v>0</v>
      </c>
      <c r="Q23" s="505"/>
      <c r="R23" s="504">
        <f t="shared" ref="R23:W23" si="21">SUBTOTAL(9,R21:R22)</f>
        <v>0</v>
      </c>
      <c r="S23" s="504">
        <f t="shared" si="21"/>
        <v>0</v>
      </c>
      <c r="T23" s="506">
        <f t="shared" si="21"/>
        <v>0</v>
      </c>
      <c r="U23" s="506">
        <f t="shared" si="21"/>
        <v>0</v>
      </c>
      <c r="V23" s="506">
        <f t="shared" si="21"/>
        <v>0</v>
      </c>
      <c r="W23" s="506">
        <f t="shared" si="21"/>
        <v>0</v>
      </c>
      <c r="X23" s="505"/>
      <c r="Y23" s="504">
        <f>SUBTOTAL(9,Y21:Y22)</f>
        <v>0</v>
      </c>
      <c r="Z23" s="504"/>
      <c r="AA23" s="504"/>
      <c r="AB23" s="504"/>
      <c r="AC23" s="504"/>
      <c r="AD23" s="503"/>
      <c r="AE23" s="503"/>
      <c r="AF23" s="504"/>
      <c r="AG23" s="501">
        <f>SUBTOTAL(9,AG21:AG22)</f>
        <v>469.98879999999997</v>
      </c>
      <c r="AH23" s="501">
        <f>SUBTOTAL(9,AH21:AH22)</f>
        <v>82.9392</v>
      </c>
      <c r="AI23" s="501">
        <f>SUBTOTAL(9,AI21:AI22)</f>
        <v>138.232</v>
      </c>
      <c r="AJ23" s="504">
        <v>0</v>
      </c>
      <c r="AK23" s="501">
        <f>SUBTOTAL(9,AK21:AK22)</f>
        <v>9712.5267857142862</v>
      </c>
      <c r="AL23" s="501">
        <f>SUBTOTAL(9,AL21:AL22)</f>
        <v>9658.0667857142871</v>
      </c>
      <c r="AM23" s="501">
        <f>SUBTOTAL(9,AM21:AM22)</f>
        <v>1158.9680142857144</v>
      </c>
      <c r="AN23" s="501">
        <f t="shared" si="7"/>
        <v>10817.034800000001</v>
      </c>
      <c r="AO23" s="502">
        <f t="shared" ref="AO23:AZ23" si="22">SUBTOTAL(9,AO21:AO22)</f>
        <v>0</v>
      </c>
      <c r="AP23" s="502">
        <f t="shared" si="22"/>
        <v>0</v>
      </c>
      <c r="AQ23" s="502">
        <f t="shared" si="22"/>
        <v>800</v>
      </c>
      <c r="AR23" s="502">
        <f t="shared" si="22"/>
        <v>1060</v>
      </c>
      <c r="AS23" s="502">
        <f t="shared" si="22"/>
        <v>0</v>
      </c>
      <c r="AT23" s="502">
        <f t="shared" si="22"/>
        <v>0</v>
      </c>
      <c r="AU23" s="502">
        <f t="shared" si="22"/>
        <v>0</v>
      </c>
      <c r="AV23" s="502">
        <f t="shared" si="22"/>
        <v>0</v>
      </c>
      <c r="AW23" s="502">
        <f t="shared" si="22"/>
        <v>0</v>
      </c>
      <c r="AX23" s="502">
        <f t="shared" si="22"/>
        <v>0</v>
      </c>
      <c r="AY23" s="502">
        <f t="shared" si="22"/>
        <v>0</v>
      </c>
      <c r="AZ23" s="501">
        <f t="shared" si="22"/>
        <v>1860</v>
      </c>
      <c r="BA23" s="503"/>
      <c r="BB23" s="503">
        <f t="shared" ref="BB23:BR23" si="23">SUBTOTAL(9,BB21:BB22)</f>
        <v>0</v>
      </c>
      <c r="BC23" s="501">
        <f t="shared" si="23"/>
        <v>0</v>
      </c>
      <c r="BD23" s="501">
        <f t="shared" si="23"/>
        <v>0</v>
      </c>
      <c r="BE23" s="502">
        <f t="shared" si="23"/>
        <v>0</v>
      </c>
      <c r="BF23" s="502">
        <f t="shared" si="23"/>
        <v>0</v>
      </c>
      <c r="BG23" s="502">
        <f t="shared" si="23"/>
        <v>215</v>
      </c>
      <c r="BH23" s="502">
        <f t="shared" si="23"/>
        <v>0</v>
      </c>
      <c r="BI23" s="502">
        <f t="shared" si="23"/>
        <v>0</v>
      </c>
      <c r="BJ23" s="502">
        <f t="shared" si="23"/>
        <v>0</v>
      </c>
      <c r="BK23" s="502">
        <f t="shared" si="23"/>
        <v>0</v>
      </c>
      <c r="BL23" s="502">
        <f t="shared" si="23"/>
        <v>215</v>
      </c>
      <c r="BM23" s="502">
        <f t="shared" si="23"/>
        <v>0</v>
      </c>
      <c r="BN23" s="502">
        <f t="shared" si="23"/>
        <v>0</v>
      </c>
      <c r="BO23" s="502">
        <f t="shared" si="23"/>
        <v>0</v>
      </c>
      <c r="BP23" s="502">
        <f t="shared" si="23"/>
        <v>0</v>
      </c>
      <c r="BQ23" s="502">
        <f t="shared" si="23"/>
        <v>0</v>
      </c>
      <c r="BR23" s="501">
        <f t="shared" si="23"/>
        <v>1860</v>
      </c>
    </row>
    <row r="24" spans="1:125" x14ac:dyDescent="0.25">
      <c r="A24" s="694">
        <f>A21+1</f>
        <v>43471</v>
      </c>
      <c r="B24" s="527" t="s">
        <v>561</v>
      </c>
      <c r="C24" s="514" t="s">
        <v>563</v>
      </c>
      <c r="D24" s="517"/>
      <c r="E24" s="517"/>
      <c r="F24" s="520"/>
      <c r="G24" s="514">
        <f>IF(E24-D24&lt;0,E24-D24,0)*-1</f>
        <v>0</v>
      </c>
      <c r="H24" s="514">
        <f>IF(E24-D24&gt;0,E24-D24,0)</f>
        <v>0</v>
      </c>
      <c r="I24" s="517"/>
      <c r="J24" s="517"/>
      <c r="K24" s="517"/>
      <c r="L24" s="517"/>
      <c r="M24" s="519">
        <f>(+K24)*M$5</f>
        <v>0</v>
      </c>
      <c r="N24" s="519">
        <f>(+K24)*N$5</f>
        <v>0</v>
      </c>
      <c r="O24" s="519">
        <f>+K24-M24-N24+P24</f>
        <v>0</v>
      </c>
      <c r="P24" s="519"/>
      <c r="Q24" s="518"/>
      <c r="R24" s="517"/>
      <c r="S24" s="517"/>
      <c r="T24" s="519"/>
      <c r="U24" s="519"/>
      <c r="V24" s="519"/>
      <c r="W24" s="519"/>
      <c r="X24" s="518"/>
      <c r="Y24" s="517"/>
      <c r="Z24" s="517"/>
      <c r="AA24" s="517"/>
      <c r="AB24" s="517"/>
      <c r="AC24" s="517"/>
      <c r="AD24" s="515"/>
      <c r="AE24" s="515"/>
      <c r="AF24" s="517"/>
      <c r="AG24" s="514">
        <f>(AF24*0.8)*0.85</f>
        <v>0</v>
      </c>
      <c r="AH24" s="514">
        <f>(AF24*0.8)*0.15</f>
        <v>0</v>
      </c>
      <c r="AI24" s="514">
        <f>AF24*0.2</f>
        <v>0</v>
      </c>
      <c r="AJ24" s="517">
        <v>0</v>
      </c>
      <c r="AK24" s="514">
        <v>0</v>
      </c>
      <c r="AL24" s="514">
        <f>AK24-SUM(Y24:AC24)</f>
        <v>0</v>
      </c>
      <c r="AM24" s="514">
        <f>+AL24*0.12</f>
        <v>0</v>
      </c>
      <c r="AN24" s="514">
        <f t="shared" si="7"/>
        <v>0</v>
      </c>
      <c r="AO24" s="513"/>
      <c r="AP24" s="516"/>
      <c r="AQ24" s="516"/>
      <c r="AR24" s="516"/>
      <c r="AS24" s="516"/>
      <c r="AT24" s="516"/>
      <c r="AU24" s="516"/>
      <c r="AV24" s="516"/>
      <c r="AW24" s="516"/>
      <c r="AX24" s="516"/>
      <c r="AY24" s="516"/>
      <c r="AZ24" s="514">
        <f>SUM(AO24:AY24)</f>
        <v>0</v>
      </c>
      <c r="BA24" s="515"/>
      <c r="BB24" s="515"/>
      <c r="BC24" s="514">
        <f>SUM(BE24:BM24)*0.1+(BN24*0.5)</f>
        <v>0</v>
      </c>
      <c r="BD24" s="514">
        <f>SUM(BE24:BM24)+(BN24*0.5)</f>
        <v>0</v>
      </c>
      <c r="BE24" s="513"/>
      <c r="BF24" s="513"/>
      <c r="BG24" s="513"/>
      <c r="BH24" s="513"/>
      <c r="BI24" s="513"/>
      <c r="BJ24" s="513"/>
      <c r="BK24" s="513"/>
      <c r="BL24" s="513"/>
      <c r="BM24" s="513"/>
      <c r="BN24" s="513"/>
      <c r="BO24" s="513"/>
      <c r="BP24" s="513"/>
      <c r="BQ24" s="513"/>
      <c r="BR24" s="524">
        <f>AZ24+BA24+BB24+BD24-BC24</f>
        <v>0</v>
      </c>
      <c r="BT24" s="511"/>
      <c r="BU24" s="510"/>
      <c r="BV24" s="510"/>
      <c r="BW24" s="510"/>
      <c r="BX24" s="510"/>
      <c r="BY24" s="510"/>
      <c r="BZ24" s="510"/>
      <c r="CA24" s="510"/>
      <c r="CB24" s="510"/>
      <c r="CC24" s="510"/>
      <c r="CD24" s="510"/>
      <c r="CE24" s="510"/>
      <c r="CF24" s="510"/>
      <c r="CG24" s="510"/>
      <c r="CH24" s="510"/>
      <c r="CI24" s="510"/>
      <c r="CJ24" s="510"/>
      <c r="CK24" s="510"/>
      <c r="CL24" s="510"/>
      <c r="CM24" s="510"/>
      <c r="CN24" s="510"/>
      <c r="CO24" s="510"/>
      <c r="CP24" s="510"/>
      <c r="CQ24" s="510"/>
      <c r="CR24" s="510"/>
      <c r="CS24" s="510"/>
    </row>
    <row r="25" spans="1:125" ht="15.75" thickBot="1" x14ac:dyDescent="0.3">
      <c r="A25" s="695"/>
      <c r="B25" s="526" t="s">
        <v>560</v>
      </c>
      <c r="C25" s="514"/>
      <c r="D25" s="517"/>
      <c r="E25" s="517"/>
      <c r="F25" s="520"/>
      <c r="G25" s="514">
        <f>IF(E25-D25&lt;0,E25-D25,0)*-1</f>
        <v>0</v>
      </c>
      <c r="H25" s="514">
        <f>IF(E25-D25&gt;0,E25-D25,0)</f>
        <v>0</v>
      </c>
      <c r="I25" s="517"/>
      <c r="J25" s="517"/>
      <c r="K25" s="517"/>
      <c r="L25" s="517"/>
      <c r="M25" s="519">
        <f>(+K25)*M$5</f>
        <v>0</v>
      </c>
      <c r="N25" s="519">
        <f>(+K25)*N$5</f>
        <v>0</v>
      </c>
      <c r="O25" s="519">
        <f>+K25-M25-N25+P25</f>
        <v>0</v>
      </c>
      <c r="P25" s="519"/>
      <c r="Q25" s="518"/>
      <c r="R25" s="517"/>
      <c r="S25" s="517"/>
      <c r="T25" s="519"/>
      <c r="U25" s="519"/>
      <c r="V25" s="519"/>
      <c r="W25" s="519"/>
      <c r="X25" s="518"/>
      <c r="Y25" s="517"/>
      <c r="Z25" s="517"/>
      <c r="AA25" s="517"/>
      <c r="AB25" s="517"/>
      <c r="AC25" s="517"/>
      <c r="AD25" s="515"/>
      <c r="AE25" s="515"/>
      <c r="AF25" s="517"/>
      <c r="AG25" s="514">
        <f>(AF25*0.8)*0.85</f>
        <v>0</v>
      </c>
      <c r="AH25" s="514">
        <f>(AF25*0.8)*0.15</f>
        <v>0</v>
      </c>
      <c r="AI25" s="514">
        <f>AF25*0.2</f>
        <v>0</v>
      </c>
      <c r="AJ25" s="517">
        <v>0</v>
      </c>
      <c r="AK25" s="514">
        <f>(C25-AF25-AJ25)/1.12</f>
        <v>0</v>
      </c>
      <c r="AL25" s="514">
        <f>AK25-SUM(Y25:AC25)</f>
        <v>0</v>
      </c>
      <c r="AM25" s="514">
        <f>+AL25*0.12</f>
        <v>0</v>
      </c>
      <c r="AN25" s="514">
        <f t="shared" si="7"/>
        <v>0</v>
      </c>
      <c r="AO25" s="513"/>
      <c r="AP25" s="516"/>
      <c r="AQ25" s="516"/>
      <c r="AR25" s="516"/>
      <c r="AS25" s="516"/>
      <c r="AT25" s="516"/>
      <c r="AU25" s="516"/>
      <c r="AV25" s="516"/>
      <c r="AW25" s="516"/>
      <c r="AX25" s="516"/>
      <c r="AY25" s="516"/>
      <c r="AZ25" s="514"/>
      <c r="BA25" s="515"/>
      <c r="BB25" s="515"/>
      <c r="BC25" s="514">
        <f>SUM(BE25:BM25)*0.1+(BN25*0.5)</f>
        <v>0</v>
      </c>
      <c r="BD25" s="514">
        <f>SUM(BE25:BM25)+(BN25*0.5)</f>
        <v>0</v>
      </c>
      <c r="BE25" s="513"/>
      <c r="BF25" s="513"/>
      <c r="BG25" s="513"/>
      <c r="BH25" s="513"/>
      <c r="BI25" s="513"/>
      <c r="BJ25" s="513"/>
      <c r="BK25" s="513"/>
      <c r="BL25" s="513"/>
      <c r="BM25" s="513"/>
      <c r="BN25" s="513"/>
      <c r="BO25" s="513"/>
      <c r="BP25" s="513"/>
      <c r="BQ25" s="513"/>
      <c r="BR25" s="524">
        <f>AZ25+BA25+BB25+BD25-BC25</f>
        <v>0</v>
      </c>
      <c r="BT25" s="511"/>
      <c r="BU25" s="510"/>
      <c r="BV25" s="510"/>
      <c r="BW25" s="510"/>
      <c r="BX25" s="510"/>
      <c r="BY25" s="510"/>
      <c r="BZ25" s="510"/>
      <c r="CA25" s="510"/>
      <c r="CB25" s="510"/>
      <c r="CC25" s="510"/>
      <c r="CD25" s="510"/>
      <c r="CE25" s="510"/>
      <c r="CF25" s="510"/>
      <c r="CG25" s="510"/>
      <c r="CH25" s="510"/>
      <c r="CI25" s="510"/>
      <c r="CJ25" s="510"/>
      <c r="CK25" s="510"/>
      <c r="CL25" s="510"/>
      <c r="CM25" s="510"/>
      <c r="CN25" s="510"/>
      <c r="CO25" s="510"/>
      <c r="CP25" s="510"/>
      <c r="CQ25" s="510"/>
      <c r="CR25" s="510"/>
      <c r="CS25" s="510"/>
    </row>
    <row r="26" spans="1:125" ht="15.75" thickBot="1" x14ac:dyDescent="0.3">
      <c r="A26" s="509"/>
      <c r="B26" s="508"/>
      <c r="C26" s="501">
        <f>SUBTOTAL(9,C24:C25)</f>
        <v>0</v>
      </c>
      <c r="D26" s="504">
        <f>SUBTOTAL(9,D24:D25)</f>
        <v>0</v>
      </c>
      <c r="E26" s="504">
        <v>0</v>
      </c>
      <c r="F26" s="505"/>
      <c r="G26" s="504">
        <f t="shared" ref="G26:P26" si="24">SUBTOTAL(9,G24:G25)</f>
        <v>0</v>
      </c>
      <c r="H26" s="504">
        <f t="shared" si="24"/>
        <v>0</v>
      </c>
      <c r="I26" s="504">
        <f t="shared" si="24"/>
        <v>0</v>
      </c>
      <c r="J26" s="504">
        <f t="shared" si="24"/>
        <v>0</v>
      </c>
      <c r="K26" s="507">
        <f t="shared" si="24"/>
        <v>0</v>
      </c>
      <c r="L26" s="504">
        <f t="shared" si="24"/>
        <v>0</v>
      </c>
      <c r="M26" s="506">
        <f t="shared" si="24"/>
        <v>0</v>
      </c>
      <c r="N26" s="506">
        <f t="shared" si="24"/>
        <v>0</v>
      </c>
      <c r="O26" s="506">
        <f t="shared" si="24"/>
        <v>0</v>
      </c>
      <c r="P26" s="506">
        <f t="shared" si="24"/>
        <v>0</v>
      </c>
      <c r="Q26" s="505"/>
      <c r="R26" s="504">
        <f t="shared" ref="R26:W26" si="25">SUBTOTAL(9,R24:R25)</f>
        <v>0</v>
      </c>
      <c r="S26" s="504">
        <f t="shared" si="25"/>
        <v>0</v>
      </c>
      <c r="T26" s="506">
        <f t="shared" si="25"/>
        <v>0</v>
      </c>
      <c r="U26" s="506">
        <f t="shared" si="25"/>
        <v>0</v>
      </c>
      <c r="V26" s="506">
        <f t="shared" si="25"/>
        <v>0</v>
      </c>
      <c r="W26" s="506">
        <f t="shared" si="25"/>
        <v>0</v>
      </c>
      <c r="X26" s="505"/>
      <c r="Y26" s="504">
        <f>SUBTOTAL(9,Y24:Y25)</f>
        <v>0</v>
      </c>
      <c r="Z26" s="504"/>
      <c r="AA26" s="504"/>
      <c r="AB26" s="504"/>
      <c r="AC26" s="504"/>
      <c r="AD26" s="503"/>
      <c r="AE26" s="503"/>
      <c r="AF26" s="504"/>
      <c r="AG26" s="501">
        <f>SUBTOTAL(9,AG24:AG25)</f>
        <v>0</v>
      </c>
      <c r="AH26" s="501">
        <f>SUBTOTAL(9,AH24:AH25)</f>
        <v>0</v>
      </c>
      <c r="AI26" s="501">
        <f>SUBTOTAL(9,AI24:AI25)</f>
        <v>0</v>
      </c>
      <c r="AJ26" s="504">
        <v>0</v>
      </c>
      <c r="AK26" s="501">
        <f>SUBTOTAL(9,AK24:AK25)</f>
        <v>0</v>
      </c>
      <c r="AL26" s="501">
        <f>SUBTOTAL(9,AL24:AL25)</f>
        <v>0</v>
      </c>
      <c r="AM26" s="501">
        <f>SUBTOTAL(9,AM24:AM25)</f>
        <v>0</v>
      </c>
      <c r="AN26" s="501">
        <f t="shared" si="7"/>
        <v>0</v>
      </c>
      <c r="AO26" s="502">
        <f t="shared" ref="AO26:BR26" si="26">SUBTOTAL(9,AO24:AO25)</f>
        <v>0</v>
      </c>
      <c r="AP26" s="502">
        <f t="shared" si="26"/>
        <v>0</v>
      </c>
      <c r="AQ26" s="502">
        <f t="shared" si="26"/>
        <v>0</v>
      </c>
      <c r="AR26" s="502">
        <f t="shared" si="26"/>
        <v>0</v>
      </c>
      <c r="AS26" s="502">
        <f t="shared" si="26"/>
        <v>0</v>
      </c>
      <c r="AT26" s="502">
        <f t="shared" si="26"/>
        <v>0</v>
      </c>
      <c r="AU26" s="502">
        <f t="shared" si="26"/>
        <v>0</v>
      </c>
      <c r="AV26" s="502">
        <f t="shared" si="26"/>
        <v>0</v>
      </c>
      <c r="AW26" s="502">
        <f t="shared" si="26"/>
        <v>0</v>
      </c>
      <c r="AX26" s="502">
        <f t="shared" si="26"/>
        <v>0</v>
      </c>
      <c r="AY26" s="502">
        <f t="shared" si="26"/>
        <v>0</v>
      </c>
      <c r="AZ26" s="501">
        <f t="shared" si="26"/>
        <v>0</v>
      </c>
      <c r="BA26" s="503">
        <f t="shared" si="26"/>
        <v>0</v>
      </c>
      <c r="BB26" s="503">
        <f t="shared" si="26"/>
        <v>0</v>
      </c>
      <c r="BC26" s="501">
        <f t="shared" si="26"/>
        <v>0</v>
      </c>
      <c r="BD26" s="501">
        <f t="shared" si="26"/>
        <v>0</v>
      </c>
      <c r="BE26" s="502">
        <f t="shared" si="26"/>
        <v>0</v>
      </c>
      <c r="BF26" s="502">
        <f t="shared" si="26"/>
        <v>0</v>
      </c>
      <c r="BG26" s="502">
        <f t="shared" si="26"/>
        <v>0</v>
      </c>
      <c r="BH26" s="502">
        <f t="shared" si="26"/>
        <v>0</v>
      </c>
      <c r="BI26" s="502">
        <f t="shared" si="26"/>
        <v>0</v>
      </c>
      <c r="BJ26" s="502">
        <f t="shared" si="26"/>
        <v>0</v>
      </c>
      <c r="BK26" s="502">
        <f t="shared" si="26"/>
        <v>0</v>
      </c>
      <c r="BL26" s="502">
        <f t="shared" si="26"/>
        <v>0</v>
      </c>
      <c r="BM26" s="502">
        <f t="shared" si="26"/>
        <v>0</v>
      </c>
      <c r="BN26" s="502">
        <f t="shared" si="26"/>
        <v>0</v>
      </c>
      <c r="BO26" s="502">
        <f t="shared" si="26"/>
        <v>0</v>
      </c>
      <c r="BP26" s="502">
        <f t="shared" si="26"/>
        <v>0</v>
      </c>
      <c r="BQ26" s="502">
        <f t="shared" si="26"/>
        <v>0</v>
      </c>
      <c r="BR26" s="501">
        <f t="shared" si="26"/>
        <v>0</v>
      </c>
    </row>
    <row r="27" spans="1:125" x14ac:dyDescent="0.25">
      <c r="A27" s="694">
        <f>+A24+1</f>
        <v>43472</v>
      </c>
      <c r="B27" s="527" t="s">
        <v>561</v>
      </c>
      <c r="C27" s="514">
        <v>23031.31</v>
      </c>
      <c r="D27" s="517">
        <v>10672.97</v>
      </c>
      <c r="E27" s="517">
        <v>10674</v>
      </c>
      <c r="F27" s="520">
        <v>43472</v>
      </c>
      <c r="G27" s="514"/>
      <c r="H27" s="514">
        <f>IF(E27-D27&gt;0,E27-D27,0)</f>
        <v>1.0300000000006548</v>
      </c>
      <c r="I27" s="517"/>
      <c r="J27" s="517"/>
      <c r="K27" s="517">
        <v>1833.22</v>
      </c>
      <c r="L27" s="517"/>
      <c r="M27" s="519">
        <f>(+K27)*M$5</f>
        <v>39.414229999999996</v>
      </c>
      <c r="N27" s="519">
        <f>(+K27)*N$5</f>
        <v>9.1661000000000001</v>
      </c>
      <c r="O27" s="519">
        <f>+K27-M27-N27+P27</f>
        <v>1784.63967</v>
      </c>
      <c r="P27" s="519"/>
      <c r="Q27" s="518"/>
      <c r="R27" s="517"/>
      <c r="S27" s="517"/>
      <c r="T27" s="519"/>
      <c r="U27" s="519"/>
      <c r="V27" s="519"/>
      <c r="W27" s="519"/>
      <c r="X27" s="518"/>
      <c r="Y27" s="517"/>
      <c r="Z27" s="517">
        <v>53.5</v>
      </c>
      <c r="AA27" s="517"/>
      <c r="AB27" s="517"/>
      <c r="AC27" s="517">
        <v>370.62</v>
      </c>
      <c r="AD27" s="515"/>
      <c r="AE27" s="515">
        <v>10101</v>
      </c>
      <c r="AF27" s="517">
        <v>979.69</v>
      </c>
      <c r="AG27" s="514">
        <f>(AF27*0.8)*0.85</f>
        <v>666.18920000000003</v>
      </c>
      <c r="AH27" s="514">
        <f>(AF27*0.8)*0.15</f>
        <v>117.56280000000001</v>
      </c>
      <c r="AI27" s="514">
        <f>AF27*0.2</f>
        <v>195.93800000000002</v>
      </c>
      <c r="AJ27" s="517">
        <v>0</v>
      </c>
      <c r="AK27" s="514">
        <f>(C27-AF27-AJ27)/1.12</f>
        <v>19688.946428571428</v>
      </c>
      <c r="AL27" s="514">
        <f>AK27-SUM(Y27:AC27)</f>
        <v>19264.826428571429</v>
      </c>
      <c r="AM27" s="514">
        <f>+AL27*0.12</f>
        <v>2311.7791714285713</v>
      </c>
      <c r="AN27" s="514">
        <f t="shared" si="7"/>
        <v>21576.605599999999</v>
      </c>
      <c r="AO27" s="513"/>
      <c r="AP27" s="516"/>
      <c r="AQ27" s="516"/>
      <c r="AR27" s="516"/>
      <c r="AS27" s="516"/>
      <c r="AT27" s="516"/>
      <c r="AU27" s="516"/>
      <c r="AV27" s="516"/>
      <c r="AW27" s="516"/>
      <c r="AX27" s="516"/>
      <c r="AY27" s="516"/>
      <c r="AZ27" s="514">
        <f>SUM(AO27:AY27)</f>
        <v>0</v>
      </c>
      <c r="BA27" s="515"/>
      <c r="BB27" s="515"/>
      <c r="BC27" s="514">
        <f>SUM(BE27:BM27)*0.1+(BN27*0.5)</f>
        <v>0</v>
      </c>
      <c r="BD27" s="514">
        <f>SUM(BE27:BM27)+(BN27*0.5)</f>
        <v>0</v>
      </c>
      <c r="BE27" s="513"/>
      <c r="BF27" s="513"/>
      <c r="BG27" s="513"/>
      <c r="BH27" s="513"/>
      <c r="BI27" s="513"/>
      <c r="BJ27" s="513"/>
      <c r="BK27" s="513"/>
      <c r="BL27" s="513"/>
      <c r="BM27" s="513"/>
      <c r="BN27" s="513"/>
      <c r="BO27" s="513"/>
      <c r="BP27" s="513"/>
      <c r="BQ27" s="513"/>
      <c r="BR27" s="524">
        <f>AZ27+BA27+BB27+BD27-BC27</f>
        <v>0</v>
      </c>
      <c r="BT27" s="511"/>
      <c r="BU27" s="510"/>
      <c r="BV27" s="510"/>
      <c r="BW27" s="510"/>
      <c r="BX27" s="510"/>
      <c r="BY27" s="510"/>
      <c r="BZ27" s="510"/>
      <c r="CA27" s="510"/>
      <c r="CB27" s="510"/>
      <c r="CC27" s="510"/>
      <c r="CD27" s="510"/>
      <c r="CE27" s="510"/>
      <c r="CF27" s="510"/>
      <c r="CG27" s="510"/>
      <c r="CH27" s="510"/>
      <c r="CI27" s="510"/>
      <c r="CJ27" s="510"/>
      <c r="CK27" s="510"/>
      <c r="CL27" s="510"/>
      <c r="CM27" s="510"/>
      <c r="CN27" s="510"/>
      <c r="CO27" s="510"/>
      <c r="CP27" s="510"/>
      <c r="CQ27" s="510"/>
      <c r="CR27" s="510"/>
      <c r="CS27" s="510"/>
    </row>
    <row r="28" spans="1:125" ht="15.75" thickBot="1" x14ac:dyDescent="0.3">
      <c r="A28" s="695"/>
      <c r="B28" s="526" t="s">
        <v>560</v>
      </c>
      <c r="C28" s="514">
        <v>20765.29</v>
      </c>
      <c r="D28" s="517">
        <v>9121.3700000000008</v>
      </c>
      <c r="E28" s="517">
        <v>9121</v>
      </c>
      <c r="F28" s="520">
        <v>43473</v>
      </c>
      <c r="G28" s="514"/>
      <c r="H28" s="514">
        <f>IF(E28-D28&gt;0,E28-D28,0)</f>
        <v>0</v>
      </c>
      <c r="I28" s="517"/>
      <c r="J28" s="517"/>
      <c r="K28" s="517">
        <v>9347.17</v>
      </c>
      <c r="L28" s="517"/>
      <c r="M28" s="519">
        <f>(+K28)*M$5</f>
        <v>200.96415499999998</v>
      </c>
      <c r="N28" s="519">
        <f>(+K28)*N$5</f>
        <v>46.735849999999999</v>
      </c>
      <c r="O28" s="519">
        <f>+K28-M28-N28+P28</f>
        <v>9099.4699950000013</v>
      </c>
      <c r="P28" s="519"/>
      <c r="Q28" s="518"/>
      <c r="R28" s="517"/>
      <c r="S28" s="517"/>
      <c r="T28" s="519"/>
      <c r="U28" s="519"/>
      <c r="V28" s="519"/>
      <c r="W28" s="519"/>
      <c r="X28" s="518"/>
      <c r="Y28" s="517"/>
      <c r="Z28" s="517">
        <v>49</v>
      </c>
      <c r="AA28" s="517"/>
      <c r="AB28" s="517">
        <v>73.5</v>
      </c>
      <c r="AC28" s="517">
        <v>56.25</v>
      </c>
      <c r="AD28" s="515"/>
      <c r="AE28" s="515">
        <v>2118</v>
      </c>
      <c r="AF28" s="517">
        <v>1516.04</v>
      </c>
      <c r="AG28" s="514">
        <f>(AF28*0.8)*0.85</f>
        <v>1030.9072000000001</v>
      </c>
      <c r="AH28" s="514">
        <f>(AF28*0.8)*0.15</f>
        <v>181.9248</v>
      </c>
      <c r="AI28" s="514">
        <f>AF28*0.2</f>
        <v>303.20800000000003</v>
      </c>
      <c r="AJ28" s="517">
        <v>0</v>
      </c>
      <c r="AK28" s="514">
        <f>(C28-AF28-AJ28)/1.12</f>
        <v>17186.830357142855</v>
      </c>
      <c r="AL28" s="514">
        <f>AK28-SUM(Y28:AC28)</f>
        <v>17008.080357142855</v>
      </c>
      <c r="AM28" s="514">
        <f>+AL28*0.12</f>
        <v>2040.9696428571426</v>
      </c>
      <c r="AN28" s="514">
        <f t="shared" si="7"/>
        <v>19049.05</v>
      </c>
      <c r="AO28" s="513">
        <v>210</v>
      </c>
      <c r="AP28" s="516">
        <v>675</v>
      </c>
      <c r="AQ28" s="516"/>
      <c r="AR28" s="516"/>
      <c r="AS28" s="516"/>
      <c r="AT28" s="516"/>
      <c r="AU28" s="516"/>
      <c r="AV28" s="516"/>
      <c r="AW28" s="516"/>
      <c r="AX28" s="516"/>
      <c r="AY28" s="516"/>
      <c r="AZ28" s="514">
        <f>SUM(AO28:AY28)</f>
        <v>885</v>
      </c>
      <c r="BA28" s="515">
        <v>1000</v>
      </c>
      <c r="BB28" s="515"/>
      <c r="BC28" s="514">
        <v>0</v>
      </c>
      <c r="BD28" s="514">
        <f>SUM(BE28:BM28)+(BN28*0.5)</f>
        <v>0</v>
      </c>
      <c r="BE28" s="513"/>
      <c r="BF28" s="513"/>
      <c r="BG28" s="513"/>
      <c r="BH28" s="513"/>
      <c r="BI28" s="513"/>
      <c r="BJ28" s="513"/>
      <c r="BK28" s="513"/>
      <c r="BL28" s="513"/>
      <c r="BM28" s="513"/>
      <c r="BN28" s="513"/>
      <c r="BO28" s="513"/>
      <c r="BP28" s="513"/>
      <c r="BQ28" s="513"/>
      <c r="BR28" s="524">
        <f>AZ28+BA28+BB28+BD28-BC28</f>
        <v>1885</v>
      </c>
      <c r="BT28" s="511"/>
      <c r="BU28" s="510"/>
      <c r="BV28" s="510"/>
      <c r="BW28" s="510"/>
      <c r="BX28" s="510"/>
      <c r="BY28" s="510"/>
      <c r="BZ28" s="510"/>
      <c r="CA28" s="510"/>
      <c r="CB28" s="510"/>
      <c r="CC28" s="510"/>
      <c r="CD28" s="510"/>
      <c r="CE28" s="510"/>
      <c r="CF28" s="510"/>
      <c r="CG28" s="510"/>
      <c r="CH28" s="510"/>
      <c r="CI28" s="510"/>
      <c r="CJ28" s="510"/>
      <c r="CK28" s="510"/>
      <c r="CL28" s="510"/>
      <c r="CM28" s="510"/>
      <c r="CN28" s="510"/>
      <c r="CO28" s="510"/>
      <c r="CP28" s="510"/>
      <c r="CQ28" s="510"/>
      <c r="CR28" s="510"/>
      <c r="CS28" s="510"/>
    </row>
    <row r="29" spans="1:125" ht="15.75" thickBot="1" x14ac:dyDescent="0.3">
      <c r="A29" s="509"/>
      <c r="B29" s="508"/>
      <c r="C29" s="501">
        <f>SUBTOTAL(9,C27:C28)</f>
        <v>43796.600000000006</v>
      </c>
      <c r="D29" s="504">
        <f>SUBTOTAL(9,D27:D28)</f>
        <v>19794.34</v>
      </c>
      <c r="E29" s="504">
        <f>SUBTOTAL(9,E27:E28)</f>
        <v>19795</v>
      </c>
      <c r="F29" s="505"/>
      <c r="G29" s="504">
        <f t="shared" ref="G29:P29" si="27">SUBTOTAL(9,G27:G28)</f>
        <v>0</v>
      </c>
      <c r="H29" s="504">
        <f t="shared" si="27"/>
        <v>1.0300000000006548</v>
      </c>
      <c r="I29" s="504">
        <f t="shared" si="27"/>
        <v>0</v>
      </c>
      <c r="J29" s="504">
        <f t="shared" si="27"/>
        <v>0</v>
      </c>
      <c r="K29" s="507">
        <f t="shared" si="27"/>
        <v>11180.39</v>
      </c>
      <c r="L29" s="504">
        <f t="shared" si="27"/>
        <v>0</v>
      </c>
      <c r="M29" s="506">
        <f t="shared" si="27"/>
        <v>240.37838499999998</v>
      </c>
      <c r="N29" s="506">
        <f t="shared" si="27"/>
        <v>55.901949999999999</v>
      </c>
      <c r="O29" s="506">
        <f t="shared" si="27"/>
        <v>10884.109665000002</v>
      </c>
      <c r="P29" s="506">
        <f t="shared" si="27"/>
        <v>0</v>
      </c>
      <c r="Q29" s="505"/>
      <c r="R29" s="504">
        <f t="shared" ref="R29:W29" si="28">SUBTOTAL(9,R27:R28)</f>
        <v>0</v>
      </c>
      <c r="S29" s="504">
        <f t="shared" si="28"/>
        <v>0</v>
      </c>
      <c r="T29" s="506">
        <f t="shared" si="28"/>
        <v>0</v>
      </c>
      <c r="U29" s="506">
        <f t="shared" si="28"/>
        <v>0</v>
      </c>
      <c r="V29" s="506">
        <f t="shared" si="28"/>
        <v>0</v>
      </c>
      <c r="W29" s="506">
        <f t="shared" si="28"/>
        <v>0</v>
      </c>
      <c r="X29" s="505"/>
      <c r="Y29" s="504">
        <f>SUBTOTAL(9,Y27:Y28)</f>
        <v>0</v>
      </c>
      <c r="Z29" s="504"/>
      <c r="AA29" s="504"/>
      <c r="AB29" s="504"/>
      <c r="AC29" s="504"/>
      <c r="AD29" s="503"/>
      <c r="AE29" s="503"/>
      <c r="AF29" s="504"/>
      <c r="AG29" s="501">
        <f t="shared" ref="AG29:AM29" si="29">SUBTOTAL(9,AG27:AG28)</f>
        <v>1697.0964000000001</v>
      </c>
      <c r="AH29" s="501">
        <f t="shared" si="29"/>
        <v>299.48760000000004</v>
      </c>
      <c r="AI29" s="501">
        <f t="shared" si="29"/>
        <v>499.14600000000007</v>
      </c>
      <c r="AJ29" s="504">
        <f t="shared" si="29"/>
        <v>0</v>
      </c>
      <c r="AK29" s="501">
        <f t="shared" si="29"/>
        <v>36875.776785714283</v>
      </c>
      <c r="AL29" s="501">
        <f t="shared" si="29"/>
        <v>36272.90678571428</v>
      </c>
      <c r="AM29" s="501">
        <f t="shared" si="29"/>
        <v>4352.7488142857137</v>
      </c>
      <c r="AN29" s="501">
        <f t="shared" si="7"/>
        <v>40625.655599999991</v>
      </c>
      <c r="AO29" s="502">
        <f t="shared" ref="AO29:BR29" si="30">SUBTOTAL(9,AO27:AO28)</f>
        <v>210</v>
      </c>
      <c r="AP29" s="502">
        <f t="shared" si="30"/>
        <v>675</v>
      </c>
      <c r="AQ29" s="502">
        <f t="shared" si="30"/>
        <v>0</v>
      </c>
      <c r="AR29" s="502">
        <f t="shared" si="30"/>
        <v>0</v>
      </c>
      <c r="AS29" s="502">
        <f t="shared" si="30"/>
        <v>0</v>
      </c>
      <c r="AT29" s="502">
        <f t="shared" si="30"/>
        <v>0</v>
      </c>
      <c r="AU29" s="502">
        <f t="shared" si="30"/>
        <v>0</v>
      </c>
      <c r="AV29" s="502">
        <f t="shared" si="30"/>
        <v>0</v>
      </c>
      <c r="AW29" s="502">
        <f t="shared" si="30"/>
        <v>0</v>
      </c>
      <c r="AX29" s="502">
        <f t="shared" si="30"/>
        <v>0</v>
      </c>
      <c r="AY29" s="502">
        <f t="shared" si="30"/>
        <v>0</v>
      </c>
      <c r="AZ29" s="501">
        <f t="shared" si="30"/>
        <v>885</v>
      </c>
      <c r="BA29" s="503">
        <f t="shared" si="30"/>
        <v>1000</v>
      </c>
      <c r="BB29" s="503">
        <f t="shared" si="30"/>
        <v>0</v>
      </c>
      <c r="BC29" s="501">
        <f t="shared" si="30"/>
        <v>0</v>
      </c>
      <c r="BD29" s="501">
        <f t="shared" si="30"/>
        <v>0</v>
      </c>
      <c r="BE29" s="502">
        <f t="shared" si="30"/>
        <v>0</v>
      </c>
      <c r="BF29" s="502">
        <f t="shared" si="30"/>
        <v>0</v>
      </c>
      <c r="BG29" s="502">
        <f t="shared" si="30"/>
        <v>0</v>
      </c>
      <c r="BH29" s="502">
        <f t="shared" si="30"/>
        <v>0</v>
      </c>
      <c r="BI29" s="502">
        <f t="shared" si="30"/>
        <v>0</v>
      </c>
      <c r="BJ29" s="502">
        <f t="shared" si="30"/>
        <v>0</v>
      </c>
      <c r="BK29" s="502">
        <f t="shared" si="30"/>
        <v>0</v>
      </c>
      <c r="BL29" s="502">
        <f t="shared" si="30"/>
        <v>0</v>
      </c>
      <c r="BM29" s="502">
        <f t="shared" si="30"/>
        <v>0</v>
      </c>
      <c r="BN29" s="502">
        <f t="shared" si="30"/>
        <v>0</v>
      </c>
      <c r="BO29" s="502">
        <f t="shared" si="30"/>
        <v>0</v>
      </c>
      <c r="BP29" s="502">
        <f t="shared" si="30"/>
        <v>0</v>
      </c>
      <c r="BQ29" s="502">
        <f t="shared" si="30"/>
        <v>0</v>
      </c>
      <c r="BR29" s="501">
        <f t="shared" si="30"/>
        <v>1885</v>
      </c>
    </row>
    <row r="30" spans="1:125" x14ac:dyDescent="0.25">
      <c r="A30" s="694">
        <f>+A27+1</f>
        <v>43473</v>
      </c>
      <c r="B30" s="527" t="s">
        <v>561</v>
      </c>
      <c r="C30" s="514">
        <v>25114.19</v>
      </c>
      <c r="D30" s="517">
        <v>14028.56</v>
      </c>
      <c r="E30" s="517">
        <v>14030</v>
      </c>
      <c r="F30" s="520">
        <v>43473</v>
      </c>
      <c r="G30" s="514">
        <f>IF(E30-D30&lt;0,E30-D30,0)*-1</f>
        <v>0</v>
      </c>
      <c r="H30" s="514">
        <f>IF(E30-D30&gt;0,E30-D30,0)</f>
        <v>1.4400000000005093</v>
      </c>
      <c r="I30" s="517"/>
      <c r="J30" s="517"/>
      <c r="K30" s="517">
        <v>5735.09</v>
      </c>
      <c r="L30" s="517"/>
      <c r="M30" s="519">
        <f>(+K30)*M$5</f>
        <v>123.304435</v>
      </c>
      <c r="N30" s="519">
        <f>(+K30)*N$5</f>
        <v>28.675450000000001</v>
      </c>
      <c r="O30" s="519">
        <f>+K30-M30-N30+P30</f>
        <v>5583.1101150000004</v>
      </c>
      <c r="P30" s="519"/>
      <c r="Q30" s="518"/>
      <c r="R30" s="517"/>
      <c r="S30" s="517"/>
      <c r="T30" s="519"/>
      <c r="U30" s="519"/>
      <c r="V30" s="519"/>
      <c r="W30" s="519"/>
      <c r="X30" s="518"/>
      <c r="Y30" s="517"/>
      <c r="Z30" s="517">
        <v>26.25</v>
      </c>
      <c r="AA30" s="517"/>
      <c r="AB30" s="517"/>
      <c r="AC30" s="517">
        <v>64.290000000000006</v>
      </c>
      <c r="AD30" s="515"/>
      <c r="AE30" s="515">
        <v>5260</v>
      </c>
      <c r="AF30" s="517">
        <v>1591.76</v>
      </c>
      <c r="AG30" s="514">
        <f>(AF30*0.8)*0.85</f>
        <v>1082.3968</v>
      </c>
      <c r="AH30" s="514">
        <f>(AF30*0.8)*0.15</f>
        <v>191.0112</v>
      </c>
      <c r="AI30" s="514">
        <f>AF30*0.2</f>
        <v>318.35200000000003</v>
      </c>
      <c r="AJ30" s="517">
        <v>0</v>
      </c>
      <c r="AK30" s="514">
        <f>(C30-AF30-AJ30)/1.12</f>
        <v>21002.169642857141</v>
      </c>
      <c r="AL30" s="514">
        <f>AK30-SUM(Y30:AC30)</f>
        <v>20911.62964285714</v>
      </c>
      <c r="AM30" s="514">
        <f>+AL30*0.12</f>
        <v>2509.3955571428569</v>
      </c>
      <c r="AN30" s="514">
        <f t="shared" si="7"/>
        <v>23421.025199999996</v>
      </c>
      <c r="AO30" s="513"/>
      <c r="AP30" s="516"/>
      <c r="AQ30" s="516"/>
      <c r="AR30" s="516"/>
      <c r="AS30" s="516"/>
      <c r="AT30" s="516"/>
      <c r="AU30" s="516"/>
      <c r="AV30" s="516"/>
      <c r="AW30" s="516"/>
      <c r="AX30" s="516"/>
      <c r="AY30" s="516"/>
      <c r="AZ30" s="514">
        <f>SUM(AO30:AY30)</f>
        <v>0</v>
      </c>
      <c r="BA30" s="515"/>
      <c r="BB30" s="515"/>
      <c r="BC30" s="514">
        <f>SUM(BE30:BM30)*0.1+(BN30*0.5)</f>
        <v>0</v>
      </c>
      <c r="BD30" s="514">
        <f>SUM(BE30:BM30)+(BN30*0.5)</f>
        <v>0</v>
      </c>
      <c r="BE30" s="513"/>
      <c r="BF30" s="513"/>
      <c r="BG30" s="513"/>
      <c r="BH30" s="513"/>
      <c r="BI30" s="513"/>
      <c r="BJ30" s="513"/>
      <c r="BK30" s="513"/>
      <c r="BL30" s="513"/>
      <c r="BM30" s="513"/>
      <c r="BN30" s="513"/>
      <c r="BO30" s="513"/>
      <c r="BP30" s="513"/>
      <c r="BQ30" s="513"/>
      <c r="BR30" s="524">
        <f>AZ30+BA30+BB30+BD30-BC30</f>
        <v>0</v>
      </c>
      <c r="BT30" s="511"/>
      <c r="BU30" s="510"/>
      <c r="BV30" s="510"/>
      <c r="BW30" s="510"/>
      <c r="BX30" s="510"/>
      <c r="BY30" s="510"/>
      <c r="BZ30" s="510"/>
      <c r="CA30" s="510"/>
      <c r="CB30" s="510"/>
      <c r="CC30" s="510"/>
      <c r="CD30" s="510"/>
      <c r="CE30" s="510"/>
      <c r="CF30" s="510"/>
      <c r="CG30" s="510"/>
      <c r="CH30" s="510"/>
      <c r="CI30" s="510"/>
      <c r="CJ30" s="510"/>
      <c r="CK30" s="510"/>
      <c r="CL30" s="510"/>
      <c r="CM30" s="510"/>
      <c r="CN30" s="510"/>
      <c r="CO30" s="510"/>
      <c r="CP30" s="510"/>
      <c r="CQ30" s="510"/>
      <c r="CR30" s="510"/>
      <c r="CS30" s="510"/>
    </row>
    <row r="31" spans="1:125" ht="15.75" thickBot="1" x14ac:dyDescent="0.3">
      <c r="A31" s="695"/>
      <c r="B31" s="526" t="s">
        <v>560</v>
      </c>
      <c r="C31" s="514">
        <v>9988.0300000000007</v>
      </c>
      <c r="D31" s="517">
        <v>6456.51</v>
      </c>
      <c r="E31" s="517">
        <v>6457</v>
      </c>
      <c r="F31" s="520">
        <v>43474</v>
      </c>
      <c r="G31" s="514">
        <f>IF(E31-D31&lt;0,E31-D31,0)*-1</f>
        <v>0</v>
      </c>
      <c r="H31" s="514">
        <f>IF(E31-D31&gt;0,E31-D31,0)</f>
        <v>0.48999999999978172</v>
      </c>
      <c r="I31" s="517"/>
      <c r="J31" s="517"/>
      <c r="K31" s="517">
        <v>1967.41</v>
      </c>
      <c r="L31" s="517"/>
      <c r="M31" s="519">
        <f>(+K31)*M$5</f>
        <v>42.299315</v>
      </c>
      <c r="N31" s="519">
        <f>(+K31)*N$5</f>
        <v>9.8370500000000014</v>
      </c>
      <c r="O31" s="519">
        <f>+K31-M31-N31+P31</f>
        <v>1915.273635</v>
      </c>
      <c r="P31" s="519"/>
      <c r="Q31" s="518"/>
      <c r="R31" s="517"/>
      <c r="S31" s="517"/>
      <c r="T31" s="519"/>
      <c r="U31" s="519"/>
      <c r="V31" s="519"/>
      <c r="W31" s="519"/>
      <c r="X31" s="518"/>
      <c r="Y31" s="517"/>
      <c r="Z31" s="517"/>
      <c r="AA31" s="517"/>
      <c r="AB31" s="517"/>
      <c r="AC31" s="517">
        <v>99.11</v>
      </c>
      <c r="AD31" s="515"/>
      <c r="AE31" s="515">
        <v>1465</v>
      </c>
      <c r="AF31" s="517">
        <v>607.49</v>
      </c>
      <c r="AG31" s="514">
        <f>(AF31*0.8)*0.85</f>
        <v>413.09320000000002</v>
      </c>
      <c r="AH31" s="514">
        <f>(AF31*0.8)*0.15</f>
        <v>72.898799999999994</v>
      </c>
      <c r="AI31" s="514">
        <f>AF31*0.2</f>
        <v>121.498</v>
      </c>
      <c r="AJ31" s="517">
        <v>0</v>
      </c>
      <c r="AK31" s="514">
        <f>(C31-AF31-AJ31)/1.12</f>
        <v>8375.4821428571431</v>
      </c>
      <c r="AL31" s="514">
        <f>AK31-SUM(Y31:AC31)</f>
        <v>8276.3721428571425</v>
      </c>
      <c r="AM31" s="514">
        <f>+AL31*0.12</f>
        <v>993.1646571428571</v>
      </c>
      <c r="AN31" s="514">
        <f t="shared" si="7"/>
        <v>9269.5367999999999</v>
      </c>
      <c r="AO31" s="513"/>
      <c r="AP31" s="516">
        <v>440</v>
      </c>
      <c r="AQ31" s="516"/>
      <c r="AR31" s="516"/>
      <c r="AS31" s="516"/>
      <c r="AT31" s="516"/>
      <c r="AU31" s="516"/>
      <c r="AV31" s="516"/>
      <c r="AW31" s="516"/>
      <c r="AX31" s="516"/>
      <c r="AY31" s="516"/>
      <c r="AZ31" s="514">
        <f>SUM(AO31:AY31)</f>
        <v>440</v>
      </c>
      <c r="BA31" s="515"/>
      <c r="BB31" s="515">
        <v>0</v>
      </c>
      <c r="BC31" s="514">
        <v>0</v>
      </c>
      <c r="BD31" s="514">
        <v>0</v>
      </c>
      <c r="BE31" s="513"/>
      <c r="BF31" s="513">
        <v>0</v>
      </c>
      <c r="BG31" s="513"/>
      <c r="BH31" s="513"/>
      <c r="BI31" s="513"/>
      <c r="BJ31" s="513"/>
      <c r="BK31" s="513"/>
      <c r="BL31" s="513"/>
      <c r="BM31" s="513"/>
      <c r="BN31" s="513"/>
      <c r="BO31" s="513"/>
      <c r="BP31" s="513"/>
      <c r="BQ31" s="513"/>
      <c r="BR31" s="524">
        <f>AZ31+BA31+BB31+BD31-BC31</f>
        <v>440</v>
      </c>
      <c r="BT31" s="511"/>
      <c r="BU31" s="510"/>
      <c r="BV31" s="510"/>
      <c r="BW31" s="510"/>
      <c r="BX31" s="510"/>
      <c r="BY31" s="510"/>
      <c r="BZ31" s="510"/>
      <c r="CA31" s="510"/>
      <c r="CB31" s="510"/>
      <c r="CC31" s="510"/>
      <c r="CD31" s="510"/>
      <c r="CE31" s="510"/>
      <c r="CF31" s="510"/>
      <c r="CG31" s="510"/>
      <c r="CH31" s="510"/>
      <c r="CI31" s="510"/>
      <c r="CJ31" s="510"/>
      <c r="CK31" s="510"/>
      <c r="CL31" s="510"/>
      <c r="CM31" s="510"/>
      <c r="CN31" s="510"/>
      <c r="CO31" s="510"/>
      <c r="CP31" s="510"/>
      <c r="CQ31" s="510"/>
      <c r="CR31" s="510"/>
      <c r="CS31" s="510"/>
    </row>
    <row r="32" spans="1:125" ht="15.75" thickBot="1" x14ac:dyDescent="0.3">
      <c r="A32" s="509"/>
      <c r="B32" s="508"/>
      <c r="C32" s="501">
        <f>SUBTOTAL(9,C30:C31)</f>
        <v>35102.22</v>
      </c>
      <c r="D32" s="504">
        <f>SUBTOTAL(9,D30:D31)</f>
        <v>20485.07</v>
      </c>
      <c r="E32" s="504">
        <f>SUBTOTAL(9,E30:E31)</f>
        <v>20487</v>
      </c>
      <c r="F32" s="505"/>
      <c r="G32" s="504">
        <f t="shared" ref="G32:P32" si="31">SUBTOTAL(9,G30:G31)</f>
        <v>0</v>
      </c>
      <c r="H32" s="504">
        <f t="shared" si="31"/>
        <v>1.930000000000291</v>
      </c>
      <c r="I32" s="504">
        <f t="shared" si="31"/>
        <v>0</v>
      </c>
      <c r="J32" s="504">
        <f t="shared" si="31"/>
        <v>0</v>
      </c>
      <c r="K32" s="507">
        <f t="shared" si="31"/>
        <v>7702.5</v>
      </c>
      <c r="L32" s="504">
        <f t="shared" si="31"/>
        <v>0</v>
      </c>
      <c r="M32" s="506">
        <f t="shared" si="31"/>
        <v>165.60374999999999</v>
      </c>
      <c r="N32" s="506">
        <f t="shared" si="31"/>
        <v>38.512500000000003</v>
      </c>
      <c r="O32" s="506">
        <f t="shared" si="31"/>
        <v>7498.3837500000009</v>
      </c>
      <c r="P32" s="506">
        <f t="shared" si="31"/>
        <v>0</v>
      </c>
      <c r="Q32" s="505"/>
      <c r="R32" s="504">
        <f t="shared" ref="R32:W32" si="32">SUBTOTAL(9,R30:R31)</f>
        <v>0</v>
      </c>
      <c r="S32" s="504">
        <f t="shared" si="32"/>
        <v>0</v>
      </c>
      <c r="T32" s="506">
        <f t="shared" si="32"/>
        <v>0</v>
      </c>
      <c r="U32" s="506">
        <f t="shared" si="32"/>
        <v>0</v>
      </c>
      <c r="V32" s="506">
        <f t="shared" si="32"/>
        <v>0</v>
      </c>
      <c r="W32" s="506">
        <f t="shared" si="32"/>
        <v>0</v>
      </c>
      <c r="X32" s="505"/>
      <c r="Y32" s="504">
        <f>SUBTOTAL(9,Y30:Y31)</f>
        <v>0</v>
      </c>
      <c r="Z32" s="504"/>
      <c r="AA32" s="504"/>
      <c r="AB32" s="504"/>
      <c r="AC32" s="504"/>
      <c r="AD32" s="503"/>
      <c r="AE32" s="503"/>
      <c r="AF32" s="504"/>
      <c r="AG32" s="501">
        <f t="shared" ref="AG32:AM32" si="33">SUBTOTAL(9,AG30:AG31)</f>
        <v>1495.49</v>
      </c>
      <c r="AH32" s="501">
        <f t="shared" si="33"/>
        <v>263.90999999999997</v>
      </c>
      <c r="AI32" s="501">
        <f t="shared" si="33"/>
        <v>439.85</v>
      </c>
      <c r="AJ32" s="504">
        <f t="shared" si="33"/>
        <v>0</v>
      </c>
      <c r="AK32" s="501">
        <f t="shared" si="33"/>
        <v>29377.651785714283</v>
      </c>
      <c r="AL32" s="501">
        <f t="shared" si="33"/>
        <v>29188.001785714281</v>
      </c>
      <c r="AM32" s="501">
        <f t="shared" si="33"/>
        <v>3502.5602142857142</v>
      </c>
      <c r="AN32" s="501">
        <f t="shared" si="7"/>
        <v>32690.561999999994</v>
      </c>
      <c r="AO32" s="502">
        <f t="shared" ref="AO32:BR32" si="34">SUBTOTAL(9,AO30:AO31)</f>
        <v>0</v>
      </c>
      <c r="AP32" s="502">
        <f t="shared" si="34"/>
        <v>440</v>
      </c>
      <c r="AQ32" s="502">
        <f t="shared" si="34"/>
        <v>0</v>
      </c>
      <c r="AR32" s="502">
        <f t="shared" si="34"/>
        <v>0</v>
      </c>
      <c r="AS32" s="502">
        <f t="shared" si="34"/>
        <v>0</v>
      </c>
      <c r="AT32" s="502">
        <f t="shared" si="34"/>
        <v>0</v>
      </c>
      <c r="AU32" s="502">
        <f t="shared" si="34"/>
        <v>0</v>
      </c>
      <c r="AV32" s="502">
        <f t="shared" si="34"/>
        <v>0</v>
      </c>
      <c r="AW32" s="502">
        <f t="shared" si="34"/>
        <v>0</v>
      </c>
      <c r="AX32" s="502">
        <f t="shared" si="34"/>
        <v>0</v>
      </c>
      <c r="AY32" s="502">
        <f t="shared" si="34"/>
        <v>0</v>
      </c>
      <c r="AZ32" s="501">
        <f t="shared" si="34"/>
        <v>440</v>
      </c>
      <c r="BA32" s="503">
        <f t="shared" si="34"/>
        <v>0</v>
      </c>
      <c r="BB32" s="503">
        <f t="shared" si="34"/>
        <v>0</v>
      </c>
      <c r="BC32" s="501">
        <f t="shared" si="34"/>
        <v>0</v>
      </c>
      <c r="BD32" s="501">
        <f t="shared" si="34"/>
        <v>0</v>
      </c>
      <c r="BE32" s="502">
        <f t="shared" si="34"/>
        <v>0</v>
      </c>
      <c r="BF32" s="502">
        <f t="shared" si="34"/>
        <v>0</v>
      </c>
      <c r="BG32" s="502">
        <f t="shared" si="34"/>
        <v>0</v>
      </c>
      <c r="BH32" s="502">
        <f t="shared" si="34"/>
        <v>0</v>
      </c>
      <c r="BI32" s="502">
        <f t="shared" si="34"/>
        <v>0</v>
      </c>
      <c r="BJ32" s="502">
        <f t="shared" si="34"/>
        <v>0</v>
      </c>
      <c r="BK32" s="502">
        <f t="shared" si="34"/>
        <v>0</v>
      </c>
      <c r="BL32" s="502">
        <f t="shared" si="34"/>
        <v>0</v>
      </c>
      <c r="BM32" s="502">
        <f t="shared" si="34"/>
        <v>0</v>
      </c>
      <c r="BN32" s="502">
        <f t="shared" si="34"/>
        <v>0</v>
      </c>
      <c r="BO32" s="502">
        <f t="shared" si="34"/>
        <v>0</v>
      </c>
      <c r="BP32" s="502">
        <f t="shared" si="34"/>
        <v>0</v>
      </c>
      <c r="BQ32" s="502">
        <f t="shared" si="34"/>
        <v>0</v>
      </c>
      <c r="BR32" s="501">
        <f t="shared" si="34"/>
        <v>440</v>
      </c>
    </row>
    <row r="33" spans="1:125" x14ac:dyDescent="0.25">
      <c r="A33" s="694">
        <f>+A30+1</f>
        <v>43474</v>
      </c>
      <c r="B33" s="527" t="s">
        <v>561</v>
      </c>
      <c r="C33" s="514">
        <v>19730.060000000001</v>
      </c>
      <c r="D33" s="517">
        <v>14743.79</v>
      </c>
      <c r="E33" s="517">
        <v>14743</v>
      </c>
      <c r="F33" s="520">
        <v>43474</v>
      </c>
      <c r="G33" s="514">
        <f>IF(E33-D33&lt;0,E33-D33,0)*-1</f>
        <v>0.79000000000087311</v>
      </c>
      <c r="H33" s="514">
        <f>IF(E33-D33&gt;0,E33-D33,0)</f>
        <v>0</v>
      </c>
      <c r="I33" s="517"/>
      <c r="J33" s="517"/>
      <c r="K33" s="517">
        <v>4667.59</v>
      </c>
      <c r="L33" s="517"/>
      <c r="M33" s="519">
        <f>(+K33)*M$5</f>
        <v>100.353185</v>
      </c>
      <c r="N33" s="519">
        <f>(+K33)*N$5</f>
        <v>23.337950000000003</v>
      </c>
      <c r="O33" s="519">
        <f>+K33-M33-N33+P33</f>
        <v>4543.8988650000001</v>
      </c>
      <c r="P33" s="519"/>
      <c r="Q33" s="518"/>
      <c r="R33" s="517"/>
      <c r="S33" s="517"/>
      <c r="T33" s="519"/>
      <c r="U33" s="519"/>
      <c r="V33" s="519"/>
      <c r="W33" s="519"/>
      <c r="X33" s="518"/>
      <c r="Y33" s="517"/>
      <c r="Z33" s="517">
        <v>49.75</v>
      </c>
      <c r="AA33" s="517"/>
      <c r="AB33" s="517"/>
      <c r="AC33" s="517">
        <v>268.93</v>
      </c>
      <c r="AD33" s="515"/>
      <c r="AE33" s="515"/>
      <c r="AF33" s="517">
        <v>1488.42</v>
      </c>
      <c r="AG33" s="514">
        <f>(AF33*0.8)*0.85</f>
        <v>1012.1256000000001</v>
      </c>
      <c r="AH33" s="514">
        <f>(AF33*0.8)*0.15</f>
        <v>178.6104</v>
      </c>
      <c r="AI33" s="514">
        <f>AF33*0.2</f>
        <v>297.68400000000003</v>
      </c>
      <c r="AJ33" s="517"/>
      <c r="AK33" s="514">
        <f>(C33-AF33-AJ33)/1.12</f>
        <v>16287.178571428569</v>
      </c>
      <c r="AL33" s="514">
        <f>AK33-SUM(Y33:AC33)</f>
        <v>15968.498571428569</v>
      </c>
      <c r="AM33" s="514">
        <f>+AL33*0.12</f>
        <v>1916.2198285714283</v>
      </c>
      <c r="AN33" s="514">
        <f t="shared" si="7"/>
        <v>17884.718399999998</v>
      </c>
      <c r="AO33" s="513"/>
      <c r="AP33" s="516">
        <v>0</v>
      </c>
      <c r="AQ33" s="516"/>
      <c r="AR33" s="516"/>
      <c r="AS33" s="516"/>
      <c r="AT33" s="516"/>
      <c r="AU33" s="516"/>
      <c r="AV33" s="516"/>
      <c r="AW33" s="516"/>
      <c r="AX33" s="516"/>
      <c r="AY33" s="516"/>
      <c r="AZ33" s="514">
        <f>SUM(AO33:AY33)</f>
        <v>0</v>
      </c>
      <c r="BA33" s="515"/>
      <c r="BB33" s="515"/>
      <c r="BC33" s="514">
        <f>SUM(BE33:BM33)*0.1+(BN33*0.5)</f>
        <v>0</v>
      </c>
      <c r="BD33" s="514">
        <f>SUM(BE33:BM33)+(BN33*0.5)</f>
        <v>0</v>
      </c>
      <c r="BE33" s="513"/>
      <c r="BF33" s="513"/>
      <c r="BG33" s="513"/>
      <c r="BH33" s="513"/>
      <c r="BI33" s="513"/>
      <c r="BJ33" s="513"/>
      <c r="BK33" s="513"/>
      <c r="BL33" s="513"/>
      <c r="BM33" s="513">
        <v>0</v>
      </c>
      <c r="BN33" s="513"/>
      <c r="BO33" s="513"/>
      <c r="BP33" s="513"/>
      <c r="BQ33" s="513"/>
      <c r="BR33" s="524">
        <f>AZ33+BA33+BB33+BD33-BC33</f>
        <v>0</v>
      </c>
      <c r="BT33" s="511"/>
      <c r="BU33" s="510"/>
      <c r="BV33" s="510"/>
      <c r="BW33" s="510"/>
      <c r="BX33" s="510"/>
      <c r="BY33" s="510"/>
      <c r="BZ33" s="510"/>
      <c r="CA33" s="510"/>
      <c r="CB33" s="510"/>
      <c r="CC33" s="510"/>
      <c r="CD33" s="510"/>
      <c r="CE33" s="510"/>
      <c r="CF33" s="510"/>
      <c r="CG33" s="510"/>
      <c r="CH33" s="510"/>
      <c r="CI33" s="510"/>
      <c r="CJ33" s="510"/>
      <c r="CK33" s="510"/>
      <c r="CL33" s="510"/>
      <c r="CM33" s="510"/>
      <c r="CN33" s="510"/>
      <c r="CO33" s="510"/>
      <c r="CP33" s="510"/>
      <c r="CQ33" s="510"/>
      <c r="CR33" s="510"/>
      <c r="CS33" s="510"/>
    </row>
    <row r="34" spans="1:125" ht="15.75" thickBot="1" x14ac:dyDescent="0.3">
      <c r="A34" s="695"/>
      <c r="B34" s="526" t="s">
        <v>560</v>
      </c>
      <c r="C34" s="514">
        <v>13372.43</v>
      </c>
      <c r="D34" s="517">
        <v>9821.36</v>
      </c>
      <c r="E34" s="517">
        <v>9824</v>
      </c>
      <c r="F34" s="520">
        <v>43475</v>
      </c>
      <c r="G34" s="514">
        <f>IF(E34-D34&lt;0,E34-D34,0)*-1</f>
        <v>0</v>
      </c>
      <c r="H34" s="514">
        <f>IF(E34-D34&gt;0,E34-D34,0)</f>
        <v>2.6399999999994179</v>
      </c>
      <c r="I34" s="517"/>
      <c r="J34" s="517"/>
      <c r="K34" s="517">
        <v>2407.3200000000002</v>
      </c>
      <c r="L34" s="517"/>
      <c r="M34" s="519">
        <f>(+K34)*M$5</f>
        <v>51.757379999999998</v>
      </c>
      <c r="N34" s="519">
        <f>(+K34)*N$5</f>
        <v>12.036600000000002</v>
      </c>
      <c r="O34" s="519">
        <f>+K34-M34-N34+P34</f>
        <v>2343.5260200000002</v>
      </c>
      <c r="P34" s="519"/>
      <c r="Q34" s="518"/>
      <c r="R34" s="517"/>
      <c r="S34" s="517"/>
      <c r="T34" s="519"/>
      <c r="U34" s="519"/>
      <c r="V34" s="519"/>
      <c r="W34" s="519"/>
      <c r="X34" s="518"/>
      <c r="Y34" s="517"/>
      <c r="Z34" s="517"/>
      <c r="AA34" s="517"/>
      <c r="AB34" s="517"/>
      <c r="AC34" s="517">
        <v>43.75</v>
      </c>
      <c r="AD34" s="515"/>
      <c r="AE34" s="515">
        <v>1100</v>
      </c>
      <c r="AF34" s="517">
        <v>923.68</v>
      </c>
      <c r="AG34" s="514">
        <f>(AF34*0.8)*0.85</f>
        <v>628.10239999999999</v>
      </c>
      <c r="AH34" s="514">
        <f>(AF34*0.8)*0.15</f>
        <v>110.84159999999999</v>
      </c>
      <c r="AI34" s="514">
        <f>AF34*0.2</f>
        <v>184.73599999999999</v>
      </c>
      <c r="AJ34" s="517">
        <v>0</v>
      </c>
      <c r="AK34" s="514">
        <f>(C34-AF34-AJ34)/1.12</f>
        <v>11114.955357142857</v>
      </c>
      <c r="AL34" s="514">
        <f>AK34-SUM(Y34:AC34)</f>
        <v>11071.205357142857</v>
      </c>
      <c r="AM34" s="514">
        <f>+AL34*0.12</f>
        <v>1328.5446428571429</v>
      </c>
      <c r="AN34" s="514">
        <f t="shared" si="7"/>
        <v>12399.75</v>
      </c>
      <c r="AO34" s="513">
        <v>270</v>
      </c>
      <c r="AP34" s="516"/>
      <c r="AQ34" s="516"/>
      <c r="AR34" s="516"/>
      <c r="AS34" s="516"/>
      <c r="AT34" s="516"/>
      <c r="AU34" s="516"/>
      <c r="AV34" s="516"/>
      <c r="AW34" s="516"/>
      <c r="AX34" s="516"/>
      <c r="AY34" s="516"/>
      <c r="AZ34" s="514">
        <f>SUM(AO34:AY34)</f>
        <v>270</v>
      </c>
      <c r="BA34" s="515"/>
      <c r="BB34" s="515"/>
      <c r="BC34" s="514">
        <v>0</v>
      </c>
      <c r="BD34" s="514">
        <v>0</v>
      </c>
      <c r="BE34" s="513"/>
      <c r="BF34" s="513"/>
      <c r="BG34" s="513"/>
      <c r="BH34" s="513"/>
      <c r="BI34" s="513"/>
      <c r="BJ34" s="513"/>
      <c r="BK34" s="513"/>
      <c r="BL34" s="513"/>
      <c r="BM34" s="513">
        <v>0</v>
      </c>
      <c r="BN34" s="513"/>
      <c r="BO34" s="513"/>
      <c r="BP34" s="513"/>
      <c r="BQ34" s="513"/>
      <c r="BR34" s="524">
        <f>AZ34+BA34+BB34+BD34-BC34</f>
        <v>270</v>
      </c>
      <c r="BT34" s="511"/>
      <c r="BU34" s="510"/>
      <c r="BV34" s="510"/>
      <c r="BW34" s="510"/>
      <c r="BX34" s="510"/>
      <c r="BY34" s="510"/>
      <c r="BZ34" s="510"/>
      <c r="CA34" s="510"/>
      <c r="CB34" s="510"/>
      <c r="CC34" s="510"/>
      <c r="CD34" s="510"/>
      <c r="CE34" s="510"/>
      <c r="CF34" s="510"/>
      <c r="CG34" s="510"/>
      <c r="CH34" s="510"/>
      <c r="CI34" s="510"/>
      <c r="CJ34" s="510"/>
      <c r="CK34" s="510"/>
      <c r="CL34" s="510"/>
      <c r="CM34" s="510"/>
      <c r="CN34" s="510"/>
      <c r="CO34" s="510"/>
      <c r="CP34" s="510"/>
      <c r="CQ34" s="510"/>
      <c r="CR34" s="510"/>
      <c r="CS34" s="510"/>
    </row>
    <row r="35" spans="1:125" s="532" customFormat="1" ht="15.75" thickBot="1" x14ac:dyDescent="0.3">
      <c r="A35" s="509"/>
      <c r="B35" s="508"/>
      <c r="C35" s="501">
        <f>SUBTOTAL(9,C33:C34)</f>
        <v>33102.490000000005</v>
      </c>
      <c r="D35" s="507">
        <f>SUBTOTAL(9,D33:D34)</f>
        <v>24565.15</v>
      </c>
      <c r="E35" s="507">
        <f>SUBTOTAL(9,E33:E34)</f>
        <v>24567</v>
      </c>
      <c r="F35" s="533"/>
      <c r="G35" s="501">
        <f t="shared" ref="G35:Y35" si="35">SUBTOTAL(9,G33:G34)</f>
        <v>0.79000000000087311</v>
      </c>
      <c r="H35" s="501">
        <f t="shared" si="35"/>
        <v>2.6399999999994179</v>
      </c>
      <c r="I35" s="507">
        <f t="shared" si="35"/>
        <v>0</v>
      </c>
      <c r="J35" s="507">
        <f t="shared" si="35"/>
        <v>0</v>
      </c>
      <c r="K35" s="507">
        <f t="shared" si="35"/>
        <v>7074.91</v>
      </c>
      <c r="L35" s="507">
        <f t="shared" si="35"/>
        <v>0</v>
      </c>
      <c r="M35" s="501">
        <f t="shared" si="35"/>
        <v>152.11056500000001</v>
      </c>
      <c r="N35" s="501">
        <f t="shared" si="35"/>
        <v>35.374550000000006</v>
      </c>
      <c r="O35" s="501">
        <f t="shared" si="35"/>
        <v>6887.4248850000004</v>
      </c>
      <c r="P35" s="501">
        <f t="shared" si="35"/>
        <v>0</v>
      </c>
      <c r="Q35" s="507">
        <f t="shared" si="35"/>
        <v>0</v>
      </c>
      <c r="R35" s="507">
        <f t="shared" si="35"/>
        <v>0</v>
      </c>
      <c r="S35" s="507">
        <f t="shared" si="35"/>
        <v>0</v>
      </c>
      <c r="T35" s="501">
        <f t="shared" si="35"/>
        <v>0</v>
      </c>
      <c r="U35" s="501">
        <f t="shared" si="35"/>
        <v>0</v>
      </c>
      <c r="V35" s="501">
        <f t="shared" si="35"/>
        <v>0</v>
      </c>
      <c r="W35" s="501">
        <f t="shared" si="35"/>
        <v>0</v>
      </c>
      <c r="X35" s="507">
        <f t="shared" si="35"/>
        <v>0</v>
      </c>
      <c r="Y35" s="507">
        <f t="shared" si="35"/>
        <v>0</v>
      </c>
      <c r="Z35" s="507"/>
      <c r="AA35" s="507"/>
      <c r="AB35" s="507"/>
      <c r="AC35" s="507"/>
      <c r="AD35" s="503"/>
      <c r="AE35" s="503"/>
      <c r="AF35" s="504"/>
      <c r="AG35" s="501">
        <f t="shared" ref="AG35:AM35" si="36">SUBTOTAL(9,AG33:AG34)</f>
        <v>1640.2280000000001</v>
      </c>
      <c r="AH35" s="501">
        <f t="shared" si="36"/>
        <v>289.452</v>
      </c>
      <c r="AI35" s="501">
        <f t="shared" si="36"/>
        <v>482.42</v>
      </c>
      <c r="AJ35" s="504">
        <f t="shared" si="36"/>
        <v>0</v>
      </c>
      <c r="AK35" s="501">
        <f t="shared" si="36"/>
        <v>27402.133928571428</v>
      </c>
      <c r="AL35" s="501">
        <f t="shared" si="36"/>
        <v>27039.703928571427</v>
      </c>
      <c r="AM35" s="501">
        <f t="shared" si="36"/>
        <v>3244.7644714285711</v>
      </c>
      <c r="AN35" s="501">
        <f t="shared" si="7"/>
        <v>30284.468399999998</v>
      </c>
      <c r="AO35" s="502">
        <f t="shared" ref="AO35:BR35" si="37">SUBTOTAL(9,AO33:AO34)</f>
        <v>270</v>
      </c>
      <c r="AP35" s="502">
        <f t="shared" si="37"/>
        <v>0</v>
      </c>
      <c r="AQ35" s="502">
        <f t="shared" si="37"/>
        <v>0</v>
      </c>
      <c r="AR35" s="502">
        <f t="shared" si="37"/>
        <v>0</v>
      </c>
      <c r="AS35" s="502">
        <f t="shared" si="37"/>
        <v>0</v>
      </c>
      <c r="AT35" s="502">
        <f t="shared" si="37"/>
        <v>0</v>
      </c>
      <c r="AU35" s="502">
        <f t="shared" si="37"/>
        <v>0</v>
      </c>
      <c r="AV35" s="502">
        <f t="shared" si="37"/>
        <v>0</v>
      </c>
      <c r="AW35" s="502">
        <f t="shared" si="37"/>
        <v>0</v>
      </c>
      <c r="AX35" s="502">
        <f t="shared" si="37"/>
        <v>0</v>
      </c>
      <c r="AY35" s="502">
        <f t="shared" si="37"/>
        <v>0</v>
      </c>
      <c r="AZ35" s="501">
        <f t="shared" si="37"/>
        <v>270</v>
      </c>
      <c r="BA35" s="503">
        <f t="shared" si="37"/>
        <v>0</v>
      </c>
      <c r="BB35" s="503">
        <f t="shared" si="37"/>
        <v>0</v>
      </c>
      <c r="BC35" s="501">
        <f t="shared" si="37"/>
        <v>0</v>
      </c>
      <c r="BD35" s="501">
        <f t="shared" si="37"/>
        <v>0</v>
      </c>
      <c r="BE35" s="502">
        <f t="shared" si="37"/>
        <v>0</v>
      </c>
      <c r="BF35" s="502">
        <f t="shared" si="37"/>
        <v>0</v>
      </c>
      <c r="BG35" s="502">
        <f t="shared" si="37"/>
        <v>0</v>
      </c>
      <c r="BH35" s="502">
        <f t="shared" si="37"/>
        <v>0</v>
      </c>
      <c r="BI35" s="502">
        <f t="shared" si="37"/>
        <v>0</v>
      </c>
      <c r="BJ35" s="502">
        <f t="shared" si="37"/>
        <v>0</v>
      </c>
      <c r="BK35" s="502">
        <f t="shared" si="37"/>
        <v>0</v>
      </c>
      <c r="BL35" s="502">
        <f t="shared" si="37"/>
        <v>0</v>
      </c>
      <c r="BM35" s="502">
        <f t="shared" si="37"/>
        <v>0</v>
      </c>
      <c r="BN35" s="502">
        <f t="shared" si="37"/>
        <v>0</v>
      </c>
      <c r="BO35" s="502">
        <f t="shared" si="37"/>
        <v>0</v>
      </c>
      <c r="BP35" s="502">
        <f t="shared" si="37"/>
        <v>0</v>
      </c>
      <c r="BQ35" s="502">
        <f t="shared" si="37"/>
        <v>0</v>
      </c>
      <c r="BR35" s="501">
        <f t="shared" si="37"/>
        <v>270</v>
      </c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47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T35" s="470"/>
      <c r="DU35" s="470"/>
    </row>
    <row r="36" spans="1:125" x14ac:dyDescent="0.25">
      <c r="A36" s="694">
        <f>+A33+1</f>
        <v>43475</v>
      </c>
      <c r="B36" s="526" t="s">
        <v>561</v>
      </c>
      <c r="C36" s="514">
        <v>17261.36</v>
      </c>
      <c r="D36" s="517">
        <v>12231.98</v>
      </c>
      <c r="E36" s="517">
        <v>12233</v>
      </c>
      <c r="F36" s="520">
        <v>43475</v>
      </c>
      <c r="G36" s="514">
        <f>IF(E36-D36&lt;0,E36-D36,0)*-1</f>
        <v>0</v>
      </c>
      <c r="H36" s="514">
        <f>IF(E36-D36&gt;0,E36-D36,0)</f>
        <v>1.0200000000004366</v>
      </c>
      <c r="I36" s="517"/>
      <c r="J36" s="517"/>
      <c r="K36" s="517">
        <v>4358.51</v>
      </c>
      <c r="L36" s="517"/>
      <c r="M36" s="519">
        <f>(+K36)*M$5</f>
        <v>93.707965000000002</v>
      </c>
      <c r="N36" s="519">
        <f>(+K36)*N$5</f>
        <v>21.792550000000002</v>
      </c>
      <c r="O36" s="519">
        <f>+K36-M36-N36+P36</f>
        <v>4243.0094850000005</v>
      </c>
      <c r="P36" s="519">
        <f>L36-(L36*(M$5+N$5))</f>
        <v>0</v>
      </c>
      <c r="Q36" s="518"/>
      <c r="R36" s="517"/>
      <c r="S36" s="517"/>
      <c r="T36" s="519">
        <f>+R36*T$5</f>
        <v>0</v>
      </c>
      <c r="U36" s="519">
        <f>+R36*U$5</f>
        <v>0</v>
      </c>
      <c r="V36" s="519">
        <f>+R36-T36-U36+W36</f>
        <v>0</v>
      </c>
      <c r="W36" s="519">
        <f>+S36-(S36*(T$5+U$5))</f>
        <v>0</v>
      </c>
      <c r="X36" s="518"/>
      <c r="Y36" s="517"/>
      <c r="Z36" s="517">
        <v>199</v>
      </c>
      <c r="AA36" s="517"/>
      <c r="AB36" s="517"/>
      <c r="AC36" s="517">
        <v>203.87</v>
      </c>
      <c r="AD36" s="515"/>
      <c r="AE36" s="515">
        <v>268</v>
      </c>
      <c r="AF36" s="517">
        <v>1240.69</v>
      </c>
      <c r="AG36" s="514">
        <f>(AF36*0.8)*0.85</f>
        <v>843.66920000000005</v>
      </c>
      <c r="AH36" s="514">
        <f>(AF36*0.8)*0.15</f>
        <v>148.8828</v>
      </c>
      <c r="AI36" s="514">
        <f>AF36*0.2</f>
        <v>248.13800000000003</v>
      </c>
      <c r="AJ36" s="517">
        <v>0</v>
      </c>
      <c r="AK36" s="514">
        <f>(C36-AF36-AJ36)/1.12</f>
        <v>14304.169642857141</v>
      </c>
      <c r="AL36" s="514">
        <f>AK36-SUM(Y36:AC36)</f>
        <v>13901.29964285714</v>
      </c>
      <c r="AM36" s="514">
        <f>+AL36*0.12</f>
        <v>1668.1559571428568</v>
      </c>
      <c r="AN36" s="514">
        <f t="shared" si="7"/>
        <v>15569.455599999998</v>
      </c>
      <c r="AO36" s="513"/>
      <c r="AP36" s="516"/>
      <c r="AQ36" s="516"/>
      <c r="AR36" s="516"/>
      <c r="AS36" s="516"/>
      <c r="AT36" s="516"/>
      <c r="AU36" s="516"/>
      <c r="AV36" s="516"/>
      <c r="AW36" s="516"/>
      <c r="AX36" s="516"/>
      <c r="AY36" s="516"/>
      <c r="AZ36" s="514">
        <f>SUM(AO36:AY36)</f>
        <v>0</v>
      </c>
      <c r="BA36" s="515"/>
      <c r="BB36" s="515"/>
      <c r="BC36" s="514">
        <f>SUM(BE36:BM36)*0.1+(BN36*0.5)</f>
        <v>0</v>
      </c>
      <c r="BD36" s="514">
        <f>SUM(BE36:BM36)+(BN36*0.5)</f>
        <v>0</v>
      </c>
      <c r="BE36" s="513"/>
      <c r="BF36" s="513"/>
      <c r="BG36" s="513"/>
      <c r="BH36" s="513"/>
      <c r="BI36" s="513"/>
      <c r="BJ36" s="513"/>
      <c r="BK36" s="513"/>
      <c r="BL36" s="513"/>
      <c r="BM36" s="513"/>
      <c r="BN36" s="513"/>
      <c r="BO36" s="513"/>
      <c r="BP36" s="513"/>
      <c r="BQ36" s="513"/>
      <c r="BR36" s="524">
        <f>AZ36+BA36+BB36+BD36-BC36</f>
        <v>0</v>
      </c>
      <c r="BT36" s="511"/>
      <c r="BU36" s="510"/>
      <c r="BV36" s="510"/>
      <c r="BW36" s="510"/>
      <c r="BX36" s="510"/>
      <c r="BY36" s="510"/>
      <c r="BZ36" s="510"/>
      <c r="CA36" s="510"/>
      <c r="CB36" s="510"/>
      <c r="CC36" s="510"/>
      <c r="CD36" s="510"/>
      <c r="CE36" s="510"/>
      <c r="CF36" s="510"/>
      <c r="CG36" s="510"/>
      <c r="CH36" s="510"/>
      <c r="CI36" s="510"/>
      <c r="CJ36" s="510"/>
      <c r="CK36" s="510"/>
      <c r="CL36" s="510"/>
      <c r="CM36" s="510"/>
      <c r="CN36" s="510"/>
      <c r="CO36" s="510"/>
      <c r="CP36" s="510"/>
      <c r="CQ36" s="510"/>
      <c r="CR36" s="510"/>
      <c r="CS36" s="510"/>
    </row>
    <row r="37" spans="1:125" ht="15.75" thickBot="1" x14ac:dyDescent="0.3">
      <c r="A37" s="695"/>
      <c r="B37" s="526" t="s">
        <v>560</v>
      </c>
      <c r="C37" s="514">
        <v>13670.7</v>
      </c>
      <c r="D37" s="517">
        <v>9898.26</v>
      </c>
      <c r="E37" s="517">
        <v>9898</v>
      </c>
      <c r="F37" s="520">
        <v>43476</v>
      </c>
      <c r="G37" s="514">
        <f>IF(E37-D37&lt;0,E37-D37,0)*-1</f>
        <v>0.26000000000021828</v>
      </c>
      <c r="H37" s="514">
        <f>IF(E37-D37&gt;0,E37-D37,0)</f>
        <v>0</v>
      </c>
      <c r="I37" s="517">
        <v>800</v>
      </c>
      <c r="J37" s="517"/>
      <c r="K37" s="517">
        <v>2771.69</v>
      </c>
      <c r="L37" s="517"/>
      <c r="M37" s="519">
        <f>(+K37)*M$5</f>
        <v>59.591334999999994</v>
      </c>
      <c r="N37" s="519">
        <f>(+K37)*N$5</f>
        <v>13.858450000000001</v>
      </c>
      <c r="O37" s="519">
        <f>+K37-M37-N37+P37</f>
        <v>2698.2402149999998</v>
      </c>
      <c r="P37" s="519">
        <f>L37-(L37*(M$5+N$5))</f>
        <v>0</v>
      </c>
      <c r="Q37" s="518"/>
      <c r="R37" s="517"/>
      <c r="S37" s="517"/>
      <c r="T37" s="519">
        <f>+R37*T$5</f>
        <v>0</v>
      </c>
      <c r="U37" s="519">
        <f>+R37*U$5</f>
        <v>0</v>
      </c>
      <c r="V37" s="519">
        <f>+R37-T37-U37+W37</f>
        <v>0</v>
      </c>
      <c r="W37" s="519">
        <f>+S37-(S37*(T$5+U$5))</f>
        <v>0</v>
      </c>
      <c r="X37" s="518"/>
      <c r="Y37" s="517"/>
      <c r="Z37" s="517">
        <v>165.25</v>
      </c>
      <c r="AA37" s="517"/>
      <c r="AB37" s="517"/>
      <c r="AC37" s="517">
        <v>35.5</v>
      </c>
      <c r="AD37" s="515"/>
      <c r="AE37" s="515"/>
      <c r="AF37" s="517">
        <v>872.7</v>
      </c>
      <c r="AG37" s="514">
        <f>(AF37*0.8)*0.85</f>
        <v>593.43600000000004</v>
      </c>
      <c r="AH37" s="514">
        <f>(AF37*0.8)*0.15</f>
        <v>104.724</v>
      </c>
      <c r="AI37" s="514">
        <f>AF37*0.2</f>
        <v>174.54000000000002</v>
      </c>
      <c r="AJ37" s="517"/>
      <c r="AK37" s="514">
        <f>(C37-AF37-AJ37)/1.12</f>
        <v>11426.785714285714</v>
      </c>
      <c r="AL37" s="514">
        <f>AK37-SUM(Y37:AC37)</f>
        <v>11226.035714285714</v>
      </c>
      <c r="AM37" s="514">
        <f>+AL37*0.12</f>
        <v>1347.1242857142856</v>
      </c>
      <c r="AN37" s="514">
        <f t="shared" si="7"/>
        <v>12573.16</v>
      </c>
      <c r="AO37" s="513">
        <f>495+460</f>
        <v>955</v>
      </c>
      <c r="AP37" s="516"/>
      <c r="AQ37" s="516"/>
      <c r="AR37" s="516"/>
      <c r="AS37" s="516"/>
      <c r="AT37" s="516"/>
      <c r="AU37" s="516"/>
      <c r="AV37" s="516"/>
      <c r="AW37" s="516"/>
      <c r="AX37" s="516"/>
      <c r="AY37" s="516"/>
      <c r="AZ37" s="514">
        <f>SUM(AO37:AY37)</f>
        <v>955</v>
      </c>
      <c r="BA37" s="515">
        <f>170+70</f>
        <v>240</v>
      </c>
      <c r="BB37" s="515">
        <v>0</v>
      </c>
      <c r="BC37" s="514">
        <v>0</v>
      </c>
      <c r="BD37" s="514">
        <v>0</v>
      </c>
      <c r="BE37" s="513"/>
      <c r="BF37" s="513"/>
      <c r="BG37" s="513"/>
      <c r="BH37" s="513"/>
      <c r="BI37" s="513"/>
      <c r="BJ37" s="513"/>
      <c r="BK37" s="513"/>
      <c r="BL37" s="513"/>
      <c r="BM37" s="513"/>
      <c r="BN37" s="513"/>
      <c r="BO37" s="513"/>
      <c r="BP37" s="513"/>
      <c r="BQ37" s="513"/>
      <c r="BR37" s="524">
        <f>AZ37+BA37+BB37+BD37-BC37</f>
        <v>1195</v>
      </c>
      <c r="BT37" s="511"/>
      <c r="BU37" s="510"/>
      <c r="BV37" s="510"/>
      <c r="BW37" s="510"/>
      <c r="BX37" s="510"/>
      <c r="BY37" s="510"/>
      <c r="BZ37" s="510"/>
      <c r="CA37" s="510"/>
      <c r="CB37" s="510"/>
      <c r="CC37" s="510"/>
      <c r="CD37" s="510"/>
      <c r="CE37" s="510"/>
      <c r="CF37" s="510"/>
      <c r="CG37" s="510"/>
      <c r="CH37" s="510"/>
      <c r="CI37" s="510"/>
      <c r="CJ37" s="510"/>
      <c r="CK37" s="510"/>
      <c r="CL37" s="510"/>
      <c r="CM37" s="510"/>
      <c r="CN37" s="510"/>
      <c r="CO37" s="510"/>
      <c r="CP37" s="510"/>
      <c r="CQ37" s="510"/>
      <c r="CR37" s="510"/>
      <c r="CS37" s="510"/>
    </row>
    <row r="38" spans="1:125" ht="15.75" thickBot="1" x14ac:dyDescent="0.3">
      <c r="A38" s="509"/>
      <c r="B38" s="508"/>
      <c r="C38" s="501">
        <f>SUBTOTAL(9,C36:C37)</f>
        <v>30932.06</v>
      </c>
      <c r="D38" s="504">
        <f>SUBTOTAL(9,D36:D37)</f>
        <v>22130.239999999998</v>
      </c>
      <c r="E38" s="504">
        <f>SUBTOTAL(9,E36:E37)</f>
        <v>22131</v>
      </c>
      <c r="F38" s="505"/>
      <c r="G38" s="504">
        <f t="shared" ref="G38:P38" si="38">SUBTOTAL(9,G36:G37)</f>
        <v>0.26000000000021828</v>
      </c>
      <c r="H38" s="504">
        <f t="shared" si="38"/>
        <v>1.0200000000004366</v>
      </c>
      <c r="I38" s="507">
        <f t="shared" si="38"/>
        <v>800</v>
      </c>
      <c r="J38" s="507">
        <f t="shared" si="38"/>
        <v>0</v>
      </c>
      <c r="K38" s="507">
        <f t="shared" si="38"/>
        <v>7130.2000000000007</v>
      </c>
      <c r="L38" s="507">
        <f t="shared" si="38"/>
        <v>0</v>
      </c>
      <c r="M38" s="506">
        <f t="shared" si="38"/>
        <v>153.29929999999999</v>
      </c>
      <c r="N38" s="506">
        <f t="shared" si="38"/>
        <v>35.651000000000003</v>
      </c>
      <c r="O38" s="506">
        <f t="shared" si="38"/>
        <v>6941.2497000000003</v>
      </c>
      <c r="P38" s="506">
        <f t="shared" si="38"/>
        <v>0</v>
      </c>
      <c r="Q38" s="505"/>
      <c r="R38" s="504">
        <f t="shared" ref="R38:W38" si="39">SUBTOTAL(9,R36:R37)</f>
        <v>0</v>
      </c>
      <c r="S38" s="504">
        <f t="shared" si="39"/>
        <v>0</v>
      </c>
      <c r="T38" s="506">
        <f t="shared" si="39"/>
        <v>0</v>
      </c>
      <c r="U38" s="506">
        <f t="shared" si="39"/>
        <v>0</v>
      </c>
      <c r="V38" s="506">
        <f t="shared" si="39"/>
        <v>0</v>
      </c>
      <c r="W38" s="506">
        <f t="shared" si="39"/>
        <v>0</v>
      </c>
      <c r="X38" s="505"/>
      <c r="Y38" s="504">
        <f>SUBTOTAL(9,Y36:Y37)</f>
        <v>0</v>
      </c>
      <c r="Z38" s="504"/>
      <c r="AA38" s="504"/>
      <c r="AB38" s="504"/>
      <c r="AC38" s="504"/>
      <c r="AD38" s="503"/>
      <c r="AE38" s="503"/>
      <c r="AF38" s="504"/>
      <c r="AG38" s="501">
        <f t="shared" ref="AG38:AM38" si="40">SUBTOTAL(9,AG36:AG37)</f>
        <v>1437.1052</v>
      </c>
      <c r="AH38" s="501">
        <f t="shared" si="40"/>
        <v>253.60680000000002</v>
      </c>
      <c r="AI38" s="501">
        <f t="shared" si="40"/>
        <v>422.67800000000005</v>
      </c>
      <c r="AJ38" s="504">
        <f t="shared" si="40"/>
        <v>0</v>
      </c>
      <c r="AK38" s="501">
        <f t="shared" si="40"/>
        <v>25730.955357142855</v>
      </c>
      <c r="AL38" s="501">
        <f t="shared" si="40"/>
        <v>25127.335357142852</v>
      </c>
      <c r="AM38" s="501">
        <f t="shared" si="40"/>
        <v>3015.2802428571422</v>
      </c>
      <c r="AN38" s="501">
        <f t="shared" si="7"/>
        <v>28142.615599999994</v>
      </c>
      <c r="AO38" s="502">
        <f t="shared" ref="AO38:BR38" si="41">SUBTOTAL(9,AO36:AO37)</f>
        <v>955</v>
      </c>
      <c r="AP38" s="502">
        <f t="shared" si="41"/>
        <v>0</v>
      </c>
      <c r="AQ38" s="502">
        <f t="shared" si="41"/>
        <v>0</v>
      </c>
      <c r="AR38" s="502">
        <f t="shared" si="41"/>
        <v>0</v>
      </c>
      <c r="AS38" s="502">
        <f t="shared" si="41"/>
        <v>0</v>
      </c>
      <c r="AT38" s="502">
        <f t="shared" si="41"/>
        <v>0</v>
      </c>
      <c r="AU38" s="502">
        <f t="shared" si="41"/>
        <v>0</v>
      </c>
      <c r="AV38" s="502">
        <f t="shared" si="41"/>
        <v>0</v>
      </c>
      <c r="AW38" s="502">
        <f t="shared" si="41"/>
        <v>0</v>
      </c>
      <c r="AX38" s="502">
        <f t="shared" si="41"/>
        <v>0</v>
      </c>
      <c r="AY38" s="502">
        <f t="shared" si="41"/>
        <v>0</v>
      </c>
      <c r="AZ38" s="501">
        <f t="shared" si="41"/>
        <v>955</v>
      </c>
      <c r="BA38" s="503">
        <f t="shared" si="41"/>
        <v>240</v>
      </c>
      <c r="BB38" s="503">
        <f t="shared" si="41"/>
        <v>0</v>
      </c>
      <c r="BC38" s="501">
        <f t="shared" si="41"/>
        <v>0</v>
      </c>
      <c r="BD38" s="501">
        <f t="shared" si="41"/>
        <v>0</v>
      </c>
      <c r="BE38" s="502">
        <f t="shared" si="41"/>
        <v>0</v>
      </c>
      <c r="BF38" s="502">
        <f t="shared" si="41"/>
        <v>0</v>
      </c>
      <c r="BG38" s="502">
        <f t="shared" si="41"/>
        <v>0</v>
      </c>
      <c r="BH38" s="502">
        <f t="shared" si="41"/>
        <v>0</v>
      </c>
      <c r="BI38" s="502">
        <f t="shared" si="41"/>
        <v>0</v>
      </c>
      <c r="BJ38" s="502">
        <f t="shared" si="41"/>
        <v>0</v>
      </c>
      <c r="BK38" s="502">
        <f t="shared" si="41"/>
        <v>0</v>
      </c>
      <c r="BL38" s="502">
        <f t="shared" si="41"/>
        <v>0</v>
      </c>
      <c r="BM38" s="502">
        <f t="shared" si="41"/>
        <v>0</v>
      </c>
      <c r="BN38" s="502">
        <f t="shared" si="41"/>
        <v>0</v>
      </c>
      <c r="BO38" s="502">
        <f t="shared" si="41"/>
        <v>0</v>
      </c>
      <c r="BP38" s="502">
        <f t="shared" si="41"/>
        <v>0</v>
      </c>
      <c r="BQ38" s="502">
        <f t="shared" si="41"/>
        <v>0</v>
      </c>
      <c r="BR38" s="501">
        <f t="shared" si="41"/>
        <v>1195</v>
      </c>
    </row>
    <row r="39" spans="1:125" x14ac:dyDescent="0.25">
      <c r="A39" s="694">
        <f>+A36+1</f>
        <v>43476</v>
      </c>
      <c r="B39" s="521" t="s">
        <v>561</v>
      </c>
      <c r="C39" s="514">
        <v>34038.28</v>
      </c>
      <c r="D39" s="517">
        <v>20695.37</v>
      </c>
      <c r="E39" s="517">
        <v>20698</v>
      </c>
      <c r="F39" s="520">
        <v>43476</v>
      </c>
      <c r="G39" s="514">
        <f>IF(E39-D39&lt;0,E39-D39,0)*-1</f>
        <v>0</v>
      </c>
      <c r="H39" s="514">
        <f>IF(E39-D39&gt;0,E39-D39,0)</f>
        <v>2.6300000000010186</v>
      </c>
      <c r="I39" s="517"/>
      <c r="J39" s="517"/>
      <c r="K39" s="517">
        <v>12758.05</v>
      </c>
      <c r="L39" s="517"/>
      <c r="M39" s="519">
        <f>(+K39)*M$5</f>
        <v>274.29807499999998</v>
      </c>
      <c r="N39" s="519">
        <f>(+K39)*N$5</f>
        <v>63.79025</v>
      </c>
      <c r="O39" s="519">
        <f>+K39-M39-N39+P39</f>
        <v>12419.961674999999</v>
      </c>
      <c r="P39" s="519"/>
      <c r="Q39" s="518"/>
      <c r="R39" s="517"/>
      <c r="S39" s="517"/>
      <c r="T39" s="519"/>
      <c r="U39" s="519"/>
      <c r="V39" s="519"/>
      <c r="W39" s="519"/>
      <c r="X39" s="518"/>
      <c r="Y39" s="517"/>
      <c r="Z39" s="517">
        <v>27</v>
      </c>
      <c r="AA39" s="517"/>
      <c r="AB39" s="517"/>
      <c r="AC39" s="517">
        <v>557.86</v>
      </c>
      <c r="AD39" s="515"/>
      <c r="AE39" s="515"/>
      <c r="AF39" s="517">
        <v>2720.02</v>
      </c>
      <c r="AG39" s="514">
        <f>(AF39*0.8)*0.85</f>
        <v>1849.6135999999999</v>
      </c>
      <c r="AH39" s="514">
        <f>(AF39*0.8)*0.15</f>
        <v>326.4024</v>
      </c>
      <c r="AI39" s="514">
        <f>AF39*0.2</f>
        <v>544.00400000000002</v>
      </c>
      <c r="AJ39" s="517"/>
      <c r="AK39" s="514">
        <f>(C39-AF39-AJ39)/1.12</f>
        <v>27962.732142857138</v>
      </c>
      <c r="AL39" s="514">
        <f>AK39-SUM(Y39:AC39)</f>
        <v>27377.872142857137</v>
      </c>
      <c r="AM39" s="514">
        <f>+AL39*0.12</f>
        <v>3285.3446571428562</v>
      </c>
      <c r="AN39" s="514">
        <f t="shared" si="7"/>
        <v>30663.216799999995</v>
      </c>
      <c r="AO39" s="513"/>
      <c r="AP39" s="516"/>
      <c r="AQ39" s="516"/>
      <c r="AR39" s="516"/>
      <c r="AS39" s="516"/>
      <c r="AT39" s="516"/>
      <c r="AU39" s="516"/>
      <c r="AV39" s="516"/>
      <c r="AW39" s="516"/>
      <c r="AX39" s="516"/>
      <c r="AY39" s="516"/>
      <c r="AZ39" s="514">
        <f>SUM(AO39:AY39)</f>
        <v>0</v>
      </c>
      <c r="BA39" s="515"/>
      <c r="BB39" s="515"/>
      <c r="BC39" s="514">
        <f>SUM(BE39:BM39)*0.1+(BN39*0.5)</f>
        <v>0</v>
      </c>
      <c r="BD39" s="514">
        <f>SUM(BE39:BM39)+(BN39*0.5)</f>
        <v>0</v>
      </c>
      <c r="BE39" s="513"/>
      <c r="BF39" s="513"/>
      <c r="BG39" s="513"/>
      <c r="BH39" s="513"/>
      <c r="BI39" s="513"/>
      <c r="BJ39" s="513"/>
      <c r="BK39" s="513"/>
      <c r="BL39" s="513"/>
      <c r="BM39" s="513"/>
      <c r="BN39" s="513"/>
      <c r="BO39" s="513"/>
      <c r="BP39" s="513"/>
      <c r="BQ39" s="513"/>
      <c r="BR39" s="524">
        <f>AZ39+BA39+BB39+BD39-BC39</f>
        <v>0</v>
      </c>
      <c r="BT39" s="511"/>
      <c r="BU39" s="510"/>
      <c r="BV39" s="510"/>
      <c r="BW39" s="510"/>
      <c r="BX39" s="510"/>
      <c r="BY39" s="510"/>
      <c r="BZ39" s="510"/>
      <c r="CA39" s="510"/>
      <c r="CB39" s="510"/>
      <c r="CC39" s="510"/>
      <c r="CD39" s="510"/>
      <c r="CE39" s="510"/>
      <c r="CF39" s="510"/>
      <c r="CG39" s="510"/>
      <c r="CH39" s="510"/>
      <c r="CI39" s="510"/>
      <c r="CJ39" s="510"/>
      <c r="CK39" s="510"/>
      <c r="CL39" s="510"/>
      <c r="CM39" s="510"/>
      <c r="CN39" s="510"/>
      <c r="CO39" s="510"/>
      <c r="CP39" s="510"/>
      <c r="CQ39" s="510"/>
      <c r="CR39" s="510"/>
      <c r="CS39" s="510"/>
    </row>
    <row r="40" spans="1:125" ht="15.75" thickBot="1" x14ac:dyDescent="0.3">
      <c r="A40" s="695"/>
      <c r="B40" s="521" t="s">
        <v>560</v>
      </c>
      <c r="C40" s="514">
        <v>24292.73</v>
      </c>
      <c r="D40" s="517">
        <v>8897.68</v>
      </c>
      <c r="E40" s="517">
        <v>8900</v>
      </c>
      <c r="F40" s="520">
        <v>43479</v>
      </c>
      <c r="G40" s="514">
        <f>IF(E40-D40&lt;0,E40-D40,0)*-1</f>
        <v>0</v>
      </c>
      <c r="H40" s="514">
        <f>IF(E40-D40&gt;0,E40-D40,0)</f>
        <v>2.319999999999709</v>
      </c>
      <c r="I40" s="517"/>
      <c r="J40" s="517"/>
      <c r="K40" s="517">
        <v>14133.48</v>
      </c>
      <c r="L40" s="517"/>
      <c r="M40" s="519">
        <f>(+K40)*M$5</f>
        <v>303.86981999999995</v>
      </c>
      <c r="N40" s="519">
        <f>(+K40)*N$5</f>
        <v>70.667400000000001</v>
      </c>
      <c r="O40" s="519">
        <f>+K40-M40-N40+P40</f>
        <v>13758.942779999999</v>
      </c>
      <c r="P40" s="519"/>
      <c r="Q40" s="518"/>
      <c r="R40" s="517"/>
      <c r="S40" s="517"/>
      <c r="T40" s="519"/>
      <c r="U40" s="519"/>
      <c r="V40" s="519"/>
      <c r="W40" s="519"/>
      <c r="X40" s="518"/>
      <c r="Y40" s="517"/>
      <c r="Z40" s="517">
        <v>20.25</v>
      </c>
      <c r="AA40" s="517"/>
      <c r="AB40" s="517"/>
      <c r="AC40" s="517">
        <v>47.32</v>
      </c>
      <c r="AD40" s="515"/>
      <c r="AE40" s="515">
        <v>1194</v>
      </c>
      <c r="AF40" s="517">
        <v>1867.12</v>
      </c>
      <c r="AG40" s="514">
        <f>(AF40*0.8)*0.85</f>
        <v>1269.6415999999999</v>
      </c>
      <c r="AH40" s="514">
        <f>(AF40*0.8)*0.15</f>
        <v>224.05439999999999</v>
      </c>
      <c r="AI40" s="514">
        <f>AF40*0.2</f>
        <v>373.42399999999998</v>
      </c>
      <c r="AJ40" s="517"/>
      <c r="AK40" s="514">
        <f>(C40-AF40-AJ40)/1.12</f>
        <v>20022.866071428569</v>
      </c>
      <c r="AL40" s="514">
        <f>AK40-SUM(Y40:AC40)</f>
        <v>19955.296071428569</v>
      </c>
      <c r="AM40" s="514">
        <f>+AL40*0.12</f>
        <v>2394.635528571428</v>
      </c>
      <c r="AN40" s="514">
        <f t="shared" si="7"/>
        <v>22349.931599999996</v>
      </c>
      <c r="AO40" s="513"/>
      <c r="AP40" s="516"/>
      <c r="AQ40" s="516"/>
      <c r="AR40" s="516"/>
      <c r="AS40" s="516"/>
      <c r="AT40" s="516"/>
      <c r="AU40" s="516"/>
      <c r="AV40" s="516"/>
      <c r="AW40" s="516"/>
      <c r="AX40" s="516"/>
      <c r="AY40" s="516"/>
      <c r="AZ40" s="514">
        <f>SUM(AO40:AY40)</f>
        <v>0</v>
      </c>
      <c r="BA40" s="515"/>
      <c r="BB40" s="515"/>
      <c r="BC40" s="514"/>
      <c r="BD40" s="514"/>
      <c r="BE40" s="513"/>
      <c r="BF40" s="513"/>
      <c r="BG40" s="513"/>
      <c r="BH40" s="513"/>
      <c r="BI40" s="513"/>
      <c r="BJ40" s="513"/>
      <c r="BK40" s="513"/>
      <c r="BL40" s="513"/>
      <c r="BM40" s="513"/>
      <c r="BN40" s="513"/>
      <c r="BO40" s="513"/>
      <c r="BP40" s="513"/>
      <c r="BQ40" s="513"/>
      <c r="BR40" s="524">
        <f>AZ40+BA40+BB40+BD40-BC40</f>
        <v>0</v>
      </c>
      <c r="BT40" s="511"/>
      <c r="BU40" s="510"/>
      <c r="BV40" s="510"/>
      <c r="BW40" s="510"/>
      <c r="BX40" s="510"/>
      <c r="BY40" s="510"/>
      <c r="BZ40" s="510"/>
      <c r="CA40" s="510"/>
      <c r="CB40" s="510"/>
      <c r="CC40" s="510"/>
      <c r="CD40" s="510"/>
      <c r="CE40" s="510"/>
      <c r="CF40" s="510"/>
      <c r="CG40" s="510"/>
      <c r="CH40" s="510"/>
      <c r="CI40" s="510"/>
      <c r="CJ40" s="510"/>
      <c r="CK40" s="510"/>
      <c r="CL40" s="510"/>
      <c r="CM40" s="510"/>
      <c r="CN40" s="510"/>
      <c r="CO40" s="510"/>
      <c r="CP40" s="510"/>
      <c r="CQ40" s="510"/>
      <c r="CR40" s="510"/>
      <c r="CS40" s="510"/>
    </row>
    <row r="41" spans="1:125" ht="15.75" thickBot="1" x14ac:dyDescent="0.3">
      <c r="A41" s="509"/>
      <c r="B41" s="508"/>
      <c r="C41" s="501">
        <f>SUBTOTAL(9,C39:C40)</f>
        <v>58331.009999999995</v>
      </c>
      <c r="D41" s="504">
        <f>SUBTOTAL(9,D39:D40)</f>
        <v>29593.05</v>
      </c>
      <c r="E41" s="504">
        <f>SUBTOTAL(9,E39:E40)</f>
        <v>29598</v>
      </c>
      <c r="F41" s="505"/>
      <c r="G41" s="504">
        <f t="shared" ref="G41:P41" si="42">SUBTOTAL(9,G39:G40)</f>
        <v>0</v>
      </c>
      <c r="H41" s="504">
        <f t="shared" si="42"/>
        <v>4.9500000000007276</v>
      </c>
      <c r="I41" s="507">
        <f t="shared" si="42"/>
        <v>0</v>
      </c>
      <c r="J41" s="507">
        <f t="shared" si="42"/>
        <v>0</v>
      </c>
      <c r="K41" s="507">
        <f t="shared" si="42"/>
        <v>26891.53</v>
      </c>
      <c r="L41" s="507">
        <f t="shared" si="42"/>
        <v>0</v>
      </c>
      <c r="M41" s="506">
        <f t="shared" si="42"/>
        <v>578.16789499999993</v>
      </c>
      <c r="N41" s="506">
        <f t="shared" si="42"/>
        <v>134.45765</v>
      </c>
      <c r="O41" s="506">
        <f t="shared" si="42"/>
        <v>26178.904454999996</v>
      </c>
      <c r="P41" s="506">
        <f t="shared" si="42"/>
        <v>0</v>
      </c>
      <c r="Q41" s="505"/>
      <c r="R41" s="504">
        <f t="shared" ref="R41:W41" si="43">SUBTOTAL(9,R39:R40)</f>
        <v>0</v>
      </c>
      <c r="S41" s="504">
        <f t="shared" si="43"/>
        <v>0</v>
      </c>
      <c r="T41" s="506">
        <f t="shared" si="43"/>
        <v>0</v>
      </c>
      <c r="U41" s="506">
        <f t="shared" si="43"/>
        <v>0</v>
      </c>
      <c r="V41" s="506">
        <f t="shared" si="43"/>
        <v>0</v>
      </c>
      <c r="W41" s="506">
        <f t="shared" si="43"/>
        <v>0</v>
      </c>
      <c r="X41" s="505"/>
      <c r="Y41" s="504">
        <f>SUBTOTAL(9,Y39:Y40)</f>
        <v>0</v>
      </c>
      <c r="Z41" s="504"/>
      <c r="AA41" s="504"/>
      <c r="AB41" s="504"/>
      <c r="AC41" s="504"/>
      <c r="AD41" s="503"/>
      <c r="AE41" s="503"/>
      <c r="AF41" s="504"/>
      <c r="AG41" s="501">
        <f t="shared" ref="AG41:AM41" si="44">SUBTOTAL(9,AG39:AG40)</f>
        <v>3119.2551999999996</v>
      </c>
      <c r="AH41" s="501">
        <f t="shared" si="44"/>
        <v>550.45679999999993</v>
      </c>
      <c r="AI41" s="501">
        <f t="shared" si="44"/>
        <v>917.428</v>
      </c>
      <c r="AJ41" s="504">
        <f t="shared" si="44"/>
        <v>0</v>
      </c>
      <c r="AK41" s="501">
        <f t="shared" si="44"/>
        <v>47985.59821428571</v>
      </c>
      <c r="AL41" s="501">
        <f t="shared" si="44"/>
        <v>47333.168214285703</v>
      </c>
      <c r="AM41" s="501">
        <f t="shared" si="44"/>
        <v>5679.9801857142847</v>
      </c>
      <c r="AN41" s="501">
        <f t="shared" si="7"/>
        <v>53013.148399999991</v>
      </c>
      <c r="AO41" s="502">
        <f t="shared" ref="AO41:BR41" si="45">SUBTOTAL(9,AO39:AO40)</f>
        <v>0</v>
      </c>
      <c r="AP41" s="502">
        <f t="shared" si="45"/>
        <v>0</v>
      </c>
      <c r="AQ41" s="502">
        <f t="shared" si="45"/>
        <v>0</v>
      </c>
      <c r="AR41" s="502">
        <f t="shared" si="45"/>
        <v>0</v>
      </c>
      <c r="AS41" s="502">
        <f t="shared" si="45"/>
        <v>0</v>
      </c>
      <c r="AT41" s="502">
        <f t="shared" si="45"/>
        <v>0</v>
      </c>
      <c r="AU41" s="502">
        <f t="shared" si="45"/>
        <v>0</v>
      </c>
      <c r="AV41" s="502">
        <f t="shared" si="45"/>
        <v>0</v>
      </c>
      <c r="AW41" s="502">
        <f t="shared" si="45"/>
        <v>0</v>
      </c>
      <c r="AX41" s="502">
        <f t="shared" si="45"/>
        <v>0</v>
      </c>
      <c r="AY41" s="502">
        <f t="shared" si="45"/>
        <v>0</v>
      </c>
      <c r="AZ41" s="501">
        <f t="shared" si="45"/>
        <v>0</v>
      </c>
      <c r="BA41" s="503">
        <f t="shared" si="45"/>
        <v>0</v>
      </c>
      <c r="BB41" s="503">
        <f t="shared" si="45"/>
        <v>0</v>
      </c>
      <c r="BC41" s="501">
        <f t="shared" si="45"/>
        <v>0</v>
      </c>
      <c r="BD41" s="501">
        <f t="shared" si="45"/>
        <v>0</v>
      </c>
      <c r="BE41" s="502">
        <f t="shared" si="45"/>
        <v>0</v>
      </c>
      <c r="BF41" s="502">
        <f t="shared" si="45"/>
        <v>0</v>
      </c>
      <c r="BG41" s="502">
        <f t="shared" si="45"/>
        <v>0</v>
      </c>
      <c r="BH41" s="502">
        <f t="shared" si="45"/>
        <v>0</v>
      </c>
      <c r="BI41" s="502">
        <f t="shared" si="45"/>
        <v>0</v>
      </c>
      <c r="BJ41" s="502">
        <f t="shared" si="45"/>
        <v>0</v>
      </c>
      <c r="BK41" s="502">
        <f t="shared" si="45"/>
        <v>0</v>
      </c>
      <c r="BL41" s="502">
        <f t="shared" si="45"/>
        <v>0</v>
      </c>
      <c r="BM41" s="502">
        <f t="shared" si="45"/>
        <v>0</v>
      </c>
      <c r="BN41" s="502">
        <f t="shared" si="45"/>
        <v>0</v>
      </c>
      <c r="BO41" s="502">
        <f t="shared" si="45"/>
        <v>0</v>
      </c>
      <c r="BP41" s="502">
        <f t="shared" si="45"/>
        <v>0</v>
      </c>
      <c r="BQ41" s="502">
        <f t="shared" si="45"/>
        <v>0</v>
      </c>
      <c r="BR41" s="501">
        <f t="shared" si="45"/>
        <v>0</v>
      </c>
    </row>
    <row r="42" spans="1:125" x14ac:dyDescent="0.25">
      <c r="A42" s="694">
        <f>+A39+1</f>
        <v>43477</v>
      </c>
      <c r="B42" s="526" t="s">
        <v>561</v>
      </c>
      <c r="C42" s="514" t="s">
        <v>564</v>
      </c>
      <c r="D42" s="517"/>
      <c r="E42" s="517"/>
      <c r="F42" s="520"/>
      <c r="G42" s="514">
        <f>IF(E42-D42&lt;0,E42-D42,0)*-1</f>
        <v>0</v>
      </c>
      <c r="H42" s="514">
        <f>IF(E42-D42&gt;0,E42-D42,0)</f>
        <v>0</v>
      </c>
      <c r="I42" s="517"/>
      <c r="J42" s="517"/>
      <c r="K42" s="517"/>
      <c r="L42" s="517"/>
      <c r="M42" s="519">
        <f>(+K42)*M$5</f>
        <v>0</v>
      </c>
      <c r="N42" s="519">
        <f>(+K42)*N$5</f>
        <v>0</v>
      </c>
      <c r="O42" s="519">
        <f>+K42-M42-N42+P42</f>
        <v>0</v>
      </c>
      <c r="P42" s="519"/>
      <c r="Q42" s="518"/>
      <c r="R42" s="517"/>
      <c r="S42" s="517"/>
      <c r="T42" s="519"/>
      <c r="U42" s="519"/>
      <c r="V42" s="519"/>
      <c r="W42" s="519"/>
      <c r="X42" s="518"/>
      <c r="Y42" s="517"/>
      <c r="Z42" s="517"/>
      <c r="AA42" s="517"/>
      <c r="AB42" s="517"/>
      <c r="AC42" s="517"/>
      <c r="AD42" s="515"/>
      <c r="AE42" s="515"/>
      <c r="AF42" s="517"/>
      <c r="AG42" s="514">
        <f>(AF42*0.8)*0.85</f>
        <v>0</v>
      </c>
      <c r="AH42" s="514">
        <f>(AF42*0.8)*0.15</f>
        <v>0</v>
      </c>
      <c r="AI42" s="514">
        <f>AF42*0.2</f>
        <v>0</v>
      </c>
      <c r="AJ42" s="517"/>
      <c r="AK42" s="514">
        <v>0</v>
      </c>
      <c r="AL42" s="514">
        <f>AK42-SUM(Y42:AC42)</f>
        <v>0</v>
      </c>
      <c r="AM42" s="514">
        <f>+AL42*0.12</f>
        <v>0</v>
      </c>
      <c r="AN42" s="514">
        <f t="shared" si="7"/>
        <v>0</v>
      </c>
      <c r="AO42" s="513"/>
      <c r="AP42" s="516"/>
      <c r="AQ42" s="516"/>
      <c r="AR42" s="516"/>
      <c r="AS42" s="516"/>
      <c r="AT42" s="516"/>
      <c r="AU42" s="516"/>
      <c r="AV42" s="516"/>
      <c r="AW42" s="516"/>
      <c r="AX42" s="516"/>
      <c r="AY42" s="516"/>
      <c r="AZ42" s="514">
        <f>SUM(AO42:AY42)</f>
        <v>0</v>
      </c>
      <c r="BA42" s="515"/>
      <c r="BB42" s="515"/>
      <c r="BC42" s="514">
        <f>SUM(BE42:BM42)*0.1+(BN42*0.5)</f>
        <v>0</v>
      </c>
      <c r="BD42" s="514">
        <f>SUM(BE42:BM42)+(BN42*0.5)</f>
        <v>0</v>
      </c>
      <c r="BE42" s="513"/>
      <c r="BF42" s="513"/>
      <c r="BG42" s="513"/>
      <c r="BH42" s="513"/>
      <c r="BI42" s="513"/>
      <c r="BJ42" s="513"/>
      <c r="BK42" s="513"/>
      <c r="BL42" s="513"/>
      <c r="BM42" s="513"/>
      <c r="BN42" s="513"/>
      <c r="BO42" s="513"/>
      <c r="BP42" s="513"/>
      <c r="BQ42" s="513"/>
      <c r="BR42" s="524">
        <f>AZ42+BA42+BB42+BD42-BC42</f>
        <v>0</v>
      </c>
      <c r="BT42" s="511"/>
      <c r="BU42" s="510"/>
      <c r="BV42" s="510"/>
      <c r="BW42" s="510"/>
      <c r="BX42" s="510"/>
      <c r="BY42" s="510"/>
      <c r="BZ42" s="510"/>
      <c r="CA42" s="510"/>
      <c r="CB42" s="510"/>
      <c r="CC42" s="510"/>
      <c r="CD42" s="510"/>
      <c r="CE42" s="510"/>
      <c r="CF42" s="510"/>
      <c r="CG42" s="510"/>
      <c r="CH42" s="510"/>
      <c r="CI42" s="510"/>
      <c r="CJ42" s="510"/>
      <c r="CK42" s="510"/>
      <c r="CL42" s="510"/>
      <c r="CM42" s="510"/>
      <c r="CN42" s="510"/>
      <c r="CO42" s="510"/>
      <c r="CP42" s="510"/>
      <c r="CQ42" s="510"/>
      <c r="CR42" s="510"/>
      <c r="CS42" s="510"/>
    </row>
    <row r="43" spans="1:125" ht="15.75" thickBot="1" x14ac:dyDescent="0.3">
      <c r="A43" s="695"/>
      <c r="B43" s="526" t="s">
        <v>560</v>
      </c>
      <c r="C43" s="514">
        <v>17011.48</v>
      </c>
      <c r="D43" s="517">
        <v>6514.92</v>
      </c>
      <c r="E43" s="517">
        <v>6520</v>
      </c>
      <c r="F43" s="520">
        <v>43479</v>
      </c>
      <c r="G43" s="514">
        <f>IF(E43-D43&lt;0,E43-D43,0)*-1</f>
        <v>0</v>
      </c>
      <c r="H43" s="514">
        <f>IF(E43-D43&gt;0,E43-D43,0)</f>
        <v>5.0799999999999272</v>
      </c>
      <c r="I43" s="517"/>
      <c r="J43" s="517"/>
      <c r="K43" s="517">
        <v>1688.39</v>
      </c>
      <c r="L43" s="517"/>
      <c r="M43" s="519">
        <f>(+K43)*M$5</f>
        <v>36.300384999999999</v>
      </c>
      <c r="N43" s="519">
        <f>(+K43)*N$5</f>
        <v>8.4419500000000003</v>
      </c>
      <c r="O43" s="519">
        <f>+K43-M43-N43+P43</f>
        <v>1643.6476650000002</v>
      </c>
      <c r="P43" s="519"/>
      <c r="Q43" s="518"/>
      <c r="R43" s="517"/>
      <c r="S43" s="517"/>
      <c r="T43" s="519"/>
      <c r="U43" s="519"/>
      <c r="V43" s="519"/>
      <c r="W43" s="519"/>
      <c r="X43" s="518"/>
      <c r="Y43" s="517"/>
      <c r="Z43" s="517"/>
      <c r="AA43" s="517">
        <v>559.5</v>
      </c>
      <c r="AB43" s="517"/>
      <c r="AC43" s="517">
        <v>41.07</v>
      </c>
      <c r="AD43" s="515"/>
      <c r="AE43" s="515">
        <v>8207.6</v>
      </c>
      <c r="AF43" s="517">
        <v>1123.6199999999999</v>
      </c>
      <c r="AG43" s="514">
        <f>(AF43*0.8)*0.85</f>
        <v>764.0616</v>
      </c>
      <c r="AH43" s="514">
        <f>(AF43*0.8)*0.15</f>
        <v>134.83439999999999</v>
      </c>
      <c r="AI43" s="514">
        <f>AF43*0.2</f>
        <v>224.72399999999999</v>
      </c>
      <c r="AJ43" s="517"/>
      <c r="AK43" s="514">
        <f>(C43-AF43-AJ43)/1.12</f>
        <v>14185.589285714284</v>
      </c>
      <c r="AL43" s="514">
        <f>AK43-SUM(Y43:AC43)</f>
        <v>13585.019285714285</v>
      </c>
      <c r="AM43" s="514">
        <f>+AL43*0.12</f>
        <v>1630.202314285714</v>
      </c>
      <c r="AN43" s="514">
        <f t="shared" si="7"/>
        <v>15215.221599999999</v>
      </c>
      <c r="AO43" s="513"/>
      <c r="AP43" s="516"/>
      <c r="AQ43" s="516">
        <v>255</v>
      </c>
      <c r="AR43" s="516"/>
      <c r="AS43" s="516"/>
      <c r="AT43" s="516"/>
      <c r="AU43" s="516"/>
      <c r="AV43" s="516"/>
      <c r="AW43" s="516"/>
      <c r="AX43" s="516"/>
      <c r="AY43" s="516"/>
      <c r="AZ43" s="514">
        <f>SUM(AO43:AY43)</f>
        <v>255</v>
      </c>
      <c r="BA43" s="515">
        <v>185</v>
      </c>
      <c r="BB43" s="515"/>
      <c r="BC43" s="514"/>
      <c r="BD43" s="514"/>
      <c r="BE43" s="513"/>
      <c r="BF43" s="513"/>
      <c r="BG43" s="513"/>
      <c r="BH43" s="513"/>
      <c r="BI43" s="513"/>
      <c r="BJ43" s="513"/>
      <c r="BK43" s="513"/>
      <c r="BL43" s="513"/>
      <c r="BM43" s="513"/>
      <c r="BN43" s="513"/>
      <c r="BO43" s="513"/>
      <c r="BP43" s="513"/>
      <c r="BQ43" s="513"/>
      <c r="BR43" s="524">
        <f>AZ43+BA43+BB43+BD43-BC43</f>
        <v>440</v>
      </c>
      <c r="BT43" s="511"/>
      <c r="BU43" s="510"/>
      <c r="BV43" s="510"/>
      <c r="BW43" s="510"/>
      <c r="BX43" s="510"/>
      <c r="BY43" s="510"/>
      <c r="BZ43" s="510"/>
      <c r="CA43" s="510"/>
      <c r="CB43" s="510"/>
      <c r="CC43" s="510"/>
      <c r="CD43" s="510"/>
      <c r="CE43" s="510"/>
      <c r="CF43" s="510"/>
      <c r="CG43" s="510"/>
      <c r="CH43" s="510"/>
      <c r="CI43" s="510"/>
      <c r="CJ43" s="510"/>
      <c r="CK43" s="510"/>
      <c r="CL43" s="510"/>
      <c r="CM43" s="510"/>
      <c r="CN43" s="510"/>
      <c r="CO43" s="510"/>
      <c r="CP43" s="510"/>
      <c r="CQ43" s="510"/>
      <c r="CR43" s="510"/>
      <c r="CS43" s="510"/>
    </row>
    <row r="44" spans="1:125" ht="15.75" thickBot="1" x14ac:dyDescent="0.3">
      <c r="A44" s="509"/>
      <c r="B44" s="508"/>
      <c r="C44" s="501">
        <f>SUBTOTAL(9,C42:C43)</f>
        <v>17011.48</v>
      </c>
      <c r="D44" s="504">
        <f>SUBTOTAL(9,D42:D43)</f>
        <v>6514.92</v>
      </c>
      <c r="E44" s="504">
        <f>SUBTOTAL(9,E42:E43)</f>
        <v>6520</v>
      </c>
      <c r="F44" s="505"/>
      <c r="G44" s="504">
        <f t="shared" ref="G44:P44" si="46">SUBTOTAL(9,G42:G43)</f>
        <v>0</v>
      </c>
      <c r="H44" s="504">
        <f t="shared" si="46"/>
        <v>5.0799999999999272</v>
      </c>
      <c r="I44" s="507">
        <f t="shared" si="46"/>
        <v>0</v>
      </c>
      <c r="J44" s="507">
        <f t="shared" si="46"/>
        <v>0</v>
      </c>
      <c r="K44" s="507">
        <f t="shared" si="46"/>
        <v>1688.39</v>
      </c>
      <c r="L44" s="507">
        <f t="shared" si="46"/>
        <v>0</v>
      </c>
      <c r="M44" s="506">
        <f t="shared" si="46"/>
        <v>36.300384999999999</v>
      </c>
      <c r="N44" s="506">
        <f t="shared" si="46"/>
        <v>8.4419500000000003</v>
      </c>
      <c r="O44" s="506">
        <f t="shared" si="46"/>
        <v>1643.6476650000002</v>
      </c>
      <c r="P44" s="506">
        <f t="shared" si="46"/>
        <v>0</v>
      </c>
      <c r="Q44" s="505"/>
      <c r="R44" s="504">
        <f t="shared" ref="R44:W44" si="47">SUBTOTAL(9,R42:R43)</f>
        <v>0</v>
      </c>
      <c r="S44" s="504">
        <f t="shared" si="47"/>
        <v>0</v>
      </c>
      <c r="T44" s="506">
        <f t="shared" si="47"/>
        <v>0</v>
      </c>
      <c r="U44" s="506">
        <f t="shared" si="47"/>
        <v>0</v>
      </c>
      <c r="V44" s="506">
        <f t="shared" si="47"/>
        <v>0</v>
      </c>
      <c r="W44" s="506">
        <f t="shared" si="47"/>
        <v>0</v>
      </c>
      <c r="X44" s="505"/>
      <c r="Y44" s="504">
        <f>SUBTOTAL(9,Y42:Y43)</f>
        <v>0</v>
      </c>
      <c r="Z44" s="504"/>
      <c r="AA44" s="504"/>
      <c r="AB44" s="504"/>
      <c r="AC44" s="504"/>
      <c r="AD44" s="503"/>
      <c r="AE44" s="503"/>
      <c r="AF44" s="504"/>
      <c r="AG44" s="501">
        <f t="shared" ref="AG44:AM44" si="48">SUBTOTAL(9,AG42:AG43)</f>
        <v>764.0616</v>
      </c>
      <c r="AH44" s="501">
        <f t="shared" si="48"/>
        <v>134.83439999999999</v>
      </c>
      <c r="AI44" s="501">
        <f t="shared" si="48"/>
        <v>224.72399999999999</v>
      </c>
      <c r="AJ44" s="504">
        <f t="shared" si="48"/>
        <v>0</v>
      </c>
      <c r="AK44" s="501">
        <f t="shared" si="48"/>
        <v>14185.589285714284</v>
      </c>
      <c r="AL44" s="501">
        <f t="shared" si="48"/>
        <v>13585.019285714285</v>
      </c>
      <c r="AM44" s="501">
        <f t="shared" si="48"/>
        <v>1630.202314285714</v>
      </c>
      <c r="AN44" s="501">
        <f t="shared" ref="AN44:AN75" si="49">+AM44+AL44+AJ44</f>
        <v>15215.221599999999</v>
      </c>
      <c r="AO44" s="502">
        <f t="shared" ref="AO44:BR44" si="50">SUBTOTAL(9,AO42:AO43)</f>
        <v>0</v>
      </c>
      <c r="AP44" s="502">
        <f t="shared" si="50"/>
        <v>0</v>
      </c>
      <c r="AQ44" s="502">
        <f t="shared" si="50"/>
        <v>255</v>
      </c>
      <c r="AR44" s="502">
        <f t="shared" si="50"/>
        <v>0</v>
      </c>
      <c r="AS44" s="502">
        <f t="shared" si="50"/>
        <v>0</v>
      </c>
      <c r="AT44" s="502">
        <f t="shared" si="50"/>
        <v>0</v>
      </c>
      <c r="AU44" s="502">
        <f t="shared" si="50"/>
        <v>0</v>
      </c>
      <c r="AV44" s="502">
        <f t="shared" si="50"/>
        <v>0</v>
      </c>
      <c r="AW44" s="502">
        <f t="shared" si="50"/>
        <v>0</v>
      </c>
      <c r="AX44" s="502">
        <f t="shared" si="50"/>
        <v>0</v>
      </c>
      <c r="AY44" s="502">
        <f t="shared" si="50"/>
        <v>0</v>
      </c>
      <c r="AZ44" s="501">
        <f t="shared" si="50"/>
        <v>255</v>
      </c>
      <c r="BA44" s="503">
        <f t="shared" si="50"/>
        <v>185</v>
      </c>
      <c r="BB44" s="503">
        <f t="shared" si="50"/>
        <v>0</v>
      </c>
      <c r="BC44" s="501">
        <f t="shared" si="50"/>
        <v>0</v>
      </c>
      <c r="BD44" s="501">
        <f t="shared" si="50"/>
        <v>0</v>
      </c>
      <c r="BE44" s="502">
        <f t="shared" si="50"/>
        <v>0</v>
      </c>
      <c r="BF44" s="502">
        <f t="shared" si="50"/>
        <v>0</v>
      </c>
      <c r="BG44" s="502">
        <f t="shared" si="50"/>
        <v>0</v>
      </c>
      <c r="BH44" s="502">
        <f t="shared" si="50"/>
        <v>0</v>
      </c>
      <c r="BI44" s="502">
        <f t="shared" si="50"/>
        <v>0</v>
      </c>
      <c r="BJ44" s="502">
        <f t="shared" si="50"/>
        <v>0</v>
      </c>
      <c r="BK44" s="502">
        <f t="shared" si="50"/>
        <v>0</v>
      </c>
      <c r="BL44" s="502">
        <f t="shared" si="50"/>
        <v>0</v>
      </c>
      <c r="BM44" s="502">
        <f t="shared" si="50"/>
        <v>0</v>
      </c>
      <c r="BN44" s="502">
        <f t="shared" si="50"/>
        <v>0</v>
      </c>
      <c r="BO44" s="502">
        <f t="shared" si="50"/>
        <v>0</v>
      </c>
      <c r="BP44" s="502">
        <f t="shared" si="50"/>
        <v>0</v>
      </c>
      <c r="BQ44" s="502">
        <f t="shared" si="50"/>
        <v>0</v>
      </c>
      <c r="BR44" s="501">
        <f t="shared" si="50"/>
        <v>440</v>
      </c>
    </row>
    <row r="45" spans="1:125" x14ac:dyDescent="0.25">
      <c r="A45" s="694">
        <f>+A42+1</f>
        <v>43478</v>
      </c>
      <c r="B45" s="526" t="s">
        <v>561</v>
      </c>
      <c r="C45" s="514" t="s">
        <v>563</v>
      </c>
      <c r="D45" s="517"/>
      <c r="E45" s="517"/>
      <c r="F45" s="520"/>
      <c r="G45" s="514">
        <v>0</v>
      </c>
      <c r="H45" s="514">
        <f>IF(E45-D45&gt;0,E45-D45,0)</f>
        <v>0</v>
      </c>
      <c r="I45" s="517"/>
      <c r="J45" s="517"/>
      <c r="K45" s="517"/>
      <c r="L45" s="517"/>
      <c r="M45" s="519">
        <f>(+K45)*M$5</f>
        <v>0</v>
      </c>
      <c r="N45" s="519">
        <f>(+K45)*N$5</f>
        <v>0</v>
      </c>
      <c r="O45" s="519">
        <f>+K45-M45-N45+P45</f>
        <v>0</v>
      </c>
      <c r="P45" s="519"/>
      <c r="Q45" s="518"/>
      <c r="R45" s="517"/>
      <c r="S45" s="517"/>
      <c r="T45" s="519"/>
      <c r="U45" s="519"/>
      <c r="V45" s="519"/>
      <c r="W45" s="519"/>
      <c r="X45" s="518"/>
      <c r="Y45" s="517"/>
      <c r="Z45" s="517"/>
      <c r="AA45" s="517"/>
      <c r="AB45" s="517"/>
      <c r="AC45" s="517"/>
      <c r="AD45" s="515"/>
      <c r="AE45" s="515"/>
      <c r="AF45" s="517"/>
      <c r="AG45" s="514">
        <f>(AF45*0.8)*0.85</f>
        <v>0</v>
      </c>
      <c r="AH45" s="514">
        <f>(AF45*0.8)*0.15</f>
        <v>0</v>
      </c>
      <c r="AI45" s="514">
        <f>AF45*0.2</f>
        <v>0</v>
      </c>
      <c r="AJ45" s="517"/>
      <c r="AK45" s="514">
        <v>0</v>
      </c>
      <c r="AL45" s="514">
        <f>AK45-SUM(Y45:AC45)</f>
        <v>0</v>
      </c>
      <c r="AM45" s="514">
        <f>+AL45*0.12</f>
        <v>0</v>
      </c>
      <c r="AN45" s="514">
        <f t="shared" si="49"/>
        <v>0</v>
      </c>
      <c r="AO45" s="513"/>
      <c r="AP45" s="516"/>
      <c r="AQ45" s="516"/>
      <c r="AR45" s="516"/>
      <c r="AS45" s="516"/>
      <c r="AT45" s="516"/>
      <c r="AU45" s="516"/>
      <c r="AV45" s="516"/>
      <c r="AW45" s="516"/>
      <c r="AX45" s="516"/>
      <c r="AY45" s="516"/>
      <c r="AZ45" s="514">
        <f>SUM(AO45:AY45)</f>
        <v>0</v>
      </c>
      <c r="BA45" s="515"/>
      <c r="BB45" s="515"/>
      <c r="BC45" s="514">
        <f>SUM(BE45:BM45)*0.1+(BN45*0.5)</f>
        <v>0</v>
      </c>
      <c r="BD45" s="514">
        <f>SUM(BE45:BM45)+(BN45*0.5)</f>
        <v>0</v>
      </c>
      <c r="BE45" s="513"/>
      <c r="BF45" s="513"/>
      <c r="BG45" s="513"/>
      <c r="BH45" s="513"/>
      <c r="BI45" s="513"/>
      <c r="BJ45" s="513"/>
      <c r="BK45" s="513"/>
      <c r="BL45" s="513"/>
      <c r="BM45" s="513"/>
      <c r="BN45" s="513"/>
      <c r="BO45" s="513"/>
      <c r="BP45" s="513"/>
      <c r="BQ45" s="513"/>
      <c r="BR45" s="524">
        <f>AZ45+BA45+BB45+BD45-BC45</f>
        <v>0</v>
      </c>
      <c r="BT45" s="511"/>
      <c r="BU45" s="510"/>
      <c r="BV45" s="510"/>
      <c r="BW45" s="510"/>
      <c r="BX45" s="510"/>
      <c r="BY45" s="510"/>
      <c r="BZ45" s="510"/>
      <c r="CA45" s="510"/>
      <c r="CB45" s="510"/>
      <c r="CC45" s="510"/>
      <c r="CD45" s="510"/>
      <c r="CE45" s="510"/>
      <c r="CF45" s="510"/>
      <c r="CG45" s="510"/>
      <c r="CH45" s="510"/>
      <c r="CI45" s="510"/>
      <c r="CJ45" s="510"/>
      <c r="CK45" s="510"/>
      <c r="CL45" s="510"/>
      <c r="CM45" s="510"/>
      <c r="CN45" s="510"/>
      <c r="CO45" s="510"/>
      <c r="CP45" s="510"/>
      <c r="CQ45" s="510"/>
      <c r="CR45" s="510"/>
      <c r="CS45" s="510"/>
    </row>
    <row r="46" spans="1:125" ht="15.75" thickBot="1" x14ac:dyDescent="0.3">
      <c r="A46" s="695"/>
      <c r="B46" s="526" t="s">
        <v>560</v>
      </c>
      <c r="C46" s="514"/>
      <c r="D46" s="517"/>
      <c r="E46" s="517"/>
      <c r="F46" s="520"/>
      <c r="G46" s="514">
        <f>IF(E46-D46&lt;0,E46-D46,0)*-1</f>
        <v>0</v>
      </c>
      <c r="H46" s="514">
        <f>IF(E46-D46&gt;0,E46-D46,0)</f>
        <v>0</v>
      </c>
      <c r="I46" s="517"/>
      <c r="J46" s="517"/>
      <c r="K46" s="517"/>
      <c r="L46" s="517"/>
      <c r="M46" s="519">
        <f>(+K46)*M$5</f>
        <v>0</v>
      </c>
      <c r="N46" s="519">
        <f>(+K46)*N$5</f>
        <v>0</v>
      </c>
      <c r="O46" s="519">
        <f>+K46-M46-N46+P46</f>
        <v>0</v>
      </c>
      <c r="P46" s="519"/>
      <c r="Q46" s="518"/>
      <c r="R46" s="517"/>
      <c r="S46" s="517"/>
      <c r="T46" s="519"/>
      <c r="U46" s="519"/>
      <c r="V46" s="519"/>
      <c r="W46" s="519"/>
      <c r="X46" s="518"/>
      <c r="Y46" s="517"/>
      <c r="Z46" s="517"/>
      <c r="AA46" s="517"/>
      <c r="AB46" s="517"/>
      <c r="AC46" s="517"/>
      <c r="AD46" s="515"/>
      <c r="AE46" s="515"/>
      <c r="AF46" s="517"/>
      <c r="AG46" s="514">
        <f>(AF46*0.8)*0.85</f>
        <v>0</v>
      </c>
      <c r="AH46" s="514">
        <f>(AF46*0.8)*0.15</f>
        <v>0</v>
      </c>
      <c r="AI46" s="514">
        <f>AF46*0.2</f>
        <v>0</v>
      </c>
      <c r="AJ46" s="517"/>
      <c r="AK46" s="514">
        <f>(C46-AF46-AJ46)/1.12</f>
        <v>0</v>
      </c>
      <c r="AL46" s="514">
        <f>AK46-SUM(Y46:AC46)</f>
        <v>0</v>
      </c>
      <c r="AM46" s="514">
        <f>+AL46*0.12</f>
        <v>0</v>
      </c>
      <c r="AN46" s="514">
        <f t="shared" si="49"/>
        <v>0</v>
      </c>
      <c r="AO46" s="513"/>
      <c r="AP46" s="516"/>
      <c r="AQ46" s="516"/>
      <c r="AR46" s="516"/>
      <c r="AS46" s="516"/>
      <c r="AT46" s="516"/>
      <c r="AU46" s="516"/>
      <c r="AV46" s="516"/>
      <c r="AW46" s="516"/>
      <c r="AX46" s="516"/>
      <c r="AY46" s="516"/>
      <c r="AZ46" s="514">
        <f>SUM(AO46:AY46)</f>
        <v>0</v>
      </c>
      <c r="BA46" s="515"/>
      <c r="BB46" s="515"/>
      <c r="BC46" s="514"/>
      <c r="BD46" s="514"/>
      <c r="BE46" s="513"/>
      <c r="BF46" s="513"/>
      <c r="BG46" s="513"/>
      <c r="BH46" s="513"/>
      <c r="BI46" s="513"/>
      <c r="BJ46" s="513"/>
      <c r="BK46" s="513"/>
      <c r="BL46" s="513"/>
      <c r="BM46" s="513"/>
      <c r="BN46" s="513"/>
      <c r="BO46" s="513"/>
      <c r="BP46" s="513"/>
      <c r="BQ46" s="513"/>
      <c r="BR46" s="524">
        <f>AZ46+BA46+BB46+BD46-BC46</f>
        <v>0</v>
      </c>
      <c r="BT46" s="511"/>
      <c r="BU46" s="510"/>
      <c r="BV46" s="510"/>
      <c r="BW46" s="510"/>
      <c r="BX46" s="510"/>
      <c r="BY46" s="510"/>
      <c r="BZ46" s="510"/>
      <c r="CA46" s="510"/>
      <c r="CB46" s="510"/>
      <c r="CC46" s="510"/>
      <c r="CD46" s="510"/>
      <c r="CE46" s="510"/>
      <c r="CF46" s="510"/>
      <c r="CG46" s="510"/>
      <c r="CH46" s="510"/>
      <c r="CI46" s="510"/>
      <c r="CJ46" s="510"/>
      <c r="CK46" s="510"/>
      <c r="CL46" s="510"/>
      <c r="CM46" s="510"/>
      <c r="CN46" s="510"/>
      <c r="CO46" s="510"/>
      <c r="CP46" s="510"/>
      <c r="CQ46" s="510"/>
      <c r="CR46" s="510"/>
      <c r="CS46" s="510"/>
    </row>
    <row r="47" spans="1:125" ht="15.75" thickBot="1" x14ac:dyDescent="0.3">
      <c r="A47" s="509"/>
      <c r="B47" s="508"/>
      <c r="C47" s="501">
        <f>SUBTOTAL(9,C45:C46)</f>
        <v>0</v>
      </c>
      <c r="D47" s="504">
        <f>SUBTOTAL(9,D45:D46)</f>
        <v>0</v>
      </c>
      <c r="E47" s="504">
        <f>SUBTOTAL(9,E45:E46)</f>
        <v>0</v>
      </c>
      <c r="F47" s="505"/>
      <c r="G47" s="504">
        <f t="shared" ref="G47:P47" si="51">SUBTOTAL(9,G45:G46)</f>
        <v>0</v>
      </c>
      <c r="H47" s="504">
        <f t="shared" si="51"/>
        <v>0</v>
      </c>
      <c r="I47" s="507">
        <f t="shared" si="51"/>
        <v>0</v>
      </c>
      <c r="J47" s="507">
        <f t="shared" si="51"/>
        <v>0</v>
      </c>
      <c r="K47" s="507">
        <f t="shared" si="51"/>
        <v>0</v>
      </c>
      <c r="L47" s="507">
        <f t="shared" si="51"/>
        <v>0</v>
      </c>
      <c r="M47" s="506">
        <f t="shared" si="51"/>
        <v>0</v>
      </c>
      <c r="N47" s="506">
        <f t="shared" si="51"/>
        <v>0</v>
      </c>
      <c r="O47" s="506">
        <f t="shared" si="51"/>
        <v>0</v>
      </c>
      <c r="P47" s="506">
        <f t="shared" si="51"/>
        <v>0</v>
      </c>
      <c r="Q47" s="505"/>
      <c r="R47" s="504">
        <f t="shared" ref="R47:W47" si="52">SUBTOTAL(9,R45:R46)</f>
        <v>0</v>
      </c>
      <c r="S47" s="504">
        <f t="shared" si="52"/>
        <v>0</v>
      </c>
      <c r="T47" s="506">
        <f t="shared" si="52"/>
        <v>0</v>
      </c>
      <c r="U47" s="506">
        <f t="shared" si="52"/>
        <v>0</v>
      </c>
      <c r="V47" s="506">
        <f t="shared" si="52"/>
        <v>0</v>
      </c>
      <c r="W47" s="506">
        <f t="shared" si="52"/>
        <v>0</v>
      </c>
      <c r="X47" s="505"/>
      <c r="Y47" s="504">
        <f>SUBTOTAL(9,Y45:Y46)</f>
        <v>0</v>
      </c>
      <c r="Z47" s="504"/>
      <c r="AA47" s="504"/>
      <c r="AB47" s="504"/>
      <c r="AC47" s="504"/>
      <c r="AD47" s="503"/>
      <c r="AE47" s="503"/>
      <c r="AF47" s="504"/>
      <c r="AG47" s="501">
        <f t="shared" ref="AG47:AM47" si="53">SUBTOTAL(9,AG45:AG46)</f>
        <v>0</v>
      </c>
      <c r="AH47" s="501">
        <f t="shared" si="53"/>
        <v>0</v>
      </c>
      <c r="AI47" s="501">
        <f t="shared" si="53"/>
        <v>0</v>
      </c>
      <c r="AJ47" s="504">
        <f t="shared" si="53"/>
        <v>0</v>
      </c>
      <c r="AK47" s="501">
        <f t="shared" si="53"/>
        <v>0</v>
      </c>
      <c r="AL47" s="501">
        <f t="shared" si="53"/>
        <v>0</v>
      </c>
      <c r="AM47" s="501">
        <f t="shared" si="53"/>
        <v>0</v>
      </c>
      <c r="AN47" s="501">
        <f t="shared" si="49"/>
        <v>0</v>
      </c>
      <c r="AO47" s="502">
        <f t="shared" ref="AO47:BR47" si="54">SUBTOTAL(9,AO45:AO46)</f>
        <v>0</v>
      </c>
      <c r="AP47" s="502">
        <f t="shared" si="54"/>
        <v>0</v>
      </c>
      <c r="AQ47" s="502">
        <f t="shared" si="54"/>
        <v>0</v>
      </c>
      <c r="AR47" s="502">
        <f t="shared" si="54"/>
        <v>0</v>
      </c>
      <c r="AS47" s="502">
        <f t="shared" si="54"/>
        <v>0</v>
      </c>
      <c r="AT47" s="502">
        <f t="shared" si="54"/>
        <v>0</v>
      </c>
      <c r="AU47" s="502">
        <f t="shared" si="54"/>
        <v>0</v>
      </c>
      <c r="AV47" s="502">
        <f t="shared" si="54"/>
        <v>0</v>
      </c>
      <c r="AW47" s="502">
        <f t="shared" si="54"/>
        <v>0</v>
      </c>
      <c r="AX47" s="502">
        <f t="shared" si="54"/>
        <v>0</v>
      </c>
      <c r="AY47" s="502">
        <f t="shared" si="54"/>
        <v>0</v>
      </c>
      <c r="AZ47" s="501">
        <f t="shared" si="54"/>
        <v>0</v>
      </c>
      <c r="BA47" s="503">
        <f t="shared" si="54"/>
        <v>0</v>
      </c>
      <c r="BB47" s="503">
        <f t="shared" si="54"/>
        <v>0</v>
      </c>
      <c r="BC47" s="501">
        <f t="shared" si="54"/>
        <v>0</v>
      </c>
      <c r="BD47" s="501">
        <f t="shared" si="54"/>
        <v>0</v>
      </c>
      <c r="BE47" s="502">
        <f t="shared" si="54"/>
        <v>0</v>
      </c>
      <c r="BF47" s="502">
        <f t="shared" si="54"/>
        <v>0</v>
      </c>
      <c r="BG47" s="502">
        <f t="shared" si="54"/>
        <v>0</v>
      </c>
      <c r="BH47" s="502">
        <f t="shared" si="54"/>
        <v>0</v>
      </c>
      <c r="BI47" s="502">
        <f t="shared" si="54"/>
        <v>0</v>
      </c>
      <c r="BJ47" s="502">
        <f t="shared" si="54"/>
        <v>0</v>
      </c>
      <c r="BK47" s="502">
        <f t="shared" si="54"/>
        <v>0</v>
      </c>
      <c r="BL47" s="502">
        <f t="shared" si="54"/>
        <v>0</v>
      </c>
      <c r="BM47" s="502">
        <f t="shared" si="54"/>
        <v>0</v>
      </c>
      <c r="BN47" s="502">
        <f t="shared" si="54"/>
        <v>0</v>
      </c>
      <c r="BO47" s="502">
        <f t="shared" si="54"/>
        <v>0</v>
      </c>
      <c r="BP47" s="502">
        <f t="shared" si="54"/>
        <v>0</v>
      </c>
      <c r="BQ47" s="502">
        <f t="shared" si="54"/>
        <v>0</v>
      </c>
      <c r="BR47" s="501">
        <f t="shared" si="54"/>
        <v>0</v>
      </c>
    </row>
    <row r="48" spans="1:125" x14ac:dyDescent="0.25">
      <c r="A48" s="694">
        <f>A45+1</f>
        <v>43479</v>
      </c>
      <c r="B48" s="521" t="s">
        <v>561</v>
      </c>
      <c r="C48" s="514">
        <v>17835.650000000001</v>
      </c>
      <c r="D48" s="517">
        <v>9445.56</v>
      </c>
      <c r="E48" s="517">
        <v>9445</v>
      </c>
      <c r="F48" s="520">
        <v>43479</v>
      </c>
      <c r="G48" s="514"/>
      <c r="H48" s="514">
        <f>IF(E48-D48&gt;0,E48-D48,0)</f>
        <v>0</v>
      </c>
      <c r="I48" s="517"/>
      <c r="J48" s="517">
        <v>0</v>
      </c>
      <c r="K48" s="517">
        <v>5887.59</v>
      </c>
      <c r="L48" s="517"/>
      <c r="M48" s="519">
        <f>(+K48)*M$5</f>
        <v>126.58318499999999</v>
      </c>
      <c r="N48" s="519">
        <f>(+K48)*N$5</f>
        <v>29.437950000000001</v>
      </c>
      <c r="O48" s="519">
        <f>+K48-M48-N48+P48</f>
        <v>5731.5688649999993</v>
      </c>
      <c r="P48" s="519"/>
      <c r="Q48" s="518"/>
      <c r="R48" s="517"/>
      <c r="S48" s="517"/>
      <c r="T48" s="519"/>
      <c r="U48" s="519"/>
      <c r="V48" s="519"/>
      <c r="W48" s="519"/>
      <c r="X48" s="518"/>
      <c r="Y48" s="517"/>
      <c r="Z48" s="517">
        <v>22.5</v>
      </c>
      <c r="AA48" s="517"/>
      <c r="AB48" s="517"/>
      <c r="AC48" s="517"/>
      <c r="AD48" s="515"/>
      <c r="AE48" s="515">
        <v>2480</v>
      </c>
      <c r="AF48" s="517">
        <v>1241.6500000000001</v>
      </c>
      <c r="AG48" s="514">
        <f>(AF48*0.8)*0.85</f>
        <v>844.32200000000012</v>
      </c>
      <c r="AH48" s="514">
        <f>(AF48*0.8)*0.15</f>
        <v>148.99800000000002</v>
      </c>
      <c r="AI48" s="514">
        <f>AF48*0.2</f>
        <v>248.33000000000004</v>
      </c>
      <c r="AJ48" s="517"/>
      <c r="AK48" s="514">
        <f>(C48-AF48-AJ48)/1.12</f>
        <v>14816.071428571428</v>
      </c>
      <c r="AL48" s="514">
        <f>AK48-SUM(Y48:AC48)</f>
        <v>14793.571428571428</v>
      </c>
      <c r="AM48" s="514">
        <f>+AL48*0.12</f>
        <v>1775.2285714285713</v>
      </c>
      <c r="AN48" s="514">
        <f t="shared" si="49"/>
        <v>16568.8</v>
      </c>
      <c r="AO48" s="513"/>
      <c r="AP48" s="516"/>
      <c r="AQ48" s="516"/>
      <c r="AR48" s="516"/>
      <c r="AS48" s="516"/>
      <c r="AT48" s="516"/>
      <c r="AU48" s="516"/>
      <c r="AV48" s="516"/>
      <c r="AW48" s="516"/>
      <c r="AX48" s="516"/>
      <c r="AY48" s="516"/>
      <c r="AZ48" s="514">
        <f>SUM(AO48:AY48)</f>
        <v>0</v>
      </c>
      <c r="BA48" s="515"/>
      <c r="BB48" s="515"/>
      <c r="BC48" s="514">
        <f>SUM(BE48:BM48)*0.1+(BN48*0.5)</f>
        <v>0</v>
      </c>
      <c r="BD48" s="514">
        <f>SUM(BE48:BM48)+(BN48*0.5)</f>
        <v>0</v>
      </c>
      <c r="BE48" s="513"/>
      <c r="BF48" s="513"/>
      <c r="BG48" s="513"/>
      <c r="BH48" s="513"/>
      <c r="BI48" s="513"/>
      <c r="BJ48" s="513"/>
      <c r="BK48" s="513"/>
      <c r="BL48" s="513"/>
      <c r="BM48" s="513"/>
      <c r="BN48" s="513"/>
      <c r="BO48" s="513"/>
      <c r="BP48" s="513"/>
      <c r="BQ48" s="513"/>
      <c r="BR48" s="524">
        <f>AZ48+BA48+BB48+BD48-BC48</f>
        <v>0</v>
      </c>
      <c r="BT48" s="511"/>
      <c r="BU48" s="510"/>
      <c r="BV48" s="510"/>
      <c r="BW48" s="510"/>
      <c r="BX48" s="510"/>
      <c r="BY48" s="510"/>
      <c r="BZ48" s="510"/>
      <c r="CA48" s="510"/>
      <c r="CB48" s="510"/>
      <c r="CC48" s="510"/>
      <c r="CD48" s="510"/>
      <c r="CE48" s="510"/>
      <c r="CF48" s="510"/>
      <c r="CG48" s="510"/>
      <c r="CH48" s="510"/>
      <c r="CI48" s="510"/>
      <c r="CJ48" s="510"/>
      <c r="CK48" s="510"/>
      <c r="CL48" s="510"/>
      <c r="CM48" s="510"/>
      <c r="CN48" s="510"/>
      <c r="CO48" s="510"/>
      <c r="CP48" s="510"/>
      <c r="CQ48" s="510"/>
      <c r="CR48" s="510"/>
      <c r="CS48" s="510"/>
    </row>
    <row r="49" spans="1:97" ht="15.75" thickBot="1" x14ac:dyDescent="0.3">
      <c r="A49" s="695"/>
      <c r="B49" s="521" t="s">
        <v>560</v>
      </c>
      <c r="C49" s="514">
        <v>24614.62</v>
      </c>
      <c r="D49" s="517">
        <v>5473.64</v>
      </c>
      <c r="E49" s="517">
        <v>5480</v>
      </c>
      <c r="F49" s="520">
        <v>43480</v>
      </c>
      <c r="G49" s="514"/>
      <c r="H49" s="514">
        <f>IF(E49-D49&gt;0,E49-D49,0)</f>
        <v>6.3599999999996726</v>
      </c>
      <c r="I49" s="517"/>
      <c r="J49" s="517"/>
      <c r="K49" s="517">
        <v>3056.8</v>
      </c>
      <c r="L49" s="517"/>
      <c r="M49" s="519">
        <f>(+K49)*M$5</f>
        <v>65.721199999999996</v>
      </c>
      <c r="N49" s="519">
        <f>(+K49)*N$5</f>
        <v>15.284000000000001</v>
      </c>
      <c r="O49" s="519">
        <f>+K49-M49-N49+P49</f>
        <v>2975.7948000000001</v>
      </c>
      <c r="P49" s="519"/>
      <c r="Q49" s="518"/>
      <c r="R49" s="517"/>
      <c r="S49" s="517"/>
      <c r="T49" s="519"/>
      <c r="U49" s="519"/>
      <c r="V49" s="519"/>
      <c r="W49" s="519"/>
      <c r="X49" s="518"/>
      <c r="Y49" s="517"/>
      <c r="Z49" s="517">
        <v>33.75</v>
      </c>
      <c r="AA49" s="517"/>
      <c r="AB49" s="517"/>
      <c r="AC49" s="517">
        <v>96.43</v>
      </c>
      <c r="AD49" s="515" t="s">
        <v>565</v>
      </c>
      <c r="AE49" s="515">
        <v>15954</v>
      </c>
      <c r="AF49" s="517">
        <v>1591.98</v>
      </c>
      <c r="AG49" s="514">
        <f>(AF49*0.8)*0.85</f>
        <v>1082.5463999999999</v>
      </c>
      <c r="AH49" s="514">
        <f>(AF49*0.8)*0.15</f>
        <v>191.0376</v>
      </c>
      <c r="AI49" s="514">
        <f>AF49*0.2</f>
        <v>318.39600000000002</v>
      </c>
      <c r="AJ49" s="517"/>
      <c r="AK49" s="514">
        <f>(C49-AF49-AJ49)/1.12</f>
        <v>20555.928571428569</v>
      </c>
      <c r="AL49" s="514">
        <f>AK49-SUM(Y49:AC49)</f>
        <v>20425.748571428569</v>
      </c>
      <c r="AM49" s="514">
        <f>+AL49*0.12</f>
        <v>2451.0898285714279</v>
      </c>
      <c r="AN49" s="514">
        <f t="shared" si="49"/>
        <v>22876.838399999997</v>
      </c>
      <c r="AO49" s="513"/>
      <c r="AP49" s="516">
        <v>188</v>
      </c>
      <c r="AQ49" s="516"/>
      <c r="AR49" s="516"/>
      <c r="AS49" s="516"/>
      <c r="AT49" s="516"/>
      <c r="AU49" s="516"/>
      <c r="AV49" s="516"/>
      <c r="AW49" s="516"/>
      <c r="AX49" s="516"/>
      <c r="AY49" s="516"/>
      <c r="AZ49" s="514">
        <f>SUM(AO49:AY49)</f>
        <v>188</v>
      </c>
      <c r="BA49" s="515"/>
      <c r="BB49" s="515"/>
      <c r="BC49" s="514">
        <v>0</v>
      </c>
      <c r="BD49" s="514">
        <v>0</v>
      </c>
      <c r="BE49" s="513"/>
      <c r="BF49" s="513"/>
      <c r="BG49" s="513"/>
      <c r="BH49" s="513"/>
      <c r="BI49" s="513"/>
      <c r="BJ49" s="513"/>
      <c r="BK49" s="513"/>
      <c r="BL49" s="513"/>
      <c r="BM49" s="513"/>
      <c r="BN49" s="513"/>
      <c r="BO49" s="513"/>
      <c r="BP49" s="513"/>
      <c r="BQ49" s="513"/>
      <c r="BR49" s="524">
        <f>AZ49+BA49+BB49+BD49-BC49</f>
        <v>188</v>
      </c>
      <c r="BT49" s="511"/>
      <c r="BU49" s="510"/>
      <c r="BV49" s="510"/>
      <c r="BW49" s="510"/>
      <c r="BX49" s="510"/>
      <c r="BY49" s="510"/>
      <c r="BZ49" s="510"/>
      <c r="CA49" s="510"/>
      <c r="CB49" s="510"/>
      <c r="CC49" s="510"/>
      <c r="CD49" s="510"/>
      <c r="CE49" s="510"/>
      <c r="CF49" s="510"/>
      <c r="CG49" s="510"/>
      <c r="CH49" s="510"/>
      <c r="CI49" s="510"/>
      <c r="CJ49" s="510"/>
      <c r="CK49" s="510"/>
      <c r="CL49" s="510"/>
      <c r="CM49" s="510"/>
      <c r="CN49" s="510"/>
      <c r="CO49" s="510"/>
      <c r="CP49" s="510"/>
      <c r="CQ49" s="510"/>
      <c r="CR49" s="510"/>
      <c r="CS49" s="510"/>
    </row>
    <row r="50" spans="1:97" ht="15.75" thickBot="1" x14ac:dyDescent="0.3">
      <c r="A50" s="509"/>
      <c r="B50" s="508"/>
      <c r="C50" s="501">
        <f>SUBTOTAL(9,C48:C49)</f>
        <v>42450.270000000004</v>
      </c>
      <c r="D50" s="504">
        <f>SUBTOTAL(9,D48:D49)</f>
        <v>14919.2</v>
      </c>
      <c r="E50" s="504">
        <f>SUBTOTAL(9,E48:E49)</f>
        <v>14925</v>
      </c>
      <c r="F50" s="505"/>
      <c r="G50" s="504">
        <f t="shared" ref="G50:P50" si="55">SUBTOTAL(9,G48:G49)</f>
        <v>0</v>
      </c>
      <c r="H50" s="504">
        <f t="shared" si="55"/>
        <v>6.3599999999996726</v>
      </c>
      <c r="I50" s="507">
        <f t="shared" si="55"/>
        <v>0</v>
      </c>
      <c r="J50" s="507">
        <f t="shared" si="55"/>
        <v>0</v>
      </c>
      <c r="K50" s="507">
        <f t="shared" si="55"/>
        <v>8944.39</v>
      </c>
      <c r="L50" s="507">
        <f t="shared" si="55"/>
        <v>0</v>
      </c>
      <c r="M50" s="506">
        <f t="shared" si="55"/>
        <v>192.30438499999997</v>
      </c>
      <c r="N50" s="506">
        <f t="shared" si="55"/>
        <v>44.72195</v>
      </c>
      <c r="O50" s="506">
        <f t="shared" si="55"/>
        <v>8707.3636649999989</v>
      </c>
      <c r="P50" s="506">
        <f t="shared" si="55"/>
        <v>0</v>
      </c>
      <c r="Q50" s="505"/>
      <c r="R50" s="504">
        <f t="shared" ref="R50:W50" si="56">SUBTOTAL(9,R48:R49)</f>
        <v>0</v>
      </c>
      <c r="S50" s="504">
        <f t="shared" si="56"/>
        <v>0</v>
      </c>
      <c r="T50" s="506">
        <f t="shared" si="56"/>
        <v>0</v>
      </c>
      <c r="U50" s="506">
        <f t="shared" si="56"/>
        <v>0</v>
      </c>
      <c r="V50" s="506">
        <f t="shared" si="56"/>
        <v>0</v>
      </c>
      <c r="W50" s="506">
        <f t="shared" si="56"/>
        <v>0</v>
      </c>
      <c r="X50" s="505"/>
      <c r="Y50" s="504">
        <f>SUBTOTAL(9,Y48:Y49)</f>
        <v>0</v>
      </c>
      <c r="Z50" s="504"/>
      <c r="AA50" s="504"/>
      <c r="AB50" s="504"/>
      <c r="AC50" s="504"/>
      <c r="AD50" s="503"/>
      <c r="AE50" s="503"/>
      <c r="AF50" s="504"/>
      <c r="AG50" s="501">
        <f t="shared" ref="AG50:AM50" si="57">SUBTOTAL(9,AG48:AG49)</f>
        <v>1926.8684000000001</v>
      </c>
      <c r="AH50" s="501">
        <f t="shared" si="57"/>
        <v>340.03560000000004</v>
      </c>
      <c r="AI50" s="501">
        <f t="shared" si="57"/>
        <v>566.72600000000011</v>
      </c>
      <c r="AJ50" s="504">
        <f t="shared" si="57"/>
        <v>0</v>
      </c>
      <c r="AK50" s="501">
        <f t="shared" si="57"/>
        <v>35372</v>
      </c>
      <c r="AL50" s="501">
        <f t="shared" si="57"/>
        <v>35219.319999999992</v>
      </c>
      <c r="AM50" s="501">
        <f t="shared" si="57"/>
        <v>4226.3183999999992</v>
      </c>
      <c r="AN50" s="501">
        <f t="shared" si="49"/>
        <v>39445.638399999989</v>
      </c>
      <c r="AO50" s="502">
        <f t="shared" ref="AO50:BR50" si="58">SUBTOTAL(9,AO48:AO49)</f>
        <v>0</v>
      </c>
      <c r="AP50" s="502">
        <f t="shared" si="58"/>
        <v>188</v>
      </c>
      <c r="AQ50" s="502">
        <f t="shared" si="58"/>
        <v>0</v>
      </c>
      <c r="AR50" s="502">
        <f t="shared" si="58"/>
        <v>0</v>
      </c>
      <c r="AS50" s="502">
        <f t="shared" si="58"/>
        <v>0</v>
      </c>
      <c r="AT50" s="502">
        <f t="shared" si="58"/>
        <v>0</v>
      </c>
      <c r="AU50" s="502">
        <f t="shared" si="58"/>
        <v>0</v>
      </c>
      <c r="AV50" s="502">
        <f t="shared" si="58"/>
        <v>0</v>
      </c>
      <c r="AW50" s="502">
        <f t="shared" si="58"/>
        <v>0</v>
      </c>
      <c r="AX50" s="502">
        <f t="shared" si="58"/>
        <v>0</v>
      </c>
      <c r="AY50" s="502">
        <f t="shared" si="58"/>
        <v>0</v>
      </c>
      <c r="AZ50" s="501">
        <f t="shared" si="58"/>
        <v>188</v>
      </c>
      <c r="BA50" s="503">
        <f t="shared" si="58"/>
        <v>0</v>
      </c>
      <c r="BB50" s="503">
        <f t="shared" si="58"/>
        <v>0</v>
      </c>
      <c r="BC50" s="501">
        <f t="shared" si="58"/>
        <v>0</v>
      </c>
      <c r="BD50" s="501">
        <f t="shared" si="58"/>
        <v>0</v>
      </c>
      <c r="BE50" s="502">
        <f t="shared" si="58"/>
        <v>0</v>
      </c>
      <c r="BF50" s="502">
        <f t="shared" si="58"/>
        <v>0</v>
      </c>
      <c r="BG50" s="502">
        <f t="shared" si="58"/>
        <v>0</v>
      </c>
      <c r="BH50" s="502">
        <f t="shared" si="58"/>
        <v>0</v>
      </c>
      <c r="BI50" s="502">
        <f t="shared" si="58"/>
        <v>0</v>
      </c>
      <c r="BJ50" s="502">
        <f t="shared" si="58"/>
        <v>0</v>
      </c>
      <c r="BK50" s="502">
        <f t="shared" si="58"/>
        <v>0</v>
      </c>
      <c r="BL50" s="502">
        <f t="shared" si="58"/>
        <v>0</v>
      </c>
      <c r="BM50" s="502">
        <f t="shared" si="58"/>
        <v>0</v>
      </c>
      <c r="BN50" s="502">
        <f t="shared" si="58"/>
        <v>0</v>
      </c>
      <c r="BO50" s="502">
        <f t="shared" si="58"/>
        <v>0</v>
      </c>
      <c r="BP50" s="502">
        <f t="shared" si="58"/>
        <v>0</v>
      </c>
      <c r="BQ50" s="502">
        <f t="shared" si="58"/>
        <v>0</v>
      </c>
      <c r="BR50" s="501">
        <f t="shared" si="58"/>
        <v>188</v>
      </c>
    </row>
    <row r="51" spans="1:97" x14ac:dyDescent="0.25">
      <c r="A51" s="694">
        <f>+A48+1</f>
        <v>43480</v>
      </c>
      <c r="B51" s="521" t="s">
        <v>561</v>
      </c>
      <c r="C51" s="514">
        <v>33068.410000000003</v>
      </c>
      <c r="D51" s="517">
        <v>27602</v>
      </c>
      <c r="E51" s="517">
        <v>27602</v>
      </c>
      <c r="F51" s="520">
        <v>43480</v>
      </c>
      <c r="G51" s="514">
        <f>IF(E51-D51&lt;0,E51-D51,0)*-1</f>
        <v>0</v>
      </c>
      <c r="H51" s="514">
        <f>IF(E51-D51&gt;0,E51-D51,0)</f>
        <v>0</v>
      </c>
      <c r="I51" s="517"/>
      <c r="J51" s="517"/>
      <c r="K51" s="517">
        <v>4248.9799999999996</v>
      </c>
      <c r="L51" s="517"/>
      <c r="M51" s="519">
        <f>(+K51)*M$5</f>
        <v>91.353069999999988</v>
      </c>
      <c r="N51" s="519">
        <f>(+K51)*N$5</f>
        <v>21.244899999999998</v>
      </c>
      <c r="O51" s="519">
        <f>+K51-M51-N51+P51</f>
        <v>4136.3820299999998</v>
      </c>
      <c r="P51" s="519"/>
      <c r="Q51" s="518"/>
      <c r="R51" s="517"/>
      <c r="S51" s="517"/>
      <c r="T51" s="519"/>
      <c r="U51" s="519"/>
      <c r="V51" s="519"/>
      <c r="W51" s="519"/>
      <c r="X51" s="518"/>
      <c r="Y51" s="517"/>
      <c r="Z51" s="517">
        <f>63+224.25</f>
        <v>287.25</v>
      </c>
      <c r="AA51" s="517"/>
      <c r="AB51" s="517"/>
      <c r="AC51" s="517">
        <v>390.18</v>
      </c>
      <c r="AD51" s="515"/>
      <c r="AE51" s="515">
        <v>540</v>
      </c>
      <c r="AF51" s="517">
        <v>2059.52</v>
      </c>
      <c r="AG51" s="514">
        <f>(AF51*0.8)*0.85</f>
        <v>1400.4736</v>
      </c>
      <c r="AH51" s="514">
        <f>(AF51*0.8)*0.15</f>
        <v>247.14239999999998</v>
      </c>
      <c r="AI51" s="514">
        <f>AF51*0.2</f>
        <v>411.904</v>
      </c>
      <c r="AJ51" s="517"/>
      <c r="AK51" s="514">
        <f>(C51-AF51-AJ51)/1.12</f>
        <v>27686.508928571428</v>
      </c>
      <c r="AL51" s="514">
        <f>AK51-SUM(Y51:AC51)</f>
        <v>27009.078928571427</v>
      </c>
      <c r="AM51" s="514">
        <f>+AL51*0.12</f>
        <v>3241.089471428571</v>
      </c>
      <c r="AN51" s="514">
        <f t="shared" si="49"/>
        <v>30250.168399999999</v>
      </c>
      <c r="AO51" s="513"/>
      <c r="AP51" s="516"/>
      <c r="AQ51" s="516"/>
      <c r="AR51" s="516"/>
      <c r="AS51" s="516"/>
      <c r="AT51" s="516"/>
      <c r="AU51" s="516"/>
      <c r="AV51" s="516"/>
      <c r="AW51" s="516"/>
      <c r="AX51" s="516"/>
      <c r="AY51" s="516"/>
      <c r="AZ51" s="514">
        <f>SUM(AO51:AY51)</f>
        <v>0</v>
      </c>
      <c r="BA51" s="515"/>
      <c r="BB51" s="515"/>
      <c r="BC51" s="514">
        <f>SUM(BE51:BM51)*0.1+(BN51*0.5)</f>
        <v>0</v>
      </c>
      <c r="BD51" s="514">
        <f>SUM(BE51:BM51)+(BN51*0.5)</f>
        <v>0</v>
      </c>
      <c r="BE51" s="513"/>
      <c r="BF51" s="513"/>
      <c r="BG51" s="513"/>
      <c r="BH51" s="513"/>
      <c r="BI51" s="513"/>
      <c r="BJ51" s="513"/>
      <c r="BK51" s="513"/>
      <c r="BL51" s="513"/>
      <c r="BM51" s="513"/>
      <c r="BN51" s="513"/>
      <c r="BO51" s="513"/>
      <c r="BP51" s="513"/>
      <c r="BQ51" s="513"/>
      <c r="BR51" s="524">
        <f>AZ51+BA51+BB51+BD51-BC51</f>
        <v>0</v>
      </c>
      <c r="BT51" s="511"/>
      <c r="BU51" s="510"/>
      <c r="BV51" s="510"/>
      <c r="BW51" s="510"/>
      <c r="BX51" s="510"/>
      <c r="BY51" s="510"/>
      <c r="BZ51" s="510"/>
      <c r="CA51" s="510"/>
      <c r="CB51" s="510"/>
      <c r="CC51" s="510"/>
      <c r="CD51" s="510"/>
      <c r="CE51" s="510"/>
      <c r="CF51" s="510"/>
      <c r="CG51" s="510"/>
      <c r="CH51" s="510"/>
      <c r="CI51" s="510"/>
      <c r="CJ51" s="510"/>
      <c r="CK51" s="510"/>
      <c r="CL51" s="510"/>
      <c r="CM51" s="510"/>
      <c r="CN51" s="510"/>
      <c r="CO51" s="510"/>
      <c r="CP51" s="510"/>
      <c r="CQ51" s="510"/>
      <c r="CR51" s="510"/>
      <c r="CS51" s="510"/>
    </row>
    <row r="52" spans="1:97" ht="15.75" thickBot="1" x14ac:dyDescent="0.3">
      <c r="A52" s="695"/>
      <c r="B52" s="521" t="s">
        <v>560</v>
      </c>
      <c r="C52" s="514">
        <v>16525.21</v>
      </c>
      <c r="D52" s="517">
        <v>10783.04</v>
      </c>
      <c r="E52" s="517">
        <v>10785</v>
      </c>
      <c r="F52" s="520">
        <v>43481</v>
      </c>
      <c r="G52" s="514">
        <f>IF(E52-D52&lt;0,E52-D52,0)*-1</f>
        <v>0</v>
      </c>
      <c r="H52" s="514">
        <f>IF(E52-D52&gt;0,E52-D52,0)</f>
        <v>1.9599999999991269</v>
      </c>
      <c r="I52" s="517"/>
      <c r="J52" s="517"/>
      <c r="K52" s="517">
        <v>3044.46</v>
      </c>
      <c r="L52" s="517"/>
      <c r="M52" s="519">
        <f>(+K52)*M$5</f>
        <v>65.455889999999997</v>
      </c>
      <c r="N52" s="519">
        <f>(+K52)*N$5</f>
        <v>15.222300000000001</v>
      </c>
      <c r="O52" s="519">
        <f>+K52-M52-N52+P52</f>
        <v>2963.78181</v>
      </c>
      <c r="P52" s="519"/>
      <c r="Q52" s="518"/>
      <c r="R52" s="517"/>
      <c r="S52" s="517"/>
      <c r="T52" s="519"/>
      <c r="U52" s="519"/>
      <c r="V52" s="519"/>
      <c r="W52" s="519"/>
      <c r="X52" s="518"/>
      <c r="Y52" s="517"/>
      <c r="Z52" s="517">
        <f>34+31.25</f>
        <v>65.25</v>
      </c>
      <c r="AA52" s="517"/>
      <c r="AB52" s="517"/>
      <c r="AC52" s="517">
        <v>79.459999999999994</v>
      </c>
      <c r="AD52" s="515"/>
      <c r="AE52" s="515">
        <v>2553</v>
      </c>
      <c r="AF52" s="517">
        <v>979.89</v>
      </c>
      <c r="AG52" s="514">
        <f>(AF52*0.8)*0.85</f>
        <v>666.3252</v>
      </c>
      <c r="AH52" s="514">
        <f>(AF52*0.8)*0.15</f>
        <v>117.5868</v>
      </c>
      <c r="AI52" s="514">
        <f>AF52*0.2</f>
        <v>195.97800000000001</v>
      </c>
      <c r="AJ52" s="517"/>
      <c r="AK52" s="514">
        <f>(C52-AF52-AJ52)/1.12</f>
        <v>13879.749999999998</v>
      </c>
      <c r="AL52" s="514">
        <f>AK52-SUM(Y52:AC52)</f>
        <v>13735.039999999999</v>
      </c>
      <c r="AM52" s="514">
        <f>+AL52*0.12</f>
        <v>1648.2047999999998</v>
      </c>
      <c r="AN52" s="514">
        <f t="shared" si="49"/>
        <v>15383.244799999999</v>
      </c>
      <c r="AO52" s="513"/>
      <c r="AP52" s="516"/>
      <c r="AQ52" s="516"/>
      <c r="AR52" s="516"/>
      <c r="AS52" s="516"/>
      <c r="AT52" s="516"/>
      <c r="AU52" s="516"/>
      <c r="AV52" s="516"/>
      <c r="AW52" s="516"/>
      <c r="AX52" s="516"/>
      <c r="AY52" s="516"/>
      <c r="AZ52" s="514">
        <f>SUM(AO52:AY52)</f>
        <v>0</v>
      </c>
      <c r="BA52" s="515"/>
      <c r="BB52" s="515"/>
      <c r="BC52" s="514"/>
      <c r="BD52" s="514"/>
      <c r="BE52" s="513"/>
      <c r="BF52" s="513"/>
      <c r="BG52" s="513">
        <v>0</v>
      </c>
      <c r="BH52" s="513"/>
      <c r="BI52" s="513"/>
      <c r="BJ52" s="513"/>
      <c r="BK52" s="513"/>
      <c r="BL52" s="513"/>
      <c r="BM52" s="513"/>
      <c r="BN52" s="513"/>
      <c r="BO52" s="513"/>
      <c r="BP52" s="513"/>
      <c r="BQ52" s="513"/>
      <c r="BR52" s="524">
        <f>AZ52+BA52+BB52+BD52-BC52</f>
        <v>0</v>
      </c>
      <c r="BT52" s="511"/>
      <c r="BU52" s="510"/>
      <c r="BV52" s="510"/>
      <c r="BW52" s="510"/>
      <c r="BX52" s="510"/>
      <c r="BY52" s="510"/>
      <c r="BZ52" s="510"/>
      <c r="CA52" s="510"/>
      <c r="CB52" s="510"/>
      <c r="CC52" s="510"/>
      <c r="CD52" s="510"/>
      <c r="CE52" s="510"/>
      <c r="CF52" s="510"/>
      <c r="CG52" s="510"/>
      <c r="CH52" s="510"/>
      <c r="CI52" s="510"/>
      <c r="CJ52" s="510"/>
      <c r="CK52" s="510"/>
      <c r="CL52" s="510"/>
      <c r="CM52" s="510"/>
      <c r="CN52" s="510"/>
      <c r="CO52" s="510"/>
      <c r="CP52" s="510"/>
      <c r="CQ52" s="510"/>
      <c r="CR52" s="510"/>
      <c r="CS52" s="510"/>
    </row>
    <row r="53" spans="1:97" ht="15.75" thickBot="1" x14ac:dyDescent="0.3">
      <c r="A53" s="509"/>
      <c r="B53" s="508"/>
      <c r="C53" s="501">
        <f>SUBTOTAL(9,C51:C52)</f>
        <v>49593.62</v>
      </c>
      <c r="D53" s="504">
        <f>SUBTOTAL(9,D51:D52)</f>
        <v>38385.040000000001</v>
      </c>
      <c r="E53" s="504">
        <f>SUBTOTAL(9,E51:E52)</f>
        <v>38387</v>
      </c>
      <c r="F53" s="505"/>
      <c r="G53" s="504">
        <f t="shared" ref="G53:P53" si="59">SUBTOTAL(9,G51:G52)</f>
        <v>0</v>
      </c>
      <c r="H53" s="504">
        <f t="shared" si="59"/>
        <v>1.9599999999991269</v>
      </c>
      <c r="I53" s="507">
        <f t="shared" si="59"/>
        <v>0</v>
      </c>
      <c r="J53" s="507">
        <f t="shared" si="59"/>
        <v>0</v>
      </c>
      <c r="K53" s="507">
        <f t="shared" si="59"/>
        <v>7293.44</v>
      </c>
      <c r="L53" s="507">
        <f t="shared" si="59"/>
        <v>0</v>
      </c>
      <c r="M53" s="506">
        <f t="shared" si="59"/>
        <v>156.80895999999998</v>
      </c>
      <c r="N53" s="506">
        <f t="shared" si="59"/>
        <v>36.467199999999998</v>
      </c>
      <c r="O53" s="506">
        <f t="shared" si="59"/>
        <v>7100.1638399999993</v>
      </c>
      <c r="P53" s="506">
        <f t="shared" si="59"/>
        <v>0</v>
      </c>
      <c r="Q53" s="505"/>
      <c r="R53" s="504">
        <f t="shared" ref="R53:W53" si="60">SUBTOTAL(9,R51:R52)</f>
        <v>0</v>
      </c>
      <c r="S53" s="504">
        <f t="shared" si="60"/>
        <v>0</v>
      </c>
      <c r="T53" s="506">
        <f t="shared" si="60"/>
        <v>0</v>
      </c>
      <c r="U53" s="506">
        <f t="shared" si="60"/>
        <v>0</v>
      </c>
      <c r="V53" s="506">
        <f t="shared" si="60"/>
        <v>0</v>
      </c>
      <c r="W53" s="506">
        <f t="shared" si="60"/>
        <v>0</v>
      </c>
      <c r="X53" s="505"/>
      <c r="Y53" s="504">
        <f>SUBTOTAL(9,Y51:Y52)</f>
        <v>0</v>
      </c>
      <c r="Z53" s="504"/>
      <c r="AA53" s="504"/>
      <c r="AB53" s="504"/>
      <c r="AC53" s="504"/>
      <c r="AD53" s="503"/>
      <c r="AE53" s="503"/>
      <c r="AF53" s="504"/>
      <c r="AG53" s="501">
        <f t="shared" ref="AG53:AM53" si="61">SUBTOTAL(9,AG51:AG52)</f>
        <v>2066.7988</v>
      </c>
      <c r="AH53" s="501">
        <f t="shared" si="61"/>
        <v>364.72919999999999</v>
      </c>
      <c r="AI53" s="501">
        <f t="shared" si="61"/>
        <v>607.88200000000006</v>
      </c>
      <c r="AJ53" s="504">
        <f t="shared" si="61"/>
        <v>0</v>
      </c>
      <c r="AK53" s="501">
        <f t="shared" si="61"/>
        <v>41566.258928571428</v>
      </c>
      <c r="AL53" s="501">
        <f t="shared" si="61"/>
        <v>40744.118928571428</v>
      </c>
      <c r="AM53" s="501">
        <f t="shared" si="61"/>
        <v>4889.2942714285709</v>
      </c>
      <c r="AN53" s="501">
        <f t="shared" si="49"/>
        <v>45633.413199999995</v>
      </c>
      <c r="AO53" s="502">
        <f t="shared" ref="AO53:BR53" si="62">SUBTOTAL(9,AO51:AO52)</f>
        <v>0</v>
      </c>
      <c r="AP53" s="502">
        <f t="shared" si="62"/>
        <v>0</v>
      </c>
      <c r="AQ53" s="502">
        <f t="shared" si="62"/>
        <v>0</v>
      </c>
      <c r="AR53" s="502">
        <f t="shared" si="62"/>
        <v>0</v>
      </c>
      <c r="AS53" s="502">
        <f t="shared" si="62"/>
        <v>0</v>
      </c>
      <c r="AT53" s="502">
        <f t="shared" si="62"/>
        <v>0</v>
      </c>
      <c r="AU53" s="502">
        <f t="shared" si="62"/>
        <v>0</v>
      </c>
      <c r="AV53" s="502">
        <f t="shared" si="62"/>
        <v>0</v>
      </c>
      <c r="AW53" s="502">
        <f t="shared" si="62"/>
        <v>0</v>
      </c>
      <c r="AX53" s="502">
        <f t="shared" si="62"/>
        <v>0</v>
      </c>
      <c r="AY53" s="502">
        <f t="shared" si="62"/>
        <v>0</v>
      </c>
      <c r="AZ53" s="501">
        <f t="shared" si="62"/>
        <v>0</v>
      </c>
      <c r="BA53" s="503">
        <f t="shared" si="62"/>
        <v>0</v>
      </c>
      <c r="BB53" s="503">
        <f t="shared" si="62"/>
        <v>0</v>
      </c>
      <c r="BC53" s="501">
        <f t="shared" si="62"/>
        <v>0</v>
      </c>
      <c r="BD53" s="501">
        <f t="shared" si="62"/>
        <v>0</v>
      </c>
      <c r="BE53" s="502">
        <f t="shared" si="62"/>
        <v>0</v>
      </c>
      <c r="BF53" s="502">
        <f t="shared" si="62"/>
        <v>0</v>
      </c>
      <c r="BG53" s="502">
        <f t="shared" si="62"/>
        <v>0</v>
      </c>
      <c r="BH53" s="502">
        <f t="shared" si="62"/>
        <v>0</v>
      </c>
      <c r="BI53" s="502">
        <f t="shared" si="62"/>
        <v>0</v>
      </c>
      <c r="BJ53" s="502">
        <f t="shared" si="62"/>
        <v>0</v>
      </c>
      <c r="BK53" s="502">
        <f t="shared" si="62"/>
        <v>0</v>
      </c>
      <c r="BL53" s="502">
        <f t="shared" si="62"/>
        <v>0</v>
      </c>
      <c r="BM53" s="502">
        <f t="shared" si="62"/>
        <v>0</v>
      </c>
      <c r="BN53" s="502">
        <f t="shared" si="62"/>
        <v>0</v>
      </c>
      <c r="BO53" s="502">
        <f t="shared" si="62"/>
        <v>0</v>
      </c>
      <c r="BP53" s="502">
        <f t="shared" si="62"/>
        <v>0</v>
      </c>
      <c r="BQ53" s="502">
        <f t="shared" si="62"/>
        <v>0</v>
      </c>
      <c r="BR53" s="501">
        <f t="shared" si="62"/>
        <v>0</v>
      </c>
    </row>
    <row r="54" spans="1:97" x14ac:dyDescent="0.25">
      <c r="A54" s="694">
        <f>+A51+1</f>
        <v>43481</v>
      </c>
      <c r="B54" s="521" t="s">
        <v>561</v>
      </c>
      <c r="C54" s="514">
        <v>19989.060000000001</v>
      </c>
      <c r="D54" s="517">
        <v>14244.9</v>
      </c>
      <c r="E54" s="517">
        <v>14250</v>
      </c>
      <c r="F54" s="520">
        <v>43481</v>
      </c>
      <c r="G54" s="514">
        <f>IF(E54-D54&lt;0,E54-D54,0)*-1</f>
        <v>0</v>
      </c>
      <c r="H54" s="514">
        <f>IF(E54-D54&gt;0,E54-D54,0)</f>
        <v>5.1000000000003638</v>
      </c>
      <c r="I54" s="517"/>
      <c r="J54" s="517"/>
      <c r="K54" s="517">
        <v>3480.27</v>
      </c>
      <c r="L54" s="517"/>
      <c r="M54" s="519">
        <f>(+K54)*M$5</f>
        <v>74.825804999999988</v>
      </c>
      <c r="N54" s="519">
        <f>(+K54)*N$5</f>
        <v>17.401350000000001</v>
      </c>
      <c r="O54" s="519">
        <f>+K54-M54-N54+P54</f>
        <v>3388.0428449999999</v>
      </c>
      <c r="P54" s="519"/>
      <c r="Q54" s="518"/>
      <c r="R54" s="517"/>
      <c r="S54" s="517"/>
      <c r="T54" s="519"/>
      <c r="U54" s="519"/>
      <c r="V54" s="519"/>
      <c r="W54" s="519"/>
      <c r="X54" s="518"/>
      <c r="Y54" s="517"/>
      <c r="Z54" s="517">
        <v>136.75</v>
      </c>
      <c r="AA54" s="517"/>
      <c r="AB54" s="517"/>
      <c r="AC54" s="517">
        <v>132.13999999999999</v>
      </c>
      <c r="AD54" s="515"/>
      <c r="AE54" s="515">
        <v>1995</v>
      </c>
      <c r="AF54" s="517">
        <v>1352.35</v>
      </c>
      <c r="AG54" s="514">
        <f>(AF54*0.8)*0.85</f>
        <v>919.59799999999984</v>
      </c>
      <c r="AH54" s="514">
        <f>(AF54*0.8)*0.15</f>
        <v>162.28199999999998</v>
      </c>
      <c r="AI54" s="514">
        <f>AF54*0.2</f>
        <v>270.46999999999997</v>
      </c>
      <c r="AJ54" s="517"/>
      <c r="AK54" s="514">
        <f>(C54-AF54-AJ54)/1.12</f>
        <v>16639.919642857145</v>
      </c>
      <c r="AL54" s="514">
        <f>AK54-SUM(Y54:AC54)</f>
        <v>16371.029642857146</v>
      </c>
      <c r="AM54" s="514">
        <f>+AL54*0.12</f>
        <v>1964.5235571428575</v>
      </c>
      <c r="AN54" s="514">
        <f t="shared" si="49"/>
        <v>18335.553200000002</v>
      </c>
      <c r="AO54" s="513"/>
      <c r="AP54" s="516"/>
      <c r="AQ54" s="516"/>
      <c r="AR54" s="516"/>
      <c r="AS54" s="516"/>
      <c r="AT54" s="516"/>
      <c r="AU54" s="516"/>
      <c r="AV54" s="516"/>
      <c r="AW54" s="516"/>
      <c r="AX54" s="516"/>
      <c r="AY54" s="516"/>
      <c r="AZ54" s="514">
        <f>SUM(AO54:AY54)</f>
        <v>0</v>
      </c>
      <c r="BA54" s="515"/>
      <c r="BB54" s="515"/>
      <c r="BC54" s="514">
        <f>SUM(BE54:BM54)*0.1+(BN54*0.5)</f>
        <v>0</v>
      </c>
      <c r="BD54" s="514">
        <f>SUM(BE54:BM54)+(BN54*0.5)</f>
        <v>0</v>
      </c>
      <c r="BE54" s="513"/>
      <c r="BF54" s="513"/>
      <c r="BG54" s="513"/>
      <c r="BH54" s="513"/>
      <c r="BI54" s="513"/>
      <c r="BJ54" s="513"/>
      <c r="BK54" s="513"/>
      <c r="BL54" s="513"/>
      <c r="BM54" s="513"/>
      <c r="BN54" s="513"/>
      <c r="BO54" s="513"/>
      <c r="BP54" s="513"/>
      <c r="BQ54" s="513"/>
      <c r="BR54" s="524">
        <f>AZ54+BA54+BB54+BD54-BC54</f>
        <v>0</v>
      </c>
      <c r="BT54" s="511"/>
      <c r="BU54" s="510"/>
      <c r="BV54" s="510"/>
      <c r="BW54" s="510"/>
      <c r="BX54" s="510"/>
      <c r="BY54" s="510"/>
      <c r="BZ54" s="510"/>
      <c r="CA54" s="510"/>
      <c r="CB54" s="510"/>
      <c r="CC54" s="510"/>
      <c r="CD54" s="510"/>
      <c r="CE54" s="510"/>
      <c r="CF54" s="510"/>
      <c r="CG54" s="510"/>
      <c r="CH54" s="510"/>
      <c r="CI54" s="510"/>
      <c r="CJ54" s="510"/>
      <c r="CK54" s="510"/>
      <c r="CL54" s="510"/>
      <c r="CM54" s="510"/>
      <c r="CN54" s="510"/>
      <c r="CO54" s="510"/>
      <c r="CP54" s="510"/>
      <c r="CQ54" s="510"/>
      <c r="CR54" s="510"/>
      <c r="CS54" s="510"/>
    </row>
    <row r="55" spans="1:97" ht="15.75" thickBot="1" x14ac:dyDescent="0.3">
      <c r="A55" s="695"/>
      <c r="B55" s="521" t="s">
        <v>560</v>
      </c>
      <c r="C55" s="514">
        <v>16619.400000000001</v>
      </c>
      <c r="D55" s="517">
        <v>11968.51</v>
      </c>
      <c r="E55" s="517">
        <v>11974</v>
      </c>
      <c r="F55" s="520">
        <v>43482</v>
      </c>
      <c r="G55" s="514">
        <f>IF(E55-D55&lt;0,E55-D55,0)*-1</f>
        <v>0</v>
      </c>
      <c r="H55" s="514">
        <f>IF(E55-D55&gt;0,E55-D55,0)</f>
        <v>5.4899999999997817</v>
      </c>
      <c r="I55" s="517"/>
      <c r="J55" s="517"/>
      <c r="K55" s="517">
        <v>1190.8699999999999</v>
      </c>
      <c r="L55" s="517"/>
      <c r="M55" s="519">
        <f>(+K55)*M$5</f>
        <v>25.603704999999994</v>
      </c>
      <c r="N55" s="519">
        <f>(+K55)*N$5</f>
        <v>5.9543499999999998</v>
      </c>
      <c r="O55" s="519">
        <f>+K55-M55-N55+P55</f>
        <v>1159.3119449999999</v>
      </c>
      <c r="P55" s="519"/>
      <c r="Q55" s="518"/>
      <c r="R55" s="517"/>
      <c r="S55" s="517"/>
      <c r="T55" s="519"/>
      <c r="U55" s="519"/>
      <c r="V55" s="519"/>
      <c r="W55" s="519"/>
      <c r="X55" s="518"/>
      <c r="Y55" s="517"/>
      <c r="Z55" s="517">
        <v>76</v>
      </c>
      <c r="AA55" s="517"/>
      <c r="AB55" s="517"/>
      <c r="AC55" s="517">
        <v>204.02</v>
      </c>
      <c r="AD55" s="515"/>
      <c r="AE55" s="515">
        <v>3180</v>
      </c>
      <c r="AF55" s="517">
        <v>896.81</v>
      </c>
      <c r="AG55" s="514">
        <f>(AF55*0.8)*0.85</f>
        <v>609.83079999999995</v>
      </c>
      <c r="AH55" s="514">
        <f>(AF55*0.8)*0.15</f>
        <v>107.6172</v>
      </c>
      <c r="AI55" s="514">
        <f>AF55*0.2</f>
        <v>179.36199999999999</v>
      </c>
      <c r="AJ55" s="517"/>
      <c r="AK55" s="514">
        <f>(C55-AF55-AJ55)/1.12</f>
        <v>14038.026785714286</v>
      </c>
      <c r="AL55" s="514">
        <f>AK55-SUM(Y55:AC55)</f>
        <v>13758.006785714286</v>
      </c>
      <c r="AM55" s="514">
        <f>+AL55*0.12</f>
        <v>1650.9608142857142</v>
      </c>
      <c r="AN55" s="514">
        <f t="shared" si="49"/>
        <v>15408.9676</v>
      </c>
      <c r="AO55" s="513">
        <v>225</v>
      </c>
      <c r="AP55" s="516"/>
      <c r="AQ55" s="516"/>
      <c r="AR55" s="516"/>
      <c r="AS55" s="516"/>
      <c r="AT55" s="516"/>
      <c r="AU55" s="516"/>
      <c r="AV55" s="516"/>
      <c r="AW55" s="516"/>
      <c r="AX55" s="516"/>
      <c r="AY55" s="516"/>
      <c r="AZ55" s="514">
        <f>SUM(AO55:AY55)</f>
        <v>225</v>
      </c>
      <c r="BA55" s="515"/>
      <c r="BB55" s="515"/>
      <c r="BC55" s="514">
        <v>0</v>
      </c>
      <c r="BD55" s="514">
        <v>0</v>
      </c>
      <c r="BE55" s="513"/>
      <c r="BF55" s="513"/>
      <c r="BG55" s="513"/>
      <c r="BH55" s="513"/>
      <c r="BI55" s="513"/>
      <c r="BJ55" s="513"/>
      <c r="BK55" s="513"/>
      <c r="BL55" s="513"/>
      <c r="BM55" s="513"/>
      <c r="BN55" s="513"/>
      <c r="BO55" s="513"/>
      <c r="BP55" s="513"/>
      <c r="BQ55" s="513"/>
      <c r="BR55" s="524">
        <f>AZ55+BA55+BB55+BD55-BC55</f>
        <v>225</v>
      </c>
      <c r="BT55" s="511"/>
      <c r="BU55" s="510"/>
      <c r="BV55" s="510"/>
      <c r="BW55" s="510"/>
      <c r="BX55" s="510"/>
      <c r="BY55" s="510"/>
      <c r="BZ55" s="510"/>
      <c r="CA55" s="510"/>
      <c r="CB55" s="510"/>
      <c r="CC55" s="510"/>
      <c r="CD55" s="510"/>
      <c r="CE55" s="510"/>
      <c r="CF55" s="510"/>
      <c r="CG55" s="510"/>
      <c r="CH55" s="510"/>
      <c r="CI55" s="510"/>
      <c r="CJ55" s="510"/>
      <c r="CK55" s="510"/>
      <c r="CL55" s="510"/>
      <c r="CM55" s="510"/>
      <c r="CN55" s="510"/>
      <c r="CO55" s="510"/>
      <c r="CP55" s="510"/>
      <c r="CQ55" s="510"/>
      <c r="CR55" s="510"/>
      <c r="CS55" s="510"/>
    </row>
    <row r="56" spans="1:97" ht="15.75" thickBot="1" x14ac:dyDescent="0.3">
      <c r="A56" s="509"/>
      <c r="B56" s="508"/>
      <c r="C56" s="501">
        <f>SUBTOTAL(9,C54:C55)</f>
        <v>36608.460000000006</v>
      </c>
      <c r="D56" s="504">
        <f>SUBTOTAL(9,D54:D55)</f>
        <v>26213.41</v>
      </c>
      <c r="E56" s="504">
        <f>SUBTOTAL(9,E54:E55)</f>
        <v>26224</v>
      </c>
      <c r="F56" s="505"/>
      <c r="G56" s="504">
        <f t="shared" ref="G56:P56" si="63">SUBTOTAL(9,G54:G55)</f>
        <v>0</v>
      </c>
      <c r="H56" s="504">
        <f t="shared" si="63"/>
        <v>10.590000000000146</v>
      </c>
      <c r="I56" s="507">
        <f t="shared" si="63"/>
        <v>0</v>
      </c>
      <c r="J56" s="507">
        <f t="shared" si="63"/>
        <v>0</v>
      </c>
      <c r="K56" s="507">
        <f t="shared" si="63"/>
        <v>4671.1399999999994</v>
      </c>
      <c r="L56" s="507">
        <f t="shared" si="63"/>
        <v>0</v>
      </c>
      <c r="M56" s="506">
        <f t="shared" si="63"/>
        <v>100.42950999999998</v>
      </c>
      <c r="N56" s="506">
        <f t="shared" si="63"/>
        <v>23.355699999999999</v>
      </c>
      <c r="O56" s="506">
        <f t="shared" si="63"/>
        <v>4547.3547899999994</v>
      </c>
      <c r="P56" s="506">
        <f t="shared" si="63"/>
        <v>0</v>
      </c>
      <c r="Q56" s="505"/>
      <c r="R56" s="504">
        <f t="shared" ref="R56:W56" si="64">SUBTOTAL(9,R54:R55)</f>
        <v>0</v>
      </c>
      <c r="S56" s="504">
        <f t="shared" si="64"/>
        <v>0</v>
      </c>
      <c r="T56" s="506">
        <f t="shared" si="64"/>
        <v>0</v>
      </c>
      <c r="U56" s="506">
        <f t="shared" si="64"/>
        <v>0</v>
      </c>
      <c r="V56" s="506">
        <f t="shared" si="64"/>
        <v>0</v>
      </c>
      <c r="W56" s="506">
        <f t="shared" si="64"/>
        <v>0</v>
      </c>
      <c r="X56" s="505"/>
      <c r="Y56" s="504">
        <f>SUBTOTAL(9,Y54:Y55)</f>
        <v>0</v>
      </c>
      <c r="Z56" s="504"/>
      <c r="AA56" s="504"/>
      <c r="AB56" s="504"/>
      <c r="AC56" s="504"/>
      <c r="AD56" s="503"/>
      <c r="AE56" s="503"/>
      <c r="AF56" s="504"/>
      <c r="AG56" s="501">
        <f t="shared" ref="AG56:AM56" si="65">SUBTOTAL(9,AG54:AG55)</f>
        <v>1529.4287999999997</v>
      </c>
      <c r="AH56" s="501">
        <f t="shared" si="65"/>
        <v>269.89919999999995</v>
      </c>
      <c r="AI56" s="501">
        <f t="shared" si="65"/>
        <v>449.83199999999999</v>
      </c>
      <c r="AJ56" s="504">
        <f t="shared" si="65"/>
        <v>0</v>
      </c>
      <c r="AK56" s="501">
        <f t="shared" si="65"/>
        <v>30677.946428571431</v>
      </c>
      <c r="AL56" s="501">
        <f t="shared" si="65"/>
        <v>30129.036428571431</v>
      </c>
      <c r="AM56" s="501">
        <f t="shared" si="65"/>
        <v>3615.4843714285716</v>
      </c>
      <c r="AN56" s="501">
        <f t="shared" si="49"/>
        <v>33744.520800000006</v>
      </c>
      <c r="AO56" s="502">
        <f t="shared" ref="AO56:BR56" si="66">SUBTOTAL(9,AO54:AO55)</f>
        <v>225</v>
      </c>
      <c r="AP56" s="502">
        <f t="shared" si="66"/>
        <v>0</v>
      </c>
      <c r="AQ56" s="502">
        <f t="shared" si="66"/>
        <v>0</v>
      </c>
      <c r="AR56" s="502">
        <f t="shared" si="66"/>
        <v>0</v>
      </c>
      <c r="AS56" s="502">
        <f t="shared" si="66"/>
        <v>0</v>
      </c>
      <c r="AT56" s="502">
        <f t="shared" si="66"/>
        <v>0</v>
      </c>
      <c r="AU56" s="502">
        <f t="shared" si="66"/>
        <v>0</v>
      </c>
      <c r="AV56" s="502">
        <f t="shared" si="66"/>
        <v>0</v>
      </c>
      <c r="AW56" s="502">
        <f t="shared" si="66"/>
        <v>0</v>
      </c>
      <c r="AX56" s="502">
        <f t="shared" si="66"/>
        <v>0</v>
      </c>
      <c r="AY56" s="502">
        <f t="shared" si="66"/>
        <v>0</v>
      </c>
      <c r="AZ56" s="501">
        <f t="shared" si="66"/>
        <v>225</v>
      </c>
      <c r="BA56" s="503">
        <f t="shared" si="66"/>
        <v>0</v>
      </c>
      <c r="BB56" s="503">
        <f t="shared" si="66"/>
        <v>0</v>
      </c>
      <c r="BC56" s="501">
        <f t="shared" si="66"/>
        <v>0</v>
      </c>
      <c r="BD56" s="501">
        <f t="shared" si="66"/>
        <v>0</v>
      </c>
      <c r="BE56" s="502">
        <f t="shared" si="66"/>
        <v>0</v>
      </c>
      <c r="BF56" s="502">
        <f t="shared" si="66"/>
        <v>0</v>
      </c>
      <c r="BG56" s="502">
        <f t="shared" si="66"/>
        <v>0</v>
      </c>
      <c r="BH56" s="502">
        <f t="shared" si="66"/>
        <v>0</v>
      </c>
      <c r="BI56" s="502">
        <f t="shared" si="66"/>
        <v>0</v>
      </c>
      <c r="BJ56" s="502">
        <f t="shared" si="66"/>
        <v>0</v>
      </c>
      <c r="BK56" s="502">
        <f t="shared" si="66"/>
        <v>0</v>
      </c>
      <c r="BL56" s="502">
        <f t="shared" si="66"/>
        <v>0</v>
      </c>
      <c r="BM56" s="502">
        <f t="shared" si="66"/>
        <v>0</v>
      </c>
      <c r="BN56" s="502">
        <f t="shared" si="66"/>
        <v>0</v>
      </c>
      <c r="BO56" s="502">
        <f t="shared" si="66"/>
        <v>0</v>
      </c>
      <c r="BP56" s="502">
        <f t="shared" si="66"/>
        <v>0</v>
      </c>
      <c r="BQ56" s="502">
        <f t="shared" si="66"/>
        <v>0</v>
      </c>
      <c r="BR56" s="501">
        <f t="shared" si="66"/>
        <v>225</v>
      </c>
    </row>
    <row r="57" spans="1:97" x14ac:dyDescent="0.25">
      <c r="A57" s="694">
        <f>+A54+1</f>
        <v>43482</v>
      </c>
      <c r="B57" s="521" t="s">
        <v>561</v>
      </c>
      <c r="C57" s="514">
        <v>23230.17</v>
      </c>
      <c r="D57" s="517">
        <v>12774.57</v>
      </c>
      <c r="E57" s="517">
        <v>12775</v>
      </c>
      <c r="F57" s="520">
        <v>43482</v>
      </c>
      <c r="G57" s="514"/>
      <c r="H57" s="514">
        <f>IF(E57-D57&gt;0,E57-D57,0)</f>
        <v>0.43000000000029104</v>
      </c>
      <c r="I57" s="517"/>
      <c r="J57" s="517"/>
      <c r="K57" s="517">
        <v>6735.06</v>
      </c>
      <c r="L57" s="517"/>
      <c r="M57" s="519">
        <f>(+K57)*M$5</f>
        <v>144.80378999999999</v>
      </c>
      <c r="N57" s="519">
        <f>(+K57)*N$5</f>
        <v>33.6753</v>
      </c>
      <c r="O57" s="519">
        <f>+K57-M57-N57+P57</f>
        <v>6556.5809100000006</v>
      </c>
      <c r="P57" s="519">
        <f>L57-(L57*(M$5+N$5))</f>
        <v>0</v>
      </c>
      <c r="Q57" s="518"/>
      <c r="R57" s="517"/>
      <c r="S57" s="517"/>
      <c r="T57" s="519">
        <f>+R57*T$5</f>
        <v>0</v>
      </c>
      <c r="U57" s="519">
        <f>+R57*U$5</f>
        <v>0</v>
      </c>
      <c r="V57" s="519">
        <f>+R57-T57-U57+W57</f>
        <v>0</v>
      </c>
      <c r="W57" s="519">
        <f>+S57-(S57*(T$5+U$5))</f>
        <v>0</v>
      </c>
      <c r="X57" s="518"/>
      <c r="Y57" s="517"/>
      <c r="Z57" s="517">
        <v>62.25</v>
      </c>
      <c r="AA57" s="517"/>
      <c r="AB57" s="517"/>
      <c r="AC57" s="517">
        <v>114.29</v>
      </c>
      <c r="AD57" s="515"/>
      <c r="AE57" s="515">
        <v>3544</v>
      </c>
      <c r="AF57" s="517">
        <v>1579.74</v>
      </c>
      <c r="AG57" s="514">
        <f>(AF57*0.8)*0.85</f>
        <v>1074.2232000000001</v>
      </c>
      <c r="AH57" s="514">
        <f>(AF57*0.8)*0.15</f>
        <v>189.56880000000001</v>
      </c>
      <c r="AI57" s="514">
        <f>AF57*0.2</f>
        <v>315.94800000000004</v>
      </c>
      <c r="AJ57" s="517"/>
      <c r="AK57" s="514">
        <f>(C57-AF57-AJ57)/1.12</f>
        <v>19330.741071428565</v>
      </c>
      <c r="AL57" s="514">
        <f>AK57-SUM(Y57:AC57)</f>
        <v>19154.201071428564</v>
      </c>
      <c r="AM57" s="514">
        <f>+AL57*0.12</f>
        <v>2298.5041285714278</v>
      </c>
      <c r="AN57" s="514">
        <f t="shared" si="49"/>
        <v>21452.705199999993</v>
      </c>
      <c r="AO57" s="513"/>
      <c r="AP57" s="516">
        <v>0</v>
      </c>
      <c r="AQ57" s="516"/>
      <c r="AR57" s="516"/>
      <c r="AS57" s="516"/>
      <c r="AT57" s="516"/>
      <c r="AU57" s="516"/>
      <c r="AV57" s="516"/>
      <c r="AW57" s="516"/>
      <c r="AX57" s="516"/>
      <c r="AY57" s="516"/>
      <c r="AZ57" s="514">
        <f>SUM(AO57:AY57)</f>
        <v>0</v>
      </c>
      <c r="BA57" s="515"/>
      <c r="BB57" s="515"/>
      <c r="BC57" s="514">
        <f>SUM(BE57:BM57)*0.1+(BN57*0.5)</f>
        <v>0</v>
      </c>
      <c r="BD57" s="514">
        <f>SUM(BE57:BM57)+(BN57*0.5)</f>
        <v>0</v>
      </c>
      <c r="BE57" s="513"/>
      <c r="BF57" s="513"/>
      <c r="BG57" s="513"/>
      <c r="BH57" s="513"/>
      <c r="BI57" s="513"/>
      <c r="BJ57" s="513"/>
      <c r="BK57" s="513"/>
      <c r="BL57" s="513"/>
      <c r="BM57" s="513"/>
      <c r="BN57" s="513"/>
      <c r="BO57" s="513"/>
      <c r="BP57" s="513"/>
      <c r="BQ57" s="513"/>
      <c r="BR57" s="524">
        <f>AZ57+BA57+BB57+BD57-BC57</f>
        <v>0</v>
      </c>
      <c r="BT57" s="511"/>
      <c r="BU57" s="510"/>
      <c r="BV57" s="510"/>
      <c r="BW57" s="510"/>
      <c r="BX57" s="510"/>
      <c r="BY57" s="510"/>
      <c r="BZ57" s="510"/>
      <c r="CA57" s="510"/>
      <c r="CB57" s="510"/>
      <c r="CC57" s="510"/>
      <c r="CD57" s="510"/>
      <c r="CE57" s="510"/>
      <c r="CF57" s="510"/>
      <c r="CG57" s="510"/>
      <c r="CH57" s="510"/>
      <c r="CI57" s="510"/>
      <c r="CJ57" s="510"/>
      <c r="CK57" s="510"/>
      <c r="CL57" s="510"/>
      <c r="CM57" s="510"/>
      <c r="CN57" s="510"/>
      <c r="CO57" s="510"/>
      <c r="CP57" s="510"/>
      <c r="CQ57" s="510"/>
      <c r="CR57" s="510"/>
      <c r="CS57" s="510"/>
    </row>
    <row r="58" spans="1:97" ht="15.75" thickBot="1" x14ac:dyDescent="0.3">
      <c r="A58" s="695"/>
      <c r="B58" s="521" t="s">
        <v>560</v>
      </c>
      <c r="C58" s="531">
        <v>24103.279999999999</v>
      </c>
      <c r="D58" s="517">
        <v>10656.32</v>
      </c>
      <c r="E58" s="517">
        <v>10656</v>
      </c>
      <c r="F58" s="520">
        <v>43483</v>
      </c>
      <c r="G58" s="514"/>
      <c r="H58" s="514">
        <f>IF(E58-D58&gt;0,E58-D58,0)</f>
        <v>0</v>
      </c>
      <c r="I58" s="517"/>
      <c r="J58" s="517"/>
      <c r="K58" s="517">
        <v>11254.78</v>
      </c>
      <c r="L58" s="517"/>
      <c r="M58" s="519">
        <f>(+K58)*M$5</f>
        <v>241.97776999999999</v>
      </c>
      <c r="N58" s="519">
        <f>(+K58)*N$5</f>
        <v>56.273900000000005</v>
      </c>
      <c r="O58" s="519">
        <f>+K58-M58-N58+P58</f>
        <v>10956.528330000001</v>
      </c>
      <c r="P58" s="519">
        <f>L58-(L58*(M$5+N$5))</f>
        <v>0</v>
      </c>
      <c r="Q58" s="518"/>
      <c r="R58" s="517"/>
      <c r="S58" s="517"/>
      <c r="T58" s="519">
        <f>+R58*T$5</f>
        <v>0</v>
      </c>
      <c r="U58" s="519">
        <f>+R58*U$5</f>
        <v>0</v>
      </c>
      <c r="V58" s="519">
        <f>+R58-T58-U58+W58</f>
        <v>0</v>
      </c>
      <c r="W58" s="519">
        <f>+S58-(S58*(T$5+U$5))</f>
        <v>0</v>
      </c>
      <c r="X58" s="518"/>
      <c r="Y58" s="517"/>
      <c r="Z58" s="517">
        <f>33.29+32.75</f>
        <v>66.039999999999992</v>
      </c>
      <c r="AA58" s="517">
        <v>243.5</v>
      </c>
      <c r="AB58" s="517"/>
      <c r="AC58" s="517">
        <v>84.64</v>
      </c>
      <c r="AD58" s="515"/>
      <c r="AE58" s="515">
        <v>1798</v>
      </c>
      <c r="AF58" s="517">
        <v>1602.07</v>
      </c>
      <c r="AG58" s="514">
        <f>(AF58*0.8)*0.85</f>
        <v>1089.4076</v>
      </c>
      <c r="AH58" s="514">
        <f>(AF58*0.8)*0.15</f>
        <v>192.24839999999998</v>
      </c>
      <c r="AI58" s="514">
        <f>AF58*0.2</f>
        <v>320.41399999999999</v>
      </c>
      <c r="AJ58" s="517"/>
      <c r="AK58" s="514">
        <f>(C58-AF58-AJ58)/1.12</f>
        <v>20090.366071428569</v>
      </c>
      <c r="AL58" s="514">
        <f>AK58-SUM(Y58:AC58)</f>
        <v>19696.186071428569</v>
      </c>
      <c r="AM58" s="514">
        <f>+AL58*0.12</f>
        <v>2363.5423285714282</v>
      </c>
      <c r="AN58" s="514">
        <f t="shared" si="49"/>
        <v>22059.728399999996</v>
      </c>
      <c r="AO58" s="513"/>
      <c r="AP58" s="516">
        <v>0</v>
      </c>
      <c r="AQ58" s="516"/>
      <c r="AR58" s="516"/>
      <c r="AS58" s="516"/>
      <c r="AT58" s="516"/>
      <c r="AU58" s="516"/>
      <c r="AV58" s="516"/>
      <c r="AW58" s="516"/>
      <c r="AX58" s="516"/>
      <c r="AY58" s="516"/>
      <c r="AZ58" s="514">
        <f>SUM(AO58:AY58)</f>
        <v>0</v>
      </c>
      <c r="BA58" s="515"/>
      <c r="BB58" s="515">
        <v>400</v>
      </c>
      <c r="BC58" s="514"/>
      <c r="BD58" s="514"/>
      <c r="BE58" s="513"/>
      <c r="BF58" s="513"/>
      <c r="BG58" s="513"/>
      <c r="BH58" s="513"/>
      <c r="BI58" s="513"/>
      <c r="BJ58" s="513"/>
      <c r="BK58" s="513"/>
      <c r="BL58" s="513"/>
      <c r="BM58" s="513"/>
      <c r="BN58" s="513"/>
      <c r="BO58" s="513"/>
      <c r="BP58" s="513"/>
      <c r="BQ58" s="513"/>
      <c r="BR58" s="524">
        <f>AZ58+BA58+BB58+BD58-BC58</f>
        <v>400</v>
      </c>
      <c r="BT58" s="511"/>
      <c r="BU58" s="510"/>
      <c r="BV58" s="510"/>
      <c r="BW58" s="510"/>
      <c r="BX58" s="510"/>
      <c r="BY58" s="510"/>
      <c r="BZ58" s="510"/>
      <c r="CA58" s="510"/>
      <c r="CB58" s="510"/>
      <c r="CC58" s="510"/>
      <c r="CD58" s="510"/>
      <c r="CE58" s="510"/>
      <c r="CF58" s="510"/>
      <c r="CG58" s="510"/>
      <c r="CH58" s="510"/>
      <c r="CI58" s="510"/>
      <c r="CJ58" s="510"/>
      <c r="CK58" s="510"/>
      <c r="CL58" s="510"/>
      <c r="CM58" s="510"/>
      <c r="CN58" s="510"/>
      <c r="CO58" s="510"/>
      <c r="CP58" s="510"/>
      <c r="CQ58" s="510"/>
      <c r="CR58" s="510"/>
      <c r="CS58" s="510"/>
    </row>
    <row r="59" spans="1:97" ht="15.75" thickBot="1" x14ac:dyDescent="0.3">
      <c r="A59" s="509"/>
      <c r="B59" s="508"/>
      <c r="C59" s="501">
        <f>SUBTOTAL(9,C57:C58)</f>
        <v>47333.45</v>
      </c>
      <c r="D59" s="504">
        <f>SUBTOTAL(9,D57:D58)</f>
        <v>23430.89</v>
      </c>
      <c r="E59" s="504">
        <f>SUBTOTAL(9,E57:E58)</f>
        <v>23431</v>
      </c>
      <c r="F59" s="505"/>
      <c r="G59" s="504">
        <f t="shared" ref="G59:P59" si="67">SUBTOTAL(9,G57:G58)</f>
        <v>0</v>
      </c>
      <c r="H59" s="504">
        <f t="shared" si="67"/>
        <v>0.43000000000029104</v>
      </c>
      <c r="I59" s="507">
        <f t="shared" si="67"/>
        <v>0</v>
      </c>
      <c r="J59" s="507">
        <f t="shared" si="67"/>
        <v>0</v>
      </c>
      <c r="K59" s="507">
        <f t="shared" si="67"/>
        <v>17989.84</v>
      </c>
      <c r="L59" s="507">
        <f t="shared" si="67"/>
        <v>0</v>
      </c>
      <c r="M59" s="506">
        <f t="shared" si="67"/>
        <v>386.78156000000001</v>
      </c>
      <c r="N59" s="506">
        <f t="shared" si="67"/>
        <v>89.949200000000005</v>
      </c>
      <c r="O59" s="506">
        <f t="shared" si="67"/>
        <v>17513.109240000002</v>
      </c>
      <c r="P59" s="506">
        <f t="shared" si="67"/>
        <v>0</v>
      </c>
      <c r="Q59" s="505"/>
      <c r="R59" s="504">
        <f t="shared" ref="R59:W59" si="68">SUBTOTAL(9,R57:R58)</f>
        <v>0</v>
      </c>
      <c r="S59" s="504">
        <f t="shared" si="68"/>
        <v>0</v>
      </c>
      <c r="T59" s="506">
        <f t="shared" si="68"/>
        <v>0</v>
      </c>
      <c r="U59" s="506">
        <f t="shared" si="68"/>
        <v>0</v>
      </c>
      <c r="V59" s="506">
        <f t="shared" si="68"/>
        <v>0</v>
      </c>
      <c r="W59" s="506">
        <f t="shared" si="68"/>
        <v>0</v>
      </c>
      <c r="X59" s="505"/>
      <c r="Y59" s="504">
        <f>SUBTOTAL(9,Y57:Y58)</f>
        <v>0</v>
      </c>
      <c r="Z59" s="504"/>
      <c r="AA59" s="504"/>
      <c r="AB59" s="504"/>
      <c r="AC59" s="504"/>
      <c r="AD59" s="503"/>
      <c r="AE59" s="503"/>
      <c r="AF59" s="504"/>
      <c r="AG59" s="501">
        <f t="shared" ref="AG59:AM59" si="69">SUBTOTAL(9,AG57:AG58)</f>
        <v>2163.6307999999999</v>
      </c>
      <c r="AH59" s="501">
        <f t="shared" si="69"/>
        <v>381.81719999999996</v>
      </c>
      <c r="AI59" s="501">
        <f t="shared" si="69"/>
        <v>636.36200000000008</v>
      </c>
      <c r="AJ59" s="504">
        <f t="shared" si="69"/>
        <v>0</v>
      </c>
      <c r="AK59" s="501">
        <f t="shared" si="69"/>
        <v>39421.10714285713</v>
      </c>
      <c r="AL59" s="501">
        <f t="shared" si="69"/>
        <v>38850.387142857129</v>
      </c>
      <c r="AM59" s="501">
        <f t="shared" si="69"/>
        <v>4662.0464571428565</v>
      </c>
      <c r="AN59" s="501">
        <f t="shared" si="49"/>
        <v>43512.433599999989</v>
      </c>
      <c r="AO59" s="502">
        <f t="shared" ref="AO59:BR59" si="70">SUBTOTAL(9,AO57:AO58)</f>
        <v>0</v>
      </c>
      <c r="AP59" s="502">
        <f t="shared" si="70"/>
        <v>0</v>
      </c>
      <c r="AQ59" s="502">
        <f t="shared" si="70"/>
        <v>0</v>
      </c>
      <c r="AR59" s="502">
        <f t="shared" si="70"/>
        <v>0</v>
      </c>
      <c r="AS59" s="502">
        <f t="shared" si="70"/>
        <v>0</v>
      </c>
      <c r="AT59" s="502">
        <f t="shared" si="70"/>
        <v>0</v>
      </c>
      <c r="AU59" s="502">
        <f t="shared" si="70"/>
        <v>0</v>
      </c>
      <c r="AV59" s="502">
        <f t="shared" si="70"/>
        <v>0</v>
      </c>
      <c r="AW59" s="502">
        <f t="shared" si="70"/>
        <v>0</v>
      </c>
      <c r="AX59" s="502">
        <f t="shared" si="70"/>
        <v>0</v>
      </c>
      <c r="AY59" s="502">
        <f t="shared" si="70"/>
        <v>0</v>
      </c>
      <c r="AZ59" s="501">
        <f t="shared" si="70"/>
        <v>0</v>
      </c>
      <c r="BA59" s="503">
        <f t="shared" si="70"/>
        <v>0</v>
      </c>
      <c r="BB59" s="503">
        <f t="shared" si="70"/>
        <v>400</v>
      </c>
      <c r="BC59" s="501">
        <f t="shared" si="70"/>
        <v>0</v>
      </c>
      <c r="BD59" s="501">
        <f t="shared" si="70"/>
        <v>0</v>
      </c>
      <c r="BE59" s="502">
        <f t="shared" si="70"/>
        <v>0</v>
      </c>
      <c r="BF59" s="502">
        <f t="shared" si="70"/>
        <v>0</v>
      </c>
      <c r="BG59" s="502">
        <f t="shared" si="70"/>
        <v>0</v>
      </c>
      <c r="BH59" s="502">
        <f t="shared" si="70"/>
        <v>0</v>
      </c>
      <c r="BI59" s="502">
        <f t="shared" si="70"/>
        <v>0</v>
      </c>
      <c r="BJ59" s="502">
        <f t="shared" si="70"/>
        <v>0</v>
      </c>
      <c r="BK59" s="502">
        <f t="shared" si="70"/>
        <v>0</v>
      </c>
      <c r="BL59" s="502">
        <f t="shared" si="70"/>
        <v>0</v>
      </c>
      <c r="BM59" s="502">
        <f t="shared" si="70"/>
        <v>0</v>
      </c>
      <c r="BN59" s="502">
        <f t="shared" si="70"/>
        <v>0</v>
      </c>
      <c r="BO59" s="502">
        <f t="shared" si="70"/>
        <v>0</v>
      </c>
      <c r="BP59" s="502">
        <f t="shared" si="70"/>
        <v>0</v>
      </c>
      <c r="BQ59" s="502">
        <f t="shared" si="70"/>
        <v>0</v>
      </c>
      <c r="BR59" s="501">
        <f t="shared" si="70"/>
        <v>400</v>
      </c>
    </row>
    <row r="60" spans="1:97" x14ac:dyDescent="0.25">
      <c r="A60" s="694">
        <f>A57+1</f>
        <v>43483</v>
      </c>
      <c r="B60" s="521" t="s">
        <v>561</v>
      </c>
      <c r="C60" s="514">
        <v>46925.42</v>
      </c>
      <c r="D60" s="517">
        <v>39781.949999999997</v>
      </c>
      <c r="E60" s="517">
        <v>39785</v>
      </c>
      <c r="F60" s="520">
        <v>43483</v>
      </c>
      <c r="G60" s="514"/>
      <c r="H60" s="514">
        <f>IF(E60-D60&gt;0,E60-D60,0)</f>
        <v>3.0500000000029104</v>
      </c>
      <c r="I60" s="517"/>
      <c r="J60" s="517"/>
      <c r="K60" s="517">
        <v>6230.72</v>
      </c>
      <c r="L60" s="517"/>
      <c r="M60" s="519">
        <f>(+K60)*M$5</f>
        <v>133.96047999999999</v>
      </c>
      <c r="N60" s="519">
        <f>(+K60)*N$5</f>
        <v>31.153600000000001</v>
      </c>
      <c r="O60" s="519">
        <f>+K60-M60-N60+P60</f>
        <v>6065.6059200000009</v>
      </c>
      <c r="P60" s="519"/>
      <c r="Q60" s="518"/>
      <c r="R60" s="517"/>
      <c r="S60" s="517"/>
      <c r="T60" s="519"/>
      <c r="U60" s="519"/>
      <c r="V60" s="519"/>
      <c r="W60" s="519"/>
      <c r="X60" s="518"/>
      <c r="Y60" s="517"/>
      <c r="Z60" s="517">
        <f>62.5+22.25</f>
        <v>84.75</v>
      </c>
      <c r="AA60" s="517"/>
      <c r="AB60" s="517"/>
      <c r="AC60" s="517"/>
      <c r="AD60" s="515"/>
      <c r="AE60" s="515">
        <v>828</v>
      </c>
      <c r="AF60" s="517">
        <v>3749.42</v>
      </c>
      <c r="AG60" s="514">
        <f>(AF60*0.8)*0.85</f>
        <v>2549.6055999999999</v>
      </c>
      <c r="AH60" s="514">
        <f>(AF60*0.8)*0.15</f>
        <v>449.93040000000002</v>
      </c>
      <c r="AI60" s="514">
        <f>AF60*0.2</f>
        <v>749.88400000000001</v>
      </c>
      <c r="AJ60" s="517"/>
      <c r="AK60" s="514">
        <f>(C60-AF60-AJ60)/1.12</f>
        <v>38549.999999999993</v>
      </c>
      <c r="AL60" s="514">
        <f>AK60-SUM(Y60:AC60)</f>
        <v>38465.249999999993</v>
      </c>
      <c r="AM60" s="514">
        <f>+AL60*0.12</f>
        <v>4615.829999999999</v>
      </c>
      <c r="AN60" s="514">
        <f t="shared" si="49"/>
        <v>43081.079999999994</v>
      </c>
      <c r="AO60" s="513"/>
      <c r="AP60" s="516"/>
      <c r="AQ60" s="516"/>
      <c r="AR60" s="516"/>
      <c r="AS60" s="516"/>
      <c r="AT60" s="516"/>
      <c r="AU60" s="516"/>
      <c r="AV60" s="516"/>
      <c r="AW60" s="516"/>
      <c r="AX60" s="516"/>
      <c r="AY60" s="516"/>
      <c r="AZ60" s="514">
        <f>SUM(AO60:AY60)</f>
        <v>0</v>
      </c>
      <c r="BA60" s="515"/>
      <c r="BB60" s="515"/>
      <c r="BC60" s="514">
        <f>SUM(BE60:BM60)*0.1+(BN60*0.5)</f>
        <v>0</v>
      </c>
      <c r="BD60" s="514">
        <f>SUM(BE60:BM60)+(BN60*0.5)</f>
        <v>0</v>
      </c>
      <c r="BE60" s="513"/>
      <c r="BF60" s="513"/>
      <c r="BG60" s="513"/>
      <c r="BH60" s="513"/>
      <c r="BI60" s="513"/>
      <c r="BJ60" s="513"/>
      <c r="BK60" s="513"/>
      <c r="BL60" s="513"/>
      <c r="BM60" s="513"/>
      <c r="BN60" s="513"/>
      <c r="BO60" s="513"/>
      <c r="BP60" s="513"/>
      <c r="BQ60" s="513"/>
      <c r="BR60" s="524">
        <f>AZ60+BA60+BB60+BD60-BC60</f>
        <v>0</v>
      </c>
      <c r="BT60" s="511"/>
      <c r="BU60" s="510"/>
      <c r="BV60" s="510"/>
      <c r="BW60" s="510"/>
      <c r="BX60" s="510"/>
      <c r="BY60" s="510"/>
      <c r="BZ60" s="510"/>
      <c r="CA60" s="510"/>
      <c r="CB60" s="510"/>
      <c r="CC60" s="510"/>
      <c r="CD60" s="510"/>
      <c r="CE60" s="510"/>
      <c r="CF60" s="510"/>
      <c r="CG60" s="510"/>
      <c r="CH60" s="510"/>
      <c r="CI60" s="510"/>
      <c r="CJ60" s="510"/>
      <c r="CK60" s="510"/>
      <c r="CL60" s="510"/>
      <c r="CM60" s="510"/>
      <c r="CN60" s="510"/>
      <c r="CO60" s="510"/>
      <c r="CP60" s="510"/>
      <c r="CQ60" s="510"/>
      <c r="CR60" s="510"/>
      <c r="CS60" s="510"/>
    </row>
    <row r="61" spans="1:97" ht="15.75" thickBot="1" x14ac:dyDescent="0.3">
      <c r="A61" s="695"/>
      <c r="B61" s="521" t="s">
        <v>560</v>
      </c>
      <c r="C61" s="514">
        <v>24588.23</v>
      </c>
      <c r="D61" s="517">
        <v>16387.189999999999</v>
      </c>
      <c r="E61" s="517">
        <v>16400</v>
      </c>
      <c r="F61" s="520">
        <v>43486</v>
      </c>
      <c r="G61" s="514"/>
      <c r="H61" s="514">
        <f>IF(E61-D61&gt;0,E61-D61,0)</f>
        <v>12.81000000000131</v>
      </c>
      <c r="I61" s="517"/>
      <c r="J61" s="517"/>
      <c r="K61" s="517">
        <v>7235.04</v>
      </c>
      <c r="L61" s="517"/>
      <c r="M61" s="519">
        <f>(+K61)*M$5</f>
        <v>155.55336</v>
      </c>
      <c r="N61" s="519">
        <f>(+K61)*N$5</f>
        <v>36.175200000000004</v>
      </c>
      <c r="O61" s="519">
        <f>+K61-M61-N61+P61</f>
        <v>7043.3114400000004</v>
      </c>
      <c r="P61" s="519">
        <f>L61-(L61*(M$5+N$5))</f>
        <v>0</v>
      </c>
      <c r="Q61" s="518"/>
      <c r="R61" s="517"/>
      <c r="S61" s="517"/>
      <c r="T61" s="519">
        <f>+R61*T$5</f>
        <v>0</v>
      </c>
      <c r="U61" s="519">
        <f>+R61*U$5</f>
        <v>0</v>
      </c>
      <c r="V61" s="519">
        <f>+R61-T61-U61+W61</f>
        <v>0</v>
      </c>
      <c r="W61" s="519">
        <f>+S61-(S61*(T$5+U$5))</f>
        <v>0</v>
      </c>
      <c r="X61" s="518"/>
      <c r="Y61" s="517"/>
      <c r="Z61" s="517">
        <f>158+43</f>
        <v>201</v>
      </c>
      <c r="AA61" s="517"/>
      <c r="AB61" s="517"/>
      <c r="AC61" s="517"/>
      <c r="AD61" s="515"/>
      <c r="AE61" s="515">
        <v>765</v>
      </c>
      <c r="AF61" s="517">
        <v>1893.23</v>
      </c>
      <c r="AG61" s="514">
        <f>(AF61*0.8)*0.85</f>
        <v>1287.3964000000001</v>
      </c>
      <c r="AH61" s="514">
        <f>(AF61*0.8)*0.15</f>
        <v>227.1876</v>
      </c>
      <c r="AI61" s="514">
        <f>AF61*0.2</f>
        <v>378.64600000000002</v>
      </c>
      <c r="AJ61" s="517"/>
      <c r="AK61" s="514">
        <f>(C61-AF61-AJ61)/1.12</f>
        <v>20263.392857142855</v>
      </c>
      <c r="AL61" s="514">
        <f>AK61-SUM(Y61:AC61)</f>
        <v>20062.392857142855</v>
      </c>
      <c r="AM61" s="514">
        <f>+AL61*0.12</f>
        <v>2407.4871428571423</v>
      </c>
      <c r="AN61" s="514">
        <f t="shared" si="49"/>
        <v>22469.879999999997</v>
      </c>
      <c r="AO61" s="513"/>
      <c r="AP61" s="516"/>
      <c r="AQ61" s="516"/>
      <c r="AR61" s="516"/>
      <c r="AS61" s="516"/>
      <c r="AT61" s="516"/>
      <c r="AU61" s="516"/>
      <c r="AV61" s="516"/>
      <c r="AW61" s="516"/>
      <c r="AX61" s="516"/>
      <c r="AY61" s="516"/>
      <c r="AZ61" s="514">
        <f>SUM(AO61:AY61)</f>
        <v>0</v>
      </c>
      <c r="BA61" s="515"/>
      <c r="BB61" s="515"/>
      <c r="BC61" s="514"/>
      <c r="BD61" s="514"/>
      <c r="BE61" s="513"/>
      <c r="BF61" s="513"/>
      <c r="BG61" s="513"/>
      <c r="BH61" s="513"/>
      <c r="BI61" s="513">
        <v>270</v>
      </c>
      <c r="BJ61" s="513"/>
      <c r="BK61" s="513"/>
      <c r="BL61" s="513"/>
      <c r="BM61" s="513"/>
      <c r="BN61" s="513"/>
      <c r="BO61" s="513"/>
      <c r="BP61" s="513"/>
      <c r="BQ61" s="513"/>
      <c r="BR61" s="524">
        <f>AZ61+BA61+BB61+BD61-BC61</f>
        <v>0</v>
      </c>
      <c r="BT61" s="511"/>
      <c r="BU61" s="510"/>
      <c r="BV61" s="510"/>
      <c r="BW61" s="510"/>
      <c r="BX61" s="510"/>
      <c r="BY61" s="510"/>
      <c r="BZ61" s="510"/>
      <c r="CA61" s="510"/>
      <c r="CB61" s="510"/>
      <c r="CC61" s="510"/>
      <c r="CD61" s="510"/>
      <c r="CE61" s="510"/>
      <c r="CF61" s="510"/>
      <c r="CG61" s="510"/>
      <c r="CH61" s="510"/>
      <c r="CI61" s="510"/>
      <c r="CJ61" s="510"/>
      <c r="CK61" s="510"/>
      <c r="CL61" s="510"/>
      <c r="CM61" s="510"/>
      <c r="CN61" s="510"/>
      <c r="CO61" s="510"/>
      <c r="CP61" s="510"/>
      <c r="CQ61" s="510"/>
      <c r="CR61" s="510"/>
      <c r="CS61" s="510"/>
    </row>
    <row r="62" spans="1:97" ht="15.75" thickBot="1" x14ac:dyDescent="0.3">
      <c r="A62" s="509"/>
      <c r="B62" s="508"/>
      <c r="C62" s="501">
        <f>SUBTOTAL(9,C60:C61)</f>
        <v>71513.649999999994</v>
      </c>
      <c r="D62" s="504">
        <f>SUBTOTAL(9,D60:D61)</f>
        <v>56169.14</v>
      </c>
      <c r="E62" s="504">
        <f>SUBTOTAL(9,E60:E61)</f>
        <v>56185</v>
      </c>
      <c r="F62" s="505"/>
      <c r="G62" s="504">
        <f t="shared" ref="G62:P62" si="71">SUBTOTAL(9,G60:G61)</f>
        <v>0</v>
      </c>
      <c r="H62" s="504">
        <f t="shared" si="71"/>
        <v>15.86000000000422</v>
      </c>
      <c r="I62" s="507">
        <f t="shared" si="71"/>
        <v>0</v>
      </c>
      <c r="J62" s="507">
        <f t="shared" si="71"/>
        <v>0</v>
      </c>
      <c r="K62" s="507">
        <f t="shared" si="71"/>
        <v>13465.76</v>
      </c>
      <c r="L62" s="507">
        <f t="shared" si="71"/>
        <v>0</v>
      </c>
      <c r="M62" s="506">
        <f t="shared" si="71"/>
        <v>289.51383999999996</v>
      </c>
      <c r="N62" s="506">
        <f t="shared" si="71"/>
        <v>67.328800000000001</v>
      </c>
      <c r="O62" s="506">
        <f t="shared" si="71"/>
        <v>13108.917360000001</v>
      </c>
      <c r="P62" s="506">
        <f t="shared" si="71"/>
        <v>0</v>
      </c>
      <c r="Q62" s="505"/>
      <c r="R62" s="504">
        <f t="shared" ref="R62:W62" si="72">SUBTOTAL(9,R60:R61)</f>
        <v>0</v>
      </c>
      <c r="S62" s="504">
        <f t="shared" si="72"/>
        <v>0</v>
      </c>
      <c r="T62" s="506">
        <f t="shared" si="72"/>
        <v>0</v>
      </c>
      <c r="U62" s="506">
        <f t="shared" si="72"/>
        <v>0</v>
      </c>
      <c r="V62" s="506">
        <f t="shared" si="72"/>
        <v>0</v>
      </c>
      <c r="W62" s="506">
        <f t="shared" si="72"/>
        <v>0</v>
      </c>
      <c r="X62" s="505"/>
      <c r="Y62" s="504">
        <f>SUBTOTAL(9,Y60:Y61)</f>
        <v>0</v>
      </c>
      <c r="Z62" s="504"/>
      <c r="AA62" s="504"/>
      <c r="AB62" s="504"/>
      <c r="AC62" s="504"/>
      <c r="AD62" s="503"/>
      <c r="AE62" s="503"/>
      <c r="AF62" s="504"/>
      <c r="AG62" s="501">
        <f t="shared" ref="AG62:AM62" si="73">SUBTOTAL(9,AG60:AG61)</f>
        <v>3837.002</v>
      </c>
      <c r="AH62" s="501">
        <f t="shared" si="73"/>
        <v>677.11800000000005</v>
      </c>
      <c r="AI62" s="501">
        <f t="shared" si="73"/>
        <v>1128.53</v>
      </c>
      <c r="AJ62" s="504">
        <f t="shared" si="73"/>
        <v>0</v>
      </c>
      <c r="AK62" s="501">
        <f t="shared" si="73"/>
        <v>58813.392857142848</v>
      </c>
      <c r="AL62" s="501">
        <f t="shared" si="73"/>
        <v>58527.642857142848</v>
      </c>
      <c r="AM62" s="501">
        <f t="shared" si="73"/>
        <v>7023.3171428571413</v>
      </c>
      <c r="AN62" s="501">
        <f t="shared" si="49"/>
        <v>65550.959999999992</v>
      </c>
      <c r="AO62" s="502">
        <f t="shared" ref="AO62:BR62" si="74">SUBTOTAL(9,AO60:AO61)</f>
        <v>0</v>
      </c>
      <c r="AP62" s="502">
        <f t="shared" si="74"/>
        <v>0</v>
      </c>
      <c r="AQ62" s="502">
        <f t="shared" si="74"/>
        <v>0</v>
      </c>
      <c r="AR62" s="502">
        <f t="shared" si="74"/>
        <v>0</v>
      </c>
      <c r="AS62" s="502">
        <f t="shared" si="74"/>
        <v>0</v>
      </c>
      <c r="AT62" s="502">
        <f t="shared" si="74"/>
        <v>0</v>
      </c>
      <c r="AU62" s="502">
        <f t="shared" si="74"/>
        <v>0</v>
      </c>
      <c r="AV62" s="502">
        <f t="shared" si="74"/>
        <v>0</v>
      </c>
      <c r="AW62" s="502">
        <f t="shared" si="74"/>
        <v>0</v>
      </c>
      <c r="AX62" s="502">
        <f t="shared" si="74"/>
        <v>0</v>
      </c>
      <c r="AY62" s="502">
        <f t="shared" si="74"/>
        <v>0</v>
      </c>
      <c r="AZ62" s="501">
        <f t="shared" si="74"/>
        <v>0</v>
      </c>
      <c r="BA62" s="503">
        <f t="shared" si="74"/>
        <v>0</v>
      </c>
      <c r="BB62" s="503">
        <f t="shared" si="74"/>
        <v>0</v>
      </c>
      <c r="BC62" s="501">
        <f t="shared" si="74"/>
        <v>0</v>
      </c>
      <c r="BD62" s="501">
        <f t="shared" si="74"/>
        <v>0</v>
      </c>
      <c r="BE62" s="502">
        <f t="shared" si="74"/>
        <v>0</v>
      </c>
      <c r="BF62" s="502">
        <f t="shared" si="74"/>
        <v>0</v>
      </c>
      <c r="BG62" s="502">
        <f t="shared" si="74"/>
        <v>0</v>
      </c>
      <c r="BH62" s="502">
        <f t="shared" si="74"/>
        <v>0</v>
      </c>
      <c r="BI62" s="502">
        <f t="shared" si="74"/>
        <v>270</v>
      </c>
      <c r="BJ62" s="502">
        <f t="shared" si="74"/>
        <v>0</v>
      </c>
      <c r="BK62" s="502">
        <f t="shared" si="74"/>
        <v>0</v>
      </c>
      <c r="BL62" s="502">
        <f t="shared" si="74"/>
        <v>0</v>
      </c>
      <c r="BM62" s="502">
        <f t="shared" si="74"/>
        <v>0</v>
      </c>
      <c r="BN62" s="502">
        <f t="shared" si="74"/>
        <v>0</v>
      </c>
      <c r="BO62" s="502">
        <f t="shared" si="74"/>
        <v>0</v>
      </c>
      <c r="BP62" s="502">
        <f t="shared" si="74"/>
        <v>0</v>
      </c>
      <c r="BQ62" s="502">
        <f t="shared" si="74"/>
        <v>0</v>
      </c>
      <c r="BR62" s="501">
        <f t="shared" si="74"/>
        <v>0</v>
      </c>
    </row>
    <row r="63" spans="1:97" x14ac:dyDescent="0.25">
      <c r="A63" s="694">
        <f>+A60+1</f>
        <v>43484</v>
      </c>
      <c r="B63" s="521" t="s">
        <v>561</v>
      </c>
      <c r="C63" s="514" t="s">
        <v>564</v>
      </c>
      <c r="D63" s="517"/>
      <c r="E63" s="517"/>
      <c r="F63" s="520"/>
      <c r="G63" s="514">
        <f>IF(E63-D63&lt;0,E63-D63,0)*-1</f>
        <v>0</v>
      </c>
      <c r="H63" s="514">
        <f>IF(E63-D63&gt;0,E63-D63,0)</f>
        <v>0</v>
      </c>
      <c r="I63" s="517"/>
      <c r="J63" s="517"/>
      <c r="K63" s="517"/>
      <c r="L63" s="517"/>
      <c r="M63" s="519">
        <f>(+K63)*M$5</f>
        <v>0</v>
      </c>
      <c r="N63" s="519">
        <f>(+K63)*N$5</f>
        <v>0</v>
      </c>
      <c r="O63" s="519">
        <f>+K63-M63-N63+P63</f>
        <v>0</v>
      </c>
      <c r="P63" s="519"/>
      <c r="Q63" s="518"/>
      <c r="R63" s="517"/>
      <c r="S63" s="517"/>
      <c r="T63" s="519"/>
      <c r="U63" s="519"/>
      <c r="V63" s="519"/>
      <c r="W63" s="519"/>
      <c r="X63" s="518"/>
      <c r="Y63" s="517"/>
      <c r="Z63" s="517"/>
      <c r="AA63" s="517"/>
      <c r="AB63" s="517"/>
      <c r="AC63" s="517"/>
      <c r="AD63" s="515"/>
      <c r="AE63" s="515"/>
      <c r="AF63" s="517"/>
      <c r="AG63" s="514">
        <f>(AF63*0.8)*0.85</f>
        <v>0</v>
      </c>
      <c r="AH63" s="514">
        <f>(AF63*0.8)*0.15</f>
        <v>0</v>
      </c>
      <c r="AI63" s="514">
        <f>AF63*0.2</f>
        <v>0</v>
      </c>
      <c r="AJ63" s="517"/>
      <c r="AK63" s="514">
        <v>0</v>
      </c>
      <c r="AL63" s="514">
        <f>AK63-SUM(Y63:AC63)</f>
        <v>0</v>
      </c>
      <c r="AM63" s="514">
        <f>+AL63*0.12</f>
        <v>0</v>
      </c>
      <c r="AN63" s="514">
        <f t="shared" si="49"/>
        <v>0</v>
      </c>
      <c r="AO63" s="513"/>
      <c r="AP63" s="516"/>
      <c r="AQ63" s="516"/>
      <c r="AR63" s="516"/>
      <c r="AS63" s="516"/>
      <c r="AT63" s="516"/>
      <c r="AU63" s="516"/>
      <c r="AV63" s="516"/>
      <c r="AW63" s="516"/>
      <c r="AX63" s="516"/>
      <c r="AY63" s="516"/>
      <c r="AZ63" s="514">
        <f>SUM(AO63:AY63)</f>
        <v>0</v>
      </c>
      <c r="BA63" s="515"/>
      <c r="BB63" s="515"/>
      <c r="BC63" s="514">
        <f>SUM(BE63:BM63)*0.1+(BN63*0.5)</f>
        <v>0</v>
      </c>
      <c r="BD63" s="514">
        <f>SUM(BE63:BM63)+(BN63*0.5)</f>
        <v>0</v>
      </c>
      <c r="BE63" s="513"/>
      <c r="BF63" s="513"/>
      <c r="BG63" s="513"/>
      <c r="BH63" s="513"/>
      <c r="BI63" s="513"/>
      <c r="BJ63" s="513"/>
      <c r="BK63" s="513"/>
      <c r="BL63" s="513"/>
      <c r="BM63" s="513"/>
      <c r="BN63" s="513"/>
      <c r="BO63" s="513"/>
      <c r="BP63" s="513"/>
      <c r="BQ63" s="513"/>
      <c r="BR63" s="524">
        <f>AZ63+BA63+BB63+BD63-BC63</f>
        <v>0</v>
      </c>
      <c r="BT63" s="511"/>
      <c r="BU63" s="510"/>
      <c r="BV63" s="510"/>
      <c r="BW63" s="510"/>
      <c r="BX63" s="510"/>
      <c r="BY63" s="510"/>
      <c r="BZ63" s="510"/>
      <c r="CA63" s="510"/>
      <c r="CB63" s="510"/>
      <c r="CC63" s="510"/>
      <c r="CD63" s="510"/>
      <c r="CE63" s="510"/>
      <c r="CF63" s="510"/>
      <c r="CG63" s="510"/>
      <c r="CH63" s="510"/>
      <c r="CI63" s="510"/>
      <c r="CJ63" s="510"/>
      <c r="CK63" s="510"/>
      <c r="CL63" s="510"/>
      <c r="CM63" s="510"/>
      <c r="CN63" s="510"/>
      <c r="CO63" s="510"/>
      <c r="CP63" s="510"/>
      <c r="CQ63" s="510"/>
      <c r="CR63" s="510"/>
      <c r="CS63" s="510"/>
    </row>
    <row r="64" spans="1:97" ht="15.75" thickBot="1" x14ac:dyDescent="0.3">
      <c r="A64" s="695"/>
      <c r="B64" s="521" t="s">
        <v>560</v>
      </c>
      <c r="C64" s="514">
        <v>11906.98</v>
      </c>
      <c r="D64" s="517">
        <v>8051.53</v>
      </c>
      <c r="E64" s="517">
        <v>8052</v>
      </c>
      <c r="F64" s="520">
        <v>43486</v>
      </c>
      <c r="G64" s="514">
        <f>IF(E64-D64&lt;0,E64-D64,0)*-1</f>
        <v>0</v>
      </c>
      <c r="H64" s="514">
        <f>IF(E64-D64&gt;0,E64-D64,0)</f>
        <v>0.47000000000025466</v>
      </c>
      <c r="I64" s="517"/>
      <c r="J64" s="517"/>
      <c r="K64" s="517">
        <v>1933.49</v>
      </c>
      <c r="L64" s="517"/>
      <c r="M64" s="519">
        <f>(+K64)*M$5</f>
        <v>41.570034999999997</v>
      </c>
      <c r="N64" s="519">
        <f>(+K64)*N$5</f>
        <v>9.6674500000000005</v>
      </c>
      <c r="O64" s="519">
        <f>+K64-M64-N64+P64</f>
        <v>1882.2525150000001</v>
      </c>
      <c r="P64" s="519"/>
      <c r="Q64" s="518"/>
      <c r="R64" s="517"/>
      <c r="S64" s="517"/>
      <c r="T64" s="519"/>
      <c r="U64" s="519"/>
      <c r="V64" s="519"/>
      <c r="W64" s="519"/>
      <c r="X64" s="518"/>
      <c r="Y64" s="517"/>
      <c r="Z64" s="517"/>
      <c r="AA64" s="517"/>
      <c r="AB64" s="517"/>
      <c r="AC64" s="517">
        <v>66.959999999999994</v>
      </c>
      <c r="AD64" s="515"/>
      <c r="AE64" s="515">
        <v>1855</v>
      </c>
      <c r="AF64" s="517">
        <v>682.16</v>
      </c>
      <c r="AG64" s="514">
        <f>(AF64*0.8)*0.85</f>
        <v>463.86879999999996</v>
      </c>
      <c r="AH64" s="514">
        <f>(AF64*0.8)*0.15</f>
        <v>81.859199999999987</v>
      </c>
      <c r="AI64" s="514">
        <f>AF64*0.2</f>
        <v>136.43199999999999</v>
      </c>
      <c r="AJ64" s="517"/>
      <c r="AK64" s="514">
        <f>(C64-AF64-AJ64)/1.12</f>
        <v>10022.160714285714</v>
      </c>
      <c r="AL64" s="514">
        <f>AK64-SUM(Y64:AC64)</f>
        <v>9955.2007142857146</v>
      </c>
      <c r="AM64" s="514">
        <f>+AL64*0.12</f>
        <v>1194.6240857142857</v>
      </c>
      <c r="AN64" s="514">
        <f t="shared" si="49"/>
        <v>11149.8248</v>
      </c>
      <c r="AO64" s="513"/>
      <c r="AP64" s="516"/>
      <c r="AQ64" s="516"/>
      <c r="AR64" s="516"/>
      <c r="AS64" s="516"/>
      <c r="AT64" s="516"/>
      <c r="AU64" s="516"/>
      <c r="AV64" s="516"/>
      <c r="AW64" s="516"/>
      <c r="AX64" s="516"/>
      <c r="AY64" s="516"/>
      <c r="AZ64" s="514">
        <f>SUM(AO64:AY64)</f>
        <v>0</v>
      </c>
      <c r="BA64" s="515"/>
      <c r="BB64" s="515"/>
      <c r="BC64" s="514">
        <v>0</v>
      </c>
      <c r="BD64" s="514">
        <v>0</v>
      </c>
      <c r="BE64" s="513"/>
      <c r="BF64" s="513"/>
      <c r="BG64" s="513"/>
      <c r="BH64" s="513"/>
      <c r="BI64" s="513"/>
      <c r="BJ64" s="513"/>
      <c r="BK64" s="513"/>
      <c r="BL64" s="513"/>
      <c r="BM64" s="513"/>
      <c r="BN64" s="513"/>
      <c r="BO64" s="513"/>
      <c r="BP64" s="513"/>
      <c r="BQ64" s="513"/>
      <c r="BR64" s="524">
        <f>AZ64+BA64+BB64+BD64-BC64</f>
        <v>0</v>
      </c>
      <c r="BT64" s="511"/>
      <c r="BU64" s="510"/>
      <c r="BV64" s="510"/>
      <c r="BW64" s="510"/>
      <c r="BX64" s="510"/>
      <c r="BY64" s="510"/>
      <c r="BZ64" s="510"/>
      <c r="CA64" s="510"/>
      <c r="CB64" s="510"/>
      <c r="CC64" s="510"/>
      <c r="CD64" s="510"/>
      <c r="CE64" s="510"/>
      <c r="CF64" s="510"/>
      <c r="CG64" s="510"/>
      <c r="CH64" s="510"/>
      <c r="CI64" s="510"/>
      <c r="CJ64" s="510"/>
      <c r="CK64" s="510"/>
      <c r="CL64" s="510"/>
      <c r="CM64" s="510"/>
      <c r="CN64" s="510"/>
      <c r="CO64" s="510"/>
      <c r="CP64" s="510"/>
      <c r="CQ64" s="510"/>
      <c r="CR64" s="510"/>
      <c r="CS64" s="510"/>
    </row>
    <row r="65" spans="1:97" ht="15.75" thickBot="1" x14ac:dyDescent="0.3">
      <c r="A65" s="509"/>
      <c r="B65" s="508"/>
      <c r="C65" s="501">
        <f>SUBTOTAL(9,C63:C64)</f>
        <v>11906.98</v>
      </c>
      <c r="D65" s="504">
        <f>SUBTOTAL(9,D63:D64)</f>
        <v>8051.53</v>
      </c>
      <c r="E65" s="504">
        <f>SUBTOTAL(9,E63:E64)</f>
        <v>8052</v>
      </c>
      <c r="F65" s="505"/>
      <c r="G65" s="504">
        <f t="shared" ref="G65:P65" si="75">SUBTOTAL(9,G63:G64)</f>
        <v>0</v>
      </c>
      <c r="H65" s="504">
        <f t="shared" si="75"/>
        <v>0.47000000000025466</v>
      </c>
      <c r="I65" s="507">
        <f t="shared" si="75"/>
        <v>0</v>
      </c>
      <c r="J65" s="507">
        <f t="shared" si="75"/>
        <v>0</v>
      </c>
      <c r="K65" s="507">
        <f t="shared" si="75"/>
        <v>1933.49</v>
      </c>
      <c r="L65" s="507">
        <f t="shared" si="75"/>
        <v>0</v>
      </c>
      <c r="M65" s="506">
        <f t="shared" si="75"/>
        <v>41.570034999999997</v>
      </c>
      <c r="N65" s="506">
        <f t="shared" si="75"/>
        <v>9.6674500000000005</v>
      </c>
      <c r="O65" s="506">
        <f t="shared" si="75"/>
        <v>1882.2525150000001</v>
      </c>
      <c r="P65" s="506">
        <f t="shared" si="75"/>
        <v>0</v>
      </c>
      <c r="Q65" s="505"/>
      <c r="R65" s="504">
        <f t="shared" ref="R65:W65" si="76">SUBTOTAL(9,R63:R64)</f>
        <v>0</v>
      </c>
      <c r="S65" s="504">
        <f t="shared" si="76"/>
        <v>0</v>
      </c>
      <c r="T65" s="506">
        <f t="shared" si="76"/>
        <v>0</v>
      </c>
      <c r="U65" s="506">
        <f t="shared" si="76"/>
        <v>0</v>
      </c>
      <c r="V65" s="506">
        <f t="shared" si="76"/>
        <v>0</v>
      </c>
      <c r="W65" s="506">
        <f t="shared" si="76"/>
        <v>0</v>
      </c>
      <c r="X65" s="505"/>
      <c r="Y65" s="504">
        <f>SUBTOTAL(9,Y63:Y64)</f>
        <v>0</v>
      </c>
      <c r="Z65" s="504"/>
      <c r="AA65" s="504"/>
      <c r="AB65" s="504"/>
      <c r="AC65" s="504"/>
      <c r="AD65" s="503"/>
      <c r="AE65" s="503"/>
      <c r="AF65" s="504"/>
      <c r="AG65" s="501">
        <f t="shared" ref="AG65:AM65" si="77">SUBTOTAL(9,AG63:AG64)</f>
        <v>463.86879999999996</v>
      </c>
      <c r="AH65" s="501">
        <f t="shared" si="77"/>
        <v>81.859199999999987</v>
      </c>
      <c r="AI65" s="501">
        <f t="shared" si="77"/>
        <v>136.43199999999999</v>
      </c>
      <c r="AJ65" s="504">
        <f t="shared" si="77"/>
        <v>0</v>
      </c>
      <c r="AK65" s="501">
        <f t="shared" si="77"/>
        <v>10022.160714285714</v>
      </c>
      <c r="AL65" s="501">
        <f t="shared" si="77"/>
        <v>9955.2007142857146</v>
      </c>
      <c r="AM65" s="501">
        <f t="shared" si="77"/>
        <v>1194.6240857142857</v>
      </c>
      <c r="AN65" s="501">
        <f t="shared" si="49"/>
        <v>11149.8248</v>
      </c>
      <c r="AO65" s="502">
        <f t="shared" ref="AO65:BG65" si="78">SUBTOTAL(9,AO63:AO64)</f>
        <v>0</v>
      </c>
      <c r="AP65" s="502">
        <f t="shared" si="78"/>
        <v>0</v>
      </c>
      <c r="AQ65" s="502">
        <f t="shared" si="78"/>
        <v>0</v>
      </c>
      <c r="AR65" s="502">
        <f t="shared" si="78"/>
        <v>0</v>
      </c>
      <c r="AS65" s="502">
        <f t="shared" si="78"/>
        <v>0</v>
      </c>
      <c r="AT65" s="502">
        <f t="shared" si="78"/>
        <v>0</v>
      </c>
      <c r="AU65" s="502">
        <f t="shared" si="78"/>
        <v>0</v>
      </c>
      <c r="AV65" s="502">
        <f t="shared" si="78"/>
        <v>0</v>
      </c>
      <c r="AW65" s="502">
        <f t="shared" si="78"/>
        <v>0</v>
      </c>
      <c r="AX65" s="502">
        <f t="shared" si="78"/>
        <v>0</v>
      </c>
      <c r="AY65" s="502">
        <f t="shared" si="78"/>
        <v>0</v>
      </c>
      <c r="AZ65" s="501">
        <f t="shared" si="78"/>
        <v>0</v>
      </c>
      <c r="BA65" s="503">
        <f t="shared" si="78"/>
        <v>0</v>
      </c>
      <c r="BB65" s="503">
        <f t="shared" si="78"/>
        <v>0</v>
      </c>
      <c r="BC65" s="501">
        <f t="shared" si="78"/>
        <v>0</v>
      </c>
      <c r="BD65" s="501">
        <f t="shared" si="78"/>
        <v>0</v>
      </c>
      <c r="BE65" s="502">
        <f t="shared" si="78"/>
        <v>0</v>
      </c>
      <c r="BF65" s="502">
        <f t="shared" si="78"/>
        <v>0</v>
      </c>
      <c r="BG65" s="502">
        <f t="shared" si="78"/>
        <v>0</v>
      </c>
      <c r="BH65" s="502" t="s">
        <v>297</v>
      </c>
      <c r="BI65" s="502">
        <f t="shared" ref="BI65:BR65" si="79">SUBTOTAL(9,BI63:BI64)</f>
        <v>0</v>
      </c>
      <c r="BJ65" s="502">
        <f t="shared" si="79"/>
        <v>0</v>
      </c>
      <c r="BK65" s="502">
        <f t="shared" si="79"/>
        <v>0</v>
      </c>
      <c r="BL65" s="502">
        <f t="shared" si="79"/>
        <v>0</v>
      </c>
      <c r="BM65" s="502">
        <f t="shared" si="79"/>
        <v>0</v>
      </c>
      <c r="BN65" s="502">
        <f t="shared" si="79"/>
        <v>0</v>
      </c>
      <c r="BO65" s="502">
        <f t="shared" si="79"/>
        <v>0</v>
      </c>
      <c r="BP65" s="502">
        <f t="shared" si="79"/>
        <v>0</v>
      </c>
      <c r="BQ65" s="502">
        <f t="shared" si="79"/>
        <v>0</v>
      </c>
      <c r="BR65" s="501">
        <f t="shared" si="79"/>
        <v>0</v>
      </c>
    </row>
    <row r="66" spans="1:97" x14ac:dyDescent="0.25">
      <c r="A66" s="694">
        <f>A63+1</f>
        <v>43485</v>
      </c>
      <c r="B66" s="521" t="s">
        <v>561</v>
      </c>
      <c r="C66" s="514" t="s">
        <v>563</v>
      </c>
      <c r="D66" s="517"/>
      <c r="E66" s="517"/>
      <c r="F66" s="520"/>
      <c r="G66" s="514">
        <f>IF(E66-D66&lt;0,E66-D66,0)*-1</f>
        <v>0</v>
      </c>
      <c r="H66" s="514">
        <f>IF(E66-D66&gt;0,E66-D66,0)</f>
        <v>0</v>
      </c>
      <c r="I66" s="517"/>
      <c r="J66" s="517"/>
      <c r="K66" s="517"/>
      <c r="L66" s="517"/>
      <c r="M66" s="519">
        <f>(+K66)*M$5</f>
        <v>0</v>
      </c>
      <c r="N66" s="519">
        <f>(+K66)*N$5</f>
        <v>0</v>
      </c>
      <c r="O66" s="519">
        <f>+K66-M66-N66+P66</f>
        <v>0</v>
      </c>
      <c r="P66" s="519"/>
      <c r="Q66" s="518"/>
      <c r="R66" s="517"/>
      <c r="S66" s="517"/>
      <c r="T66" s="519"/>
      <c r="U66" s="519"/>
      <c r="V66" s="519"/>
      <c r="W66" s="519"/>
      <c r="X66" s="518"/>
      <c r="Y66" s="517"/>
      <c r="Z66" s="517"/>
      <c r="AA66" s="517"/>
      <c r="AB66" s="517"/>
      <c r="AC66" s="517"/>
      <c r="AD66" s="515"/>
      <c r="AE66" s="515"/>
      <c r="AF66" s="517"/>
      <c r="AG66" s="514">
        <f>(AF66*0.8)*0.85</f>
        <v>0</v>
      </c>
      <c r="AH66" s="514">
        <f>(AF66*0.8)*0.15</f>
        <v>0</v>
      </c>
      <c r="AI66" s="514">
        <f>AF66*0.2</f>
        <v>0</v>
      </c>
      <c r="AJ66" s="517"/>
      <c r="AK66" s="514">
        <v>0</v>
      </c>
      <c r="AL66" s="514">
        <f>AK66-SUM(Y66:AC66)</f>
        <v>0</v>
      </c>
      <c r="AM66" s="514">
        <f>+AL66*0.12</f>
        <v>0</v>
      </c>
      <c r="AN66" s="514">
        <f t="shared" si="49"/>
        <v>0</v>
      </c>
      <c r="AO66" s="513"/>
      <c r="AP66" s="516"/>
      <c r="AQ66" s="516"/>
      <c r="AR66" s="516"/>
      <c r="AS66" s="516"/>
      <c r="AT66" s="516"/>
      <c r="AU66" s="516"/>
      <c r="AV66" s="516"/>
      <c r="AW66" s="516"/>
      <c r="AX66" s="516"/>
      <c r="AY66" s="516"/>
      <c r="AZ66" s="514">
        <f>SUM(AO66:AY66)</f>
        <v>0</v>
      </c>
      <c r="BA66" s="515"/>
      <c r="BB66" s="515"/>
      <c r="BC66" s="514">
        <f>SUM(BE66:BM66)*0.1+(BN66*0.5)</f>
        <v>0</v>
      </c>
      <c r="BD66" s="514">
        <f>SUM(BE66:BM66)+(BN66*0.5)</f>
        <v>0</v>
      </c>
      <c r="BE66" s="513"/>
      <c r="BF66" s="513"/>
      <c r="BG66" s="513"/>
      <c r="BH66" s="513"/>
      <c r="BI66" s="513"/>
      <c r="BJ66" s="513"/>
      <c r="BK66" s="513"/>
      <c r="BL66" s="513"/>
      <c r="BM66" s="513"/>
      <c r="BN66" s="513"/>
      <c r="BO66" s="513"/>
      <c r="BP66" s="513"/>
      <c r="BQ66" s="513"/>
      <c r="BR66" s="524">
        <f>AZ66+BA66+BB66+BD66-BC66</f>
        <v>0</v>
      </c>
      <c r="BT66" s="511"/>
      <c r="BU66" s="510"/>
      <c r="BV66" s="510"/>
      <c r="BW66" s="510"/>
      <c r="BX66" s="510"/>
      <c r="BY66" s="510"/>
      <c r="BZ66" s="510"/>
      <c r="CA66" s="510"/>
      <c r="CB66" s="510"/>
      <c r="CC66" s="510"/>
      <c r="CD66" s="510"/>
      <c r="CE66" s="510"/>
      <c r="CF66" s="510"/>
      <c r="CG66" s="510"/>
      <c r="CH66" s="510"/>
      <c r="CI66" s="510"/>
      <c r="CJ66" s="510"/>
      <c r="CK66" s="510"/>
      <c r="CL66" s="510"/>
      <c r="CM66" s="510"/>
      <c r="CN66" s="510"/>
      <c r="CO66" s="510"/>
      <c r="CP66" s="510"/>
      <c r="CQ66" s="510"/>
      <c r="CR66" s="510"/>
      <c r="CS66" s="510"/>
    </row>
    <row r="67" spans="1:97" ht="15.75" thickBot="1" x14ac:dyDescent="0.3">
      <c r="A67" s="695"/>
      <c r="B67" s="521" t="s">
        <v>560</v>
      </c>
      <c r="C67" s="514"/>
      <c r="D67" s="517"/>
      <c r="E67" s="517"/>
      <c r="F67" s="520"/>
      <c r="G67" s="514">
        <f>IF(E67-D67&lt;0,E67-D67,0)*-1</f>
        <v>0</v>
      </c>
      <c r="H67" s="514">
        <f>IF(E67-D67&gt;0,E67-D67,0)</f>
        <v>0</v>
      </c>
      <c r="I67" s="517"/>
      <c r="J67" s="517"/>
      <c r="K67" s="517"/>
      <c r="L67" s="517"/>
      <c r="M67" s="519">
        <f>(+K67)*M$5</f>
        <v>0</v>
      </c>
      <c r="N67" s="519">
        <f>(+K67)*N$5</f>
        <v>0</v>
      </c>
      <c r="O67" s="519">
        <f>+K67-M67-N67+P67</f>
        <v>0</v>
      </c>
      <c r="P67" s="519"/>
      <c r="Q67" s="518"/>
      <c r="R67" s="517"/>
      <c r="S67" s="517"/>
      <c r="T67" s="519"/>
      <c r="U67" s="519"/>
      <c r="V67" s="519"/>
      <c r="W67" s="519"/>
      <c r="X67" s="518"/>
      <c r="Y67" s="517"/>
      <c r="Z67" s="517"/>
      <c r="AA67" s="517"/>
      <c r="AB67" s="517"/>
      <c r="AC67" s="517"/>
      <c r="AD67" s="515"/>
      <c r="AE67" s="515"/>
      <c r="AF67" s="517"/>
      <c r="AG67" s="514">
        <f>(AF67*0.8)*0.85</f>
        <v>0</v>
      </c>
      <c r="AH67" s="514">
        <f>(AF67*0.8)*0.15</f>
        <v>0</v>
      </c>
      <c r="AI67" s="514">
        <f>AF67*0.2</f>
        <v>0</v>
      </c>
      <c r="AJ67" s="517"/>
      <c r="AK67" s="514">
        <v>0</v>
      </c>
      <c r="AL67" s="514">
        <f>AK67-SUM(Y67:AC67)</f>
        <v>0</v>
      </c>
      <c r="AM67" s="514">
        <f>+AL67*0.12</f>
        <v>0</v>
      </c>
      <c r="AN67" s="514">
        <f t="shared" si="49"/>
        <v>0</v>
      </c>
      <c r="AO67" s="513"/>
      <c r="AP67" s="516"/>
      <c r="AQ67" s="516"/>
      <c r="AR67" s="516"/>
      <c r="AS67" s="516"/>
      <c r="AT67" s="516"/>
      <c r="AU67" s="516"/>
      <c r="AV67" s="516"/>
      <c r="AW67" s="516"/>
      <c r="AX67" s="516"/>
      <c r="AY67" s="516"/>
      <c r="AZ67" s="514">
        <f>SUM(AO67:AY67)</f>
        <v>0</v>
      </c>
      <c r="BA67" s="515"/>
      <c r="BB67" s="515"/>
      <c r="BC67" s="514">
        <v>0</v>
      </c>
      <c r="BD67" s="514">
        <v>0</v>
      </c>
      <c r="BE67" s="513"/>
      <c r="BF67" s="513"/>
      <c r="BG67" s="513"/>
      <c r="BH67" s="513"/>
      <c r="BI67" s="513"/>
      <c r="BJ67" s="513"/>
      <c r="BK67" s="513"/>
      <c r="BL67" s="513"/>
      <c r="BM67" s="513"/>
      <c r="BN67" s="530"/>
      <c r="BO67" s="513"/>
      <c r="BP67" s="513"/>
      <c r="BQ67" s="513"/>
      <c r="BR67" s="524">
        <f>AZ67+BA67+BB67+BD67-BC67</f>
        <v>0</v>
      </c>
      <c r="BT67" s="511"/>
      <c r="BU67" s="510"/>
      <c r="BV67" s="510"/>
      <c r="BW67" s="510"/>
      <c r="BX67" s="510"/>
      <c r="BY67" s="510"/>
      <c r="BZ67" s="510"/>
      <c r="CA67" s="510"/>
      <c r="CB67" s="510"/>
      <c r="CC67" s="510"/>
      <c r="CD67" s="510"/>
      <c r="CE67" s="510"/>
      <c r="CF67" s="510"/>
      <c r="CG67" s="510"/>
      <c r="CH67" s="510"/>
      <c r="CI67" s="510"/>
      <c r="CJ67" s="510"/>
      <c r="CK67" s="510"/>
      <c r="CL67" s="510"/>
      <c r="CM67" s="510"/>
      <c r="CN67" s="510"/>
      <c r="CO67" s="510"/>
      <c r="CP67" s="510"/>
      <c r="CQ67" s="510"/>
      <c r="CR67" s="510"/>
      <c r="CS67" s="510"/>
    </row>
    <row r="68" spans="1:97" ht="15.75" thickBot="1" x14ac:dyDescent="0.3">
      <c r="A68" s="509"/>
      <c r="B68" s="508"/>
      <c r="C68" s="501">
        <f>SUBTOTAL(9,C66:C67)</f>
        <v>0</v>
      </c>
      <c r="D68" s="504">
        <f>SUBTOTAL(9,D66:D67)</f>
        <v>0</v>
      </c>
      <c r="E68" s="504">
        <f>SUBTOTAL(9,E66:E67)</f>
        <v>0</v>
      </c>
      <c r="F68" s="505"/>
      <c r="G68" s="504">
        <f t="shared" ref="G68:P68" si="80">SUBTOTAL(9,G66:G67)</f>
        <v>0</v>
      </c>
      <c r="H68" s="504">
        <f t="shared" si="80"/>
        <v>0</v>
      </c>
      <c r="I68" s="507">
        <f t="shared" si="80"/>
        <v>0</v>
      </c>
      <c r="J68" s="507">
        <f t="shared" si="80"/>
        <v>0</v>
      </c>
      <c r="K68" s="507">
        <f t="shared" si="80"/>
        <v>0</v>
      </c>
      <c r="L68" s="507">
        <f t="shared" si="80"/>
        <v>0</v>
      </c>
      <c r="M68" s="506">
        <f t="shared" si="80"/>
        <v>0</v>
      </c>
      <c r="N68" s="506">
        <f t="shared" si="80"/>
        <v>0</v>
      </c>
      <c r="O68" s="506">
        <f t="shared" si="80"/>
        <v>0</v>
      </c>
      <c r="P68" s="506">
        <f t="shared" si="80"/>
        <v>0</v>
      </c>
      <c r="Q68" s="505"/>
      <c r="R68" s="504">
        <f t="shared" ref="R68:W68" si="81">SUBTOTAL(9,R66:R67)</f>
        <v>0</v>
      </c>
      <c r="S68" s="504">
        <f t="shared" si="81"/>
        <v>0</v>
      </c>
      <c r="T68" s="506">
        <f t="shared" si="81"/>
        <v>0</v>
      </c>
      <c r="U68" s="506">
        <f t="shared" si="81"/>
        <v>0</v>
      </c>
      <c r="V68" s="506">
        <f t="shared" si="81"/>
        <v>0</v>
      </c>
      <c r="W68" s="506">
        <f t="shared" si="81"/>
        <v>0</v>
      </c>
      <c r="X68" s="505"/>
      <c r="Y68" s="504">
        <f>SUBTOTAL(9,Y66:Y67)</f>
        <v>0</v>
      </c>
      <c r="Z68" s="504"/>
      <c r="AA68" s="504"/>
      <c r="AB68" s="504"/>
      <c r="AC68" s="504"/>
      <c r="AD68" s="503"/>
      <c r="AE68" s="503"/>
      <c r="AF68" s="504"/>
      <c r="AG68" s="501">
        <f t="shared" ref="AG68:AM68" si="82">SUBTOTAL(9,AG66:AG67)</f>
        <v>0</v>
      </c>
      <c r="AH68" s="501">
        <f t="shared" si="82"/>
        <v>0</v>
      </c>
      <c r="AI68" s="501">
        <f t="shared" si="82"/>
        <v>0</v>
      </c>
      <c r="AJ68" s="504">
        <f t="shared" si="82"/>
        <v>0</v>
      </c>
      <c r="AK68" s="501">
        <f t="shared" si="82"/>
        <v>0</v>
      </c>
      <c r="AL68" s="501">
        <f t="shared" si="82"/>
        <v>0</v>
      </c>
      <c r="AM68" s="501">
        <f t="shared" si="82"/>
        <v>0</v>
      </c>
      <c r="AN68" s="501">
        <f t="shared" si="49"/>
        <v>0</v>
      </c>
      <c r="AO68" s="502">
        <f t="shared" ref="AO68:BR68" si="83">SUBTOTAL(9,AO66:AO67)</f>
        <v>0</v>
      </c>
      <c r="AP68" s="502">
        <f t="shared" si="83"/>
        <v>0</v>
      </c>
      <c r="AQ68" s="502">
        <f t="shared" si="83"/>
        <v>0</v>
      </c>
      <c r="AR68" s="502">
        <f t="shared" si="83"/>
        <v>0</v>
      </c>
      <c r="AS68" s="502">
        <f t="shared" si="83"/>
        <v>0</v>
      </c>
      <c r="AT68" s="502">
        <f t="shared" si="83"/>
        <v>0</v>
      </c>
      <c r="AU68" s="502">
        <f t="shared" si="83"/>
        <v>0</v>
      </c>
      <c r="AV68" s="502">
        <f t="shared" si="83"/>
        <v>0</v>
      </c>
      <c r="AW68" s="502">
        <f t="shared" si="83"/>
        <v>0</v>
      </c>
      <c r="AX68" s="502">
        <f t="shared" si="83"/>
        <v>0</v>
      </c>
      <c r="AY68" s="502">
        <f t="shared" si="83"/>
        <v>0</v>
      </c>
      <c r="AZ68" s="501">
        <f t="shared" si="83"/>
        <v>0</v>
      </c>
      <c r="BA68" s="503">
        <f t="shared" si="83"/>
        <v>0</v>
      </c>
      <c r="BB68" s="503">
        <f t="shared" si="83"/>
        <v>0</v>
      </c>
      <c r="BC68" s="501">
        <f t="shared" si="83"/>
        <v>0</v>
      </c>
      <c r="BD68" s="501">
        <f t="shared" si="83"/>
        <v>0</v>
      </c>
      <c r="BE68" s="502">
        <f t="shared" si="83"/>
        <v>0</v>
      </c>
      <c r="BF68" s="502">
        <f t="shared" si="83"/>
        <v>0</v>
      </c>
      <c r="BG68" s="502">
        <f t="shared" si="83"/>
        <v>0</v>
      </c>
      <c r="BH68" s="502">
        <f t="shared" si="83"/>
        <v>0</v>
      </c>
      <c r="BI68" s="502">
        <f t="shared" si="83"/>
        <v>0</v>
      </c>
      <c r="BJ68" s="502">
        <f t="shared" si="83"/>
        <v>0</v>
      </c>
      <c r="BK68" s="502">
        <f t="shared" si="83"/>
        <v>0</v>
      </c>
      <c r="BL68" s="502">
        <f t="shared" si="83"/>
        <v>0</v>
      </c>
      <c r="BM68" s="502">
        <f t="shared" si="83"/>
        <v>0</v>
      </c>
      <c r="BN68" s="502">
        <f t="shared" si="83"/>
        <v>0</v>
      </c>
      <c r="BO68" s="502">
        <f t="shared" si="83"/>
        <v>0</v>
      </c>
      <c r="BP68" s="502">
        <f t="shared" si="83"/>
        <v>0</v>
      </c>
      <c r="BQ68" s="502">
        <f t="shared" si="83"/>
        <v>0</v>
      </c>
      <c r="BR68" s="501">
        <f t="shared" si="83"/>
        <v>0</v>
      </c>
    </row>
    <row r="69" spans="1:97" x14ac:dyDescent="0.25">
      <c r="A69" s="694">
        <f>+A66+1</f>
        <v>43486</v>
      </c>
      <c r="B69" s="521" t="s">
        <v>561</v>
      </c>
      <c r="C69" s="514">
        <v>9914.76</v>
      </c>
      <c r="D69" s="517">
        <v>9064.48</v>
      </c>
      <c r="E69" s="517">
        <v>9065</v>
      </c>
      <c r="F69" s="520">
        <v>43486</v>
      </c>
      <c r="G69" s="514">
        <f>IF(E69-D69&lt;0,E69-D69,0)*-1</f>
        <v>0</v>
      </c>
      <c r="H69" s="514">
        <f>IF(E69-D69&gt;0,E69-D69,0)</f>
        <v>0.52000000000043656</v>
      </c>
      <c r="I69" s="517"/>
      <c r="J69" s="517"/>
      <c r="K69" s="517">
        <v>266.88</v>
      </c>
      <c r="L69" s="517"/>
      <c r="M69" s="519">
        <f>(+K69)*M$5</f>
        <v>5.737919999999999</v>
      </c>
      <c r="N69" s="519">
        <f>(+K69)*N$5</f>
        <v>1.3344</v>
      </c>
      <c r="O69" s="519">
        <f>+K69-M69-N69+P69</f>
        <v>259.80768</v>
      </c>
      <c r="P69" s="519"/>
      <c r="Q69" s="518"/>
      <c r="R69" s="517"/>
      <c r="S69" s="517"/>
      <c r="T69" s="519"/>
      <c r="U69" s="519"/>
      <c r="V69" s="519"/>
      <c r="W69" s="519"/>
      <c r="X69" s="518"/>
      <c r="Y69" s="517"/>
      <c r="Z69" s="517">
        <v>8.4</v>
      </c>
      <c r="AA69" s="517"/>
      <c r="AB69" s="517"/>
      <c r="AC69" s="517">
        <v>200</v>
      </c>
      <c r="AD69" s="515"/>
      <c r="AE69" s="515">
        <v>375</v>
      </c>
      <c r="AF69" s="517">
        <v>646.76</v>
      </c>
      <c r="AG69" s="514">
        <f>(AF69*0.8)*0.85</f>
        <v>439.79680000000002</v>
      </c>
      <c r="AH69" s="514">
        <f>(AF69*0.8)*0.15</f>
        <v>77.611199999999997</v>
      </c>
      <c r="AI69" s="514">
        <f>AF69*0.2</f>
        <v>129.352</v>
      </c>
      <c r="AJ69" s="517"/>
      <c r="AK69" s="514">
        <f>(C69-AF69-AJ69)/1.12</f>
        <v>8275</v>
      </c>
      <c r="AL69" s="514">
        <f>AK69-SUM(Y69:AC69)</f>
        <v>8066.6</v>
      </c>
      <c r="AM69" s="514">
        <f>+AL69*0.12</f>
        <v>967.99199999999996</v>
      </c>
      <c r="AN69" s="514">
        <f t="shared" si="49"/>
        <v>9034.5920000000006</v>
      </c>
      <c r="AO69" s="513">
        <v>0</v>
      </c>
      <c r="AP69" s="516"/>
      <c r="AQ69" s="516"/>
      <c r="AR69" s="516"/>
      <c r="AS69" s="516"/>
      <c r="AT69" s="516"/>
      <c r="AU69" s="516"/>
      <c r="AV69" s="516"/>
      <c r="AW69" s="516"/>
      <c r="AX69" s="516"/>
      <c r="AY69" s="516"/>
      <c r="AZ69" s="514">
        <f>SUM(AO69:AY69)</f>
        <v>0</v>
      </c>
      <c r="BA69" s="515"/>
      <c r="BB69" s="515"/>
      <c r="BC69" s="514">
        <f>SUM(BE69:BM69)*0.1+(BN69*0.5)</f>
        <v>0</v>
      </c>
      <c r="BD69" s="514">
        <f>SUM(BE69:BM69)+(BN69*0.5)</f>
        <v>0</v>
      </c>
      <c r="BE69" s="513"/>
      <c r="BF69" s="513"/>
      <c r="BG69" s="513"/>
      <c r="BH69" s="513"/>
      <c r="BI69" s="513"/>
      <c r="BJ69" s="513"/>
      <c r="BK69" s="513"/>
      <c r="BL69" s="513"/>
      <c r="BM69" s="513"/>
      <c r="BN69" s="513"/>
      <c r="BO69" s="513"/>
      <c r="BP69" s="513"/>
      <c r="BQ69" s="513"/>
      <c r="BR69" s="524">
        <f>AZ69+BA69+BB69+BD69-BC69</f>
        <v>0</v>
      </c>
      <c r="BT69" s="511"/>
      <c r="BU69" s="510"/>
      <c r="BV69" s="510"/>
      <c r="BW69" s="510"/>
      <c r="BX69" s="510"/>
      <c r="BY69" s="510"/>
      <c r="BZ69" s="510"/>
      <c r="CA69" s="510"/>
      <c r="CB69" s="510"/>
      <c r="CC69" s="510"/>
      <c r="CD69" s="510"/>
      <c r="CE69" s="510"/>
      <c r="CF69" s="510"/>
      <c r="CG69" s="510"/>
      <c r="CH69" s="510"/>
      <c r="CI69" s="510"/>
      <c r="CJ69" s="510"/>
      <c r="CK69" s="510"/>
      <c r="CL69" s="510"/>
      <c r="CM69" s="510"/>
      <c r="CN69" s="510"/>
      <c r="CO69" s="510"/>
      <c r="CP69" s="510"/>
      <c r="CQ69" s="510"/>
      <c r="CR69" s="510"/>
      <c r="CS69" s="510"/>
    </row>
    <row r="70" spans="1:97" ht="15.75" thickBot="1" x14ac:dyDescent="0.3">
      <c r="A70" s="695"/>
      <c r="B70" s="521" t="s">
        <v>560</v>
      </c>
      <c r="C70" s="514">
        <v>14791.99</v>
      </c>
      <c r="D70" s="517">
        <v>9759.9500000000007</v>
      </c>
      <c r="E70" s="517">
        <v>9760</v>
      </c>
      <c r="F70" s="520">
        <v>43487</v>
      </c>
      <c r="G70" s="514">
        <f>IF(E70-D70&lt;0,E70-D70,0)*-1</f>
        <v>0</v>
      </c>
      <c r="H70" s="514">
        <f>IF(E70-D70&gt;0,E70-D70,0)</f>
        <v>4.9999999999272404E-2</v>
      </c>
      <c r="I70" s="517"/>
      <c r="J70" s="517"/>
      <c r="K70" s="517">
        <v>784.29</v>
      </c>
      <c r="L70" s="517"/>
      <c r="M70" s="519">
        <f>(+K70)*M$5</f>
        <v>16.862234999999998</v>
      </c>
      <c r="N70" s="519">
        <f>(+K70)*N$5</f>
        <v>3.9214500000000001</v>
      </c>
      <c r="O70" s="519">
        <f>+K70-M70-N70+P70</f>
        <v>763.50631499999986</v>
      </c>
      <c r="P70" s="519"/>
      <c r="Q70" s="518"/>
      <c r="R70" s="517"/>
      <c r="S70" s="517"/>
      <c r="T70" s="519"/>
      <c r="U70" s="519"/>
      <c r="V70" s="519"/>
      <c r="W70" s="519"/>
      <c r="X70" s="518"/>
      <c r="Y70" s="517"/>
      <c r="Z70" s="517">
        <v>20</v>
      </c>
      <c r="AA70" s="517"/>
      <c r="AB70" s="517">
        <v>158</v>
      </c>
      <c r="AC70" s="517">
        <v>43.75</v>
      </c>
      <c r="AD70" s="515"/>
      <c r="AE70" s="515">
        <v>4026</v>
      </c>
      <c r="AF70" s="517">
        <v>812.24</v>
      </c>
      <c r="AG70" s="514">
        <f>(AF70*0.8)*0.85</f>
        <v>552.32320000000004</v>
      </c>
      <c r="AH70" s="514">
        <f>(AF70*0.8)*0.15</f>
        <v>97.468800000000002</v>
      </c>
      <c r="AI70" s="514">
        <f>AF70*0.2</f>
        <v>162.44800000000001</v>
      </c>
      <c r="AJ70" s="517"/>
      <c r="AK70" s="514">
        <f>(C70-AF70-AJ70)/1.12</f>
        <v>12481.919642857141</v>
      </c>
      <c r="AL70" s="514">
        <f>AK70-SUM(Y70:AC70)</f>
        <v>12260.169642857141</v>
      </c>
      <c r="AM70" s="514">
        <f>+AL70*0.12</f>
        <v>1471.220357142857</v>
      </c>
      <c r="AN70" s="514">
        <f t="shared" si="49"/>
        <v>13731.389999999998</v>
      </c>
      <c r="AO70" s="513"/>
      <c r="AP70" s="516"/>
      <c r="AQ70" s="516"/>
      <c r="AR70" s="516"/>
      <c r="AS70" s="516"/>
      <c r="AT70" s="516"/>
      <c r="AU70" s="516"/>
      <c r="AV70" s="516"/>
      <c r="AW70" s="516"/>
      <c r="AX70" s="516"/>
      <c r="AY70" s="516"/>
      <c r="AZ70" s="514">
        <f>SUM(AO70:AY70)</f>
        <v>0</v>
      </c>
      <c r="BA70" s="515"/>
      <c r="BB70" s="515">
        <v>0</v>
      </c>
      <c r="BC70" s="514"/>
      <c r="BD70" s="514"/>
      <c r="BE70" s="513"/>
      <c r="BF70" s="513"/>
      <c r="BG70" s="513"/>
      <c r="BH70" s="513"/>
      <c r="BI70" s="513"/>
      <c r="BJ70" s="513"/>
      <c r="BK70" s="513"/>
      <c r="BL70" s="513"/>
      <c r="BM70" s="513"/>
      <c r="BN70" s="513"/>
      <c r="BO70" s="513"/>
      <c r="BP70" s="513"/>
      <c r="BQ70" s="513"/>
      <c r="BR70" s="524">
        <f>AZ70+BA70+BB70+BD70-BC70</f>
        <v>0</v>
      </c>
      <c r="BT70" s="511"/>
      <c r="BU70" s="510"/>
      <c r="BV70" s="510"/>
      <c r="BW70" s="510"/>
      <c r="BX70" s="510"/>
      <c r="BY70" s="510"/>
      <c r="BZ70" s="510"/>
      <c r="CA70" s="510"/>
      <c r="CB70" s="510"/>
      <c r="CC70" s="510"/>
      <c r="CD70" s="510"/>
      <c r="CE70" s="510"/>
      <c r="CF70" s="510"/>
      <c r="CG70" s="510"/>
      <c r="CH70" s="510"/>
      <c r="CI70" s="510"/>
      <c r="CJ70" s="510"/>
      <c r="CK70" s="510"/>
      <c r="CL70" s="510"/>
      <c r="CM70" s="510"/>
      <c r="CN70" s="510"/>
      <c r="CO70" s="510"/>
      <c r="CP70" s="510"/>
      <c r="CQ70" s="510"/>
      <c r="CR70" s="510"/>
      <c r="CS70" s="510"/>
    </row>
    <row r="71" spans="1:97" ht="15.75" thickBot="1" x14ac:dyDescent="0.3">
      <c r="A71" s="509"/>
      <c r="B71" s="508"/>
      <c r="C71" s="501">
        <f>SUBTOTAL(9,C69:C70)</f>
        <v>24706.75</v>
      </c>
      <c r="D71" s="504">
        <f>SUBTOTAL(9,D69:D70)</f>
        <v>18824.43</v>
      </c>
      <c r="E71" s="504">
        <f>SUBTOTAL(9,E69:E70)</f>
        <v>18825</v>
      </c>
      <c r="F71" s="505"/>
      <c r="G71" s="504">
        <f t="shared" ref="G71:P71" si="84">SUBTOTAL(9,G69:G70)</f>
        <v>0</v>
      </c>
      <c r="H71" s="504">
        <f t="shared" si="84"/>
        <v>0.56999999999970896</v>
      </c>
      <c r="I71" s="507">
        <f t="shared" si="84"/>
        <v>0</v>
      </c>
      <c r="J71" s="507">
        <f t="shared" si="84"/>
        <v>0</v>
      </c>
      <c r="K71" s="507">
        <f t="shared" si="84"/>
        <v>1051.17</v>
      </c>
      <c r="L71" s="507">
        <f t="shared" si="84"/>
        <v>0</v>
      </c>
      <c r="M71" s="506">
        <f t="shared" si="84"/>
        <v>22.600154999999997</v>
      </c>
      <c r="N71" s="506">
        <f t="shared" si="84"/>
        <v>5.2558500000000006</v>
      </c>
      <c r="O71" s="506">
        <f t="shared" si="84"/>
        <v>1023.3139949999999</v>
      </c>
      <c r="P71" s="506">
        <f t="shared" si="84"/>
        <v>0</v>
      </c>
      <c r="Q71" s="505"/>
      <c r="R71" s="504">
        <f t="shared" ref="R71:W71" si="85">SUBTOTAL(9,R69:R70)</f>
        <v>0</v>
      </c>
      <c r="S71" s="504">
        <f t="shared" si="85"/>
        <v>0</v>
      </c>
      <c r="T71" s="506">
        <f t="shared" si="85"/>
        <v>0</v>
      </c>
      <c r="U71" s="506">
        <f t="shared" si="85"/>
        <v>0</v>
      </c>
      <c r="V71" s="506">
        <f t="shared" si="85"/>
        <v>0</v>
      </c>
      <c r="W71" s="506">
        <f t="shared" si="85"/>
        <v>0</v>
      </c>
      <c r="X71" s="505"/>
      <c r="Y71" s="504">
        <f>SUBTOTAL(9,Y69:Y70)</f>
        <v>0</v>
      </c>
      <c r="Z71" s="504"/>
      <c r="AA71" s="504"/>
      <c r="AB71" s="504"/>
      <c r="AC71" s="504"/>
      <c r="AD71" s="503"/>
      <c r="AE71" s="503"/>
      <c r="AF71" s="504"/>
      <c r="AG71" s="501">
        <f t="shared" ref="AG71:AM71" si="86">SUBTOTAL(9,AG69:AG70)</f>
        <v>992.12000000000012</v>
      </c>
      <c r="AH71" s="501">
        <f t="shared" si="86"/>
        <v>175.07999999999998</v>
      </c>
      <c r="AI71" s="501">
        <f t="shared" si="86"/>
        <v>291.8</v>
      </c>
      <c r="AJ71" s="504">
        <f t="shared" si="86"/>
        <v>0</v>
      </c>
      <c r="AK71" s="501">
        <f t="shared" si="86"/>
        <v>20756.919642857141</v>
      </c>
      <c r="AL71" s="501">
        <f t="shared" si="86"/>
        <v>20326.769642857143</v>
      </c>
      <c r="AM71" s="501">
        <f t="shared" si="86"/>
        <v>2439.2123571428569</v>
      </c>
      <c r="AN71" s="501">
        <f t="shared" si="49"/>
        <v>22765.982</v>
      </c>
      <c r="AO71" s="502">
        <f t="shared" ref="AO71:BR71" si="87">SUBTOTAL(9,AO69:AO70)</f>
        <v>0</v>
      </c>
      <c r="AP71" s="502">
        <f t="shared" si="87"/>
        <v>0</v>
      </c>
      <c r="AQ71" s="502">
        <f t="shared" si="87"/>
        <v>0</v>
      </c>
      <c r="AR71" s="502">
        <f t="shared" si="87"/>
        <v>0</v>
      </c>
      <c r="AS71" s="502">
        <f t="shared" si="87"/>
        <v>0</v>
      </c>
      <c r="AT71" s="502">
        <f t="shared" si="87"/>
        <v>0</v>
      </c>
      <c r="AU71" s="502">
        <f t="shared" si="87"/>
        <v>0</v>
      </c>
      <c r="AV71" s="502">
        <f t="shared" si="87"/>
        <v>0</v>
      </c>
      <c r="AW71" s="502">
        <f t="shared" si="87"/>
        <v>0</v>
      </c>
      <c r="AX71" s="502">
        <f t="shared" si="87"/>
        <v>0</v>
      </c>
      <c r="AY71" s="502">
        <f t="shared" si="87"/>
        <v>0</v>
      </c>
      <c r="AZ71" s="501">
        <f t="shared" si="87"/>
        <v>0</v>
      </c>
      <c r="BA71" s="503">
        <f t="shared" si="87"/>
        <v>0</v>
      </c>
      <c r="BB71" s="503">
        <f t="shared" si="87"/>
        <v>0</v>
      </c>
      <c r="BC71" s="501">
        <f t="shared" si="87"/>
        <v>0</v>
      </c>
      <c r="BD71" s="501">
        <f t="shared" si="87"/>
        <v>0</v>
      </c>
      <c r="BE71" s="502">
        <f t="shared" si="87"/>
        <v>0</v>
      </c>
      <c r="BF71" s="502">
        <f t="shared" si="87"/>
        <v>0</v>
      </c>
      <c r="BG71" s="502">
        <f t="shared" si="87"/>
        <v>0</v>
      </c>
      <c r="BH71" s="502">
        <f t="shared" si="87"/>
        <v>0</v>
      </c>
      <c r="BI71" s="502">
        <f t="shared" si="87"/>
        <v>0</v>
      </c>
      <c r="BJ71" s="502">
        <f t="shared" si="87"/>
        <v>0</v>
      </c>
      <c r="BK71" s="502">
        <f t="shared" si="87"/>
        <v>0</v>
      </c>
      <c r="BL71" s="502">
        <f t="shared" si="87"/>
        <v>0</v>
      </c>
      <c r="BM71" s="502">
        <f t="shared" si="87"/>
        <v>0</v>
      </c>
      <c r="BN71" s="502">
        <f t="shared" si="87"/>
        <v>0</v>
      </c>
      <c r="BO71" s="502">
        <f t="shared" si="87"/>
        <v>0</v>
      </c>
      <c r="BP71" s="502">
        <f t="shared" si="87"/>
        <v>0</v>
      </c>
      <c r="BQ71" s="502">
        <f t="shared" si="87"/>
        <v>0</v>
      </c>
      <c r="BR71" s="501">
        <f t="shared" si="87"/>
        <v>0</v>
      </c>
    </row>
    <row r="72" spans="1:97" x14ac:dyDescent="0.25">
      <c r="A72" s="694">
        <f>+A69+1</f>
        <v>43487</v>
      </c>
      <c r="B72" s="521" t="s">
        <v>561</v>
      </c>
      <c r="C72" s="514">
        <v>17103.03</v>
      </c>
      <c r="D72" s="517">
        <v>7214.79</v>
      </c>
      <c r="E72" s="517">
        <v>7215</v>
      </c>
      <c r="F72" s="520">
        <v>43487</v>
      </c>
      <c r="G72" s="514">
        <f>IF(E72-D72&lt;0,E72-D72,0)*-1</f>
        <v>0</v>
      </c>
      <c r="H72" s="514">
        <f>IF(E72-D72&gt;0,E72-D72,0)</f>
        <v>0.21000000000003638</v>
      </c>
      <c r="I72" s="517"/>
      <c r="J72" s="517"/>
      <c r="K72" s="517">
        <v>4969.9399999999996</v>
      </c>
      <c r="L72" s="517"/>
      <c r="M72" s="519">
        <f>(+K72)*M$5</f>
        <v>106.85370999999998</v>
      </c>
      <c r="N72" s="519">
        <f>(+K72)*N$5</f>
        <v>24.849699999999999</v>
      </c>
      <c r="O72" s="519">
        <f>+K72-M72-N72+P72</f>
        <v>4838.2365899999995</v>
      </c>
      <c r="P72" s="519"/>
      <c r="Q72" s="518"/>
      <c r="R72" s="517"/>
      <c r="S72" s="517"/>
      <c r="T72" s="519"/>
      <c r="U72" s="519"/>
      <c r="V72" s="519"/>
      <c r="W72" s="519"/>
      <c r="X72" s="518"/>
      <c r="Y72" s="517"/>
      <c r="Z72" s="517">
        <v>60</v>
      </c>
      <c r="AA72" s="517"/>
      <c r="AB72" s="517"/>
      <c r="AC72" s="517">
        <v>225.3</v>
      </c>
      <c r="AD72" s="515"/>
      <c r="AE72" s="515">
        <v>937.22</v>
      </c>
      <c r="AF72" s="517">
        <v>937.22</v>
      </c>
      <c r="AG72" s="514">
        <f>(AF72*0.8)*0.85</f>
        <v>637.30960000000005</v>
      </c>
      <c r="AH72" s="514">
        <f>(AF72*0.8)*0.15</f>
        <v>112.46640000000001</v>
      </c>
      <c r="AI72" s="514">
        <f>AF72*0.2</f>
        <v>187.44400000000002</v>
      </c>
      <c r="AJ72" s="517"/>
      <c r="AK72" s="514">
        <f>(C72-AF72-AJ72)/1.12</f>
        <v>14433.758928571428</v>
      </c>
      <c r="AL72" s="514">
        <f>AK72-SUM(Y72:AC72)</f>
        <v>14148.458928571428</v>
      </c>
      <c r="AM72" s="514">
        <f>+AL72*0.12</f>
        <v>1697.8150714285714</v>
      </c>
      <c r="AN72" s="514">
        <f t="shared" si="49"/>
        <v>15846.273999999999</v>
      </c>
      <c r="AO72" s="513"/>
      <c r="AP72" s="516"/>
      <c r="AQ72" s="516"/>
      <c r="AR72" s="516"/>
      <c r="AS72" s="516"/>
      <c r="AT72" s="516"/>
      <c r="AU72" s="516"/>
      <c r="AV72" s="516"/>
      <c r="AW72" s="516"/>
      <c r="AX72" s="516"/>
      <c r="AY72" s="516"/>
      <c r="AZ72" s="514">
        <f>SUM(AO72:AY72)</f>
        <v>0</v>
      </c>
      <c r="BA72" s="515"/>
      <c r="BB72" s="515"/>
      <c r="BC72" s="514">
        <f>SUM(BE72:BM72)*0.1+(BN72*0.5)</f>
        <v>0</v>
      </c>
      <c r="BD72" s="514">
        <f>SUM(BE72:BM72)+(BN72*0.5)</f>
        <v>0</v>
      </c>
      <c r="BE72" s="513"/>
      <c r="BF72" s="513"/>
      <c r="BG72" s="513"/>
      <c r="BH72" s="513"/>
      <c r="BI72" s="513"/>
      <c r="BJ72" s="513"/>
      <c r="BK72" s="513"/>
      <c r="BL72" s="513"/>
      <c r="BM72" s="513"/>
      <c r="BN72" s="513"/>
      <c r="BO72" s="513"/>
      <c r="BP72" s="513"/>
      <c r="BQ72" s="513"/>
      <c r="BR72" s="524">
        <f>AZ72+BA72+BB72+BD72-BC72</f>
        <v>0</v>
      </c>
      <c r="BT72" s="511"/>
      <c r="BU72" s="510"/>
      <c r="BV72" s="510"/>
      <c r="BW72" s="510"/>
      <c r="BX72" s="510"/>
      <c r="BY72" s="510"/>
      <c r="BZ72" s="510"/>
      <c r="CA72" s="510"/>
      <c r="CB72" s="510"/>
      <c r="CC72" s="510"/>
      <c r="CD72" s="510"/>
      <c r="CE72" s="510"/>
      <c r="CF72" s="510"/>
      <c r="CG72" s="510"/>
      <c r="CH72" s="510"/>
      <c r="CI72" s="510"/>
      <c r="CJ72" s="510"/>
      <c r="CK72" s="510"/>
      <c r="CL72" s="510"/>
      <c r="CM72" s="510"/>
      <c r="CN72" s="510"/>
      <c r="CO72" s="510"/>
      <c r="CP72" s="510"/>
      <c r="CQ72" s="510"/>
      <c r="CR72" s="510"/>
      <c r="CS72" s="510"/>
    </row>
    <row r="73" spans="1:97" ht="15.75" thickBot="1" x14ac:dyDescent="0.3">
      <c r="A73" s="695"/>
      <c r="B73" s="521" t="s">
        <v>560</v>
      </c>
      <c r="C73" s="514">
        <v>12493.76</v>
      </c>
      <c r="D73" s="517">
        <v>7095.21</v>
      </c>
      <c r="E73" s="517">
        <v>7096</v>
      </c>
      <c r="F73" s="520">
        <v>43488</v>
      </c>
      <c r="G73" s="514">
        <f>IF(E73-D73&lt;0,E73-D73,0)*-1</f>
        <v>0</v>
      </c>
      <c r="H73" s="514">
        <f>IF(E73-D73&gt;0,E73-D73,0)</f>
        <v>0.78999999999996362</v>
      </c>
      <c r="I73" s="517"/>
      <c r="J73" s="517"/>
      <c r="K73" s="517">
        <v>4825.55</v>
      </c>
      <c r="L73" s="517"/>
      <c r="M73" s="519">
        <f>(+K73)*M$5</f>
        <v>103.749325</v>
      </c>
      <c r="N73" s="519">
        <f>(+K73)*N$5</f>
        <v>24.127750000000002</v>
      </c>
      <c r="O73" s="519">
        <f>+K73-M73-N73+P73</f>
        <v>4697.6729250000008</v>
      </c>
      <c r="P73" s="519"/>
      <c r="Q73" s="518"/>
      <c r="R73" s="517"/>
      <c r="S73" s="517"/>
      <c r="T73" s="519"/>
      <c r="U73" s="519"/>
      <c r="V73" s="519"/>
      <c r="W73" s="519"/>
      <c r="X73" s="518"/>
      <c r="Y73" s="517"/>
      <c r="Z73" s="517">
        <f>38+16.25</f>
        <v>54.25</v>
      </c>
      <c r="AA73" s="517"/>
      <c r="AB73" s="517"/>
      <c r="AC73" s="517">
        <v>43.75</v>
      </c>
      <c r="AD73" s="515"/>
      <c r="AE73" s="515">
        <v>475</v>
      </c>
      <c r="AF73" s="517">
        <v>799.01</v>
      </c>
      <c r="AG73" s="514">
        <f>(AF73*0.8)*0.85</f>
        <v>543.32680000000005</v>
      </c>
      <c r="AH73" s="514">
        <f>(AF73*0.8)*0.15</f>
        <v>95.881200000000007</v>
      </c>
      <c r="AI73" s="514">
        <f>AF73*0.2</f>
        <v>159.80200000000002</v>
      </c>
      <c r="AJ73" s="517"/>
      <c r="AK73" s="514">
        <f>(C73-AF73-AJ73)/1.12</f>
        <v>10441.741071428571</v>
      </c>
      <c r="AL73" s="514">
        <f>AK73-SUM(Y73:AC73)</f>
        <v>10343.741071428571</v>
      </c>
      <c r="AM73" s="514">
        <f>+AL73*0.12</f>
        <v>1241.2489285714285</v>
      </c>
      <c r="AN73" s="514">
        <f t="shared" si="49"/>
        <v>11584.99</v>
      </c>
      <c r="AO73" s="513"/>
      <c r="AP73" s="516"/>
      <c r="AQ73" s="516"/>
      <c r="AR73" s="516"/>
      <c r="AS73" s="516"/>
      <c r="AT73" s="516"/>
      <c r="AU73" s="516"/>
      <c r="AV73" s="516"/>
      <c r="AW73" s="516"/>
      <c r="AX73" s="516"/>
      <c r="AY73" s="516"/>
      <c r="AZ73" s="514">
        <f>SUM(AO73:AY73)</f>
        <v>0</v>
      </c>
      <c r="BA73" s="515"/>
      <c r="BB73" s="515"/>
      <c r="BC73" s="514">
        <f>SUM(BE73:BM73)*0.1+(BN73*0.5)</f>
        <v>24.5</v>
      </c>
      <c r="BD73" s="514">
        <f>SUM(BE73:BM73)+(BN73*0.5)</f>
        <v>245</v>
      </c>
      <c r="BE73" s="513"/>
      <c r="BF73" s="513"/>
      <c r="BG73" s="513"/>
      <c r="BH73" s="513"/>
      <c r="BI73" s="513"/>
      <c r="BJ73" s="513"/>
      <c r="BK73" s="513"/>
      <c r="BL73" s="513">
        <v>245</v>
      </c>
      <c r="BM73" s="513"/>
      <c r="BN73" s="513"/>
      <c r="BO73" s="513"/>
      <c r="BP73" s="513"/>
      <c r="BQ73" s="513"/>
      <c r="BR73" s="524">
        <f>AZ73+BA73+BB73+BD73-BC73</f>
        <v>220.5</v>
      </c>
      <c r="BT73" s="511"/>
      <c r="BU73" s="510"/>
      <c r="BV73" s="510"/>
      <c r="BW73" s="510"/>
      <c r="BX73" s="510"/>
      <c r="BY73" s="510"/>
      <c r="BZ73" s="510"/>
      <c r="CA73" s="510"/>
      <c r="CB73" s="510"/>
      <c r="CC73" s="510"/>
      <c r="CD73" s="510"/>
      <c r="CE73" s="510"/>
      <c r="CF73" s="510"/>
      <c r="CG73" s="510"/>
      <c r="CH73" s="510"/>
      <c r="CI73" s="510"/>
      <c r="CJ73" s="510"/>
      <c r="CK73" s="510"/>
      <c r="CL73" s="510"/>
      <c r="CM73" s="510"/>
      <c r="CN73" s="510"/>
      <c r="CO73" s="510"/>
      <c r="CP73" s="510"/>
      <c r="CQ73" s="510"/>
      <c r="CR73" s="510"/>
      <c r="CS73" s="510"/>
    </row>
    <row r="74" spans="1:97" ht="15.75" thickBot="1" x14ac:dyDescent="0.3">
      <c r="A74" s="509"/>
      <c r="B74" s="508"/>
      <c r="C74" s="501">
        <f>SUBTOTAL(9,C72:C73)</f>
        <v>29596.79</v>
      </c>
      <c r="D74" s="504">
        <f>SUBTOTAL(9,D72:D73)</f>
        <v>14310</v>
      </c>
      <c r="E74" s="504">
        <f>SUBTOTAL(9,E72:E73)</f>
        <v>14311</v>
      </c>
      <c r="F74" s="505"/>
      <c r="G74" s="504">
        <f t="shared" ref="G74:P74" si="88">SUBTOTAL(9,G72:G73)</f>
        <v>0</v>
      </c>
      <c r="H74" s="504">
        <f t="shared" si="88"/>
        <v>1</v>
      </c>
      <c r="I74" s="507">
        <f t="shared" si="88"/>
        <v>0</v>
      </c>
      <c r="J74" s="507">
        <f t="shared" si="88"/>
        <v>0</v>
      </c>
      <c r="K74" s="507">
        <f t="shared" si="88"/>
        <v>9795.49</v>
      </c>
      <c r="L74" s="507">
        <f t="shared" si="88"/>
        <v>0</v>
      </c>
      <c r="M74" s="506">
        <f t="shared" si="88"/>
        <v>210.60303499999998</v>
      </c>
      <c r="N74" s="506">
        <f t="shared" si="88"/>
        <v>48.977450000000005</v>
      </c>
      <c r="O74" s="506">
        <f t="shared" si="88"/>
        <v>9535.9095149999994</v>
      </c>
      <c r="P74" s="506">
        <f t="shared" si="88"/>
        <v>0</v>
      </c>
      <c r="Q74" s="505"/>
      <c r="R74" s="504">
        <f t="shared" ref="R74:W74" si="89">SUBTOTAL(9,R72:R73)</f>
        <v>0</v>
      </c>
      <c r="S74" s="504">
        <f t="shared" si="89"/>
        <v>0</v>
      </c>
      <c r="T74" s="506">
        <f t="shared" si="89"/>
        <v>0</v>
      </c>
      <c r="U74" s="506">
        <f t="shared" si="89"/>
        <v>0</v>
      </c>
      <c r="V74" s="506">
        <f t="shared" si="89"/>
        <v>0</v>
      </c>
      <c r="W74" s="506">
        <f t="shared" si="89"/>
        <v>0</v>
      </c>
      <c r="X74" s="505"/>
      <c r="Y74" s="504">
        <f>SUBTOTAL(9,Y72:Y73)</f>
        <v>0</v>
      </c>
      <c r="Z74" s="504"/>
      <c r="AA74" s="504"/>
      <c r="AB74" s="504"/>
      <c r="AC74" s="504"/>
      <c r="AD74" s="503"/>
      <c r="AE74" s="503"/>
      <c r="AF74" s="504"/>
      <c r="AG74" s="501">
        <f t="shared" ref="AG74:AM74" si="90">SUBTOTAL(9,AG72:AG73)</f>
        <v>1180.6364000000001</v>
      </c>
      <c r="AH74" s="501">
        <f t="shared" si="90"/>
        <v>208.3476</v>
      </c>
      <c r="AI74" s="501">
        <f t="shared" si="90"/>
        <v>347.24600000000004</v>
      </c>
      <c r="AJ74" s="504">
        <f t="shared" si="90"/>
        <v>0</v>
      </c>
      <c r="AK74" s="501">
        <f t="shared" si="90"/>
        <v>24875.5</v>
      </c>
      <c r="AL74" s="501">
        <f t="shared" si="90"/>
        <v>24492.199999999997</v>
      </c>
      <c r="AM74" s="501">
        <f t="shared" si="90"/>
        <v>2939.0639999999999</v>
      </c>
      <c r="AN74" s="501">
        <f t="shared" si="49"/>
        <v>27431.263999999996</v>
      </c>
      <c r="AO74" s="502">
        <f t="shared" ref="AO74:BR74" si="91">SUBTOTAL(9,AO72:AO73)</f>
        <v>0</v>
      </c>
      <c r="AP74" s="502">
        <f t="shared" si="91"/>
        <v>0</v>
      </c>
      <c r="AQ74" s="502">
        <f t="shared" si="91"/>
        <v>0</v>
      </c>
      <c r="AR74" s="502">
        <f t="shared" si="91"/>
        <v>0</v>
      </c>
      <c r="AS74" s="502">
        <f t="shared" si="91"/>
        <v>0</v>
      </c>
      <c r="AT74" s="502">
        <f t="shared" si="91"/>
        <v>0</v>
      </c>
      <c r="AU74" s="502">
        <f t="shared" si="91"/>
        <v>0</v>
      </c>
      <c r="AV74" s="502">
        <f t="shared" si="91"/>
        <v>0</v>
      </c>
      <c r="AW74" s="502">
        <f t="shared" si="91"/>
        <v>0</v>
      </c>
      <c r="AX74" s="502">
        <f t="shared" si="91"/>
        <v>0</v>
      </c>
      <c r="AY74" s="502">
        <f t="shared" si="91"/>
        <v>0</v>
      </c>
      <c r="AZ74" s="501">
        <f t="shared" si="91"/>
        <v>0</v>
      </c>
      <c r="BA74" s="503">
        <f t="shared" si="91"/>
        <v>0</v>
      </c>
      <c r="BB74" s="503">
        <f t="shared" si="91"/>
        <v>0</v>
      </c>
      <c r="BC74" s="501">
        <f t="shared" si="91"/>
        <v>24.5</v>
      </c>
      <c r="BD74" s="501">
        <f t="shared" si="91"/>
        <v>245</v>
      </c>
      <c r="BE74" s="502">
        <f t="shared" si="91"/>
        <v>0</v>
      </c>
      <c r="BF74" s="502">
        <f t="shared" si="91"/>
        <v>0</v>
      </c>
      <c r="BG74" s="502">
        <f t="shared" si="91"/>
        <v>0</v>
      </c>
      <c r="BH74" s="502">
        <f t="shared" si="91"/>
        <v>0</v>
      </c>
      <c r="BI74" s="502">
        <f t="shared" si="91"/>
        <v>0</v>
      </c>
      <c r="BJ74" s="502">
        <f t="shared" si="91"/>
        <v>0</v>
      </c>
      <c r="BK74" s="502">
        <f t="shared" si="91"/>
        <v>0</v>
      </c>
      <c r="BL74" s="502">
        <f t="shared" si="91"/>
        <v>245</v>
      </c>
      <c r="BM74" s="502">
        <f t="shared" si="91"/>
        <v>0</v>
      </c>
      <c r="BN74" s="502">
        <f t="shared" si="91"/>
        <v>0</v>
      </c>
      <c r="BO74" s="502">
        <f t="shared" si="91"/>
        <v>0</v>
      </c>
      <c r="BP74" s="502">
        <f t="shared" si="91"/>
        <v>0</v>
      </c>
      <c r="BQ74" s="502">
        <f t="shared" si="91"/>
        <v>0</v>
      </c>
      <c r="BR74" s="501">
        <f t="shared" si="91"/>
        <v>220.5</v>
      </c>
    </row>
    <row r="75" spans="1:97" x14ac:dyDescent="0.25">
      <c r="A75" s="694">
        <f>+A72+1</f>
        <v>43488</v>
      </c>
      <c r="B75" s="521" t="s">
        <v>561</v>
      </c>
      <c r="C75" s="514">
        <v>28653.07</v>
      </c>
      <c r="D75" s="517">
        <v>12737.78</v>
      </c>
      <c r="E75" s="517">
        <v>12745</v>
      </c>
      <c r="F75" s="520">
        <v>43488</v>
      </c>
      <c r="G75" s="514"/>
      <c r="H75" s="514">
        <f>IF(E75-D75&gt;0,E75-D75,0)</f>
        <v>7.2199999999993452</v>
      </c>
      <c r="I75" s="517"/>
      <c r="J75" s="517"/>
      <c r="K75" s="517">
        <v>7047.67</v>
      </c>
      <c r="L75" s="517"/>
      <c r="M75" s="519">
        <f>(+K75)*M$5</f>
        <v>151.52490499999999</v>
      </c>
      <c r="N75" s="519">
        <f>(+K75)*N$5</f>
        <v>35.238350000000004</v>
      </c>
      <c r="O75" s="519">
        <f>+K75-M75-N75+P75</f>
        <v>6860.9067450000002</v>
      </c>
      <c r="P75" s="519"/>
      <c r="Q75" s="518"/>
      <c r="R75" s="517"/>
      <c r="S75" s="517"/>
      <c r="T75" s="519"/>
      <c r="U75" s="519"/>
      <c r="V75" s="519"/>
      <c r="W75" s="519"/>
      <c r="X75" s="518"/>
      <c r="Y75" s="517"/>
      <c r="Z75" s="517"/>
      <c r="AA75" s="517"/>
      <c r="AB75" s="517"/>
      <c r="AC75" s="517">
        <v>347.62</v>
      </c>
      <c r="AD75" s="515"/>
      <c r="AE75" s="515">
        <v>8520</v>
      </c>
      <c r="AF75" s="517">
        <v>1543.65</v>
      </c>
      <c r="AG75" s="514">
        <f>(AF75*0.8)*0.85</f>
        <v>1049.682</v>
      </c>
      <c r="AH75" s="514">
        <f>(AF75*0.8)*0.15</f>
        <v>185.238</v>
      </c>
      <c r="AI75" s="514">
        <f>AF75*0.2</f>
        <v>308.73</v>
      </c>
      <c r="AJ75" s="517"/>
      <c r="AK75" s="514">
        <f>(C75-AF75-AJ75)/1.12</f>
        <v>24204.839285714283</v>
      </c>
      <c r="AL75" s="514">
        <f>AK75-SUM(Y75:AC75)</f>
        <v>23857.219285714284</v>
      </c>
      <c r="AM75" s="514">
        <f>+AL75*0.12</f>
        <v>2862.866314285714</v>
      </c>
      <c r="AN75" s="514">
        <f t="shared" si="49"/>
        <v>26720.085599999999</v>
      </c>
      <c r="AO75" s="513"/>
      <c r="AP75" s="516"/>
      <c r="AQ75" s="516"/>
      <c r="AR75" s="516"/>
      <c r="AS75" s="516"/>
      <c r="AT75" s="516"/>
      <c r="AU75" s="516"/>
      <c r="AV75" s="516"/>
      <c r="AW75" s="516"/>
      <c r="AX75" s="516"/>
      <c r="AY75" s="516"/>
      <c r="AZ75" s="514">
        <f>SUM(AO75:AY75)</f>
        <v>0</v>
      </c>
      <c r="BA75" s="515"/>
      <c r="BB75" s="515"/>
      <c r="BC75" s="514">
        <f>SUM(BE75:BM75)*0.1+(BN75*0.5)</f>
        <v>0</v>
      </c>
      <c r="BD75" s="514">
        <f>SUM(BE75:BM75)+(BN75*0.5)</f>
        <v>0</v>
      </c>
      <c r="BE75" s="513"/>
      <c r="BF75" s="513"/>
      <c r="BG75" s="513"/>
      <c r="BH75" s="513"/>
      <c r="BI75" s="513"/>
      <c r="BJ75" s="513"/>
      <c r="BK75" s="513"/>
      <c r="BL75" s="513"/>
      <c r="BM75" s="513"/>
      <c r="BN75" s="513"/>
      <c r="BO75" s="513"/>
      <c r="BP75" s="513"/>
      <c r="BQ75" s="513"/>
      <c r="BR75" s="524">
        <f>AZ75+BA75+BB75+BD75-BC75</f>
        <v>0</v>
      </c>
      <c r="BT75" s="511"/>
      <c r="BU75" s="510"/>
      <c r="BV75" s="510"/>
      <c r="BW75" s="510"/>
      <c r="BX75" s="510"/>
      <c r="BY75" s="510"/>
      <c r="BZ75" s="510"/>
      <c r="CA75" s="510"/>
      <c r="CB75" s="510"/>
      <c r="CC75" s="510"/>
      <c r="CD75" s="510"/>
      <c r="CE75" s="510"/>
      <c r="CF75" s="510"/>
      <c r="CG75" s="510"/>
      <c r="CH75" s="510"/>
      <c r="CI75" s="510"/>
      <c r="CJ75" s="510"/>
      <c r="CK75" s="510"/>
      <c r="CL75" s="510"/>
      <c r="CM75" s="510"/>
      <c r="CN75" s="510"/>
      <c r="CO75" s="510"/>
      <c r="CP75" s="510"/>
      <c r="CQ75" s="510"/>
      <c r="CR75" s="510"/>
      <c r="CS75" s="510"/>
    </row>
    <row r="76" spans="1:97" ht="15.75" thickBot="1" x14ac:dyDescent="0.3">
      <c r="A76" s="695"/>
      <c r="B76" s="521" t="s">
        <v>560</v>
      </c>
      <c r="C76" s="514">
        <v>13699.35</v>
      </c>
      <c r="D76" s="517">
        <v>5049.62</v>
      </c>
      <c r="E76" s="517">
        <v>5050</v>
      </c>
      <c r="F76" s="520">
        <v>43489</v>
      </c>
      <c r="G76" s="514"/>
      <c r="H76" s="514">
        <f>IF(E76-D76&gt;0,E76-D76,0)</f>
        <v>0.38000000000010914</v>
      </c>
      <c r="I76" s="517"/>
      <c r="J76" s="517"/>
      <c r="K76" s="517">
        <v>6971.44</v>
      </c>
      <c r="L76" s="517"/>
      <c r="M76" s="519">
        <f>(+K76)*M$5</f>
        <v>149.88595999999998</v>
      </c>
      <c r="N76" s="519">
        <f>(+K76)*N$5</f>
        <v>34.857199999999999</v>
      </c>
      <c r="O76" s="519">
        <f>+K76-M76-N76+P76</f>
        <v>6786.6968399999996</v>
      </c>
      <c r="P76" s="519"/>
      <c r="Q76" s="518"/>
      <c r="R76" s="517"/>
      <c r="S76" s="517"/>
      <c r="T76" s="519"/>
      <c r="U76" s="519"/>
      <c r="V76" s="519"/>
      <c r="W76" s="519"/>
      <c r="X76" s="518"/>
      <c r="Y76" s="517"/>
      <c r="Z76" s="517">
        <v>32</v>
      </c>
      <c r="AA76" s="517"/>
      <c r="AB76" s="517"/>
      <c r="AC76" s="517">
        <v>29.29</v>
      </c>
      <c r="AD76" s="515"/>
      <c r="AE76" s="515">
        <v>1617</v>
      </c>
      <c r="AF76" s="517">
        <v>896.92</v>
      </c>
      <c r="AG76" s="514">
        <f>(AF76*0.8)*0.85</f>
        <v>609.90560000000005</v>
      </c>
      <c r="AH76" s="514">
        <f>(AF76*0.8)*0.15</f>
        <v>107.63040000000001</v>
      </c>
      <c r="AI76" s="514">
        <f>AF76*0.2</f>
        <v>179.38400000000001</v>
      </c>
      <c r="AJ76" s="517"/>
      <c r="AK76" s="514">
        <f>(C76-AF76-AJ76)/1.12</f>
        <v>11430.741071428571</v>
      </c>
      <c r="AL76" s="514">
        <f>AK76-SUM(Y76:AC76)</f>
        <v>11369.45107142857</v>
      </c>
      <c r="AM76" s="514">
        <f>+AL76*0.12</f>
        <v>1364.3341285714282</v>
      </c>
      <c r="AN76" s="514">
        <f t="shared" ref="AN76:AN101" si="92">+AM76+AL76+AJ76</f>
        <v>12733.785199999998</v>
      </c>
      <c r="AO76" s="513">
        <v>285</v>
      </c>
      <c r="AP76" s="516"/>
      <c r="AQ76" s="516"/>
      <c r="AR76" s="516"/>
      <c r="AS76" s="516"/>
      <c r="AT76" s="516"/>
      <c r="AU76" s="516"/>
      <c r="AV76" s="516"/>
      <c r="AW76" s="516"/>
      <c r="AX76" s="516"/>
      <c r="AY76" s="516"/>
      <c r="AZ76" s="514">
        <f>SUM(AO76:AY76)</f>
        <v>285</v>
      </c>
      <c r="BA76" s="515"/>
      <c r="BB76" s="515">
        <v>0</v>
      </c>
      <c r="BC76" s="514"/>
      <c r="BD76" s="514"/>
      <c r="BE76" s="513"/>
      <c r="BF76" s="513"/>
      <c r="BG76" s="513">
        <v>0</v>
      </c>
      <c r="BH76" s="513"/>
      <c r="BI76" s="513">
        <v>0</v>
      </c>
      <c r="BJ76" s="513"/>
      <c r="BK76" s="513"/>
      <c r="BL76" s="513"/>
      <c r="BM76" s="513"/>
      <c r="BN76" s="513"/>
      <c r="BO76" s="513"/>
      <c r="BP76" s="513"/>
      <c r="BQ76" s="513"/>
      <c r="BR76" s="524">
        <f>AZ76+BA76+BB76+BD76-BC76</f>
        <v>285</v>
      </c>
      <c r="BT76" s="511"/>
      <c r="BU76" s="510"/>
      <c r="BV76" s="510"/>
      <c r="BW76" s="510"/>
      <c r="BX76" s="510"/>
      <c r="BY76" s="510"/>
      <c r="BZ76" s="510"/>
      <c r="CA76" s="510"/>
      <c r="CB76" s="510"/>
      <c r="CC76" s="510"/>
      <c r="CD76" s="510"/>
      <c r="CE76" s="510"/>
      <c r="CF76" s="510"/>
      <c r="CG76" s="510"/>
      <c r="CH76" s="510"/>
      <c r="CI76" s="510"/>
      <c r="CJ76" s="510"/>
      <c r="CK76" s="510"/>
      <c r="CL76" s="510"/>
      <c r="CM76" s="510"/>
      <c r="CN76" s="510"/>
      <c r="CO76" s="510"/>
      <c r="CP76" s="510"/>
      <c r="CQ76" s="510"/>
      <c r="CR76" s="510"/>
      <c r="CS76" s="510"/>
    </row>
    <row r="77" spans="1:97" ht="15.75" thickBot="1" x14ac:dyDescent="0.3">
      <c r="A77" s="509"/>
      <c r="B77" s="508"/>
      <c r="C77" s="501">
        <f>SUBTOTAL(9,C75:C76)</f>
        <v>42352.42</v>
      </c>
      <c r="D77" s="504">
        <f>SUBTOTAL(9,D75:D76)</f>
        <v>17787.400000000001</v>
      </c>
      <c r="E77" s="504">
        <f>SUBTOTAL(9,E75:E76)</f>
        <v>17795</v>
      </c>
      <c r="F77" s="505"/>
      <c r="G77" s="504">
        <f t="shared" ref="G77:P77" si="93">SUBTOTAL(9,G75:G76)</f>
        <v>0</v>
      </c>
      <c r="H77" s="504">
        <f t="shared" si="93"/>
        <v>7.5999999999994543</v>
      </c>
      <c r="I77" s="504">
        <f t="shared" si="93"/>
        <v>0</v>
      </c>
      <c r="J77" s="504">
        <f t="shared" si="93"/>
        <v>0</v>
      </c>
      <c r="K77" s="507">
        <f t="shared" si="93"/>
        <v>14019.11</v>
      </c>
      <c r="L77" s="504">
        <f t="shared" si="93"/>
        <v>0</v>
      </c>
      <c r="M77" s="506">
        <f t="shared" si="93"/>
        <v>301.41086499999994</v>
      </c>
      <c r="N77" s="506">
        <f t="shared" si="93"/>
        <v>70.095550000000003</v>
      </c>
      <c r="O77" s="506">
        <f t="shared" si="93"/>
        <v>13647.603585000001</v>
      </c>
      <c r="P77" s="506">
        <f t="shared" si="93"/>
        <v>0</v>
      </c>
      <c r="Q77" s="529"/>
      <c r="R77" s="504">
        <f t="shared" ref="R77:W77" si="94">SUBTOTAL(9,R75:R76)</f>
        <v>0</v>
      </c>
      <c r="S77" s="504">
        <f t="shared" si="94"/>
        <v>0</v>
      </c>
      <c r="T77" s="506">
        <f t="shared" si="94"/>
        <v>0</v>
      </c>
      <c r="U77" s="506">
        <f t="shared" si="94"/>
        <v>0</v>
      </c>
      <c r="V77" s="506">
        <f t="shared" si="94"/>
        <v>0</v>
      </c>
      <c r="W77" s="506">
        <f t="shared" si="94"/>
        <v>0</v>
      </c>
      <c r="X77" s="505"/>
      <c r="Y77" s="504">
        <f>SUBTOTAL(9,Y75:Y76)</f>
        <v>0</v>
      </c>
      <c r="Z77" s="504"/>
      <c r="AA77" s="504"/>
      <c r="AB77" s="504"/>
      <c r="AC77" s="504"/>
      <c r="AD77" s="503"/>
      <c r="AE77" s="503"/>
      <c r="AF77" s="504"/>
      <c r="AG77" s="501">
        <f t="shared" ref="AG77:AM77" si="95">SUBTOTAL(9,AG75:AG76)</f>
        <v>1659.5876000000001</v>
      </c>
      <c r="AH77" s="501">
        <f t="shared" si="95"/>
        <v>292.86840000000001</v>
      </c>
      <c r="AI77" s="501">
        <f t="shared" si="95"/>
        <v>488.11400000000003</v>
      </c>
      <c r="AJ77" s="504">
        <f t="shared" si="95"/>
        <v>0</v>
      </c>
      <c r="AK77" s="501">
        <f t="shared" si="95"/>
        <v>35635.580357142855</v>
      </c>
      <c r="AL77" s="501">
        <f t="shared" si="95"/>
        <v>35226.670357142852</v>
      </c>
      <c r="AM77" s="501">
        <f t="shared" si="95"/>
        <v>4227.2004428571418</v>
      </c>
      <c r="AN77" s="501">
        <f t="shared" si="92"/>
        <v>39453.87079999999</v>
      </c>
      <c r="AO77" s="502">
        <f t="shared" ref="AO77:BR77" si="96">SUBTOTAL(9,AO75:AO76)</f>
        <v>285</v>
      </c>
      <c r="AP77" s="502">
        <f t="shared" si="96"/>
        <v>0</v>
      </c>
      <c r="AQ77" s="502">
        <f t="shared" si="96"/>
        <v>0</v>
      </c>
      <c r="AR77" s="502">
        <f t="shared" si="96"/>
        <v>0</v>
      </c>
      <c r="AS77" s="502">
        <f t="shared" si="96"/>
        <v>0</v>
      </c>
      <c r="AT77" s="502">
        <f t="shared" si="96"/>
        <v>0</v>
      </c>
      <c r="AU77" s="502">
        <f t="shared" si="96"/>
        <v>0</v>
      </c>
      <c r="AV77" s="502">
        <f t="shared" si="96"/>
        <v>0</v>
      </c>
      <c r="AW77" s="502">
        <f t="shared" si="96"/>
        <v>0</v>
      </c>
      <c r="AX77" s="502">
        <f t="shared" si="96"/>
        <v>0</v>
      </c>
      <c r="AY77" s="502">
        <f t="shared" si="96"/>
        <v>0</v>
      </c>
      <c r="AZ77" s="501">
        <f t="shared" si="96"/>
        <v>285</v>
      </c>
      <c r="BA77" s="503">
        <f t="shared" si="96"/>
        <v>0</v>
      </c>
      <c r="BB77" s="503">
        <f t="shared" si="96"/>
        <v>0</v>
      </c>
      <c r="BC77" s="501">
        <f t="shared" si="96"/>
        <v>0</v>
      </c>
      <c r="BD77" s="501">
        <f t="shared" si="96"/>
        <v>0</v>
      </c>
      <c r="BE77" s="502">
        <f t="shared" si="96"/>
        <v>0</v>
      </c>
      <c r="BF77" s="502">
        <f t="shared" si="96"/>
        <v>0</v>
      </c>
      <c r="BG77" s="502">
        <f t="shared" si="96"/>
        <v>0</v>
      </c>
      <c r="BH77" s="502">
        <f t="shared" si="96"/>
        <v>0</v>
      </c>
      <c r="BI77" s="502">
        <f t="shared" si="96"/>
        <v>0</v>
      </c>
      <c r="BJ77" s="502">
        <f t="shared" si="96"/>
        <v>0</v>
      </c>
      <c r="BK77" s="502">
        <f t="shared" si="96"/>
        <v>0</v>
      </c>
      <c r="BL77" s="502">
        <f t="shared" si="96"/>
        <v>0</v>
      </c>
      <c r="BM77" s="502">
        <f t="shared" si="96"/>
        <v>0</v>
      </c>
      <c r="BN77" s="502">
        <f t="shared" si="96"/>
        <v>0</v>
      </c>
      <c r="BO77" s="502">
        <f t="shared" si="96"/>
        <v>0</v>
      </c>
      <c r="BP77" s="502">
        <f t="shared" si="96"/>
        <v>0</v>
      </c>
      <c r="BQ77" s="502">
        <f t="shared" si="96"/>
        <v>0</v>
      </c>
      <c r="BR77" s="501">
        <f t="shared" si="96"/>
        <v>285</v>
      </c>
    </row>
    <row r="78" spans="1:97" x14ac:dyDescent="0.25">
      <c r="A78" s="694">
        <f>+A75+1</f>
        <v>43489</v>
      </c>
      <c r="B78" s="521" t="s">
        <v>561</v>
      </c>
      <c r="C78" s="514">
        <v>22489.19</v>
      </c>
      <c r="D78" s="517">
        <v>12709.09</v>
      </c>
      <c r="E78" s="517">
        <v>12710</v>
      </c>
      <c r="F78" s="520">
        <v>43489</v>
      </c>
      <c r="G78" s="514">
        <f>IF(E78-D78&lt;0,E78-D78,0)*-1</f>
        <v>0</v>
      </c>
      <c r="H78" s="514">
        <f>IF(E78-D78&gt;0,E78-D78,0)</f>
        <v>0.90999999999985448</v>
      </c>
      <c r="I78" s="517"/>
      <c r="J78" s="517"/>
      <c r="K78" s="517">
        <v>7315.92</v>
      </c>
      <c r="L78" s="517"/>
      <c r="M78" s="519">
        <f>(+K78)*M$5</f>
        <v>157.29227999999998</v>
      </c>
      <c r="N78" s="519">
        <f>(+K78)*N$5</f>
        <v>36.579599999999999</v>
      </c>
      <c r="O78" s="519">
        <f>+K78-M78-N78+P78</f>
        <v>7122.0481200000004</v>
      </c>
      <c r="P78" s="519">
        <f>L78-(L78*(M$5+N$5))</f>
        <v>0</v>
      </c>
      <c r="Q78" s="518"/>
      <c r="R78" s="517"/>
      <c r="S78" s="517"/>
      <c r="T78" s="519">
        <f>+R78*T$5</f>
        <v>0</v>
      </c>
      <c r="U78" s="519">
        <f>+R78*U$5</f>
        <v>0</v>
      </c>
      <c r="V78" s="519">
        <f>+R78-T78-U78+W78</f>
        <v>0</v>
      </c>
      <c r="W78" s="519">
        <f>+S78-(S78*(T$5+U$5))</f>
        <v>0</v>
      </c>
      <c r="X78" s="518"/>
      <c r="Y78" s="517"/>
      <c r="Z78" s="517">
        <v>92.5</v>
      </c>
      <c r="AA78" s="517"/>
      <c r="AB78" s="517"/>
      <c r="AC78" s="517">
        <v>236.43</v>
      </c>
      <c r="AD78" s="515"/>
      <c r="AE78" s="515">
        <v>2135.25</v>
      </c>
      <c r="AF78" s="517">
        <v>1594.8</v>
      </c>
      <c r="AG78" s="514">
        <f>(AF78*0.8)*0.85</f>
        <v>1084.4640000000002</v>
      </c>
      <c r="AH78" s="514">
        <f>(AF78*0.8)*0.15</f>
        <v>191.376</v>
      </c>
      <c r="AI78" s="514">
        <f>AF78*0.2</f>
        <v>318.96000000000004</v>
      </c>
      <c r="AJ78" s="517"/>
      <c r="AK78" s="514">
        <f>(C78-AF78-AJ78)/1.12</f>
        <v>18655.705357142855</v>
      </c>
      <c r="AL78" s="514">
        <f>AK78-SUM(Y78:AC78)</f>
        <v>18326.775357142855</v>
      </c>
      <c r="AM78" s="514">
        <f>+AL78*0.12</f>
        <v>2199.2130428571427</v>
      </c>
      <c r="AN78" s="514">
        <f t="shared" si="92"/>
        <v>20525.988399999998</v>
      </c>
      <c r="AO78" s="513"/>
      <c r="AP78" s="516"/>
      <c r="AQ78" s="516"/>
      <c r="AR78" s="516"/>
      <c r="AS78" s="516"/>
      <c r="AT78" s="516"/>
      <c r="AU78" s="516"/>
      <c r="AV78" s="516"/>
      <c r="AW78" s="516"/>
      <c r="AX78" s="516"/>
      <c r="AY78" s="516"/>
      <c r="AZ78" s="514">
        <f>SUM(AO78:AY78)</f>
        <v>0</v>
      </c>
      <c r="BA78" s="515"/>
      <c r="BB78" s="515"/>
      <c r="BC78" s="514">
        <f>SUM(BE78:BM78)*0.1+(BN78*0.5)</f>
        <v>0</v>
      </c>
      <c r="BD78" s="514">
        <f>SUM(BE78:BM78)+(BN78*0.5)</f>
        <v>0</v>
      </c>
      <c r="BE78" s="513"/>
      <c r="BF78" s="513"/>
      <c r="BG78" s="513"/>
      <c r="BH78" s="513"/>
      <c r="BI78" s="513"/>
      <c r="BJ78" s="513"/>
      <c r="BK78" s="513"/>
      <c r="BL78" s="513"/>
      <c r="BM78" s="513"/>
      <c r="BN78" s="513"/>
      <c r="BO78" s="513"/>
      <c r="BP78" s="513"/>
      <c r="BQ78" s="513"/>
      <c r="BR78" s="524">
        <f>AZ78+BA78+BB78+BD78-BC78</f>
        <v>0</v>
      </c>
      <c r="BT78" s="511"/>
      <c r="BU78" s="510"/>
      <c r="BV78" s="510"/>
      <c r="BW78" s="510"/>
      <c r="BX78" s="510"/>
      <c r="BY78" s="510"/>
      <c r="BZ78" s="510"/>
      <c r="CA78" s="510"/>
      <c r="CB78" s="510"/>
      <c r="CC78" s="510"/>
      <c r="CD78" s="510"/>
      <c r="CE78" s="510"/>
      <c r="CF78" s="510"/>
      <c r="CG78" s="510"/>
      <c r="CH78" s="510"/>
      <c r="CI78" s="510"/>
      <c r="CJ78" s="510"/>
      <c r="CK78" s="510"/>
      <c r="CL78" s="510"/>
      <c r="CM78" s="510"/>
      <c r="CN78" s="510"/>
      <c r="CO78" s="510"/>
      <c r="CP78" s="510"/>
      <c r="CQ78" s="510"/>
      <c r="CR78" s="510"/>
      <c r="CS78" s="510"/>
    </row>
    <row r="79" spans="1:97" ht="15.75" thickBot="1" x14ac:dyDescent="0.3">
      <c r="A79" s="695"/>
      <c r="B79" s="521" t="s">
        <v>560</v>
      </c>
      <c r="C79" s="514">
        <v>11041.95</v>
      </c>
      <c r="D79" s="517">
        <v>7352.86</v>
      </c>
      <c r="E79" s="517">
        <v>7353</v>
      </c>
      <c r="F79" s="520">
        <v>43490</v>
      </c>
      <c r="G79" s="514">
        <f>IF(E79-D79&lt;0,E79-D79,0)*-1</f>
        <v>0</v>
      </c>
      <c r="H79" s="514">
        <f>IF(E79-D79&gt;0,E79-D79,0)</f>
        <v>0.14000000000032742</v>
      </c>
      <c r="I79" s="517"/>
      <c r="J79" s="517"/>
      <c r="K79" s="517">
        <v>1282.0899999999999</v>
      </c>
      <c r="L79" s="517"/>
      <c r="M79" s="519">
        <f>(+K79)*M$5</f>
        <v>27.564934999999995</v>
      </c>
      <c r="N79" s="519">
        <f>(+K79)*N$5</f>
        <v>6.41045</v>
      </c>
      <c r="O79" s="519">
        <f>+K79-M79-N79+P79</f>
        <v>1248.1146149999997</v>
      </c>
      <c r="P79" s="519">
        <f>L79-(L79*(M$5+N$5))</f>
        <v>0</v>
      </c>
      <c r="Q79" s="518"/>
      <c r="R79" s="517"/>
      <c r="S79" s="517"/>
      <c r="T79" s="519">
        <f>+R79*T$5</f>
        <v>0</v>
      </c>
      <c r="U79" s="519">
        <f>+R79*U$5</f>
        <v>0</v>
      </c>
      <c r="V79" s="519">
        <f>+R79-T79-U79+W79</f>
        <v>0</v>
      </c>
      <c r="W79" s="519">
        <f>+S79-(S79*(T$5+U$5))</f>
        <v>0</v>
      </c>
      <c r="X79" s="518"/>
      <c r="Y79" s="517"/>
      <c r="Z79" s="517">
        <f>327+12.25+38+210</f>
        <v>587.25</v>
      </c>
      <c r="AA79" s="517"/>
      <c r="AB79" s="517"/>
      <c r="AC79" s="517">
        <v>43.75</v>
      </c>
      <c r="AD79" s="515"/>
      <c r="AE79" s="515">
        <v>1776</v>
      </c>
      <c r="AF79" s="517">
        <v>617.20000000000005</v>
      </c>
      <c r="AG79" s="514">
        <f>(AF79*0.8)*0.85</f>
        <v>419.69600000000003</v>
      </c>
      <c r="AH79" s="514">
        <f>(AF79*0.8)*0.15</f>
        <v>74.064000000000007</v>
      </c>
      <c r="AI79" s="514">
        <f>AF79*0.2</f>
        <v>123.44000000000001</v>
      </c>
      <c r="AJ79" s="517"/>
      <c r="AK79" s="514">
        <f>(C79-AF79-AJ79)/1.12</f>
        <v>9307.8125</v>
      </c>
      <c r="AL79" s="514">
        <f>AK79-SUM(Y79:AC79)</f>
        <v>8676.8125</v>
      </c>
      <c r="AM79" s="514">
        <f>+AL79*0.12</f>
        <v>1041.2175</v>
      </c>
      <c r="AN79" s="514">
        <f t="shared" si="92"/>
        <v>9718.0300000000007</v>
      </c>
      <c r="AO79" s="513">
        <v>208</v>
      </c>
      <c r="AP79" s="516">
        <v>340</v>
      </c>
      <c r="AQ79" s="516">
        <v>260</v>
      </c>
      <c r="AR79" s="516"/>
      <c r="AS79" s="516"/>
      <c r="AT79" s="516"/>
      <c r="AU79" s="516"/>
      <c r="AV79" s="516"/>
      <c r="AW79" s="516"/>
      <c r="AX79" s="516"/>
      <c r="AY79" s="516"/>
      <c r="AZ79" s="514">
        <f>SUM(AO79:AY79)</f>
        <v>808</v>
      </c>
      <c r="BA79" s="515"/>
      <c r="BB79" s="515">
        <v>225</v>
      </c>
      <c r="BC79" s="514">
        <v>0</v>
      </c>
      <c r="BD79" s="514">
        <v>0</v>
      </c>
      <c r="BE79" s="513"/>
      <c r="BF79" s="513"/>
      <c r="BG79" s="513"/>
      <c r="BH79" s="513"/>
      <c r="BI79" s="513"/>
      <c r="BJ79" s="513"/>
      <c r="BK79" s="513"/>
      <c r="BL79" s="513"/>
      <c r="BM79" s="513"/>
      <c r="BN79" s="513"/>
      <c r="BO79" s="513"/>
      <c r="BP79" s="513"/>
      <c r="BQ79" s="513"/>
      <c r="BR79" s="524">
        <f>AZ79+BA79+BB79+BD79-BC79</f>
        <v>1033</v>
      </c>
      <c r="BT79" s="511"/>
      <c r="BU79" s="510"/>
      <c r="BV79" s="510"/>
      <c r="BW79" s="510"/>
      <c r="BX79" s="510"/>
      <c r="BY79" s="510"/>
      <c r="BZ79" s="510"/>
      <c r="CA79" s="510"/>
      <c r="CB79" s="510"/>
      <c r="CC79" s="510"/>
      <c r="CD79" s="510"/>
      <c r="CE79" s="510"/>
      <c r="CF79" s="510"/>
      <c r="CG79" s="510"/>
      <c r="CH79" s="510"/>
      <c r="CI79" s="510"/>
      <c r="CJ79" s="510"/>
      <c r="CK79" s="510"/>
      <c r="CL79" s="510"/>
      <c r="CM79" s="510"/>
      <c r="CN79" s="510"/>
      <c r="CO79" s="510"/>
      <c r="CP79" s="510"/>
      <c r="CQ79" s="510"/>
      <c r="CR79" s="510"/>
      <c r="CS79" s="510"/>
    </row>
    <row r="80" spans="1:97" ht="15.75" thickBot="1" x14ac:dyDescent="0.3">
      <c r="A80" s="509"/>
      <c r="B80" s="508"/>
      <c r="C80" s="501">
        <f>SUBTOTAL(9,C78:C79)</f>
        <v>33531.14</v>
      </c>
      <c r="D80" s="504">
        <f>SUBTOTAL(9,D78:D79)</f>
        <v>20061.95</v>
      </c>
      <c r="E80" s="504">
        <f>SUBTOTAL(9,E78:E79)</f>
        <v>20063</v>
      </c>
      <c r="F80" s="505"/>
      <c r="G80" s="504">
        <f>SUBTOTAL(9,G78:G79)</f>
        <v>0</v>
      </c>
      <c r="H80" s="504">
        <f>SUBTOTAL(9,H78:H79)</f>
        <v>1.0500000000001819</v>
      </c>
      <c r="I80" s="504"/>
      <c r="J80" s="504">
        <f t="shared" ref="J80:P80" si="97">SUBTOTAL(9,J78:J79)</f>
        <v>0</v>
      </c>
      <c r="K80" s="507">
        <f t="shared" si="97"/>
        <v>8598.01</v>
      </c>
      <c r="L80" s="504">
        <f t="shared" si="97"/>
        <v>0</v>
      </c>
      <c r="M80" s="506">
        <f t="shared" si="97"/>
        <v>184.85721499999997</v>
      </c>
      <c r="N80" s="506">
        <f t="shared" si="97"/>
        <v>42.990049999999997</v>
      </c>
      <c r="O80" s="506">
        <f t="shared" si="97"/>
        <v>8370.1627349999999</v>
      </c>
      <c r="P80" s="506">
        <f t="shared" si="97"/>
        <v>0</v>
      </c>
      <c r="Q80" s="505"/>
      <c r="R80" s="504">
        <f t="shared" ref="R80:W80" si="98">SUBTOTAL(9,R78:R79)</f>
        <v>0</v>
      </c>
      <c r="S80" s="504">
        <f t="shared" si="98"/>
        <v>0</v>
      </c>
      <c r="T80" s="506">
        <f t="shared" si="98"/>
        <v>0</v>
      </c>
      <c r="U80" s="506">
        <f t="shared" si="98"/>
        <v>0</v>
      </c>
      <c r="V80" s="506">
        <f t="shared" si="98"/>
        <v>0</v>
      </c>
      <c r="W80" s="506">
        <f t="shared" si="98"/>
        <v>0</v>
      </c>
      <c r="X80" s="505"/>
      <c r="Y80" s="504">
        <f>SUBTOTAL(9,Y78:Y79)</f>
        <v>0</v>
      </c>
      <c r="Z80" s="504"/>
      <c r="AA80" s="504"/>
      <c r="AB80" s="504"/>
      <c r="AC80" s="504"/>
      <c r="AD80" s="503"/>
      <c r="AE80" s="503"/>
      <c r="AF80" s="504"/>
      <c r="AG80" s="501">
        <f t="shared" ref="AG80:AM80" si="99">SUBTOTAL(9,AG78:AG79)</f>
        <v>1504.1600000000003</v>
      </c>
      <c r="AH80" s="501">
        <f t="shared" si="99"/>
        <v>265.44</v>
      </c>
      <c r="AI80" s="501">
        <f t="shared" si="99"/>
        <v>442.40000000000003</v>
      </c>
      <c r="AJ80" s="504">
        <f t="shared" si="99"/>
        <v>0</v>
      </c>
      <c r="AK80" s="501">
        <f t="shared" si="99"/>
        <v>27963.517857142855</v>
      </c>
      <c r="AL80" s="501">
        <f t="shared" si="99"/>
        <v>27003.587857142855</v>
      </c>
      <c r="AM80" s="501">
        <f t="shared" si="99"/>
        <v>3240.4305428571424</v>
      </c>
      <c r="AN80" s="501">
        <f t="shared" si="92"/>
        <v>30244.018399999997</v>
      </c>
      <c r="AO80" s="502">
        <f t="shared" ref="AO80:BR80" si="100">SUBTOTAL(9,AO78:AO79)</f>
        <v>208</v>
      </c>
      <c r="AP80" s="502">
        <f t="shared" si="100"/>
        <v>340</v>
      </c>
      <c r="AQ80" s="502">
        <f t="shared" si="100"/>
        <v>260</v>
      </c>
      <c r="AR80" s="502">
        <f t="shared" si="100"/>
        <v>0</v>
      </c>
      <c r="AS80" s="502">
        <f t="shared" si="100"/>
        <v>0</v>
      </c>
      <c r="AT80" s="502">
        <f t="shared" si="100"/>
        <v>0</v>
      </c>
      <c r="AU80" s="502">
        <f t="shared" si="100"/>
        <v>0</v>
      </c>
      <c r="AV80" s="502">
        <f t="shared" si="100"/>
        <v>0</v>
      </c>
      <c r="AW80" s="502">
        <f t="shared" si="100"/>
        <v>0</v>
      </c>
      <c r="AX80" s="502">
        <f t="shared" si="100"/>
        <v>0</v>
      </c>
      <c r="AY80" s="502">
        <f t="shared" si="100"/>
        <v>0</v>
      </c>
      <c r="AZ80" s="501">
        <f t="shared" si="100"/>
        <v>808</v>
      </c>
      <c r="BA80" s="503">
        <f t="shared" si="100"/>
        <v>0</v>
      </c>
      <c r="BB80" s="503">
        <f t="shared" si="100"/>
        <v>225</v>
      </c>
      <c r="BC80" s="501">
        <f t="shared" si="100"/>
        <v>0</v>
      </c>
      <c r="BD80" s="501">
        <f t="shared" si="100"/>
        <v>0</v>
      </c>
      <c r="BE80" s="502">
        <f t="shared" si="100"/>
        <v>0</v>
      </c>
      <c r="BF80" s="502">
        <f t="shared" si="100"/>
        <v>0</v>
      </c>
      <c r="BG80" s="502">
        <f t="shared" si="100"/>
        <v>0</v>
      </c>
      <c r="BH80" s="502">
        <f t="shared" si="100"/>
        <v>0</v>
      </c>
      <c r="BI80" s="502">
        <f t="shared" si="100"/>
        <v>0</v>
      </c>
      <c r="BJ80" s="502">
        <f t="shared" si="100"/>
        <v>0</v>
      </c>
      <c r="BK80" s="502">
        <f t="shared" si="100"/>
        <v>0</v>
      </c>
      <c r="BL80" s="502">
        <f t="shared" si="100"/>
        <v>0</v>
      </c>
      <c r="BM80" s="502">
        <f t="shared" si="100"/>
        <v>0</v>
      </c>
      <c r="BN80" s="502">
        <f t="shared" si="100"/>
        <v>0</v>
      </c>
      <c r="BO80" s="502">
        <f t="shared" si="100"/>
        <v>0</v>
      </c>
      <c r="BP80" s="502">
        <f t="shared" si="100"/>
        <v>0</v>
      </c>
      <c r="BQ80" s="502">
        <f t="shared" si="100"/>
        <v>0</v>
      </c>
      <c r="BR80" s="501">
        <f t="shared" si="100"/>
        <v>1033</v>
      </c>
    </row>
    <row r="81" spans="1:97" x14ac:dyDescent="0.25">
      <c r="A81" s="694">
        <f>+A78+1</f>
        <v>43490</v>
      </c>
      <c r="B81" s="521" t="s">
        <v>561</v>
      </c>
      <c r="C81" s="514">
        <v>21860.13</v>
      </c>
      <c r="D81" s="517">
        <v>11868.98</v>
      </c>
      <c r="E81" s="517">
        <v>11870</v>
      </c>
      <c r="F81" s="520">
        <v>43490</v>
      </c>
      <c r="G81" s="514">
        <f>IF(E81-D81&lt;0,E81-D81,0)*-1</f>
        <v>0</v>
      </c>
      <c r="H81" s="514">
        <f>IF(E81-D81&gt;0,E81-D81,0)</f>
        <v>1.0200000000004366</v>
      </c>
      <c r="I81" s="517"/>
      <c r="J81" s="517"/>
      <c r="K81" s="517">
        <v>8879.33</v>
      </c>
      <c r="L81" s="517"/>
      <c r="M81" s="519">
        <f>(+K81)*M$5</f>
        <v>190.90559499999998</v>
      </c>
      <c r="N81" s="519">
        <f>(+K81)*N$5</f>
        <v>44.396650000000001</v>
      </c>
      <c r="O81" s="519">
        <f>+K81-M81-N81+P81</f>
        <v>8644.0277549999992</v>
      </c>
      <c r="P81" s="519">
        <f>L81-(L81*(M$5+N$5))</f>
        <v>0</v>
      </c>
      <c r="Q81" s="528"/>
      <c r="R81" s="517"/>
      <c r="S81" s="517"/>
      <c r="T81" s="519"/>
      <c r="U81" s="519"/>
      <c r="V81" s="519"/>
      <c r="W81" s="519"/>
      <c r="X81" s="518"/>
      <c r="Y81" s="517"/>
      <c r="Z81" s="517">
        <f>50+152+370</f>
        <v>572</v>
      </c>
      <c r="AA81" s="517"/>
      <c r="AB81" s="517"/>
      <c r="AC81" s="517">
        <v>289.82</v>
      </c>
      <c r="AD81" s="515"/>
      <c r="AE81" s="515">
        <v>250</v>
      </c>
      <c r="AF81" s="517">
        <v>1651.03</v>
      </c>
      <c r="AG81" s="514">
        <f>(AF81*0.8)*0.85</f>
        <v>1122.7003999999999</v>
      </c>
      <c r="AH81" s="514">
        <f>(AF81*0.8)*0.15</f>
        <v>198.12360000000001</v>
      </c>
      <c r="AI81" s="514">
        <f>AF81*0.2</f>
        <v>330.20600000000002</v>
      </c>
      <c r="AJ81" s="517"/>
      <c r="AK81" s="514">
        <f>(C81-AF81-AJ81)/1.12</f>
        <v>18043.839285714286</v>
      </c>
      <c r="AL81" s="514">
        <f>AK81-SUM(Y81:AC81)</f>
        <v>17182.019285714287</v>
      </c>
      <c r="AM81" s="514">
        <f>+AL81*0.12</f>
        <v>2061.8423142857141</v>
      </c>
      <c r="AN81" s="514">
        <f t="shared" si="92"/>
        <v>19243.8616</v>
      </c>
      <c r="AO81" s="513"/>
      <c r="AP81" s="516"/>
      <c r="AQ81" s="516"/>
      <c r="AR81" s="516"/>
      <c r="AS81" s="516"/>
      <c r="AT81" s="516"/>
      <c r="AU81" s="516"/>
      <c r="AV81" s="516"/>
      <c r="AW81" s="516"/>
      <c r="AX81" s="516"/>
      <c r="AY81" s="516"/>
      <c r="AZ81" s="514">
        <f>SUM(AO81:AY81)</f>
        <v>0</v>
      </c>
      <c r="BA81" s="515"/>
      <c r="BB81" s="515"/>
      <c r="BC81" s="514">
        <f>SUM(BE81:BM81)*0.1+(BN81*0.5)</f>
        <v>0</v>
      </c>
      <c r="BD81" s="514">
        <f>SUM(BE81:BM81)+(BN81*0.5)</f>
        <v>0</v>
      </c>
      <c r="BE81" s="513"/>
      <c r="BF81" s="513"/>
      <c r="BG81" s="513"/>
      <c r="BH81" s="513"/>
      <c r="BI81" s="513"/>
      <c r="BJ81" s="513"/>
      <c r="BK81" s="513"/>
      <c r="BL81" s="513"/>
      <c r="BM81" s="513"/>
      <c r="BN81" s="513"/>
      <c r="BO81" s="513"/>
      <c r="BP81" s="513"/>
      <c r="BQ81" s="513"/>
      <c r="BR81" s="524">
        <f>AZ81+BA81+BB81+BD81-BC81</f>
        <v>0</v>
      </c>
      <c r="BT81" s="511"/>
      <c r="BU81" s="510"/>
      <c r="BV81" s="510"/>
      <c r="BW81" s="510"/>
      <c r="BX81" s="510"/>
      <c r="BY81" s="510"/>
      <c r="BZ81" s="510"/>
      <c r="CA81" s="510"/>
      <c r="CB81" s="510"/>
      <c r="CC81" s="510"/>
      <c r="CD81" s="510"/>
      <c r="CE81" s="510"/>
      <c r="CF81" s="510"/>
      <c r="CG81" s="510"/>
      <c r="CH81" s="510"/>
      <c r="CI81" s="510"/>
      <c r="CJ81" s="510"/>
      <c r="CK81" s="510"/>
      <c r="CL81" s="510"/>
      <c r="CM81" s="510"/>
      <c r="CN81" s="510"/>
      <c r="CO81" s="510"/>
      <c r="CP81" s="510"/>
      <c r="CQ81" s="510"/>
      <c r="CR81" s="510"/>
      <c r="CS81" s="510"/>
    </row>
    <row r="82" spans="1:97" ht="15.75" thickBot="1" x14ac:dyDescent="0.3">
      <c r="A82" s="695"/>
      <c r="B82" s="521" t="s">
        <v>560</v>
      </c>
      <c r="C82" s="514">
        <v>27499.31</v>
      </c>
      <c r="D82" s="517">
        <v>23385.68</v>
      </c>
      <c r="E82" s="517">
        <v>23390</v>
      </c>
      <c r="F82" s="520">
        <v>43491</v>
      </c>
      <c r="G82" s="514">
        <f>IF(E82-D82&lt;0,E82-D82,0)*-1</f>
        <v>0</v>
      </c>
      <c r="H82" s="514">
        <f>IF(E82-D82&gt;0,E82-D82,0)</f>
        <v>4.319999999999709</v>
      </c>
      <c r="I82" s="517"/>
      <c r="J82" s="517"/>
      <c r="K82" s="517">
        <v>1212.3800000000001</v>
      </c>
      <c r="L82" s="517"/>
      <c r="M82" s="519">
        <f>(+K82)*M$5</f>
        <v>26.06617</v>
      </c>
      <c r="N82" s="519">
        <f>(+K82)*N$5</f>
        <v>6.0619000000000005</v>
      </c>
      <c r="O82" s="519">
        <f>+K82-M82-N82+P82</f>
        <v>1180.2519300000001</v>
      </c>
      <c r="P82" s="519">
        <f>L82-(L82*(M$5+N$5))</f>
        <v>0</v>
      </c>
      <c r="Q82" s="518"/>
      <c r="R82" s="517"/>
      <c r="S82" s="517"/>
      <c r="T82" s="519"/>
      <c r="U82" s="519"/>
      <c r="V82" s="519"/>
      <c r="W82" s="519"/>
      <c r="X82" s="518"/>
      <c r="Y82" s="517"/>
      <c r="Z82" s="517">
        <f>273.25+150</f>
        <v>423.25</v>
      </c>
      <c r="AA82" s="517"/>
      <c r="AB82" s="517"/>
      <c r="AC82" s="517"/>
      <c r="AD82" s="515"/>
      <c r="AE82" s="515">
        <v>2478</v>
      </c>
      <c r="AF82" s="517">
        <v>1668.31</v>
      </c>
      <c r="AG82" s="514">
        <f>(AF82*0.8)*0.85</f>
        <v>1134.4508000000001</v>
      </c>
      <c r="AH82" s="514">
        <f>(AF82*0.8)*0.15</f>
        <v>200.19720000000001</v>
      </c>
      <c r="AI82" s="514">
        <f>AF82*0.2</f>
        <v>333.66200000000003</v>
      </c>
      <c r="AJ82" s="517"/>
      <c r="AK82" s="514">
        <f>(C82-AF82-AJ82)/1.12</f>
        <v>23063.392857142855</v>
      </c>
      <c r="AL82" s="514">
        <f>AK82-SUM(Y82:AC82)</f>
        <v>22640.142857142855</v>
      </c>
      <c r="AM82" s="514">
        <f>+AL82*0.12</f>
        <v>2716.8171428571427</v>
      </c>
      <c r="AN82" s="514">
        <f t="shared" si="92"/>
        <v>25356.959999999999</v>
      </c>
      <c r="AO82" s="513"/>
      <c r="AP82" s="516"/>
      <c r="AQ82" s="516"/>
      <c r="AR82" s="516">
        <v>215</v>
      </c>
      <c r="AS82" s="516"/>
      <c r="AT82" s="516"/>
      <c r="AU82" s="516"/>
      <c r="AV82" s="516"/>
      <c r="AW82" s="516"/>
      <c r="AX82" s="516"/>
      <c r="AY82" s="516"/>
      <c r="AZ82" s="514">
        <f>SUM(AO82:AY82)</f>
        <v>215</v>
      </c>
      <c r="BA82" s="515"/>
      <c r="BB82" s="515"/>
      <c r="BC82" s="514">
        <v>0</v>
      </c>
      <c r="BD82" s="514">
        <v>0</v>
      </c>
      <c r="BE82" s="513"/>
      <c r="BF82" s="513"/>
      <c r="BG82" s="513">
        <v>275</v>
      </c>
      <c r="BH82" s="513"/>
      <c r="BI82" s="513"/>
      <c r="BJ82" s="513"/>
      <c r="BK82" s="513"/>
      <c r="BL82" s="513"/>
      <c r="BM82" s="513"/>
      <c r="BN82" s="513"/>
      <c r="BO82" s="513"/>
      <c r="BP82" s="513"/>
      <c r="BQ82" s="513"/>
      <c r="BR82" s="524">
        <f>AZ82+BA82+BB82+BD82-BC82</f>
        <v>215</v>
      </c>
      <c r="BT82" s="511"/>
      <c r="BU82" s="510"/>
      <c r="BV82" s="510"/>
      <c r="BW82" s="510"/>
      <c r="BX82" s="510"/>
      <c r="BY82" s="510"/>
      <c r="BZ82" s="510"/>
      <c r="CA82" s="510"/>
      <c r="CB82" s="510"/>
      <c r="CC82" s="510"/>
      <c r="CD82" s="510"/>
      <c r="CE82" s="510"/>
      <c r="CF82" s="510"/>
      <c r="CG82" s="510"/>
      <c r="CH82" s="510"/>
      <c r="CI82" s="510"/>
      <c r="CJ82" s="510"/>
      <c r="CK82" s="510"/>
      <c r="CL82" s="510"/>
      <c r="CM82" s="510"/>
      <c r="CN82" s="510"/>
      <c r="CO82" s="510"/>
      <c r="CP82" s="510"/>
      <c r="CQ82" s="510"/>
      <c r="CR82" s="510"/>
      <c r="CS82" s="510"/>
    </row>
    <row r="83" spans="1:97" ht="15.75" thickBot="1" x14ac:dyDescent="0.3">
      <c r="A83" s="509"/>
      <c r="B83" s="508"/>
      <c r="C83" s="501">
        <f>SUBTOTAL(9,C81:C82)</f>
        <v>49359.44</v>
      </c>
      <c r="D83" s="504">
        <f>SUBTOTAL(9,D81:D82)</f>
        <v>35254.660000000003</v>
      </c>
      <c r="E83" s="504">
        <f>SUBTOTAL(9,E81:E82)</f>
        <v>35260</v>
      </c>
      <c r="F83" s="505"/>
      <c r="G83" s="504">
        <f t="shared" ref="G83:P83" si="101">SUBTOTAL(9,G81:G82)</f>
        <v>0</v>
      </c>
      <c r="H83" s="504">
        <f t="shared" si="101"/>
        <v>5.3400000000001455</v>
      </c>
      <c r="I83" s="504">
        <f t="shared" si="101"/>
        <v>0</v>
      </c>
      <c r="J83" s="504">
        <f t="shared" si="101"/>
        <v>0</v>
      </c>
      <c r="K83" s="507">
        <f t="shared" si="101"/>
        <v>10091.709999999999</v>
      </c>
      <c r="L83" s="504">
        <f t="shared" si="101"/>
        <v>0</v>
      </c>
      <c r="M83" s="506">
        <f t="shared" si="101"/>
        <v>216.97176499999998</v>
      </c>
      <c r="N83" s="506">
        <f t="shared" si="101"/>
        <v>50.458550000000002</v>
      </c>
      <c r="O83" s="506">
        <f t="shared" si="101"/>
        <v>9824.2796849999995</v>
      </c>
      <c r="P83" s="506">
        <f t="shared" si="101"/>
        <v>0</v>
      </c>
      <c r="Q83" s="505"/>
      <c r="R83" s="504">
        <f t="shared" ref="R83:W83" si="102">SUBTOTAL(9,R81:R82)</f>
        <v>0</v>
      </c>
      <c r="S83" s="504">
        <f t="shared" si="102"/>
        <v>0</v>
      </c>
      <c r="T83" s="506">
        <f t="shared" si="102"/>
        <v>0</v>
      </c>
      <c r="U83" s="506">
        <f t="shared" si="102"/>
        <v>0</v>
      </c>
      <c r="V83" s="506">
        <f t="shared" si="102"/>
        <v>0</v>
      </c>
      <c r="W83" s="506">
        <f t="shared" si="102"/>
        <v>0</v>
      </c>
      <c r="X83" s="505"/>
      <c r="Y83" s="504">
        <f>SUBTOTAL(9,Y81:Y82)</f>
        <v>0</v>
      </c>
      <c r="Z83" s="504"/>
      <c r="AA83" s="504"/>
      <c r="AB83" s="504"/>
      <c r="AC83" s="504"/>
      <c r="AD83" s="503"/>
      <c r="AE83" s="503"/>
      <c r="AF83" s="504"/>
      <c r="AG83" s="501">
        <f t="shared" ref="AG83:AM83" si="103">SUBTOTAL(9,AG81:AG82)</f>
        <v>2257.1512000000002</v>
      </c>
      <c r="AH83" s="501">
        <f t="shared" si="103"/>
        <v>398.32080000000002</v>
      </c>
      <c r="AI83" s="501">
        <f t="shared" si="103"/>
        <v>663.86800000000005</v>
      </c>
      <c r="AJ83" s="504">
        <f t="shared" si="103"/>
        <v>0</v>
      </c>
      <c r="AK83" s="501">
        <f t="shared" si="103"/>
        <v>41107.232142857145</v>
      </c>
      <c r="AL83" s="501">
        <f t="shared" si="103"/>
        <v>39822.162142857138</v>
      </c>
      <c r="AM83" s="501">
        <f t="shared" si="103"/>
        <v>4778.6594571428568</v>
      </c>
      <c r="AN83" s="501">
        <f t="shared" si="92"/>
        <v>44600.821599999996</v>
      </c>
      <c r="AO83" s="502">
        <f t="shared" ref="AO83:AZ83" si="104">SUBTOTAL(9,AO81:AO82)</f>
        <v>0</v>
      </c>
      <c r="AP83" s="502">
        <f t="shared" si="104"/>
        <v>0</v>
      </c>
      <c r="AQ83" s="502">
        <f t="shared" si="104"/>
        <v>0</v>
      </c>
      <c r="AR83" s="502">
        <f t="shared" si="104"/>
        <v>215</v>
      </c>
      <c r="AS83" s="502">
        <f t="shared" si="104"/>
        <v>0</v>
      </c>
      <c r="AT83" s="502">
        <f t="shared" si="104"/>
        <v>0</v>
      </c>
      <c r="AU83" s="502">
        <f t="shared" si="104"/>
        <v>0</v>
      </c>
      <c r="AV83" s="502">
        <f t="shared" si="104"/>
        <v>0</v>
      </c>
      <c r="AW83" s="502">
        <f t="shared" si="104"/>
        <v>0</v>
      </c>
      <c r="AX83" s="502">
        <f t="shared" si="104"/>
        <v>0</v>
      </c>
      <c r="AY83" s="502">
        <f t="shared" si="104"/>
        <v>0</v>
      </c>
      <c r="AZ83" s="501">
        <f t="shared" si="104"/>
        <v>215</v>
      </c>
      <c r="BA83" s="503" t="s">
        <v>297</v>
      </c>
      <c r="BB83" s="503">
        <f>SUBTOTAL(9,BB81:BB82)</f>
        <v>0</v>
      </c>
      <c r="BC83" s="501">
        <f>SUBTOTAL(9,BC81:BC82)</f>
        <v>0</v>
      </c>
      <c r="BD83" s="501">
        <f>SUBTOTAL(9,BD81:BD82)</f>
        <v>0</v>
      </c>
      <c r="BE83" s="502">
        <f>SUBTOTAL(9,BE81:BE82)</f>
        <v>0</v>
      </c>
      <c r="BF83" s="502">
        <f>SUBTOTAL(9,BF81:BF82)</f>
        <v>0</v>
      </c>
      <c r="BG83" s="502"/>
      <c r="BH83" s="502">
        <f t="shared" ref="BH83:BR83" si="105">SUBTOTAL(9,BH81:BH82)</f>
        <v>0</v>
      </c>
      <c r="BI83" s="502">
        <f t="shared" si="105"/>
        <v>0</v>
      </c>
      <c r="BJ83" s="502">
        <f t="shared" si="105"/>
        <v>0</v>
      </c>
      <c r="BK83" s="502">
        <f t="shared" si="105"/>
        <v>0</v>
      </c>
      <c r="BL83" s="502">
        <f t="shared" si="105"/>
        <v>0</v>
      </c>
      <c r="BM83" s="502">
        <f t="shared" si="105"/>
        <v>0</v>
      </c>
      <c r="BN83" s="502">
        <f t="shared" si="105"/>
        <v>0</v>
      </c>
      <c r="BO83" s="502">
        <f t="shared" si="105"/>
        <v>0</v>
      </c>
      <c r="BP83" s="502">
        <f t="shared" si="105"/>
        <v>0</v>
      </c>
      <c r="BQ83" s="502">
        <f t="shared" si="105"/>
        <v>0</v>
      </c>
      <c r="BR83" s="501">
        <f t="shared" si="105"/>
        <v>215</v>
      </c>
    </row>
    <row r="84" spans="1:97" x14ac:dyDescent="0.25">
      <c r="A84" s="694">
        <f>+A81+1</f>
        <v>43491</v>
      </c>
      <c r="B84" s="527" t="s">
        <v>561</v>
      </c>
      <c r="C84" s="514" t="s">
        <v>564</v>
      </c>
      <c r="D84" s="517"/>
      <c r="E84" s="517"/>
      <c r="F84" s="520"/>
      <c r="G84" s="514">
        <f>IF(E84-D84&lt;0,E84-D84,0)*-1</f>
        <v>0</v>
      </c>
      <c r="H84" s="514">
        <f>IF(E84-D84&gt;0,E84-D84,0)</f>
        <v>0</v>
      </c>
      <c r="I84" s="517"/>
      <c r="J84" s="517"/>
      <c r="K84" s="517"/>
      <c r="L84" s="517"/>
      <c r="M84" s="519">
        <f>(+K84)*M$5</f>
        <v>0</v>
      </c>
      <c r="N84" s="519">
        <f>(+K84)*N$5</f>
        <v>0</v>
      </c>
      <c r="O84" s="519">
        <f>+K84-M84-N84+P84</f>
        <v>0</v>
      </c>
      <c r="P84" s="519"/>
      <c r="Q84" s="518"/>
      <c r="R84" s="517"/>
      <c r="S84" s="517"/>
      <c r="T84" s="519"/>
      <c r="U84" s="519"/>
      <c r="V84" s="519"/>
      <c r="W84" s="519"/>
      <c r="X84" s="518"/>
      <c r="Y84" s="517"/>
      <c r="Z84" s="517"/>
      <c r="AA84" s="517"/>
      <c r="AB84" s="517"/>
      <c r="AC84" s="517"/>
      <c r="AD84" s="515"/>
      <c r="AE84" s="515"/>
      <c r="AF84" s="517"/>
      <c r="AG84" s="514">
        <f>(AF84*0.8)*0.85</f>
        <v>0</v>
      </c>
      <c r="AH84" s="514">
        <f>(AF84*0.8)*0.15</f>
        <v>0</v>
      </c>
      <c r="AI84" s="514">
        <f>AF84*0.2</f>
        <v>0</v>
      </c>
      <c r="AJ84" s="517"/>
      <c r="AK84" s="514">
        <v>0</v>
      </c>
      <c r="AL84" s="514">
        <f>AK84-SUM(Y84:AC84)</f>
        <v>0</v>
      </c>
      <c r="AM84" s="514">
        <f>+AL84*0.12</f>
        <v>0</v>
      </c>
      <c r="AN84" s="514">
        <f t="shared" si="92"/>
        <v>0</v>
      </c>
      <c r="AO84" s="513"/>
      <c r="AP84" s="516"/>
      <c r="AQ84" s="516"/>
      <c r="AR84" s="516"/>
      <c r="AS84" s="516"/>
      <c r="AT84" s="516"/>
      <c r="AU84" s="516"/>
      <c r="AV84" s="516"/>
      <c r="AW84" s="516"/>
      <c r="AX84" s="516"/>
      <c r="AY84" s="516"/>
      <c r="AZ84" s="514">
        <f>SUM(AO84:AY84)</f>
        <v>0</v>
      </c>
      <c r="BA84" s="515"/>
      <c r="BB84" s="515"/>
      <c r="BC84" s="514">
        <f>SUM(BE84:BM84)*0.1+(BN84*0.5)</f>
        <v>0</v>
      </c>
      <c r="BD84" s="514">
        <f>SUM(BE84:BM84)+(BN84*0.5)</f>
        <v>0</v>
      </c>
      <c r="BE84" s="513"/>
      <c r="BF84" s="513">
        <v>0</v>
      </c>
      <c r="BG84" s="513"/>
      <c r="BH84" s="513"/>
      <c r="BI84" s="513"/>
      <c r="BJ84" s="513"/>
      <c r="BK84" s="513"/>
      <c r="BL84" s="513"/>
      <c r="BM84" s="513"/>
      <c r="BN84" s="513"/>
      <c r="BO84" s="513"/>
      <c r="BP84" s="513"/>
      <c r="BQ84" s="513"/>
      <c r="BR84" s="524">
        <f>AZ84+BA84+BB84+BD84-BC84</f>
        <v>0</v>
      </c>
      <c r="BT84" s="511"/>
      <c r="BU84" s="510"/>
      <c r="BV84" s="510"/>
      <c r="BW84" s="510"/>
      <c r="BX84" s="510"/>
      <c r="BY84" s="510"/>
      <c r="BZ84" s="510"/>
      <c r="CA84" s="510"/>
      <c r="CB84" s="510"/>
      <c r="CC84" s="510"/>
      <c r="CD84" s="510"/>
      <c r="CE84" s="510"/>
      <c r="CF84" s="510"/>
      <c r="CG84" s="510"/>
      <c r="CH84" s="510"/>
      <c r="CI84" s="510"/>
      <c r="CJ84" s="510"/>
      <c r="CK84" s="510"/>
      <c r="CL84" s="510"/>
      <c r="CM84" s="510"/>
      <c r="CN84" s="510"/>
      <c r="CO84" s="510"/>
      <c r="CP84" s="510"/>
      <c r="CQ84" s="510"/>
      <c r="CR84" s="510"/>
      <c r="CS84" s="510"/>
    </row>
    <row r="85" spans="1:97" ht="15.75" thickBot="1" x14ac:dyDescent="0.3">
      <c r="A85" s="695"/>
      <c r="B85" s="526" t="s">
        <v>560</v>
      </c>
      <c r="C85" s="514">
        <v>6111.5</v>
      </c>
      <c r="D85" s="517">
        <v>2950.16</v>
      </c>
      <c r="E85" s="517">
        <v>2950</v>
      </c>
      <c r="F85" s="520">
        <v>43493</v>
      </c>
      <c r="G85" s="514">
        <f>IF(E85-D85&lt;0,E85-D85,0)*-1</f>
        <v>0.15999999999985448</v>
      </c>
      <c r="H85" s="514">
        <f>IF(E85-D85&gt;0,E85-D85,0)</f>
        <v>0</v>
      </c>
      <c r="I85" s="517"/>
      <c r="J85" s="517"/>
      <c r="K85" s="517">
        <v>321.33999999999997</v>
      </c>
      <c r="L85" s="517"/>
      <c r="M85" s="519">
        <f>(+K85)*M$5</f>
        <v>6.908809999999999</v>
      </c>
      <c r="N85" s="519">
        <f>(+K85)*N$5</f>
        <v>1.6067</v>
      </c>
      <c r="O85" s="519">
        <f>+K85-M85-N85+P85</f>
        <v>312.82448999999997</v>
      </c>
      <c r="P85" s="519"/>
      <c r="Q85" s="518"/>
      <c r="R85" s="517"/>
      <c r="S85" s="517"/>
      <c r="T85" s="519"/>
      <c r="U85" s="519"/>
      <c r="V85" s="519"/>
      <c r="W85" s="519"/>
      <c r="X85" s="518"/>
      <c r="Y85" s="517"/>
      <c r="Z85" s="517">
        <v>26</v>
      </c>
      <c r="AA85" s="517"/>
      <c r="AB85" s="517"/>
      <c r="AC85" s="517"/>
      <c r="AD85" s="515"/>
      <c r="AE85" s="515">
        <v>2814</v>
      </c>
      <c r="AF85" s="517">
        <v>232.5</v>
      </c>
      <c r="AG85" s="514">
        <f>(AF85*0.8)*0.85</f>
        <v>158.1</v>
      </c>
      <c r="AH85" s="514">
        <f>(AF85*0.8)*0.15</f>
        <v>27.9</v>
      </c>
      <c r="AI85" s="514">
        <f>AF85*0.2</f>
        <v>46.5</v>
      </c>
      <c r="AJ85" s="517"/>
      <c r="AK85" s="514">
        <f>(C85-AF85-AJ85)/1.12</f>
        <v>5249.1071428571422</v>
      </c>
      <c r="AL85" s="514">
        <f>AK85-SUM(Y85:AC85)</f>
        <v>5223.1071428571422</v>
      </c>
      <c r="AM85" s="514">
        <f>+AL85*0.12</f>
        <v>626.77285714285699</v>
      </c>
      <c r="AN85" s="514">
        <f t="shared" si="92"/>
        <v>5849.8799999999992</v>
      </c>
      <c r="AO85" s="513">
        <v>1010</v>
      </c>
      <c r="AP85" s="516"/>
      <c r="AQ85" s="516">
        <v>405</v>
      </c>
      <c r="AR85" s="516"/>
      <c r="AS85" s="516"/>
      <c r="AT85" s="516"/>
      <c r="AU85" s="516"/>
      <c r="AV85" s="516"/>
      <c r="AW85" s="516"/>
      <c r="AX85" s="516"/>
      <c r="AY85" s="516"/>
      <c r="AZ85" s="514">
        <f>SUM(AO85:AY85)</f>
        <v>1415</v>
      </c>
      <c r="BA85" s="515"/>
      <c r="BB85" s="515"/>
      <c r="BC85" s="514"/>
      <c r="BD85" s="514"/>
      <c r="BE85" s="513"/>
      <c r="BF85" s="513"/>
      <c r="BG85" s="513"/>
      <c r="BH85" s="513"/>
      <c r="BI85" s="513">
        <v>510</v>
      </c>
      <c r="BJ85" s="513"/>
      <c r="BK85" s="513"/>
      <c r="BL85" s="513"/>
      <c r="BM85" s="513"/>
      <c r="BN85" s="513"/>
      <c r="BO85" s="513"/>
      <c r="BP85" s="513"/>
      <c r="BQ85" s="513"/>
      <c r="BR85" s="524">
        <f>AZ85+BA85+BB85+BD85-BC85</f>
        <v>1415</v>
      </c>
      <c r="BT85" s="511"/>
      <c r="BU85" s="510"/>
      <c r="BV85" s="510"/>
      <c r="BW85" s="510"/>
      <c r="BX85" s="510"/>
      <c r="BY85" s="510"/>
      <c r="BZ85" s="510"/>
      <c r="CA85" s="510"/>
      <c r="CB85" s="510"/>
      <c r="CC85" s="510"/>
      <c r="CD85" s="510"/>
      <c r="CE85" s="510"/>
      <c r="CF85" s="510"/>
      <c r="CG85" s="510"/>
      <c r="CH85" s="510"/>
      <c r="CI85" s="510"/>
      <c r="CJ85" s="510"/>
      <c r="CK85" s="510"/>
      <c r="CL85" s="510"/>
      <c r="CM85" s="510"/>
      <c r="CN85" s="510"/>
      <c r="CO85" s="510"/>
      <c r="CP85" s="510"/>
      <c r="CQ85" s="510"/>
      <c r="CR85" s="510"/>
      <c r="CS85" s="510"/>
    </row>
    <row r="86" spans="1:97" ht="15.75" thickBot="1" x14ac:dyDescent="0.3">
      <c r="A86" s="509"/>
      <c r="B86" s="508"/>
      <c r="C86" s="501">
        <f>SUBTOTAL(9,C84:C85)</f>
        <v>6111.5</v>
      </c>
      <c r="D86" s="504">
        <f>SUBTOTAL(9,D84:D85)</f>
        <v>2950.16</v>
      </c>
      <c r="E86" s="504">
        <f>SUBTOTAL(9,E84:E85)</f>
        <v>2950</v>
      </c>
      <c r="F86" s="505"/>
      <c r="G86" s="504">
        <f t="shared" ref="G86:P86" si="106">SUBTOTAL(9,G84:G85)</f>
        <v>0.15999999999985448</v>
      </c>
      <c r="H86" s="504">
        <f t="shared" si="106"/>
        <v>0</v>
      </c>
      <c r="I86" s="504">
        <f t="shared" si="106"/>
        <v>0</v>
      </c>
      <c r="J86" s="504">
        <f t="shared" si="106"/>
        <v>0</v>
      </c>
      <c r="K86" s="507">
        <f t="shared" si="106"/>
        <v>321.33999999999997</v>
      </c>
      <c r="L86" s="504">
        <f t="shared" si="106"/>
        <v>0</v>
      </c>
      <c r="M86" s="506">
        <f t="shared" si="106"/>
        <v>6.908809999999999</v>
      </c>
      <c r="N86" s="506">
        <f t="shared" si="106"/>
        <v>1.6067</v>
      </c>
      <c r="O86" s="506">
        <f t="shared" si="106"/>
        <v>312.82448999999997</v>
      </c>
      <c r="P86" s="506">
        <f t="shared" si="106"/>
        <v>0</v>
      </c>
      <c r="Q86" s="505"/>
      <c r="R86" s="504">
        <f t="shared" ref="R86:W86" si="107">SUBTOTAL(9,R84:R85)</f>
        <v>0</v>
      </c>
      <c r="S86" s="504">
        <f t="shared" si="107"/>
        <v>0</v>
      </c>
      <c r="T86" s="506">
        <f t="shared" si="107"/>
        <v>0</v>
      </c>
      <c r="U86" s="506">
        <f t="shared" si="107"/>
        <v>0</v>
      </c>
      <c r="V86" s="506">
        <f t="shared" si="107"/>
        <v>0</v>
      </c>
      <c r="W86" s="506">
        <f t="shared" si="107"/>
        <v>0</v>
      </c>
      <c r="X86" s="505"/>
      <c r="Y86" s="504">
        <f>SUBTOTAL(9,Y84:Y85)</f>
        <v>0</v>
      </c>
      <c r="Z86" s="504"/>
      <c r="AA86" s="504"/>
      <c r="AB86" s="504"/>
      <c r="AC86" s="504"/>
      <c r="AD86" s="503"/>
      <c r="AE86" s="503"/>
      <c r="AF86" s="504"/>
      <c r="AG86" s="501">
        <f t="shared" ref="AG86:AM86" si="108">SUBTOTAL(9,AG84:AG85)</f>
        <v>158.1</v>
      </c>
      <c r="AH86" s="501">
        <f t="shared" si="108"/>
        <v>27.9</v>
      </c>
      <c r="AI86" s="501">
        <f t="shared" si="108"/>
        <v>46.5</v>
      </c>
      <c r="AJ86" s="504">
        <f t="shared" si="108"/>
        <v>0</v>
      </c>
      <c r="AK86" s="501">
        <f t="shared" si="108"/>
        <v>5249.1071428571422</v>
      </c>
      <c r="AL86" s="501">
        <f t="shared" si="108"/>
        <v>5223.1071428571422</v>
      </c>
      <c r="AM86" s="501">
        <f t="shared" si="108"/>
        <v>626.77285714285699</v>
      </c>
      <c r="AN86" s="501">
        <f t="shared" si="92"/>
        <v>5849.8799999999992</v>
      </c>
      <c r="AO86" s="502">
        <f t="shared" ref="AO86:BR86" si="109">SUBTOTAL(9,AO84:AO85)</f>
        <v>1010</v>
      </c>
      <c r="AP86" s="502">
        <f t="shared" si="109"/>
        <v>0</v>
      </c>
      <c r="AQ86" s="502">
        <f t="shared" si="109"/>
        <v>405</v>
      </c>
      <c r="AR86" s="502">
        <f t="shared" si="109"/>
        <v>0</v>
      </c>
      <c r="AS86" s="502">
        <f t="shared" si="109"/>
        <v>0</v>
      </c>
      <c r="AT86" s="502">
        <f t="shared" si="109"/>
        <v>0</v>
      </c>
      <c r="AU86" s="502">
        <f t="shared" si="109"/>
        <v>0</v>
      </c>
      <c r="AV86" s="502">
        <f t="shared" si="109"/>
        <v>0</v>
      </c>
      <c r="AW86" s="502">
        <f t="shared" si="109"/>
        <v>0</v>
      </c>
      <c r="AX86" s="502">
        <f t="shared" si="109"/>
        <v>0</v>
      </c>
      <c r="AY86" s="502">
        <f t="shared" si="109"/>
        <v>0</v>
      </c>
      <c r="AZ86" s="501">
        <f t="shared" si="109"/>
        <v>1415</v>
      </c>
      <c r="BA86" s="503">
        <f t="shared" si="109"/>
        <v>0</v>
      </c>
      <c r="BB86" s="503">
        <f t="shared" si="109"/>
        <v>0</v>
      </c>
      <c r="BC86" s="501">
        <f t="shared" si="109"/>
        <v>0</v>
      </c>
      <c r="BD86" s="501">
        <f t="shared" si="109"/>
        <v>0</v>
      </c>
      <c r="BE86" s="502">
        <f t="shared" si="109"/>
        <v>0</v>
      </c>
      <c r="BF86" s="502">
        <f t="shared" si="109"/>
        <v>0</v>
      </c>
      <c r="BG86" s="502">
        <f t="shared" si="109"/>
        <v>0</v>
      </c>
      <c r="BH86" s="502">
        <f t="shared" si="109"/>
        <v>0</v>
      </c>
      <c r="BI86" s="502">
        <f t="shared" si="109"/>
        <v>510</v>
      </c>
      <c r="BJ86" s="502">
        <f t="shared" si="109"/>
        <v>0</v>
      </c>
      <c r="BK86" s="502">
        <f t="shared" si="109"/>
        <v>0</v>
      </c>
      <c r="BL86" s="502">
        <f t="shared" si="109"/>
        <v>0</v>
      </c>
      <c r="BM86" s="502">
        <f t="shared" si="109"/>
        <v>0</v>
      </c>
      <c r="BN86" s="502">
        <f t="shared" si="109"/>
        <v>0</v>
      </c>
      <c r="BO86" s="502">
        <f t="shared" si="109"/>
        <v>0</v>
      </c>
      <c r="BP86" s="502">
        <f t="shared" si="109"/>
        <v>0</v>
      </c>
      <c r="BQ86" s="502">
        <f t="shared" si="109"/>
        <v>0</v>
      </c>
      <c r="BR86" s="501">
        <f t="shared" si="109"/>
        <v>1415</v>
      </c>
    </row>
    <row r="87" spans="1:97" x14ac:dyDescent="0.25">
      <c r="A87" s="694">
        <f>+A84+1</f>
        <v>43492</v>
      </c>
      <c r="B87" s="526" t="s">
        <v>561</v>
      </c>
      <c r="C87" s="514" t="s">
        <v>563</v>
      </c>
      <c r="D87" s="517"/>
      <c r="E87" s="517"/>
      <c r="F87" s="520"/>
      <c r="G87" s="514">
        <f>IF(E87-D87&lt;0,E87-D87,0)*-1</f>
        <v>0</v>
      </c>
      <c r="H87" s="514">
        <f>IF(E87-D87&gt;0,E87-D87,0)</f>
        <v>0</v>
      </c>
      <c r="I87" s="517"/>
      <c r="J87" s="517"/>
      <c r="K87" s="517"/>
      <c r="L87" s="517"/>
      <c r="M87" s="519">
        <f>(+K87)*M$5</f>
        <v>0</v>
      </c>
      <c r="N87" s="519">
        <f>(+K87)*N$5</f>
        <v>0</v>
      </c>
      <c r="O87" s="519">
        <f>+K87-M87-N87+P87</f>
        <v>0</v>
      </c>
      <c r="P87" s="519"/>
      <c r="Q87" s="518"/>
      <c r="R87" s="517"/>
      <c r="S87" s="517"/>
      <c r="T87" s="519"/>
      <c r="U87" s="519"/>
      <c r="V87" s="519"/>
      <c r="W87" s="519"/>
      <c r="X87" s="518"/>
      <c r="Y87" s="517"/>
      <c r="Z87" s="517"/>
      <c r="AA87" s="517"/>
      <c r="AB87" s="517"/>
      <c r="AC87" s="517"/>
      <c r="AD87" s="515"/>
      <c r="AE87" s="515"/>
      <c r="AF87" s="517"/>
      <c r="AG87" s="514">
        <f>(AF87*0.8)*0.85</f>
        <v>0</v>
      </c>
      <c r="AH87" s="514">
        <f>(AF87*0.8)*0.15</f>
        <v>0</v>
      </c>
      <c r="AI87" s="514">
        <f>AF87*0.2</f>
        <v>0</v>
      </c>
      <c r="AJ87" s="517"/>
      <c r="AK87" s="514">
        <v>0</v>
      </c>
      <c r="AL87" s="514">
        <f>AK87-SUM(Y87:AC87)</f>
        <v>0</v>
      </c>
      <c r="AM87" s="514">
        <f>+AL87*0.12</f>
        <v>0</v>
      </c>
      <c r="AN87" s="514">
        <f t="shared" si="92"/>
        <v>0</v>
      </c>
      <c r="AO87" s="513"/>
      <c r="AP87" s="516"/>
      <c r="AQ87" s="516"/>
      <c r="AR87" s="516"/>
      <c r="AS87" s="516"/>
      <c r="AT87" s="516"/>
      <c r="AU87" s="516"/>
      <c r="AV87" s="516"/>
      <c r="AW87" s="516"/>
      <c r="AX87" s="516"/>
      <c r="AY87" s="516"/>
      <c r="AZ87" s="514">
        <f>SUM(AO87:AY87)</f>
        <v>0</v>
      </c>
      <c r="BA87" s="515"/>
      <c r="BB87" s="515"/>
      <c r="BC87" s="514">
        <f>SUM(BE87:BM87)*0.1+(BN87*0.5)</f>
        <v>0</v>
      </c>
      <c r="BD87" s="514">
        <f>SUM(BE87:BM87)+(BN87*0.5)</f>
        <v>0</v>
      </c>
      <c r="BE87" s="513"/>
      <c r="BF87" s="513"/>
      <c r="BG87" s="513"/>
      <c r="BH87" s="513"/>
      <c r="BI87" s="513"/>
      <c r="BJ87" s="513"/>
      <c r="BK87" s="513"/>
      <c r="BL87" s="513"/>
      <c r="BM87" s="513"/>
      <c r="BN87" s="513"/>
      <c r="BO87" s="513"/>
      <c r="BP87" s="513"/>
      <c r="BQ87" s="513"/>
      <c r="BR87" s="524">
        <f>AZ87+BA87+BB87+BD87-BC87</f>
        <v>0</v>
      </c>
      <c r="BT87" s="511"/>
      <c r="BU87" s="510"/>
      <c r="BV87" s="510"/>
      <c r="BW87" s="510"/>
      <c r="BX87" s="510"/>
      <c r="BY87" s="510"/>
      <c r="BZ87" s="510"/>
      <c r="CA87" s="510"/>
      <c r="CB87" s="510"/>
      <c r="CC87" s="510"/>
      <c r="CD87" s="510"/>
      <c r="CE87" s="510"/>
      <c r="CF87" s="510"/>
      <c r="CG87" s="510"/>
      <c r="CH87" s="510"/>
      <c r="CI87" s="510"/>
      <c r="CJ87" s="510"/>
      <c r="CK87" s="510"/>
      <c r="CL87" s="510"/>
      <c r="CM87" s="510"/>
      <c r="CN87" s="510"/>
      <c r="CO87" s="510"/>
      <c r="CP87" s="510"/>
      <c r="CQ87" s="510"/>
      <c r="CR87" s="510"/>
      <c r="CS87" s="510"/>
    </row>
    <row r="88" spans="1:97" ht="15.75" thickBot="1" x14ac:dyDescent="0.3">
      <c r="A88" s="695"/>
      <c r="B88" s="526" t="s">
        <v>560</v>
      </c>
      <c r="C88" s="514"/>
      <c r="D88" s="517"/>
      <c r="E88" s="517"/>
      <c r="F88" s="520"/>
      <c r="G88" s="514">
        <f>IF(E88-D88&lt;0,E88-D88,0)*-1</f>
        <v>0</v>
      </c>
      <c r="H88" s="514">
        <f>IF(E88-D88&gt;0,E88-D88,0)</f>
        <v>0</v>
      </c>
      <c r="I88" s="517"/>
      <c r="J88" s="517"/>
      <c r="K88" s="517"/>
      <c r="L88" s="517"/>
      <c r="M88" s="519">
        <f>(+K88)*M$5</f>
        <v>0</v>
      </c>
      <c r="N88" s="519">
        <f>(+K88)*N$5</f>
        <v>0</v>
      </c>
      <c r="O88" s="519">
        <f>+K88-M88-N88+P88</f>
        <v>0</v>
      </c>
      <c r="P88" s="519"/>
      <c r="Q88" s="518"/>
      <c r="R88" s="517"/>
      <c r="S88" s="517"/>
      <c r="T88" s="519"/>
      <c r="U88" s="519"/>
      <c r="V88" s="519"/>
      <c r="W88" s="519"/>
      <c r="X88" s="518"/>
      <c r="Y88" s="517"/>
      <c r="Z88" s="517"/>
      <c r="AA88" s="517"/>
      <c r="AB88" s="517"/>
      <c r="AC88" s="517"/>
      <c r="AD88" s="515"/>
      <c r="AE88" s="515"/>
      <c r="AF88" s="517"/>
      <c r="AG88" s="514">
        <f>(AF88*0.8)*0.85</f>
        <v>0</v>
      </c>
      <c r="AH88" s="514">
        <f>(AF88*0.8)*0.15</f>
        <v>0</v>
      </c>
      <c r="AI88" s="514">
        <f>AF88*0.2</f>
        <v>0</v>
      </c>
      <c r="AJ88" s="517"/>
      <c r="AK88" s="514">
        <f>(C88-AF88-AJ88)/1.12</f>
        <v>0</v>
      </c>
      <c r="AL88" s="514">
        <f>AK88-SUM(Y88:AC88)</f>
        <v>0</v>
      </c>
      <c r="AM88" s="514">
        <f>+AL88*0.12</f>
        <v>0</v>
      </c>
      <c r="AN88" s="514">
        <f t="shared" si="92"/>
        <v>0</v>
      </c>
      <c r="AO88" s="513"/>
      <c r="AP88" s="516"/>
      <c r="AQ88" s="516"/>
      <c r="AR88" s="516"/>
      <c r="AS88" s="516"/>
      <c r="AT88" s="516"/>
      <c r="AU88" s="516"/>
      <c r="AV88" s="516"/>
      <c r="AW88" s="516"/>
      <c r="AX88" s="516"/>
      <c r="AY88" s="516"/>
      <c r="AZ88" s="514">
        <f>SUM(AO88:AY88)</f>
        <v>0</v>
      </c>
      <c r="BA88" s="515"/>
      <c r="BB88" s="515"/>
      <c r="BC88" s="514"/>
      <c r="BD88" s="514"/>
      <c r="BE88" s="513"/>
      <c r="BF88" s="513"/>
      <c r="BG88" s="513"/>
      <c r="BH88" s="513"/>
      <c r="BI88" s="513">
        <v>0</v>
      </c>
      <c r="BJ88" s="513"/>
      <c r="BK88" s="513"/>
      <c r="BL88" s="513"/>
      <c r="BM88" s="513"/>
      <c r="BN88" s="513"/>
      <c r="BO88" s="513"/>
      <c r="BP88" s="513"/>
      <c r="BQ88" s="513"/>
      <c r="BR88" s="524">
        <f>AZ88+BA88+BB88+BD88-BC88</f>
        <v>0</v>
      </c>
      <c r="BT88" s="511"/>
      <c r="BU88" s="510"/>
      <c r="BV88" s="510"/>
      <c r="BW88" s="510"/>
      <c r="BX88" s="510"/>
      <c r="BY88" s="510"/>
      <c r="BZ88" s="510"/>
      <c r="CA88" s="510"/>
      <c r="CB88" s="510"/>
      <c r="CC88" s="510"/>
      <c r="CD88" s="510"/>
      <c r="CE88" s="510"/>
      <c r="CF88" s="510"/>
      <c r="CG88" s="510"/>
      <c r="CH88" s="510"/>
      <c r="CI88" s="510"/>
      <c r="CJ88" s="510"/>
      <c r="CK88" s="510"/>
      <c r="CL88" s="510"/>
      <c r="CM88" s="510"/>
      <c r="CN88" s="510"/>
      <c r="CO88" s="510"/>
      <c r="CP88" s="510"/>
      <c r="CQ88" s="510"/>
      <c r="CR88" s="510"/>
      <c r="CS88" s="510"/>
    </row>
    <row r="89" spans="1:97" ht="15.75" thickBot="1" x14ac:dyDescent="0.3">
      <c r="A89" s="509"/>
      <c r="B89" s="508"/>
      <c r="C89" s="501">
        <f>SUBTOTAL(9,C87:C88)</f>
        <v>0</v>
      </c>
      <c r="D89" s="504">
        <f>SUBTOTAL(9,D87:D88)</f>
        <v>0</v>
      </c>
      <c r="E89" s="504">
        <f>SUBTOTAL(9,E87:E88)</f>
        <v>0</v>
      </c>
      <c r="F89" s="505"/>
      <c r="G89" s="504">
        <f t="shared" ref="G89:P89" si="110">SUBTOTAL(9,G87:G88)</f>
        <v>0</v>
      </c>
      <c r="H89" s="504">
        <f t="shared" si="110"/>
        <v>0</v>
      </c>
      <c r="I89" s="504">
        <f t="shared" si="110"/>
        <v>0</v>
      </c>
      <c r="J89" s="504">
        <f t="shared" si="110"/>
        <v>0</v>
      </c>
      <c r="K89" s="507">
        <f t="shared" si="110"/>
        <v>0</v>
      </c>
      <c r="L89" s="504">
        <f t="shared" si="110"/>
        <v>0</v>
      </c>
      <c r="M89" s="506">
        <f t="shared" si="110"/>
        <v>0</v>
      </c>
      <c r="N89" s="506">
        <f t="shared" si="110"/>
        <v>0</v>
      </c>
      <c r="O89" s="506">
        <f t="shared" si="110"/>
        <v>0</v>
      </c>
      <c r="P89" s="506">
        <f t="shared" si="110"/>
        <v>0</v>
      </c>
      <c r="Q89" s="505"/>
      <c r="R89" s="504">
        <f t="shared" ref="R89:W89" si="111">SUBTOTAL(9,R87:R88)</f>
        <v>0</v>
      </c>
      <c r="S89" s="504">
        <f t="shared" si="111"/>
        <v>0</v>
      </c>
      <c r="T89" s="506">
        <f t="shared" si="111"/>
        <v>0</v>
      </c>
      <c r="U89" s="506">
        <f t="shared" si="111"/>
        <v>0</v>
      </c>
      <c r="V89" s="506">
        <f t="shared" si="111"/>
        <v>0</v>
      </c>
      <c r="W89" s="506">
        <f t="shared" si="111"/>
        <v>0</v>
      </c>
      <c r="X89" s="505"/>
      <c r="Y89" s="504">
        <f>SUBTOTAL(9,Y87:Y88)</f>
        <v>0</v>
      </c>
      <c r="Z89" s="504"/>
      <c r="AA89" s="504"/>
      <c r="AB89" s="504"/>
      <c r="AC89" s="504"/>
      <c r="AD89" s="503"/>
      <c r="AE89" s="503"/>
      <c r="AF89" s="504"/>
      <c r="AG89" s="501">
        <f t="shared" ref="AG89:AM89" si="112">SUBTOTAL(9,AG87:AG88)</f>
        <v>0</v>
      </c>
      <c r="AH89" s="501">
        <f t="shared" si="112"/>
        <v>0</v>
      </c>
      <c r="AI89" s="501">
        <f t="shared" si="112"/>
        <v>0</v>
      </c>
      <c r="AJ89" s="504">
        <f t="shared" si="112"/>
        <v>0</v>
      </c>
      <c r="AK89" s="501">
        <f t="shared" si="112"/>
        <v>0</v>
      </c>
      <c r="AL89" s="501">
        <f t="shared" si="112"/>
        <v>0</v>
      </c>
      <c r="AM89" s="501">
        <f t="shared" si="112"/>
        <v>0</v>
      </c>
      <c r="AN89" s="501">
        <f t="shared" si="92"/>
        <v>0</v>
      </c>
      <c r="AO89" s="502">
        <f t="shared" ref="AO89:BR89" si="113">SUBTOTAL(9,AO87:AO88)</f>
        <v>0</v>
      </c>
      <c r="AP89" s="502">
        <f t="shared" si="113"/>
        <v>0</v>
      </c>
      <c r="AQ89" s="502">
        <f t="shared" si="113"/>
        <v>0</v>
      </c>
      <c r="AR89" s="502">
        <f t="shared" si="113"/>
        <v>0</v>
      </c>
      <c r="AS89" s="502">
        <f t="shared" si="113"/>
        <v>0</v>
      </c>
      <c r="AT89" s="502">
        <f t="shared" si="113"/>
        <v>0</v>
      </c>
      <c r="AU89" s="502">
        <f t="shared" si="113"/>
        <v>0</v>
      </c>
      <c r="AV89" s="502">
        <f t="shared" si="113"/>
        <v>0</v>
      </c>
      <c r="AW89" s="502">
        <f t="shared" si="113"/>
        <v>0</v>
      </c>
      <c r="AX89" s="502">
        <f t="shared" si="113"/>
        <v>0</v>
      </c>
      <c r="AY89" s="502">
        <f t="shared" si="113"/>
        <v>0</v>
      </c>
      <c r="AZ89" s="501">
        <f t="shared" si="113"/>
        <v>0</v>
      </c>
      <c r="BA89" s="503">
        <f t="shared" si="113"/>
        <v>0</v>
      </c>
      <c r="BB89" s="503">
        <f t="shared" si="113"/>
        <v>0</v>
      </c>
      <c r="BC89" s="501">
        <f t="shared" si="113"/>
        <v>0</v>
      </c>
      <c r="BD89" s="501">
        <f t="shared" si="113"/>
        <v>0</v>
      </c>
      <c r="BE89" s="502">
        <f t="shared" si="113"/>
        <v>0</v>
      </c>
      <c r="BF89" s="502">
        <f t="shared" si="113"/>
        <v>0</v>
      </c>
      <c r="BG89" s="502">
        <f t="shared" si="113"/>
        <v>0</v>
      </c>
      <c r="BH89" s="502">
        <f t="shared" si="113"/>
        <v>0</v>
      </c>
      <c r="BI89" s="502">
        <f t="shared" si="113"/>
        <v>0</v>
      </c>
      <c r="BJ89" s="502">
        <f t="shared" si="113"/>
        <v>0</v>
      </c>
      <c r="BK89" s="502">
        <f t="shared" si="113"/>
        <v>0</v>
      </c>
      <c r="BL89" s="502">
        <f t="shared" si="113"/>
        <v>0</v>
      </c>
      <c r="BM89" s="502">
        <f t="shared" si="113"/>
        <v>0</v>
      </c>
      <c r="BN89" s="502">
        <f t="shared" si="113"/>
        <v>0</v>
      </c>
      <c r="BO89" s="502">
        <f t="shared" si="113"/>
        <v>0</v>
      </c>
      <c r="BP89" s="502">
        <f t="shared" si="113"/>
        <v>0</v>
      </c>
      <c r="BQ89" s="502">
        <f t="shared" si="113"/>
        <v>0</v>
      </c>
      <c r="BR89" s="501">
        <f t="shared" si="113"/>
        <v>0</v>
      </c>
    </row>
    <row r="90" spans="1:97" x14ac:dyDescent="0.25">
      <c r="A90" s="694">
        <f>+A87+1</f>
        <v>43493</v>
      </c>
      <c r="B90" s="521" t="s">
        <v>561</v>
      </c>
      <c r="C90" s="514">
        <v>18184.45</v>
      </c>
      <c r="D90" s="517">
        <v>14239.75</v>
      </c>
      <c r="E90" s="517">
        <v>14240</v>
      </c>
      <c r="F90" s="520">
        <v>43493</v>
      </c>
      <c r="G90" s="514">
        <f>IF(E90-D90&lt;0,E90-D90,0)*-1</f>
        <v>0</v>
      </c>
      <c r="H90" s="514">
        <f>IF(E90-D90&gt;0,E90-D90,0)</f>
        <v>0.25</v>
      </c>
      <c r="I90" s="517"/>
      <c r="J90" s="517"/>
      <c r="K90" s="517">
        <v>1621.87</v>
      </c>
      <c r="L90" s="517"/>
      <c r="M90" s="519">
        <f>(+K90)*M$5</f>
        <v>34.870204999999991</v>
      </c>
      <c r="N90" s="519">
        <f>(+K90)*N$5</f>
        <v>8.1093499999999992</v>
      </c>
      <c r="O90" s="519">
        <f>+K90-M90-N90+P90</f>
        <v>1578.890445</v>
      </c>
      <c r="P90" s="519"/>
      <c r="Q90" s="518"/>
      <c r="R90" s="517"/>
      <c r="S90" s="517"/>
      <c r="T90" s="519"/>
      <c r="U90" s="519"/>
      <c r="V90" s="519"/>
      <c r="W90" s="519"/>
      <c r="X90" s="518"/>
      <c r="Y90" s="517"/>
      <c r="Z90" s="517">
        <f>41+110</f>
        <v>151</v>
      </c>
      <c r="AA90" s="517"/>
      <c r="AB90" s="517"/>
      <c r="AC90" s="517"/>
      <c r="AD90" s="515"/>
      <c r="AE90" s="515">
        <v>1735</v>
      </c>
      <c r="AF90" s="517">
        <v>1192.55</v>
      </c>
      <c r="AG90" s="514">
        <f>(AF90*0.8)*0.85</f>
        <v>810.93399999999997</v>
      </c>
      <c r="AH90" s="514">
        <f>(AF90*0.8)*0.15</f>
        <v>143.10599999999999</v>
      </c>
      <c r="AI90" s="514">
        <f>AF90*0.2</f>
        <v>238.51</v>
      </c>
      <c r="AJ90" s="517"/>
      <c r="AK90" s="514">
        <f>(C90-AF90-AJ90)/1.12</f>
        <v>15171.339285714286</v>
      </c>
      <c r="AL90" s="514">
        <f>AK90-SUM(Y90:AC90)</f>
        <v>15020.339285714286</v>
      </c>
      <c r="AM90" s="514">
        <f>+AL90*0.12</f>
        <v>1802.4407142857142</v>
      </c>
      <c r="AN90" s="514">
        <f t="shared" si="92"/>
        <v>16822.78</v>
      </c>
      <c r="AO90" s="513"/>
      <c r="AP90" s="516"/>
      <c r="AQ90" s="516"/>
      <c r="AR90" s="516"/>
      <c r="AS90" s="516"/>
      <c r="AT90" s="516"/>
      <c r="AU90" s="516"/>
      <c r="AV90" s="516"/>
      <c r="AW90" s="516"/>
      <c r="AX90" s="516"/>
      <c r="AY90" s="516"/>
      <c r="AZ90" s="514">
        <f>SUM(AO90:AY90)</f>
        <v>0</v>
      </c>
      <c r="BA90" s="515"/>
      <c r="BB90" s="515"/>
      <c r="BC90" s="514">
        <f>SUM(BE90:BM90)*0.1+(BN90*0.5)</f>
        <v>0</v>
      </c>
      <c r="BD90" s="514">
        <f>SUM(BE90:BM90)+(BN90*0.5)</f>
        <v>0</v>
      </c>
      <c r="BE90" s="513"/>
      <c r="BF90" s="513"/>
      <c r="BG90" s="513"/>
      <c r="BH90" s="513"/>
      <c r="BI90" s="513"/>
      <c r="BJ90" s="513"/>
      <c r="BK90" s="513"/>
      <c r="BL90" s="513"/>
      <c r="BM90" s="513"/>
      <c r="BN90" s="513"/>
      <c r="BO90" s="513"/>
      <c r="BP90" s="513"/>
      <c r="BQ90" s="513"/>
      <c r="BR90" s="524">
        <f>AZ90+BA90+BB90+BD90-BC90</f>
        <v>0</v>
      </c>
      <c r="BT90" s="511"/>
      <c r="BU90" s="510"/>
      <c r="BV90" s="510"/>
      <c r="BW90" s="510"/>
      <c r="BX90" s="510"/>
      <c r="BY90" s="510"/>
      <c r="BZ90" s="510"/>
      <c r="CA90" s="510"/>
      <c r="CB90" s="510"/>
      <c r="CC90" s="510"/>
      <c r="CD90" s="510"/>
      <c r="CE90" s="510"/>
      <c r="CF90" s="510"/>
      <c r="CG90" s="510"/>
      <c r="CH90" s="510"/>
      <c r="CI90" s="510"/>
      <c r="CJ90" s="510"/>
      <c r="CK90" s="510"/>
      <c r="CL90" s="510"/>
      <c r="CM90" s="510"/>
      <c r="CN90" s="510"/>
      <c r="CO90" s="510"/>
      <c r="CP90" s="510"/>
      <c r="CQ90" s="510"/>
      <c r="CR90" s="510"/>
      <c r="CS90" s="510"/>
    </row>
    <row r="91" spans="1:97" ht="15.75" thickBot="1" x14ac:dyDescent="0.3">
      <c r="A91" s="695"/>
      <c r="B91" s="521" t="s">
        <v>560</v>
      </c>
      <c r="C91" s="514">
        <v>20797.98</v>
      </c>
      <c r="D91" s="517">
        <v>20225.78</v>
      </c>
      <c r="E91" s="517">
        <v>20230</v>
      </c>
      <c r="F91" s="520">
        <v>43494</v>
      </c>
      <c r="G91" s="514">
        <f>IF(E91-D91&lt;0,E91-D91,0)*-1</f>
        <v>0</v>
      </c>
      <c r="H91" s="514">
        <f>IF(E91-D91&gt;0,E91-D91,0)</f>
        <v>4.2200000000011642</v>
      </c>
      <c r="I91" s="517">
        <v>300</v>
      </c>
      <c r="J91" s="517"/>
      <c r="K91" s="517">
        <v>234.2</v>
      </c>
      <c r="L91" s="517"/>
      <c r="M91" s="519">
        <f>(+K91)*M$5</f>
        <v>5.0352999999999994</v>
      </c>
      <c r="N91" s="519">
        <f>(+K91)*N$5</f>
        <v>1.171</v>
      </c>
      <c r="O91" s="519">
        <f>+K91-M91-N91+P91</f>
        <v>227.99369999999999</v>
      </c>
      <c r="P91" s="519"/>
      <c r="Q91" s="518"/>
      <c r="R91" s="517"/>
      <c r="S91" s="517"/>
      <c r="T91" s="519"/>
      <c r="U91" s="519"/>
      <c r="V91" s="519"/>
      <c r="W91" s="519"/>
      <c r="X91" s="518"/>
      <c r="Y91" s="517"/>
      <c r="Z91" s="517"/>
      <c r="AA91" s="517"/>
      <c r="AB91" s="517"/>
      <c r="AC91" s="517"/>
      <c r="AD91" s="515"/>
      <c r="AE91" s="515"/>
      <c r="AF91" s="517">
        <v>1622.98</v>
      </c>
      <c r="AG91" s="514">
        <f>(AF91*0.8)*0.85</f>
        <v>1103.6263999999999</v>
      </c>
      <c r="AH91" s="514">
        <f>(AF91*0.8)*0.15</f>
        <v>194.7576</v>
      </c>
      <c r="AI91" s="514">
        <f>AF91*0.2</f>
        <v>324.596</v>
      </c>
      <c r="AJ91" s="517"/>
      <c r="AK91" s="514">
        <f>(C91-AF91-AJ91)/1.12</f>
        <v>17120.535714285714</v>
      </c>
      <c r="AL91" s="514">
        <f>AK91-SUM(Y91:AC91)</f>
        <v>17120.535714285714</v>
      </c>
      <c r="AM91" s="514">
        <f>+AL91*0.12</f>
        <v>2054.4642857142858</v>
      </c>
      <c r="AN91" s="514">
        <f t="shared" si="92"/>
        <v>19175</v>
      </c>
      <c r="AO91" s="513"/>
      <c r="AP91" s="516">
        <v>285</v>
      </c>
      <c r="AQ91" s="516"/>
      <c r="AR91" s="516"/>
      <c r="AS91" s="516"/>
      <c r="AT91" s="516"/>
      <c r="AU91" s="516"/>
      <c r="AV91" s="516"/>
      <c r="AW91" s="516"/>
      <c r="AX91" s="516"/>
      <c r="AY91" s="516"/>
      <c r="AZ91" s="514">
        <f>SUM(AO91:AY91)</f>
        <v>285</v>
      </c>
      <c r="BA91" s="515"/>
      <c r="BB91" s="515"/>
      <c r="BC91" s="514">
        <v>0</v>
      </c>
      <c r="BD91" s="514">
        <v>0</v>
      </c>
      <c r="BE91" s="513"/>
      <c r="BF91" s="513"/>
      <c r="BG91" s="513"/>
      <c r="BH91" s="513"/>
      <c r="BI91" s="513"/>
      <c r="BJ91" s="513"/>
      <c r="BK91" s="513"/>
      <c r="BL91" s="513"/>
      <c r="BM91" s="513"/>
      <c r="BN91" s="513"/>
      <c r="BO91" s="513"/>
      <c r="BP91" s="513"/>
      <c r="BQ91" s="513"/>
      <c r="BR91" s="524">
        <f>AZ91+BA91+BB91+BD91-BC91</f>
        <v>285</v>
      </c>
      <c r="BT91" s="511"/>
      <c r="BU91" s="510"/>
      <c r="BV91" s="510"/>
      <c r="BW91" s="510"/>
      <c r="BX91" s="510"/>
      <c r="BY91" s="510"/>
      <c r="BZ91" s="510"/>
      <c r="CA91" s="510"/>
      <c r="CB91" s="510"/>
      <c r="CC91" s="510"/>
      <c r="CD91" s="510"/>
      <c r="CE91" s="510"/>
      <c r="CF91" s="510"/>
      <c r="CG91" s="510"/>
      <c r="CH91" s="510"/>
      <c r="CI91" s="510"/>
      <c r="CJ91" s="510"/>
      <c r="CK91" s="510"/>
      <c r="CL91" s="510"/>
      <c r="CM91" s="510"/>
      <c r="CN91" s="510"/>
      <c r="CO91" s="510"/>
      <c r="CP91" s="510"/>
      <c r="CQ91" s="510"/>
      <c r="CR91" s="510"/>
      <c r="CS91" s="510"/>
    </row>
    <row r="92" spans="1:97" ht="15.75" thickBot="1" x14ac:dyDescent="0.3">
      <c r="A92" s="509"/>
      <c r="B92" s="508"/>
      <c r="C92" s="501">
        <f>SUBTOTAL(9,C90:C91)</f>
        <v>38982.43</v>
      </c>
      <c r="D92" s="504">
        <f>SUBTOTAL(9,D90:D91)</f>
        <v>34465.53</v>
      </c>
      <c r="E92" s="504">
        <f>SUBTOTAL(9,E90:E91)</f>
        <v>34470</v>
      </c>
      <c r="F92" s="505"/>
      <c r="G92" s="504">
        <f t="shared" ref="G92:P92" si="114">SUBTOTAL(9,G90:G91)</f>
        <v>0</v>
      </c>
      <c r="H92" s="504">
        <f t="shared" si="114"/>
        <v>4.4700000000011642</v>
      </c>
      <c r="I92" s="504">
        <f t="shared" si="114"/>
        <v>300</v>
      </c>
      <c r="J92" s="504">
        <f t="shared" si="114"/>
        <v>0</v>
      </c>
      <c r="K92" s="507">
        <f t="shared" si="114"/>
        <v>1856.07</v>
      </c>
      <c r="L92" s="504">
        <f t="shared" si="114"/>
        <v>0</v>
      </c>
      <c r="M92" s="506">
        <f t="shared" si="114"/>
        <v>39.905504999999991</v>
      </c>
      <c r="N92" s="506">
        <f t="shared" si="114"/>
        <v>9.2803499999999985</v>
      </c>
      <c r="O92" s="506">
        <f t="shared" si="114"/>
        <v>1806.884145</v>
      </c>
      <c r="P92" s="506">
        <f t="shared" si="114"/>
        <v>0</v>
      </c>
      <c r="Q92" s="505"/>
      <c r="R92" s="504">
        <f t="shared" ref="R92:W92" si="115">SUBTOTAL(9,R90:R91)</f>
        <v>0</v>
      </c>
      <c r="S92" s="504">
        <f t="shared" si="115"/>
        <v>0</v>
      </c>
      <c r="T92" s="506">
        <f t="shared" si="115"/>
        <v>0</v>
      </c>
      <c r="U92" s="506">
        <f t="shared" si="115"/>
        <v>0</v>
      </c>
      <c r="V92" s="506">
        <f t="shared" si="115"/>
        <v>0</v>
      </c>
      <c r="W92" s="506">
        <f t="shared" si="115"/>
        <v>0</v>
      </c>
      <c r="X92" s="505"/>
      <c r="Y92" s="504">
        <f>SUBTOTAL(9,Y90:Y91)</f>
        <v>0</v>
      </c>
      <c r="Z92" s="504"/>
      <c r="AA92" s="504"/>
      <c r="AB92" s="504"/>
      <c r="AC92" s="504"/>
      <c r="AD92" s="503"/>
      <c r="AE92" s="503"/>
      <c r="AF92" s="504"/>
      <c r="AG92" s="501">
        <f t="shared" ref="AG92:AM92" si="116">SUBTOTAL(9,AG90:AG91)</f>
        <v>1914.5603999999998</v>
      </c>
      <c r="AH92" s="501">
        <f t="shared" si="116"/>
        <v>337.86360000000002</v>
      </c>
      <c r="AI92" s="501">
        <f t="shared" si="116"/>
        <v>563.10599999999999</v>
      </c>
      <c r="AJ92" s="504">
        <f t="shared" si="116"/>
        <v>0</v>
      </c>
      <c r="AK92" s="501">
        <f t="shared" si="116"/>
        <v>32291.875</v>
      </c>
      <c r="AL92" s="501">
        <f t="shared" si="116"/>
        <v>32140.875</v>
      </c>
      <c r="AM92" s="501">
        <f t="shared" si="116"/>
        <v>3856.9049999999997</v>
      </c>
      <c r="AN92" s="501">
        <f t="shared" si="92"/>
        <v>35997.78</v>
      </c>
      <c r="AO92" s="502">
        <f t="shared" ref="AO92:BR92" si="117">SUBTOTAL(9,AO90:AO91)</f>
        <v>0</v>
      </c>
      <c r="AP92" s="502">
        <f t="shared" si="117"/>
        <v>285</v>
      </c>
      <c r="AQ92" s="502">
        <f t="shared" si="117"/>
        <v>0</v>
      </c>
      <c r="AR92" s="502">
        <f t="shared" si="117"/>
        <v>0</v>
      </c>
      <c r="AS92" s="502">
        <f t="shared" si="117"/>
        <v>0</v>
      </c>
      <c r="AT92" s="502">
        <f t="shared" si="117"/>
        <v>0</v>
      </c>
      <c r="AU92" s="502">
        <f t="shared" si="117"/>
        <v>0</v>
      </c>
      <c r="AV92" s="502">
        <f t="shared" si="117"/>
        <v>0</v>
      </c>
      <c r="AW92" s="502">
        <f t="shared" si="117"/>
        <v>0</v>
      </c>
      <c r="AX92" s="502">
        <f t="shared" si="117"/>
        <v>0</v>
      </c>
      <c r="AY92" s="502">
        <f t="shared" si="117"/>
        <v>0</v>
      </c>
      <c r="AZ92" s="501">
        <f t="shared" si="117"/>
        <v>285</v>
      </c>
      <c r="BA92" s="503">
        <f t="shared" si="117"/>
        <v>0</v>
      </c>
      <c r="BB92" s="503">
        <f t="shared" si="117"/>
        <v>0</v>
      </c>
      <c r="BC92" s="501">
        <f t="shared" si="117"/>
        <v>0</v>
      </c>
      <c r="BD92" s="501">
        <f t="shared" si="117"/>
        <v>0</v>
      </c>
      <c r="BE92" s="502">
        <f t="shared" si="117"/>
        <v>0</v>
      </c>
      <c r="BF92" s="502">
        <f t="shared" si="117"/>
        <v>0</v>
      </c>
      <c r="BG92" s="502">
        <f t="shared" si="117"/>
        <v>0</v>
      </c>
      <c r="BH92" s="502">
        <f t="shared" si="117"/>
        <v>0</v>
      </c>
      <c r="BI92" s="502">
        <f t="shared" si="117"/>
        <v>0</v>
      </c>
      <c r="BJ92" s="502">
        <f t="shared" si="117"/>
        <v>0</v>
      </c>
      <c r="BK92" s="502">
        <f t="shared" si="117"/>
        <v>0</v>
      </c>
      <c r="BL92" s="502">
        <f t="shared" si="117"/>
        <v>0</v>
      </c>
      <c r="BM92" s="502">
        <f t="shared" si="117"/>
        <v>0</v>
      </c>
      <c r="BN92" s="502">
        <f t="shared" si="117"/>
        <v>0</v>
      </c>
      <c r="BO92" s="502">
        <f t="shared" si="117"/>
        <v>0</v>
      </c>
      <c r="BP92" s="502">
        <f t="shared" si="117"/>
        <v>0</v>
      </c>
      <c r="BQ92" s="502">
        <f t="shared" si="117"/>
        <v>0</v>
      </c>
      <c r="BR92" s="501">
        <f t="shared" si="117"/>
        <v>285</v>
      </c>
    </row>
    <row r="93" spans="1:97" x14ac:dyDescent="0.25">
      <c r="A93" s="694">
        <f>+A90+1</f>
        <v>43494</v>
      </c>
      <c r="B93" s="521" t="s">
        <v>561</v>
      </c>
      <c r="C93" s="514">
        <v>40791.769999999997</v>
      </c>
      <c r="D93" s="517">
        <v>8495.44</v>
      </c>
      <c r="E93" s="517">
        <v>8500</v>
      </c>
      <c r="F93" s="520">
        <v>43494</v>
      </c>
      <c r="G93" s="514">
        <f>IF(E93-D93&lt;0,E93-D93,0)*-1</f>
        <v>0</v>
      </c>
      <c r="H93" s="514">
        <f>IF(E93-D93&gt;0,E93-D93,0)</f>
        <v>4.5599999999994907</v>
      </c>
      <c r="I93" s="517"/>
      <c r="J93" s="517"/>
      <c r="K93" s="517">
        <v>10581.05</v>
      </c>
      <c r="L93" s="517"/>
      <c r="M93" s="519">
        <f>(+K93)*M$5</f>
        <v>227.49257499999996</v>
      </c>
      <c r="N93" s="519">
        <f>(+K93)*N$5</f>
        <v>52.905249999999995</v>
      </c>
      <c r="O93" s="519">
        <f>+K93-M93-N93+P93</f>
        <v>10300.652174999999</v>
      </c>
      <c r="P93" s="519"/>
      <c r="Q93" s="518"/>
      <c r="R93" s="517"/>
      <c r="S93" s="517"/>
      <c r="T93" s="519"/>
      <c r="U93" s="519"/>
      <c r="V93" s="519"/>
      <c r="W93" s="519"/>
      <c r="X93" s="518"/>
      <c r="Y93" s="517"/>
      <c r="Z93" s="517">
        <v>60.5</v>
      </c>
      <c r="AA93" s="517"/>
      <c r="AB93" s="517"/>
      <c r="AC93" s="517">
        <v>74.78</v>
      </c>
      <c r="AD93" s="515" t="s">
        <v>562</v>
      </c>
      <c r="AE93" s="515">
        <v>21580</v>
      </c>
      <c r="AF93" s="517">
        <v>3202.39</v>
      </c>
      <c r="AG93" s="514">
        <f>(AF93*0.8)*0.85</f>
        <v>2177.6251999999999</v>
      </c>
      <c r="AH93" s="514">
        <f>(AF93*0.8)*0.15</f>
        <v>384.28680000000003</v>
      </c>
      <c r="AI93" s="514">
        <f>AF93*0.2</f>
        <v>640.47800000000007</v>
      </c>
      <c r="AJ93" s="517"/>
      <c r="AK93" s="514">
        <f>(C93-AF93-AJ93)/1.12</f>
        <v>33561.94642857142</v>
      </c>
      <c r="AL93" s="514">
        <f>AK93-SUM(Y93:AC93)</f>
        <v>33426.666428571421</v>
      </c>
      <c r="AM93" s="514">
        <f>+AL93*0.12</f>
        <v>4011.1999714285703</v>
      </c>
      <c r="AN93" s="514">
        <f t="shared" si="92"/>
        <v>37437.866399999992</v>
      </c>
      <c r="AO93" s="513"/>
      <c r="AP93" s="516"/>
      <c r="AQ93" s="516"/>
      <c r="AR93" s="516"/>
      <c r="AS93" s="516"/>
      <c r="AT93" s="516"/>
      <c r="AU93" s="516"/>
      <c r="AV93" s="516"/>
      <c r="AW93" s="516"/>
      <c r="AX93" s="516"/>
      <c r="AY93" s="516"/>
      <c r="AZ93" s="514">
        <f>SUM(AO93:AY93)</f>
        <v>0</v>
      </c>
      <c r="BA93" s="515"/>
      <c r="BB93" s="515"/>
      <c r="BC93" s="514">
        <f>SUM(BE93:BM93)*0.1+(BN93*0.5)</f>
        <v>0</v>
      </c>
      <c r="BD93" s="514">
        <f>SUM(BE93:BM93)+(BN93*0.5)</f>
        <v>0</v>
      </c>
      <c r="BE93" s="513"/>
      <c r="BF93" s="513"/>
      <c r="BG93" s="513"/>
      <c r="BH93" s="513"/>
      <c r="BI93" s="513"/>
      <c r="BJ93" s="513"/>
      <c r="BK93" s="513"/>
      <c r="BL93" s="513"/>
      <c r="BM93" s="513"/>
      <c r="BN93" s="513"/>
      <c r="BO93" s="513"/>
      <c r="BP93" s="513"/>
      <c r="BQ93" s="513"/>
      <c r="BR93" s="524">
        <f>AZ93+BA93+BB93+BD93-BC93</f>
        <v>0</v>
      </c>
      <c r="BT93" s="511"/>
      <c r="BU93" s="510"/>
      <c r="BV93" s="510"/>
      <c r="BW93" s="510"/>
      <c r="BX93" s="510"/>
      <c r="BY93" s="510"/>
      <c r="BZ93" s="510"/>
      <c r="CA93" s="510"/>
      <c r="CB93" s="510"/>
      <c r="CC93" s="510"/>
      <c r="CD93" s="510"/>
      <c r="CE93" s="510"/>
      <c r="CF93" s="510"/>
      <c r="CG93" s="510"/>
      <c r="CH93" s="510"/>
      <c r="CI93" s="510"/>
      <c r="CJ93" s="510"/>
      <c r="CK93" s="510"/>
      <c r="CL93" s="510"/>
      <c r="CM93" s="510"/>
      <c r="CN93" s="510"/>
      <c r="CO93" s="510"/>
      <c r="CP93" s="510"/>
      <c r="CQ93" s="510"/>
      <c r="CR93" s="510"/>
      <c r="CS93" s="510"/>
    </row>
    <row r="94" spans="1:97" ht="15.75" thickBot="1" x14ac:dyDescent="0.3">
      <c r="A94" s="695"/>
      <c r="B94" s="521" t="s">
        <v>560</v>
      </c>
      <c r="C94" s="514">
        <v>15576.78</v>
      </c>
      <c r="D94" s="517">
        <v>13201.78</v>
      </c>
      <c r="E94" s="517">
        <v>13202</v>
      </c>
      <c r="F94" s="520">
        <v>43495</v>
      </c>
      <c r="G94" s="514">
        <f>IF(E94-D94&lt;0,E94-D94,0)*-1</f>
        <v>0</v>
      </c>
      <c r="H94" s="514">
        <f>IF(E94-D94&gt;0,E94-D94,0)</f>
        <v>0.21999999999934516</v>
      </c>
      <c r="I94" s="517"/>
      <c r="J94" s="517"/>
      <c r="K94" s="517">
        <v>332.23</v>
      </c>
      <c r="L94" s="517"/>
      <c r="M94" s="519">
        <f>(+K94)*M$5</f>
        <v>7.1429450000000001</v>
      </c>
      <c r="N94" s="519">
        <f>(+K94)*N$5</f>
        <v>1.6611500000000001</v>
      </c>
      <c r="O94" s="519">
        <f>+K94-M94-N94+P94</f>
        <v>323.425905</v>
      </c>
      <c r="P94" s="519"/>
      <c r="Q94" s="518"/>
      <c r="R94" s="517"/>
      <c r="S94" s="517"/>
      <c r="T94" s="519"/>
      <c r="U94" s="519"/>
      <c r="V94" s="519"/>
      <c r="W94" s="519"/>
      <c r="X94" s="518"/>
      <c r="Y94" s="517"/>
      <c r="Z94" s="517">
        <v>101.5</v>
      </c>
      <c r="AA94" s="517"/>
      <c r="AB94" s="517"/>
      <c r="AC94" s="517">
        <v>35.270000000000003</v>
      </c>
      <c r="AD94" s="515"/>
      <c r="AE94" s="515">
        <v>1906</v>
      </c>
      <c r="AF94" s="517">
        <v>1043.94</v>
      </c>
      <c r="AG94" s="514">
        <f>(AF94*0.8)*0.85</f>
        <v>709.87919999999997</v>
      </c>
      <c r="AH94" s="514">
        <f>(AF94*0.8)*0.15</f>
        <v>125.2728</v>
      </c>
      <c r="AI94" s="514">
        <f>AF94*0.2</f>
        <v>208.78800000000001</v>
      </c>
      <c r="AJ94" s="517"/>
      <c r="AK94" s="514">
        <f>(C94-AF94-AJ94)/1.12</f>
        <v>12975.749999999998</v>
      </c>
      <c r="AL94" s="514">
        <f>AK94-SUM(Y94:AC94)</f>
        <v>12838.979999999998</v>
      </c>
      <c r="AM94" s="514">
        <f>+AL94*0.12</f>
        <v>1540.6775999999998</v>
      </c>
      <c r="AN94" s="514">
        <f t="shared" si="92"/>
        <v>14379.657599999997</v>
      </c>
      <c r="AO94" s="513"/>
      <c r="AP94" s="516"/>
      <c r="AQ94" s="516"/>
      <c r="AR94" s="516"/>
      <c r="AS94" s="516"/>
      <c r="AT94" s="516"/>
      <c r="AU94" s="516"/>
      <c r="AV94" s="516"/>
      <c r="AW94" s="516"/>
      <c r="AX94" s="516"/>
      <c r="AY94" s="516"/>
      <c r="AZ94" s="514">
        <f>SUM(AO94:AY94)</f>
        <v>0</v>
      </c>
      <c r="BA94" s="525"/>
      <c r="BB94" s="515"/>
      <c r="BC94" s="514"/>
      <c r="BD94" s="514"/>
      <c r="BE94" s="513"/>
      <c r="BF94" s="513"/>
      <c r="BG94" s="513"/>
      <c r="BH94" s="513"/>
      <c r="BI94" s="513"/>
      <c r="BJ94" s="513"/>
      <c r="BK94" s="513"/>
      <c r="BL94" s="513"/>
      <c r="BM94" s="513"/>
      <c r="BN94" s="513"/>
      <c r="BO94" s="513"/>
      <c r="BP94" s="513"/>
      <c r="BQ94" s="513"/>
      <c r="BR94" s="524">
        <f>AZ94+BA94+BB94+BD94-BC94</f>
        <v>0</v>
      </c>
      <c r="BT94" s="511"/>
      <c r="BU94" s="510"/>
      <c r="BV94" s="510"/>
      <c r="BW94" s="510"/>
      <c r="BX94" s="510"/>
      <c r="BY94" s="510"/>
      <c r="BZ94" s="510"/>
      <c r="CA94" s="510"/>
      <c r="CB94" s="510"/>
      <c r="CC94" s="510"/>
      <c r="CD94" s="510"/>
      <c r="CE94" s="510"/>
      <c r="CF94" s="510"/>
      <c r="CG94" s="510"/>
      <c r="CH94" s="510"/>
      <c r="CI94" s="510"/>
      <c r="CJ94" s="510"/>
      <c r="CK94" s="510"/>
      <c r="CL94" s="510"/>
      <c r="CM94" s="510"/>
      <c r="CN94" s="510"/>
      <c r="CO94" s="510"/>
      <c r="CP94" s="510"/>
      <c r="CQ94" s="510"/>
      <c r="CR94" s="510"/>
      <c r="CS94" s="510"/>
    </row>
    <row r="95" spans="1:97" ht="15.75" thickBot="1" x14ac:dyDescent="0.3">
      <c r="A95" s="509"/>
      <c r="B95" s="508"/>
      <c r="C95" s="501">
        <f>SUBTOTAL(9,C93:C94)</f>
        <v>56368.549999999996</v>
      </c>
      <c r="D95" s="507">
        <f>SUBTOTAL(9,D93:D94)</f>
        <v>21697.22</v>
      </c>
      <c r="E95" s="504">
        <f>SUBTOTAL(9,E93:E94)</f>
        <v>21702</v>
      </c>
      <c r="F95" s="505"/>
      <c r="G95" s="504">
        <f t="shared" ref="G95:P95" si="118">SUBTOTAL(9,G93:G94)</f>
        <v>0</v>
      </c>
      <c r="H95" s="504">
        <f t="shared" si="118"/>
        <v>4.7799999999988358</v>
      </c>
      <c r="I95" s="504">
        <f t="shared" si="118"/>
        <v>0</v>
      </c>
      <c r="J95" s="504">
        <f t="shared" si="118"/>
        <v>0</v>
      </c>
      <c r="K95" s="507">
        <f t="shared" si="118"/>
        <v>10913.279999999999</v>
      </c>
      <c r="L95" s="504">
        <f t="shared" si="118"/>
        <v>0</v>
      </c>
      <c r="M95" s="506">
        <f t="shared" si="118"/>
        <v>234.63551999999996</v>
      </c>
      <c r="N95" s="506">
        <f t="shared" si="118"/>
        <v>54.566399999999994</v>
      </c>
      <c r="O95" s="506">
        <f t="shared" si="118"/>
        <v>10624.078079999999</v>
      </c>
      <c r="P95" s="506">
        <f t="shared" si="118"/>
        <v>0</v>
      </c>
      <c r="Q95" s="505"/>
      <c r="R95" s="504">
        <f t="shared" ref="R95:W95" si="119">SUBTOTAL(9,R93:R94)</f>
        <v>0</v>
      </c>
      <c r="S95" s="504">
        <f t="shared" si="119"/>
        <v>0</v>
      </c>
      <c r="T95" s="506">
        <f t="shared" si="119"/>
        <v>0</v>
      </c>
      <c r="U95" s="506">
        <f t="shared" si="119"/>
        <v>0</v>
      </c>
      <c r="V95" s="506">
        <f t="shared" si="119"/>
        <v>0</v>
      </c>
      <c r="W95" s="506">
        <f t="shared" si="119"/>
        <v>0</v>
      </c>
      <c r="X95" s="505"/>
      <c r="Y95" s="504">
        <f>SUBTOTAL(9,Y93:Y94)</f>
        <v>0</v>
      </c>
      <c r="Z95" s="504"/>
      <c r="AA95" s="504"/>
      <c r="AB95" s="504"/>
      <c r="AC95" s="504"/>
      <c r="AD95" s="503"/>
      <c r="AE95" s="503"/>
      <c r="AF95" s="504"/>
      <c r="AG95" s="501">
        <f t="shared" ref="AG95:AM95" si="120">SUBTOTAL(9,AG93:AG94)</f>
        <v>2887.5043999999998</v>
      </c>
      <c r="AH95" s="501">
        <f t="shared" si="120"/>
        <v>509.55960000000005</v>
      </c>
      <c r="AI95" s="501">
        <f t="shared" si="120"/>
        <v>849.26600000000008</v>
      </c>
      <c r="AJ95" s="504">
        <f t="shared" si="120"/>
        <v>0</v>
      </c>
      <c r="AK95" s="501">
        <f t="shared" si="120"/>
        <v>46537.69642857142</v>
      </c>
      <c r="AL95" s="501">
        <f t="shared" si="120"/>
        <v>46265.646428571417</v>
      </c>
      <c r="AM95" s="501">
        <f t="shared" si="120"/>
        <v>5551.8775714285703</v>
      </c>
      <c r="AN95" s="501">
        <f t="shared" si="92"/>
        <v>51817.52399999999</v>
      </c>
      <c r="AO95" s="502">
        <f t="shared" ref="AO95:BR95" si="121">SUBTOTAL(9,AO93:AO94)</f>
        <v>0</v>
      </c>
      <c r="AP95" s="502">
        <f t="shared" si="121"/>
        <v>0</v>
      </c>
      <c r="AQ95" s="502">
        <f t="shared" si="121"/>
        <v>0</v>
      </c>
      <c r="AR95" s="502">
        <f t="shared" si="121"/>
        <v>0</v>
      </c>
      <c r="AS95" s="502">
        <f t="shared" si="121"/>
        <v>0</v>
      </c>
      <c r="AT95" s="502">
        <f t="shared" si="121"/>
        <v>0</v>
      </c>
      <c r="AU95" s="502">
        <f t="shared" si="121"/>
        <v>0</v>
      </c>
      <c r="AV95" s="502">
        <f t="shared" si="121"/>
        <v>0</v>
      </c>
      <c r="AW95" s="502">
        <f t="shared" si="121"/>
        <v>0</v>
      </c>
      <c r="AX95" s="502">
        <f t="shared" si="121"/>
        <v>0</v>
      </c>
      <c r="AY95" s="502">
        <f t="shared" si="121"/>
        <v>0</v>
      </c>
      <c r="AZ95" s="501">
        <f t="shared" si="121"/>
        <v>0</v>
      </c>
      <c r="BA95" s="503">
        <f t="shared" si="121"/>
        <v>0</v>
      </c>
      <c r="BB95" s="503">
        <f t="shared" si="121"/>
        <v>0</v>
      </c>
      <c r="BC95" s="501">
        <f t="shared" si="121"/>
        <v>0</v>
      </c>
      <c r="BD95" s="501">
        <f t="shared" si="121"/>
        <v>0</v>
      </c>
      <c r="BE95" s="502">
        <f t="shared" si="121"/>
        <v>0</v>
      </c>
      <c r="BF95" s="502">
        <f t="shared" si="121"/>
        <v>0</v>
      </c>
      <c r="BG95" s="502">
        <f t="shared" si="121"/>
        <v>0</v>
      </c>
      <c r="BH95" s="502">
        <f t="shared" si="121"/>
        <v>0</v>
      </c>
      <c r="BI95" s="502">
        <f t="shared" si="121"/>
        <v>0</v>
      </c>
      <c r="BJ95" s="502">
        <f t="shared" si="121"/>
        <v>0</v>
      </c>
      <c r="BK95" s="502">
        <f t="shared" si="121"/>
        <v>0</v>
      </c>
      <c r="BL95" s="502">
        <f t="shared" si="121"/>
        <v>0</v>
      </c>
      <c r="BM95" s="502">
        <f t="shared" si="121"/>
        <v>0</v>
      </c>
      <c r="BN95" s="502">
        <f t="shared" si="121"/>
        <v>0</v>
      </c>
      <c r="BO95" s="502">
        <f t="shared" si="121"/>
        <v>0</v>
      </c>
      <c r="BP95" s="502">
        <f t="shared" si="121"/>
        <v>0</v>
      </c>
      <c r="BQ95" s="502">
        <f t="shared" si="121"/>
        <v>0</v>
      </c>
      <c r="BR95" s="501">
        <f t="shared" si="121"/>
        <v>0</v>
      </c>
    </row>
    <row r="96" spans="1:97" x14ac:dyDescent="0.25">
      <c r="A96" s="707">
        <f>+A93+1</f>
        <v>43495</v>
      </c>
      <c r="B96" s="521" t="s">
        <v>561</v>
      </c>
      <c r="C96" s="514">
        <v>24932.04</v>
      </c>
      <c r="D96" s="517">
        <v>13059.05</v>
      </c>
      <c r="E96" s="517">
        <v>13060</v>
      </c>
      <c r="F96" s="520">
        <v>43495</v>
      </c>
      <c r="G96" s="514">
        <f>IF(E96-D96&lt;0,E96-D96,0)*-1</f>
        <v>0</v>
      </c>
      <c r="H96" s="514">
        <f>IF(E96-D96&gt;0,E96-D96,0)</f>
        <v>0.9500000000007276</v>
      </c>
      <c r="I96" s="517"/>
      <c r="J96" s="517"/>
      <c r="K96" s="517">
        <v>10710.95</v>
      </c>
      <c r="L96" s="517"/>
      <c r="M96" s="519">
        <f>(+K96)*M$5</f>
        <v>230.285425</v>
      </c>
      <c r="N96" s="519">
        <f>(+K96)*N$5</f>
        <v>53.554750000000006</v>
      </c>
      <c r="O96" s="519">
        <f>+K96-M96-N96+P96</f>
        <v>10427.109825000001</v>
      </c>
      <c r="P96" s="519"/>
      <c r="Q96" s="518"/>
      <c r="R96" s="517"/>
      <c r="S96" s="517"/>
      <c r="T96" s="519"/>
      <c r="U96" s="519"/>
      <c r="V96" s="519"/>
      <c r="W96" s="519"/>
      <c r="X96" s="518"/>
      <c r="Y96" s="517"/>
      <c r="Z96" s="517">
        <f>92+72</f>
        <v>164</v>
      </c>
      <c r="AA96" s="517"/>
      <c r="AB96" s="517"/>
      <c r="AC96" s="517">
        <v>183.04</v>
      </c>
      <c r="AD96" s="515"/>
      <c r="AE96" s="515">
        <v>815</v>
      </c>
      <c r="AF96" s="517">
        <v>1900.11</v>
      </c>
      <c r="AG96" s="514">
        <f>(AF96*0.8)*0.85</f>
        <v>1292.0747999999999</v>
      </c>
      <c r="AH96" s="514">
        <f>(AF96*0.8)*0.15</f>
        <v>228.01319999999998</v>
      </c>
      <c r="AI96" s="514">
        <f>AF96*0.2</f>
        <v>380.02199999999999</v>
      </c>
      <c r="AJ96" s="517"/>
      <c r="AK96" s="514">
        <f>(C96-AF96-AJ96)/1.12</f>
        <v>20564.223214285714</v>
      </c>
      <c r="AL96" s="514">
        <f>AK96-SUM(Y96:AC96)</f>
        <v>20217.183214285713</v>
      </c>
      <c r="AM96" s="514">
        <f>+AL96*0.12</f>
        <v>2426.0619857142856</v>
      </c>
      <c r="AN96" s="514">
        <f t="shared" si="92"/>
        <v>22643.245199999998</v>
      </c>
      <c r="AO96" s="513"/>
      <c r="AP96" s="516"/>
      <c r="AQ96" s="516"/>
      <c r="AR96" s="516"/>
      <c r="AS96" s="516"/>
      <c r="AT96" s="516"/>
      <c r="AU96" s="516"/>
      <c r="AV96" s="516"/>
      <c r="AW96" s="516"/>
      <c r="AX96" s="516"/>
      <c r="AY96" s="516"/>
      <c r="AZ96" s="514">
        <f>SUM(AO96:AY96)</f>
        <v>0</v>
      </c>
      <c r="BA96" s="515"/>
      <c r="BB96" s="515"/>
      <c r="BC96" s="514">
        <f>SUM(BE96:BM96)*0.1+(BN96*0.5)</f>
        <v>0</v>
      </c>
      <c r="BD96" s="514">
        <f>SUM(BE96:BM96)+(BN96*0.5)</f>
        <v>0</v>
      </c>
      <c r="BE96" s="513"/>
      <c r="BF96" s="513"/>
      <c r="BG96" s="513"/>
      <c r="BH96" s="513"/>
      <c r="BI96" s="513"/>
      <c r="BJ96" s="513"/>
      <c r="BK96" s="513"/>
      <c r="BL96" s="513"/>
      <c r="BM96" s="513"/>
      <c r="BN96" s="513"/>
      <c r="BO96" s="513"/>
      <c r="BP96" s="513"/>
      <c r="BQ96" s="513"/>
      <c r="BR96" s="524">
        <f>AZ96+BA96+BB96+BD96-BC96</f>
        <v>0</v>
      </c>
      <c r="BT96" s="511"/>
      <c r="BU96" s="510"/>
      <c r="BV96" s="510"/>
      <c r="BW96" s="510"/>
      <c r="BX96" s="510"/>
      <c r="BY96" s="510"/>
      <c r="BZ96" s="510"/>
      <c r="CA96" s="510"/>
      <c r="CB96" s="510"/>
      <c r="CC96" s="510"/>
      <c r="CD96" s="510"/>
      <c r="CE96" s="510"/>
      <c r="CF96" s="510"/>
      <c r="CG96" s="510"/>
      <c r="CH96" s="510"/>
      <c r="CI96" s="510"/>
      <c r="CJ96" s="510"/>
      <c r="CK96" s="510"/>
      <c r="CL96" s="510"/>
      <c r="CM96" s="510"/>
      <c r="CN96" s="510"/>
      <c r="CO96" s="510"/>
      <c r="CP96" s="510"/>
      <c r="CQ96" s="510"/>
      <c r="CR96" s="510"/>
      <c r="CS96" s="510"/>
    </row>
    <row r="97" spans="1:97" ht="15.75" thickBot="1" x14ac:dyDescent="0.3">
      <c r="A97" s="694"/>
      <c r="B97" s="521" t="s">
        <v>560</v>
      </c>
      <c r="C97" s="514">
        <v>18414.099999999999</v>
      </c>
      <c r="D97" s="517">
        <v>13558.99</v>
      </c>
      <c r="E97" s="517">
        <v>13560</v>
      </c>
      <c r="F97" s="520">
        <v>43496</v>
      </c>
      <c r="G97" s="514">
        <f>IF(E97-D97&lt;0,E97-D97,0)*-1</f>
        <v>0</v>
      </c>
      <c r="H97" s="514">
        <f>IF(E97-D97&gt;0,E97-D97,0)</f>
        <v>1.0100000000002183</v>
      </c>
      <c r="I97" s="517"/>
      <c r="J97" s="517"/>
      <c r="K97" s="517">
        <v>3605.54</v>
      </c>
      <c r="L97" s="517"/>
      <c r="M97" s="519">
        <f>(+K97)*M$5</f>
        <v>77.519109999999998</v>
      </c>
      <c r="N97" s="519">
        <f>(+K97)*N$5</f>
        <v>18.027699999999999</v>
      </c>
      <c r="O97" s="519">
        <f>+K97-M97-N97+P97</f>
        <v>3509.9931899999997</v>
      </c>
      <c r="P97" s="519"/>
      <c r="Q97" s="518"/>
      <c r="R97" s="517"/>
      <c r="S97" s="517"/>
      <c r="T97" s="519"/>
      <c r="U97" s="519"/>
      <c r="V97" s="519"/>
      <c r="W97" s="519"/>
      <c r="X97" s="518"/>
      <c r="Y97" s="517"/>
      <c r="Z97" s="517">
        <f>18.25+46</f>
        <v>64.25</v>
      </c>
      <c r="AA97" s="517"/>
      <c r="AB97" s="517">
        <v>29.5</v>
      </c>
      <c r="AC97" s="517">
        <v>34.82</v>
      </c>
      <c r="AD97" s="515"/>
      <c r="AE97" s="525">
        <v>1121</v>
      </c>
      <c r="AF97" s="517">
        <v>1322.99</v>
      </c>
      <c r="AG97" s="514">
        <f>(AF97*0.8)*0.85</f>
        <v>899.63319999999999</v>
      </c>
      <c r="AH97" s="514">
        <f>(AF97*0.8)*0.15</f>
        <v>158.75880000000001</v>
      </c>
      <c r="AI97" s="514">
        <f>AF97*0.2</f>
        <v>264.59800000000001</v>
      </c>
      <c r="AJ97" s="517"/>
      <c r="AK97" s="514">
        <f>(C97-AF97-AJ97)/1.12</f>
        <v>15259.919642857139</v>
      </c>
      <c r="AL97" s="514">
        <f>AK97-SUM(Y97:AC97)</f>
        <v>15131.34964285714</v>
      </c>
      <c r="AM97" s="514">
        <f>+AL97*0.12</f>
        <v>1815.7619571428568</v>
      </c>
      <c r="AN97" s="514">
        <f t="shared" si="92"/>
        <v>16947.111599999997</v>
      </c>
      <c r="AO97" s="513"/>
      <c r="AP97" s="516">
        <v>265</v>
      </c>
      <c r="AQ97" s="516">
        <v>110</v>
      </c>
      <c r="AR97" s="516"/>
      <c r="AS97" s="516"/>
      <c r="AT97" s="516"/>
      <c r="AU97" s="516"/>
      <c r="AV97" s="516"/>
      <c r="AW97" s="516"/>
      <c r="AX97" s="516"/>
      <c r="AY97" s="516"/>
      <c r="AZ97" s="514">
        <f>SUM(AO97:AY97)</f>
        <v>375</v>
      </c>
      <c r="BA97" s="515">
        <f>70+170</f>
        <v>240</v>
      </c>
      <c r="BB97" s="515"/>
      <c r="BC97" s="514"/>
      <c r="BD97" s="514"/>
      <c r="BE97" s="513"/>
      <c r="BF97" s="513"/>
      <c r="BG97" s="513"/>
      <c r="BH97" s="513"/>
      <c r="BI97" s="513"/>
      <c r="BJ97" s="513"/>
      <c r="BK97" s="513"/>
      <c r="BL97" s="513"/>
      <c r="BM97" s="513"/>
      <c r="BN97" s="513"/>
      <c r="BO97" s="513"/>
      <c r="BP97" s="513"/>
      <c r="BQ97" s="513"/>
      <c r="BR97" s="524">
        <f>AZ97+BA97+BB97+BD97-BC97</f>
        <v>615</v>
      </c>
      <c r="BT97" s="511"/>
      <c r="BU97" s="510"/>
      <c r="BV97" s="510"/>
      <c r="BW97" s="510"/>
      <c r="BX97" s="510"/>
      <c r="BY97" s="510"/>
      <c r="BZ97" s="510"/>
      <c r="CA97" s="510"/>
      <c r="CB97" s="510"/>
      <c r="CC97" s="510"/>
      <c r="CD97" s="510"/>
      <c r="CE97" s="510"/>
      <c r="CF97" s="510"/>
      <c r="CG97" s="510"/>
      <c r="CH97" s="510"/>
      <c r="CI97" s="510"/>
      <c r="CJ97" s="510"/>
      <c r="CK97" s="510"/>
      <c r="CL97" s="510"/>
      <c r="CM97" s="510"/>
      <c r="CN97" s="510"/>
      <c r="CO97" s="510"/>
      <c r="CP97" s="510"/>
      <c r="CQ97" s="510"/>
      <c r="CR97" s="510"/>
      <c r="CS97" s="510"/>
    </row>
    <row r="98" spans="1:97" ht="15.75" thickBot="1" x14ac:dyDescent="0.3">
      <c r="A98" s="523"/>
      <c r="B98" s="508"/>
      <c r="C98" s="501">
        <f>SUBTOTAL(9,C96:C97)</f>
        <v>43346.14</v>
      </c>
      <c r="D98" s="504">
        <f>SUBTOTAL(9,D96:D97)</f>
        <v>26618.04</v>
      </c>
      <c r="E98" s="504">
        <f>SUBTOTAL(9,E96:E97)</f>
        <v>26620</v>
      </c>
      <c r="F98" s="505"/>
      <c r="G98" s="504">
        <f t="shared" ref="G98:P98" si="122">SUBTOTAL(9,G96:G97)</f>
        <v>0</v>
      </c>
      <c r="H98" s="504">
        <f t="shared" si="122"/>
        <v>1.9600000000009459</v>
      </c>
      <c r="I98" s="504">
        <f t="shared" si="122"/>
        <v>0</v>
      </c>
      <c r="J98" s="504">
        <f t="shared" si="122"/>
        <v>0</v>
      </c>
      <c r="K98" s="507">
        <f t="shared" si="122"/>
        <v>14316.490000000002</v>
      </c>
      <c r="L98" s="504">
        <f t="shared" si="122"/>
        <v>0</v>
      </c>
      <c r="M98" s="506">
        <f t="shared" si="122"/>
        <v>307.80453499999999</v>
      </c>
      <c r="N98" s="506">
        <f t="shared" si="122"/>
        <v>71.582450000000009</v>
      </c>
      <c r="O98" s="506">
        <f t="shared" si="122"/>
        <v>13937.103015000001</v>
      </c>
      <c r="P98" s="506">
        <f t="shared" si="122"/>
        <v>0</v>
      </c>
      <c r="Q98" s="505"/>
      <c r="R98" s="504">
        <f t="shared" ref="R98:W98" si="123">SUBTOTAL(9,R96:R97)</f>
        <v>0</v>
      </c>
      <c r="S98" s="504">
        <f t="shared" si="123"/>
        <v>0</v>
      </c>
      <c r="T98" s="506">
        <f t="shared" si="123"/>
        <v>0</v>
      </c>
      <c r="U98" s="506">
        <f t="shared" si="123"/>
        <v>0</v>
      </c>
      <c r="V98" s="506">
        <f t="shared" si="123"/>
        <v>0</v>
      </c>
      <c r="W98" s="506">
        <f t="shared" si="123"/>
        <v>0</v>
      </c>
      <c r="X98" s="505"/>
      <c r="Y98" s="504">
        <f>SUBTOTAL(9,Y96:Y97)</f>
        <v>0</v>
      </c>
      <c r="Z98" s="504"/>
      <c r="AA98" s="504"/>
      <c r="AB98" s="504"/>
      <c r="AC98" s="504"/>
      <c r="AD98" s="503"/>
      <c r="AE98" s="503"/>
      <c r="AF98" s="504"/>
      <c r="AG98" s="501">
        <f t="shared" ref="AG98:AM98" si="124">SUBTOTAL(9,AG96:AG97)</f>
        <v>2191.7079999999996</v>
      </c>
      <c r="AH98" s="501">
        <f t="shared" si="124"/>
        <v>386.77199999999999</v>
      </c>
      <c r="AI98" s="501">
        <f t="shared" si="124"/>
        <v>644.62</v>
      </c>
      <c r="AJ98" s="504">
        <f t="shared" si="124"/>
        <v>0</v>
      </c>
      <c r="AK98" s="501">
        <f t="shared" si="124"/>
        <v>35824.142857142855</v>
      </c>
      <c r="AL98" s="501">
        <f t="shared" si="124"/>
        <v>35348.532857142854</v>
      </c>
      <c r="AM98" s="501">
        <f t="shared" si="124"/>
        <v>4241.8239428571424</v>
      </c>
      <c r="AN98" s="501">
        <f t="shared" si="92"/>
        <v>39590.356799999994</v>
      </c>
      <c r="AO98" s="502">
        <f t="shared" ref="AO98:BR98" si="125">SUBTOTAL(9,AO96:AO97)</f>
        <v>0</v>
      </c>
      <c r="AP98" s="502">
        <f t="shared" si="125"/>
        <v>265</v>
      </c>
      <c r="AQ98" s="502">
        <f t="shared" si="125"/>
        <v>110</v>
      </c>
      <c r="AR98" s="502">
        <f t="shared" si="125"/>
        <v>0</v>
      </c>
      <c r="AS98" s="502">
        <f t="shared" si="125"/>
        <v>0</v>
      </c>
      <c r="AT98" s="502">
        <f t="shared" si="125"/>
        <v>0</v>
      </c>
      <c r="AU98" s="502">
        <f t="shared" si="125"/>
        <v>0</v>
      </c>
      <c r="AV98" s="502">
        <f t="shared" si="125"/>
        <v>0</v>
      </c>
      <c r="AW98" s="502">
        <f t="shared" si="125"/>
        <v>0</v>
      </c>
      <c r="AX98" s="502">
        <f t="shared" si="125"/>
        <v>0</v>
      </c>
      <c r="AY98" s="502">
        <f t="shared" si="125"/>
        <v>0</v>
      </c>
      <c r="AZ98" s="501">
        <f t="shared" si="125"/>
        <v>375</v>
      </c>
      <c r="BA98" s="503">
        <f t="shared" si="125"/>
        <v>240</v>
      </c>
      <c r="BB98" s="503">
        <f t="shared" si="125"/>
        <v>0</v>
      </c>
      <c r="BC98" s="501">
        <f t="shared" si="125"/>
        <v>0</v>
      </c>
      <c r="BD98" s="501">
        <f t="shared" si="125"/>
        <v>0</v>
      </c>
      <c r="BE98" s="502">
        <f t="shared" si="125"/>
        <v>0</v>
      </c>
      <c r="BF98" s="502">
        <f t="shared" si="125"/>
        <v>0</v>
      </c>
      <c r="BG98" s="502">
        <f t="shared" si="125"/>
        <v>0</v>
      </c>
      <c r="BH98" s="502">
        <f t="shared" si="125"/>
        <v>0</v>
      </c>
      <c r="BI98" s="502">
        <f t="shared" si="125"/>
        <v>0</v>
      </c>
      <c r="BJ98" s="502">
        <f t="shared" si="125"/>
        <v>0</v>
      </c>
      <c r="BK98" s="502">
        <f t="shared" si="125"/>
        <v>0</v>
      </c>
      <c r="BL98" s="502">
        <f t="shared" si="125"/>
        <v>0</v>
      </c>
      <c r="BM98" s="502">
        <f t="shared" si="125"/>
        <v>0</v>
      </c>
      <c r="BN98" s="502">
        <f t="shared" si="125"/>
        <v>0</v>
      </c>
      <c r="BO98" s="502">
        <f t="shared" si="125"/>
        <v>0</v>
      </c>
      <c r="BP98" s="502">
        <f t="shared" si="125"/>
        <v>0</v>
      </c>
      <c r="BQ98" s="502">
        <f t="shared" si="125"/>
        <v>0</v>
      </c>
      <c r="BR98" s="522">
        <f t="shared" si="125"/>
        <v>615</v>
      </c>
    </row>
    <row r="99" spans="1:97" ht="15" customHeight="1" x14ac:dyDescent="0.25">
      <c r="A99" s="707">
        <v>43496</v>
      </c>
      <c r="B99" s="521" t="s">
        <v>561</v>
      </c>
      <c r="C99" s="514">
        <v>33049.75</v>
      </c>
      <c r="D99" s="517">
        <v>14195.89</v>
      </c>
      <c r="E99" s="517">
        <v>14196</v>
      </c>
      <c r="F99" s="520">
        <v>43496</v>
      </c>
      <c r="G99" s="514">
        <f>IF(E99-D99&lt;0,E99-D99,0)*-1</f>
        <v>0</v>
      </c>
      <c r="H99" s="514">
        <f>IF(E99-D99&gt;0,E99-D99,0)</f>
        <v>0.11000000000058208</v>
      </c>
      <c r="I99" s="517"/>
      <c r="J99" s="517"/>
      <c r="K99" s="517">
        <v>17495.5</v>
      </c>
      <c r="L99" s="517"/>
      <c r="M99" s="519">
        <f>(+K99)*M$5</f>
        <v>376.15324999999996</v>
      </c>
      <c r="N99" s="519">
        <f>(+K99)*N$5</f>
        <v>87.477500000000006</v>
      </c>
      <c r="O99" s="519">
        <f>+K99-M99-N99+P99</f>
        <v>17031.86925</v>
      </c>
      <c r="P99" s="519">
        <f>L99-(L99*(M$5+N$5))</f>
        <v>0</v>
      </c>
      <c r="Q99" s="518"/>
      <c r="R99" s="517"/>
      <c r="S99" s="517"/>
      <c r="T99" s="519">
        <f>+R99*T$5</f>
        <v>0</v>
      </c>
      <c r="U99" s="519">
        <f>+R99*U$5</f>
        <v>0</v>
      </c>
      <c r="V99" s="519">
        <f>+R99-T99-U99+W99</f>
        <v>0</v>
      </c>
      <c r="W99" s="519">
        <f>+S99-(S99*(T$5+U$5))</f>
        <v>0</v>
      </c>
      <c r="X99" s="518"/>
      <c r="Y99" s="517"/>
      <c r="Z99" s="517">
        <f>157.5</f>
        <v>157.5</v>
      </c>
      <c r="AA99" s="517"/>
      <c r="AB99" s="517"/>
      <c r="AC99" s="517">
        <v>342.86</v>
      </c>
      <c r="AD99" s="515"/>
      <c r="AE99" s="515">
        <v>858</v>
      </c>
      <c r="AF99" s="517">
        <v>2551.46</v>
      </c>
      <c r="AG99" s="514">
        <f>(AF99*0.8)*0.85</f>
        <v>1734.9928</v>
      </c>
      <c r="AH99" s="514">
        <f>(AF99*0.8)*0.15</f>
        <v>306.17520000000002</v>
      </c>
      <c r="AI99" s="514">
        <f>AF99*0.2</f>
        <v>510.29200000000003</v>
      </c>
      <c r="AJ99" s="517"/>
      <c r="AK99" s="514">
        <f>(C99-AF99-AJ99)/1.12</f>
        <v>27230.616071428569</v>
      </c>
      <c r="AL99" s="514">
        <f>AK99-SUM(Y99:AC99)</f>
        <v>26730.256071428568</v>
      </c>
      <c r="AM99" s="514">
        <f>+AL99*0.12</f>
        <v>3207.6307285714279</v>
      </c>
      <c r="AN99" s="514">
        <f t="shared" si="92"/>
        <v>29937.886799999997</v>
      </c>
      <c r="AO99" s="513"/>
      <c r="AP99" s="516"/>
      <c r="AQ99" s="516"/>
      <c r="AR99" s="516"/>
      <c r="AS99" s="516"/>
      <c r="AT99" s="516"/>
      <c r="AU99" s="516"/>
      <c r="AV99" s="516"/>
      <c r="AW99" s="516"/>
      <c r="AX99" s="516"/>
      <c r="AY99" s="516"/>
      <c r="AZ99" s="514">
        <f>SUM(AO99:AY99)</f>
        <v>0</v>
      </c>
      <c r="BA99" s="515"/>
      <c r="BB99" s="515"/>
      <c r="BC99" s="514">
        <f>SUM(BE99:BM99)*0.1+(BN99*0.5)</f>
        <v>0</v>
      </c>
      <c r="BD99" s="514">
        <f>SUM(BE99:BM99)+(BN99*0.5)</f>
        <v>0</v>
      </c>
      <c r="BE99" s="513"/>
      <c r="BF99" s="513"/>
      <c r="BG99" s="513"/>
      <c r="BH99" s="513"/>
      <c r="BI99" s="513"/>
      <c r="BJ99" s="513"/>
      <c r="BK99" s="513"/>
      <c r="BL99" s="513"/>
      <c r="BM99" s="513"/>
      <c r="BN99" s="513"/>
      <c r="BO99" s="513"/>
      <c r="BP99" s="513"/>
      <c r="BQ99" s="513"/>
      <c r="BR99" s="512">
        <f>AZ99+BA99+BB99+BD99-BC99</f>
        <v>0</v>
      </c>
      <c r="BT99" s="511"/>
      <c r="BU99" s="510"/>
      <c r="BV99" s="510"/>
      <c r="BW99" s="510"/>
      <c r="BX99" s="510"/>
      <c r="BY99" s="510"/>
      <c r="BZ99" s="510"/>
      <c r="CA99" s="510"/>
      <c r="CB99" s="510"/>
      <c r="CC99" s="510"/>
      <c r="CD99" s="510"/>
      <c r="CE99" s="510"/>
      <c r="CF99" s="510"/>
      <c r="CG99" s="510"/>
      <c r="CH99" s="510"/>
      <c r="CI99" s="510"/>
      <c r="CJ99" s="510"/>
      <c r="CK99" s="510"/>
      <c r="CL99" s="510"/>
      <c r="CM99" s="510"/>
      <c r="CN99" s="510"/>
      <c r="CO99" s="510"/>
      <c r="CP99" s="510"/>
      <c r="CQ99" s="510"/>
      <c r="CR99" s="510"/>
      <c r="CS99" s="510"/>
    </row>
    <row r="100" spans="1:97" ht="15.75" customHeight="1" thickBot="1" x14ac:dyDescent="0.3">
      <c r="A100" s="694"/>
      <c r="B100" s="521" t="s">
        <v>560</v>
      </c>
      <c r="C100" s="514">
        <v>23402.17</v>
      </c>
      <c r="D100" s="517">
        <v>12310.65</v>
      </c>
      <c r="E100" s="517">
        <v>12311</v>
      </c>
      <c r="F100" s="520">
        <v>43497</v>
      </c>
      <c r="G100" s="514">
        <f>IF(E100-D100&lt;0,E100-D100,0)*-1</f>
        <v>0</v>
      </c>
      <c r="H100" s="514">
        <f>IF(E100-D100&gt;0,E100-D100,0)</f>
        <v>0.3500000000003638</v>
      </c>
      <c r="I100" s="517"/>
      <c r="J100" s="517"/>
      <c r="K100" s="517">
        <v>10852.02</v>
      </c>
      <c r="L100" s="517"/>
      <c r="M100" s="519">
        <f>(+K100)*M$5</f>
        <v>233.31842999999998</v>
      </c>
      <c r="N100" s="519">
        <f>(+K100)*N$5</f>
        <v>54.260100000000001</v>
      </c>
      <c r="O100" s="519">
        <f>+K100-M100-N100+P100</f>
        <v>10564.441470000002</v>
      </c>
      <c r="P100" s="519">
        <f>L100-(L100*(M$5+N$5))</f>
        <v>0</v>
      </c>
      <c r="Q100" s="518"/>
      <c r="R100" s="517"/>
      <c r="S100" s="517"/>
      <c r="T100" s="519">
        <f>+R100*T$5</f>
        <v>0</v>
      </c>
      <c r="U100" s="519">
        <f>+R100*U$5</f>
        <v>0</v>
      </c>
      <c r="V100" s="519">
        <f>+R100-T100-U100+W100</f>
        <v>0</v>
      </c>
      <c r="W100" s="519">
        <f>+S100-(S100*(T$5+U$5))</f>
        <v>0</v>
      </c>
      <c r="X100" s="518"/>
      <c r="Y100" s="517"/>
      <c r="Z100" s="517">
        <v>195.75</v>
      </c>
      <c r="AA100" s="517"/>
      <c r="AB100" s="517"/>
      <c r="AC100" s="517">
        <v>43.75</v>
      </c>
      <c r="AD100" s="515"/>
      <c r="AE100" s="515"/>
      <c r="AF100" s="517">
        <v>1605.42</v>
      </c>
      <c r="AG100" s="514">
        <f>(AF100*0.8)*0.85</f>
        <v>1091.6856000000002</v>
      </c>
      <c r="AH100" s="514">
        <f>(AF100*0.8)*0.15</f>
        <v>192.65040000000002</v>
      </c>
      <c r="AI100" s="514">
        <f>AF100*0.2</f>
        <v>321.08400000000006</v>
      </c>
      <c r="AJ100" s="517"/>
      <c r="AK100" s="514">
        <f>(C100-AF100-AJ100)/1.12</f>
        <v>19461.383928571428</v>
      </c>
      <c r="AL100" s="514">
        <f>AK100-SUM(Y100:AC100)</f>
        <v>19221.883928571428</v>
      </c>
      <c r="AM100" s="514">
        <f>+AL100*0.12</f>
        <v>2306.6260714285713</v>
      </c>
      <c r="AN100" s="514">
        <f t="shared" si="92"/>
        <v>21528.51</v>
      </c>
      <c r="AO100" s="513"/>
      <c r="AP100" s="516"/>
      <c r="AQ100" s="516">
        <v>165</v>
      </c>
      <c r="AR100" s="516"/>
      <c r="AS100" s="516"/>
      <c r="AT100" s="516"/>
      <c r="AU100" s="516"/>
      <c r="AV100" s="516"/>
      <c r="AW100" s="516"/>
      <c r="AX100" s="516"/>
      <c r="AY100" s="516"/>
      <c r="AZ100" s="514">
        <f>SUM(AO100:AY100)</f>
        <v>165</v>
      </c>
      <c r="BA100" s="515"/>
      <c r="BB100" s="515"/>
      <c r="BC100" s="514"/>
      <c r="BD100" s="514"/>
      <c r="BE100" s="513"/>
      <c r="BF100" s="513">
        <v>0</v>
      </c>
      <c r="BG100" s="513"/>
      <c r="BH100" s="513"/>
      <c r="BI100" s="513"/>
      <c r="BJ100" s="513"/>
      <c r="BK100" s="513"/>
      <c r="BL100" s="513"/>
      <c r="BM100" s="513"/>
      <c r="BN100" s="513"/>
      <c r="BO100" s="513"/>
      <c r="BP100" s="513"/>
      <c r="BQ100" s="513"/>
      <c r="BR100" s="512">
        <f>AZ100+BA100+BB100+BD100-BC100</f>
        <v>165</v>
      </c>
      <c r="BT100" s="511"/>
      <c r="BU100" s="510"/>
      <c r="BV100" s="510"/>
      <c r="BW100" s="510"/>
      <c r="BX100" s="510"/>
      <c r="BY100" s="510"/>
      <c r="BZ100" s="510"/>
      <c r="CA100" s="510"/>
      <c r="CB100" s="510"/>
      <c r="CC100" s="510"/>
      <c r="CD100" s="510"/>
      <c r="CE100" s="510"/>
      <c r="CF100" s="510"/>
      <c r="CG100" s="510"/>
      <c r="CH100" s="510"/>
      <c r="CI100" s="510"/>
      <c r="CJ100" s="510"/>
      <c r="CK100" s="510"/>
      <c r="CL100" s="510"/>
      <c r="CM100" s="510"/>
      <c r="CN100" s="510"/>
      <c r="CO100" s="510"/>
      <c r="CP100" s="510"/>
      <c r="CQ100" s="510"/>
      <c r="CR100" s="510"/>
      <c r="CS100" s="510"/>
    </row>
    <row r="101" spans="1:97" ht="15.75" thickBot="1" x14ac:dyDescent="0.3">
      <c r="A101" s="509"/>
      <c r="B101" s="508"/>
      <c r="C101" s="501">
        <f>SUBTOTAL(9,C99:C100)</f>
        <v>56451.92</v>
      </c>
      <c r="D101" s="504">
        <f>SUBTOTAL(9,D99:D100)</f>
        <v>26506.54</v>
      </c>
      <c r="E101" s="504">
        <f>SUBTOTAL(9,E99:E100)</f>
        <v>26507</v>
      </c>
      <c r="F101" s="505"/>
      <c r="G101" s="504">
        <f t="shared" ref="G101:P101" si="126">SUBTOTAL(9,G99:G100)</f>
        <v>0</v>
      </c>
      <c r="H101" s="504">
        <f t="shared" si="126"/>
        <v>0.46000000000094587</v>
      </c>
      <c r="I101" s="504">
        <f t="shared" si="126"/>
        <v>0</v>
      </c>
      <c r="J101" s="504">
        <f t="shared" si="126"/>
        <v>0</v>
      </c>
      <c r="K101" s="507">
        <f t="shared" si="126"/>
        <v>28347.52</v>
      </c>
      <c r="L101" s="504">
        <f t="shared" si="126"/>
        <v>0</v>
      </c>
      <c r="M101" s="506">
        <f t="shared" si="126"/>
        <v>609.47167999999988</v>
      </c>
      <c r="N101" s="506">
        <f t="shared" si="126"/>
        <v>141.73760000000001</v>
      </c>
      <c r="O101" s="506">
        <f t="shared" si="126"/>
        <v>27596.310720000001</v>
      </c>
      <c r="P101" s="506">
        <f t="shared" si="126"/>
        <v>0</v>
      </c>
      <c r="Q101" s="505"/>
      <c r="R101" s="504">
        <f t="shared" ref="R101:W101" si="127">SUBTOTAL(9,R99:R100)</f>
        <v>0</v>
      </c>
      <c r="S101" s="504">
        <f t="shared" si="127"/>
        <v>0</v>
      </c>
      <c r="T101" s="506">
        <f t="shared" si="127"/>
        <v>0</v>
      </c>
      <c r="U101" s="506">
        <f t="shared" si="127"/>
        <v>0</v>
      </c>
      <c r="V101" s="506">
        <f t="shared" si="127"/>
        <v>0</v>
      </c>
      <c r="W101" s="506">
        <f t="shared" si="127"/>
        <v>0</v>
      </c>
      <c r="X101" s="505"/>
      <c r="Y101" s="504">
        <f>SUBTOTAL(9,Y99:Y100)</f>
        <v>0</v>
      </c>
      <c r="Z101" s="504">
        <v>0</v>
      </c>
      <c r="AA101" s="504"/>
      <c r="AB101" s="504"/>
      <c r="AC101" s="504"/>
      <c r="AD101" s="503"/>
      <c r="AE101" s="503"/>
      <c r="AF101" s="504"/>
      <c r="AG101" s="501">
        <f t="shared" ref="AG101:AM101" si="128">SUBTOTAL(9,AG99:AG100)</f>
        <v>2826.6784000000002</v>
      </c>
      <c r="AH101" s="501">
        <f t="shared" si="128"/>
        <v>498.82560000000001</v>
      </c>
      <c r="AI101" s="501">
        <f t="shared" si="128"/>
        <v>831.37600000000009</v>
      </c>
      <c r="AJ101" s="504">
        <f t="shared" si="128"/>
        <v>0</v>
      </c>
      <c r="AK101" s="501">
        <f t="shared" si="128"/>
        <v>46692</v>
      </c>
      <c r="AL101" s="501">
        <f t="shared" si="128"/>
        <v>45952.14</v>
      </c>
      <c r="AM101" s="501">
        <f t="shared" si="128"/>
        <v>5514.2567999999992</v>
      </c>
      <c r="AN101" s="501">
        <f t="shared" si="92"/>
        <v>51466.396800000002</v>
      </c>
      <c r="AO101" s="502">
        <f t="shared" ref="AO101:AZ101" si="129">SUBTOTAL(9,AO99:AO100)</f>
        <v>0</v>
      </c>
      <c r="AP101" s="502">
        <f t="shared" si="129"/>
        <v>0</v>
      </c>
      <c r="AQ101" s="502">
        <f t="shared" si="129"/>
        <v>165</v>
      </c>
      <c r="AR101" s="502">
        <f t="shared" si="129"/>
        <v>0</v>
      </c>
      <c r="AS101" s="502">
        <f t="shared" si="129"/>
        <v>0</v>
      </c>
      <c r="AT101" s="502">
        <f t="shared" si="129"/>
        <v>0</v>
      </c>
      <c r="AU101" s="502">
        <f t="shared" si="129"/>
        <v>0</v>
      </c>
      <c r="AV101" s="502">
        <f t="shared" si="129"/>
        <v>0</v>
      </c>
      <c r="AW101" s="502">
        <f t="shared" si="129"/>
        <v>0</v>
      </c>
      <c r="AX101" s="502">
        <f t="shared" si="129"/>
        <v>0</v>
      </c>
      <c r="AY101" s="502">
        <f t="shared" si="129"/>
        <v>0</v>
      </c>
      <c r="AZ101" s="501">
        <f t="shared" si="129"/>
        <v>165</v>
      </c>
      <c r="BA101" s="503"/>
      <c r="BB101" s="503">
        <f t="shared" ref="BB101:BR101" si="130">SUBTOTAL(9,BB99:BB100)</f>
        <v>0</v>
      </c>
      <c r="BC101" s="501">
        <f t="shared" si="130"/>
        <v>0</v>
      </c>
      <c r="BD101" s="501">
        <f t="shared" si="130"/>
        <v>0</v>
      </c>
      <c r="BE101" s="502">
        <f t="shared" si="130"/>
        <v>0</v>
      </c>
      <c r="BF101" s="502">
        <f t="shared" si="130"/>
        <v>0</v>
      </c>
      <c r="BG101" s="502">
        <f t="shared" si="130"/>
        <v>0</v>
      </c>
      <c r="BH101" s="502">
        <f t="shared" si="130"/>
        <v>0</v>
      </c>
      <c r="BI101" s="502">
        <f t="shared" si="130"/>
        <v>0</v>
      </c>
      <c r="BJ101" s="502">
        <f t="shared" si="130"/>
        <v>0</v>
      </c>
      <c r="BK101" s="502">
        <f t="shared" si="130"/>
        <v>0</v>
      </c>
      <c r="BL101" s="502">
        <f t="shared" si="130"/>
        <v>0</v>
      </c>
      <c r="BM101" s="502">
        <f t="shared" si="130"/>
        <v>0</v>
      </c>
      <c r="BN101" s="502">
        <f t="shared" si="130"/>
        <v>0</v>
      </c>
      <c r="BO101" s="502">
        <f t="shared" si="130"/>
        <v>0</v>
      </c>
      <c r="BP101" s="502">
        <f t="shared" si="130"/>
        <v>0</v>
      </c>
      <c r="BQ101" s="502">
        <f t="shared" si="130"/>
        <v>0</v>
      </c>
      <c r="BR101" s="501">
        <f t="shared" si="130"/>
        <v>165</v>
      </c>
    </row>
    <row r="102" spans="1:97" ht="15.75" thickBot="1" x14ac:dyDescent="0.3">
      <c r="A102" s="500"/>
      <c r="B102" s="470"/>
      <c r="C102" s="494"/>
      <c r="D102" s="498"/>
      <c r="E102" s="498"/>
      <c r="F102" s="499"/>
      <c r="G102" s="494"/>
      <c r="H102" s="494"/>
      <c r="I102" s="498"/>
      <c r="J102" s="498"/>
      <c r="K102" s="498"/>
      <c r="L102" s="498"/>
      <c r="M102" s="474"/>
      <c r="N102" s="474"/>
      <c r="O102" s="474"/>
      <c r="P102" s="474"/>
      <c r="Q102" s="499"/>
      <c r="R102" s="498"/>
      <c r="S102" s="498"/>
      <c r="T102" s="474"/>
      <c r="U102" s="474"/>
      <c r="V102" s="474"/>
      <c r="W102" s="474"/>
      <c r="X102" s="499"/>
      <c r="Y102" s="498"/>
      <c r="Z102" s="498"/>
      <c r="AA102" s="498"/>
      <c r="AB102" s="498"/>
      <c r="AC102" s="498"/>
      <c r="AD102" s="496"/>
      <c r="AE102" s="496"/>
      <c r="AF102" s="498"/>
      <c r="AG102" s="494"/>
      <c r="AH102" s="494"/>
      <c r="AI102" s="494"/>
      <c r="AJ102" s="498"/>
      <c r="AK102" s="494"/>
      <c r="AL102" s="494"/>
      <c r="AM102" s="494"/>
      <c r="AN102" s="494"/>
      <c r="AO102" s="497"/>
      <c r="AP102" s="495"/>
      <c r="AQ102" s="495"/>
      <c r="AR102" s="495"/>
      <c r="AS102" s="495"/>
      <c r="AT102" s="495"/>
      <c r="AU102" s="495"/>
      <c r="AV102" s="495"/>
      <c r="AW102" s="495"/>
      <c r="AX102" s="495"/>
      <c r="AY102" s="495"/>
      <c r="AZ102" s="494"/>
      <c r="BA102" s="496"/>
      <c r="BB102" s="496"/>
      <c r="BC102" s="494"/>
      <c r="BD102" s="494"/>
      <c r="BE102" s="495"/>
      <c r="BF102" s="495"/>
      <c r="BG102" s="495"/>
      <c r="BH102" s="495"/>
      <c r="BI102" s="495"/>
      <c r="BJ102" s="495"/>
      <c r="BK102" s="495"/>
      <c r="BL102" s="495"/>
      <c r="BM102" s="495"/>
      <c r="BN102" s="495"/>
      <c r="BO102" s="495"/>
      <c r="BP102" s="495"/>
      <c r="BQ102" s="495"/>
      <c r="BR102" s="494"/>
    </row>
    <row r="103" spans="1:97" ht="16.5" thickTop="1" thickBot="1" x14ac:dyDescent="0.3">
      <c r="A103" s="493" t="s">
        <v>6</v>
      </c>
      <c r="B103" s="493"/>
      <c r="C103" s="489">
        <f>SUBTOTAL(9,C8:C102)</f>
        <v>951829.73</v>
      </c>
      <c r="D103" s="489">
        <f>SUBTOTAL(9,D8:D102)</f>
        <v>567269.97000000009</v>
      </c>
      <c r="E103" s="489">
        <f>SUBTOTAL(9,E8:E102)</f>
        <v>567372</v>
      </c>
      <c r="F103" s="489"/>
      <c r="G103" s="489">
        <f t="shared" ref="G103:O103" si="131">SUBTOTAL(9,G8:G102)</f>
        <v>1.2100000000009459</v>
      </c>
      <c r="H103" s="489">
        <f t="shared" si="131"/>
        <v>104.4900000000066</v>
      </c>
      <c r="I103" s="489">
        <f t="shared" si="131"/>
        <v>1100</v>
      </c>
      <c r="J103" s="489">
        <f t="shared" si="131"/>
        <v>0</v>
      </c>
      <c r="K103" s="489">
        <f t="shared" si="131"/>
        <v>235827.12000000002</v>
      </c>
      <c r="L103" s="489">
        <f t="shared" si="131"/>
        <v>0</v>
      </c>
      <c r="M103" s="489">
        <f t="shared" si="131"/>
        <v>5492.6901400000006</v>
      </c>
      <c r="N103" s="489">
        <f t="shared" si="131"/>
        <v>1277.3697999999999</v>
      </c>
      <c r="O103" s="489">
        <f t="shared" si="131"/>
        <v>248703.90005999993</v>
      </c>
      <c r="P103" s="489"/>
      <c r="Q103" s="489"/>
      <c r="R103" s="489">
        <f t="shared" ref="R103:W103" si="132">SUBTOTAL(9,R8:R102)</f>
        <v>0</v>
      </c>
      <c r="S103" s="489">
        <f t="shared" si="132"/>
        <v>0</v>
      </c>
      <c r="T103" s="489">
        <f t="shared" si="132"/>
        <v>0</v>
      </c>
      <c r="U103" s="489">
        <f t="shared" si="132"/>
        <v>0</v>
      </c>
      <c r="V103" s="489">
        <f t="shared" si="132"/>
        <v>0</v>
      </c>
      <c r="W103" s="489">
        <f t="shared" si="132"/>
        <v>0</v>
      </c>
      <c r="X103" s="489"/>
      <c r="Y103" s="489">
        <f>SUBTOTAL(9,Y8:Y102)</f>
        <v>0</v>
      </c>
      <c r="Z103" s="489">
        <f>SUBTOTAL(9,Z8:Z102)</f>
        <v>4976.6900000000005</v>
      </c>
      <c r="AA103" s="489">
        <f>SUBTOTAL(9,AA8:AA102)</f>
        <v>803</v>
      </c>
      <c r="AB103" s="489">
        <f>SUBTOTAL(9,AB8:AB102)</f>
        <v>261</v>
      </c>
      <c r="AC103" s="489">
        <f>SUBTOTAL(9,AC8:AC102)</f>
        <v>6062.7699999999986</v>
      </c>
      <c r="AD103" s="489"/>
      <c r="AE103" s="489">
        <f t="shared" ref="AE103:AK103" si="133">SUBTOTAL(9,AE8:AE102)</f>
        <v>131359.07</v>
      </c>
      <c r="AF103" s="489">
        <f t="shared" si="133"/>
        <v>64778.910000000011</v>
      </c>
      <c r="AG103" s="489">
        <f t="shared" si="133"/>
        <v>44049.658799999997</v>
      </c>
      <c r="AH103" s="489">
        <f t="shared" si="133"/>
        <v>7773.4692000000005</v>
      </c>
      <c r="AI103" s="489">
        <f t="shared" si="133"/>
        <v>12955.782000000001</v>
      </c>
      <c r="AJ103" s="489">
        <f t="shared" si="133"/>
        <v>0</v>
      </c>
      <c r="AK103" s="489">
        <f t="shared" si="133"/>
        <v>792009.6607142858</v>
      </c>
      <c r="AL103" s="489">
        <f>+AL11+AL14+AL17+AL20+AL23+AL26+AL29+AL32+AL35+AL38+AL41+AL44+AL47+AL50+AL53+AL56+AL59+AL62+AL65+AL68+AL71+AL74+AL77+AL80+AL83+AL86+AL89+AL92+AL95+AL98+AL101</f>
        <v>779906.2007142856</v>
      </c>
      <c r="AM103" s="489">
        <f>+AM11+AM14+AM17+AM20+AM23+AM26+AM29+AM32+AM35+AM38+AM41+AM44+AM47+AM50+AM53+AM56+AM59+AM62+AM65+AM68+AM71+AM74+AM77+AM80+AM83+AM86+AM89+AM92+AM95+AM98+AM101</f>
        <v>93588.744085714265</v>
      </c>
      <c r="AN103" s="489">
        <f>+AN11+AN14+AN17+AN20+AN23+AN26+AN29+AN32+AN35+AN38+AN41+AN44+AN47+AN50+AN53+AN56+AN59+AN62+AN65+AN68+AN71+AN74+AN77+AN80+AN83+AN86+AN89+AN92+AN95+AN98+AN100</f>
        <v>843557.05799999984</v>
      </c>
      <c r="AO103" s="492">
        <f t="shared" ref="AO103:BR103" si="134">SUBTOTAL(9,AO8:AO102)</f>
        <v>3803</v>
      </c>
      <c r="AP103" s="492">
        <f t="shared" si="134"/>
        <v>2398</v>
      </c>
      <c r="AQ103" s="492">
        <f t="shared" si="134"/>
        <v>2105</v>
      </c>
      <c r="AR103" s="492">
        <f t="shared" si="134"/>
        <v>1275</v>
      </c>
      <c r="AS103" s="492">
        <f t="shared" si="134"/>
        <v>0</v>
      </c>
      <c r="AT103" s="492">
        <f t="shared" si="134"/>
        <v>0</v>
      </c>
      <c r="AU103" s="491">
        <f t="shared" si="134"/>
        <v>0</v>
      </c>
      <c r="AV103" s="491">
        <f t="shared" si="134"/>
        <v>0</v>
      </c>
      <c r="AW103" s="491">
        <f t="shared" si="134"/>
        <v>0</v>
      </c>
      <c r="AX103" s="491">
        <f t="shared" si="134"/>
        <v>0</v>
      </c>
      <c r="AY103" s="489">
        <f t="shared" si="134"/>
        <v>0</v>
      </c>
      <c r="AZ103" s="489">
        <f t="shared" si="134"/>
        <v>9581</v>
      </c>
      <c r="BA103" s="491">
        <f t="shared" si="134"/>
        <v>1665</v>
      </c>
      <c r="BB103" s="489">
        <f t="shared" si="134"/>
        <v>625</v>
      </c>
      <c r="BC103" s="489">
        <f t="shared" si="134"/>
        <v>24.5</v>
      </c>
      <c r="BD103" s="489">
        <f t="shared" si="134"/>
        <v>245</v>
      </c>
      <c r="BE103" s="490">
        <f t="shared" si="134"/>
        <v>0</v>
      </c>
      <c r="BF103" s="490">
        <f t="shared" si="134"/>
        <v>0</v>
      </c>
      <c r="BG103" s="489">
        <f t="shared" si="134"/>
        <v>490</v>
      </c>
      <c r="BH103" s="489">
        <f t="shared" si="134"/>
        <v>0</v>
      </c>
      <c r="BI103" s="489">
        <f t="shared" si="134"/>
        <v>780</v>
      </c>
      <c r="BJ103" s="489">
        <f t="shared" si="134"/>
        <v>0</v>
      </c>
      <c r="BK103" s="489">
        <f t="shared" si="134"/>
        <v>0</v>
      </c>
      <c r="BL103" s="489">
        <f t="shared" si="134"/>
        <v>460</v>
      </c>
      <c r="BM103" s="489">
        <f t="shared" si="134"/>
        <v>0</v>
      </c>
      <c r="BN103" s="489">
        <f t="shared" si="134"/>
        <v>0</v>
      </c>
      <c r="BO103" s="489">
        <f t="shared" si="134"/>
        <v>0</v>
      </c>
      <c r="BP103" s="489">
        <f t="shared" si="134"/>
        <v>0</v>
      </c>
      <c r="BQ103" s="489">
        <f t="shared" si="134"/>
        <v>0</v>
      </c>
      <c r="BR103" s="489">
        <f t="shared" si="134"/>
        <v>12091.5</v>
      </c>
    </row>
    <row r="104" spans="1:97" ht="15.75" thickTop="1" x14ac:dyDescent="0.25">
      <c r="A104" s="470" t="s">
        <v>559</v>
      </c>
      <c r="B104" s="470"/>
      <c r="C104" s="485">
        <f>+AZ103</f>
        <v>9581</v>
      </c>
      <c r="D104" s="471"/>
      <c r="G104" s="471"/>
      <c r="AK104" s="483" t="s">
        <v>558</v>
      </c>
      <c r="AL104" s="483"/>
      <c r="AM104" s="477"/>
      <c r="AN104" s="476"/>
      <c r="AO104" s="472">
        <v>3800</v>
      </c>
      <c r="AP104" s="472">
        <v>2100</v>
      </c>
      <c r="AQ104" s="472">
        <v>2100</v>
      </c>
      <c r="AR104" s="472">
        <v>2100</v>
      </c>
      <c r="AS104" s="472">
        <v>1000</v>
      </c>
      <c r="AT104" s="472">
        <v>1500</v>
      </c>
      <c r="AW104" s="472">
        <v>1500</v>
      </c>
      <c r="AX104" s="472">
        <v>1500</v>
      </c>
      <c r="BD104" s="488" t="s">
        <v>557</v>
      </c>
      <c r="BE104" s="486">
        <f t="shared" ref="BE104:BK104" si="135">+BE11+BE14+BE17+BE20+BE23+BE26+BE29+BE32+BE35+BE38+BE41+BE44+BE47+BE50+BE53</f>
        <v>0</v>
      </c>
      <c r="BF104" s="486">
        <f t="shared" si="135"/>
        <v>0</v>
      </c>
      <c r="BG104" s="486">
        <f t="shared" si="135"/>
        <v>215</v>
      </c>
      <c r="BH104" s="486">
        <f t="shared" si="135"/>
        <v>0</v>
      </c>
      <c r="BI104" s="486">
        <f t="shared" si="135"/>
        <v>0</v>
      </c>
      <c r="BJ104" s="486">
        <f t="shared" si="135"/>
        <v>0</v>
      </c>
      <c r="BK104" s="486">
        <f t="shared" si="135"/>
        <v>0</v>
      </c>
      <c r="BL104" s="487"/>
      <c r="BM104" s="487"/>
      <c r="BN104" s="487"/>
      <c r="BO104" s="487"/>
      <c r="BP104" s="487"/>
      <c r="BQ104" s="487"/>
      <c r="BR104" s="471">
        <f>SUM(BE104:BQ104)</f>
        <v>215</v>
      </c>
    </row>
    <row r="105" spans="1:97" x14ac:dyDescent="0.25">
      <c r="A105" s="470" t="s">
        <v>556</v>
      </c>
      <c r="B105" s="470"/>
      <c r="C105" s="485">
        <f>+BD103</f>
        <v>245</v>
      </c>
      <c r="D105" s="471"/>
      <c r="E105" s="471"/>
      <c r="AK105" s="483" t="s">
        <v>555</v>
      </c>
      <c r="AL105" s="483">
        <f>+AL103</f>
        <v>779906.2007142856</v>
      </c>
      <c r="AM105" s="471"/>
      <c r="AN105" s="476"/>
      <c r="AO105" s="472">
        <f t="shared" ref="AO105:AX105" si="136">+AO104-AO103</f>
        <v>-3</v>
      </c>
      <c r="AP105" s="472">
        <f t="shared" si="136"/>
        <v>-298</v>
      </c>
      <c r="AQ105" s="472">
        <f t="shared" si="136"/>
        <v>-5</v>
      </c>
      <c r="AR105" s="472">
        <f t="shared" si="136"/>
        <v>825</v>
      </c>
      <c r="AS105" s="472">
        <f t="shared" si="136"/>
        <v>1000</v>
      </c>
      <c r="AT105" s="472">
        <f t="shared" si="136"/>
        <v>1500</v>
      </c>
      <c r="AU105" s="472">
        <f t="shared" si="136"/>
        <v>0</v>
      </c>
      <c r="AV105" s="472">
        <f t="shared" si="136"/>
        <v>0</v>
      </c>
      <c r="AW105" s="472">
        <f t="shared" si="136"/>
        <v>1500</v>
      </c>
      <c r="AX105" s="472">
        <f t="shared" si="136"/>
        <v>1500</v>
      </c>
      <c r="BD105" s="487" t="s">
        <v>550</v>
      </c>
      <c r="BE105" s="486">
        <f t="shared" ref="BE105:BQ105" si="137">BE104*0.9</f>
        <v>0</v>
      </c>
      <c r="BF105" s="486">
        <f t="shared" si="137"/>
        <v>0</v>
      </c>
      <c r="BG105" s="486">
        <f t="shared" si="137"/>
        <v>193.5</v>
      </c>
      <c r="BH105" s="486">
        <f t="shared" si="137"/>
        <v>0</v>
      </c>
      <c r="BI105" s="486">
        <f t="shared" si="137"/>
        <v>0</v>
      </c>
      <c r="BJ105" s="486">
        <f t="shared" si="137"/>
        <v>0</v>
      </c>
      <c r="BK105" s="486">
        <f t="shared" si="137"/>
        <v>0</v>
      </c>
      <c r="BL105" s="486">
        <f t="shared" si="137"/>
        <v>0</v>
      </c>
      <c r="BM105" s="486">
        <f t="shared" si="137"/>
        <v>0</v>
      </c>
      <c r="BN105" s="486">
        <f t="shared" si="137"/>
        <v>0</v>
      </c>
      <c r="BO105" s="486">
        <f t="shared" si="137"/>
        <v>0</v>
      </c>
      <c r="BP105" s="486">
        <f t="shared" si="137"/>
        <v>0</v>
      </c>
      <c r="BQ105" s="486">
        <f t="shared" si="137"/>
        <v>0</v>
      </c>
      <c r="BR105" s="471">
        <f>SUM(BE105:BQ105)</f>
        <v>193.5</v>
      </c>
    </row>
    <row r="106" spans="1:97" x14ac:dyDescent="0.25">
      <c r="A106" s="470" t="s">
        <v>554</v>
      </c>
      <c r="B106" s="470"/>
      <c r="C106" s="485">
        <f>+BC103</f>
        <v>24.5</v>
      </c>
      <c r="D106" s="471"/>
      <c r="AK106" s="483" t="s">
        <v>553</v>
      </c>
      <c r="AL106" s="483">
        <f>+AJ103</f>
        <v>0</v>
      </c>
      <c r="AM106" s="477"/>
      <c r="AN106" s="476"/>
      <c r="AO106" s="472">
        <f t="shared" ref="AO106:AX106" si="138">+AO105*0.9</f>
        <v>-2.7</v>
      </c>
      <c r="AP106" s="472">
        <f t="shared" si="138"/>
        <v>-268.2</v>
      </c>
      <c r="AQ106" s="472">
        <f t="shared" si="138"/>
        <v>-4.5</v>
      </c>
      <c r="AR106" s="472">
        <f t="shared" si="138"/>
        <v>742.5</v>
      </c>
      <c r="AS106" s="472">
        <f t="shared" si="138"/>
        <v>900</v>
      </c>
      <c r="AT106" s="472">
        <f t="shared" si="138"/>
        <v>1350</v>
      </c>
      <c r="AU106" s="472">
        <f t="shared" si="138"/>
        <v>0</v>
      </c>
      <c r="AV106" s="472">
        <f t="shared" si="138"/>
        <v>0</v>
      </c>
      <c r="AW106" s="472">
        <f t="shared" si="138"/>
        <v>1350</v>
      </c>
      <c r="AX106" s="472">
        <f t="shared" si="138"/>
        <v>1350</v>
      </c>
      <c r="BD106" s="475"/>
      <c r="BE106" s="485"/>
      <c r="BF106" s="485"/>
      <c r="BG106" s="485"/>
      <c r="BH106" s="485"/>
      <c r="BI106" s="485"/>
      <c r="BJ106" s="485"/>
      <c r="BK106" s="470"/>
      <c r="BL106" s="470"/>
      <c r="BM106" s="470"/>
      <c r="BN106" s="470"/>
      <c r="BO106" s="470"/>
      <c r="BP106" s="470"/>
      <c r="BQ106" s="470"/>
    </row>
    <row r="107" spans="1:97" ht="15.75" thickBot="1" x14ac:dyDescent="0.3">
      <c r="A107" s="470" t="s">
        <v>525</v>
      </c>
      <c r="B107" s="470"/>
      <c r="C107" s="484">
        <f>+BA103</f>
        <v>1665</v>
      </c>
      <c r="D107" s="471"/>
      <c r="E107" s="471"/>
      <c r="AK107" s="483" t="s">
        <v>552</v>
      </c>
      <c r="AL107" s="483">
        <f>+AL105+AL106</f>
        <v>779906.2007142856</v>
      </c>
      <c r="AM107" s="477">
        <f>SUM(AM6:AM101)/2</f>
        <v>93588.744085714265</v>
      </c>
      <c r="AN107" s="476"/>
      <c r="BD107" s="482" t="s">
        <v>551</v>
      </c>
      <c r="BE107" s="479">
        <f t="shared" ref="BE107:BQ107" si="139">BE56+BE59+BE62+BE65+BE68+BE71+BE74+BE77+BE80+BE83+BE86+BE89+BE92+BE95+BE98+BE100</f>
        <v>0</v>
      </c>
      <c r="BF107" s="479">
        <f t="shared" si="139"/>
        <v>0</v>
      </c>
      <c r="BG107" s="479">
        <f t="shared" si="139"/>
        <v>0</v>
      </c>
      <c r="BH107" s="479" t="e">
        <f t="shared" si="139"/>
        <v>#VALUE!</v>
      </c>
      <c r="BI107" s="479">
        <f t="shared" si="139"/>
        <v>780</v>
      </c>
      <c r="BJ107" s="479">
        <f t="shared" si="139"/>
        <v>0</v>
      </c>
      <c r="BK107" s="479">
        <f t="shared" si="139"/>
        <v>0</v>
      </c>
      <c r="BL107" s="479">
        <f t="shared" si="139"/>
        <v>245</v>
      </c>
      <c r="BM107" s="479">
        <f t="shared" si="139"/>
        <v>0</v>
      </c>
      <c r="BN107" s="479">
        <f t="shared" si="139"/>
        <v>0</v>
      </c>
      <c r="BO107" s="479">
        <f t="shared" si="139"/>
        <v>0</v>
      </c>
      <c r="BP107" s="479">
        <f t="shared" si="139"/>
        <v>0</v>
      </c>
      <c r="BQ107" s="479">
        <f t="shared" si="139"/>
        <v>0</v>
      </c>
      <c r="BR107" s="471" t="e">
        <f>SUM(BE107:BQ107)</f>
        <v>#VALUE!</v>
      </c>
    </row>
    <row r="108" spans="1:97" ht="15.75" thickTop="1" x14ac:dyDescent="0.25">
      <c r="C108" s="481">
        <f>+C107+C106+C105+C104+C103</f>
        <v>963345.23</v>
      </c>
      <c r="D108" s="471"/>
      <c r="AM108" s="477"/>
      <c r="AN108" s="476"/>
      <c r="BD108" s="480" t="s">
        <v>550</v>
      </c>
      <c r="BE108" s="479">
        <f t="shared" ref="BE108:BQ108" si="140">+BE107*0.9</f>
        <v>0</v>
      </c>
      <c r="BF108" s="479">
        <f t="shared" si="140"/>
        <v>0</v>
      </c>
      <c r="BG108" s="479">
        <f t="shared" si="140"/>
        <v>0</v>
      </c>
      <c r="BH108" s="479" t="e">
        <f t="shared" si="140"/>
        <v>#VALUE!</v>
      </c>
      <c r="BI108" s="479">
        <f t="shared" si="140"/>
        <v>702</v>
      </c>
      <c r="BJ108" s="479">
        <f t="shared" si="140"/>
        <v>0</v>
      </c>
      <c r="BK108" s="479">
        <f t="shared" si="140"/>
        <v>0</v>
      </c>
      <c r="BL108" s="479">
        <f t="shared" si="140"/>
        <v>220.5</v>
      </c>
      <c r="BM108" s="479">
        <f t="shared" si="140"/>
        <v>0</v>
      </c>
      <c r="BN108" s="479">
        <f t="shared" si="140"/>
        <v>0</v>
      </c>
      <c r="BO108" s="479">
        <f t="shared" si="140"/>
        <v>0</v>
      </c>
      <c r="BP108" s="479">
        <f t="shared" si="140"/>
        <v>0</v>
      </c>
      <c r="BQ108" s="479">
        <f t="shared" si="140"/>
        <v>0</v>
      </c>
      <c r="BR108" s="471" t="e">
        <f>SUM(BE108:BQ108)</f>
        <v>#VALUE!</v>
      </c>
    </row>
    <row r="109" spans="1:97" x14ac:dyDescent="0.25">
      <c r="D109" s="471"/>
      <c r="AM109" s="477"/>
      <c r="AN109" s="476"/>
      <c r="BD109" s="473"/>
      <c r="BE109" s="471"/>
      <c r="BF109" s="471"/>
      <c r="BG109" s="471"/>
      <c r="BH109" s="471"/>
      <c r="BI109" s="471"/>
      <c r="BJ109" s="471"/>
    </row>
    <row r="110" spans="1:97" x14ac:dyDescent="0.25">
      <c r="A110" s="478" t="s">
        <v>549</v>
      </c>
      <c r="C110" s="471"/>
      <c r="D110" s="471"/>
      <c r="AM110" s="477"/>
      <c r="AN110" s="476"/>
      <c r="BD110" s="473"/>
      <c r="BE110" s="471"/>
      <c r="BF110" s="471"/>
      <c r="BG110" s="471"/>
      <c r="BH110" s="471"/>
      <c r="BI110" s="471"/>
      <c r="BJ110" s="471"/>
    </row>
    <row r="111" spans="1:97" x14ac:dyDescent="0.25">
      <c r="D111" s="706" t="s">
        <v>548</v>
      </c>
      <c r="E111" s="706"/>
      <c r="F111" s="706"/>
      <c r="K111" s="470"/>
      <c r="X111" s="470"/>
      <c r="Y111" s="470"/>
      <c r="Z111" s="470"/>
      <c r="AA111" s="470"/>
      <c r="AB111" s="470"/>
      <c r="AC111" s="470"/>
      <c r="AD111" s="470"/>
      <c r="AE111" s="470"/>
      <c r="AF111" s="470"/>
      <c r="AJ111" s="470"/>
      <c r="AM111" s="471"/>
      <c r="AN111" s="471"/>
      <c r="AO111" s="470"/>
      <c r="AP111" s="470"/>
      <c r="AQ111" s="470"/>
      <c r="AR111" s="470"/>
      <c r="AS111" s="470"/>
      <c r="AT111" s="470"/>
      <c r="AU111" s="470"/>
      <c r="AV111" s="470"/>
      <c r="AW111" s="470"/>
      <c r="AX111" s="470"/>
      <c r="AY111" s="470"/>
      <c r="AZ111" s="470"/>
      <c r="BA111" s="470"/>
      <c r="BB111" s="470"/>
      <c r="BC111" s="470"/>
      <c r="BD111" s="475"/>
      <c r="BE111" s="474"/>
      <c r="BF111" s="474"/>
      <c r="BG111" s="474"/>
      <c r="BH111" s="474"/>
      <c r="BI111" s="474"/>
      <c r="BJ111" s="474"/>
      <c r="BK111" s="470"/>
      <c r="BL111" s="470"/>
      <c r="BM111" s="470"/>
      <c r="BN111" s="470"/>
      <c r="BO111" s="470"/>
      <c r="BP111" s="470"/>
      <c r="BQ111" s="470"/>
    </row>
    <row r="112" spans="1:97" x14ac:dyDescent="0.25">
      <c r="A112" s="469" t="s">
        <v>547</v>
      </c>
      <c r="C112" s="472"/>
      <c r="D112" s="471" t="s">
        <v>546</v>
      </c>
      <c r="E112" s="469" t="s">
        <v>545</v>
      </c>
      <c r="F112" s="469" t="s">
        <v>544</v>
      </c>
      <c r="AI112" s="471"/>
      <c r="BD112" s="473" t="s">
        <v>543</v>
      </c>
      <c r="BE112" s="472"/>
      <c r="BF112" s="472"/>
      <c r="BG112" s="472"/>
      <c r="BH112" s="472"/>
    </row>
    <row r="113" spans="1:60" x14ac:dyDescent="0.25">
      <c r="A113" s="469" t="s">
        <v>542</v>
      </c>
      <c r="C113" s="472"/>
      <c r="D113" s="471"/>
      <c r="E113" s="471"/>
      <c r="AM113" s="471"/>
      <c r="AN113" s="471"/>
      <c r="BE113" s="472"/>
      <c r="BF113" s="472"/>
      <c r="BG113" s="472"/>
      <c r="BH113" s="472"/>
    </row>
    <row r="114" spans="1:60" x14ac:dyDescent="0.25">
      <c r="D114" s="471"/>
      <c r="E114" s="471"/>
      <c r="AM114" s="471"/>
      <c r="AN114" s="471"/>
      <c r="BE114" s="472"/>
      <c r="BF114" s="472"/>
      <c r="BG114" s="472"/>
      <c r="BH114" s="472"/>
    </row>
    <row r="115" spans="1:60" x14ac:dyDescent="0.25">
      <c r="D115" s="471"/>
      <c r="E115" s="471"/>
      <c r="BD115" s="473"/>
      <c r="BE115" s="472"/>
      <c r="BF115" s="472"/>
      <c r="BG115" s="472"/>
      <c r="BH115" s="472"/>
    </row>
    <row r="116" spans="1:60" x14ac:dyDescent="0.25">
      <c r="D116" s="471"/>
      <c r="E116" s="471"/>
      <c r="BE116" s="472"/>
      <c r="BF116" s="472"/>
      <c r="BG116" s="472"/>
      <c r="BH116" s="472"/>
    </row>
    <row r="117" spans="1:60" x14ac:dyDescent="0.25">
      <c r="D117" s="471"/>
      <c r="E117" s="471"/>
      <c r="BE117" s="472"/>
      <c r="BF117" s="472"/>
      <c r="BG117" s="472"/>
      <c r="BH117" s="472"/>
    </row>
    <row r="118" spans="1:60" x14ac:dyDescent="0.25">
      <c r="D118" s="471"/>
      <c r="E118" s="471"/>
      <c r="BE118" s="472"/>
      <c r="BF118" s="472"/>
      <c r="BG118" s="472"/>
      <c r="BH118" s="472"/>
    </row>
    <row r="119" spans="1:60" x14ac:dyDescent="0.25">
      <c r="C119" s="471"/>
      <c r="D119" s="471"/>
      <c r="E119" s="471"/>
      <c r="F119" s="471"/>
      <c r="G119" s="471"/>
    </row>
    <row r="120" spans="1:60" x14ac:dyDescent="0.25">
      <c r="C120" s="471"/>
      <c r="D120" s="471"/>
      <c r="E120" s="471"/>
      <c r="F120" s="471"/>
      <c r="G120" s="471"/>
    </row>
    <row r="121" spans="1:60" x14ac:dyDescent="0.25">
      <c r="C121" s="471"/>
      <c r="D121" s="471"/>
      <c r="E121" s="471"/>
      <c r="F121" s="471"/>
      <c r="G121" s="471"/>
    </row>
    <row r="122" spans="1:60" x14ac:dyDescent="0.25">
      <c r="C122" s="471"/>
      <c r="D122" s="471"/>
      <c r="E122" s="471"/>
      <c r="F122" s="471"/>
      <c r="G122" s="471"/>
    </row>
    <row r="123" spans="1:60" x14ac:dyDescent="0.25">
      <c r="C123" s="471"/>
      <c r="D123" s="471"/>
      <c r="E123" s="471"/>
      <c r="F123" s="471"/>
      <c r="G123" s="471"/>
    </row>
    <row r="124" spans="1:60" x14ac:dyDescent="0.25">
      <c r="C124" s="471"/>
      <c r="D124" s="471"/>
      <c r="E124" s="471"/>
      <c r="F124" s="471"/>
      <c r="G124" s="471"/>
    </row>
    <row r="125" spans="1:60" x14ac:dyDescent="0.25">
      <c r="C125" s="471"/>
      <c r="D125" s="471"/>
      <c r="E125" s="471"/>
      <c r="F125" s="471"/>
      <c r="G125" s="471"/>
    </row>
    <row r="126" spans="1:60" x14ac:dyDescent="0.25">
      <c r="C126" s="471"/>
      <c r="D126" s="471"/>
      <c r="E126" s="471"/>
      <c r="F126" s="471"/>
      <c r="G126" s="471"/>
    </row>
    <row r="127" spans="1:60" x14ac:dyDescent="0.25">
      <c r="C127" s="471"/>
      <c r="D127" s="471"/>
      <c r="E127" s="471"/>
      <c r="F127" s="471"/>
      <c r="G127" s="471"/>
    </row>
    <row r="128" spans="1:60" x14ac:dyDescent="0.25">
      <c r="C128" s="471"/>
      <c r="D128" s="471"/>
      <c r="E128" s="471"/>
      <c r="F128" s="471"/>
      <c r="G128" s="471"/>
    </row>
    <row r="129" spans="3:7" x14ac:dyDescent="0.25">
      <c r="C129" s="471"/>
      <c r="D129" s="471"/>
      <c r="E129" s="471"/>
      <c r="F129" s="471"/>
      <c r="G129" s="471"/>
    </row>
    <row r="130" spans="3:7" x14ac:dyDescent="0.25">
      <c r="C130" s="471"/>
      <c r="D130" s="471"/>
      <c r="E130" s="471"/>
      <c r="F130" s="471"/>
      <c r="G130" s="471"/>
    </row>
    <row r="131" spans="3:7" x14ac:dyDescent="0.25">
      <c r="C131" s="471"/>
      <c r="D131" s="471"/>
      <c r="E131" s="471"/>
      <c r="F131" s="471"/>
      <c r="G131" s="471"/>
    </row>
    <row r="132" spans="3:7" x14ac:dyDescent="0.25">
      <c r="C132" s="471"/>
      <c r="D132" s="471"/>
      <c r="E132" s="471"/>
      <c r="F132" s="471"/>
      <c r="G132" s="471"/>
    </row>
    <row r="133" spans="3:7" x14ac:dyDescent="0.25">
      <c r="C133" s="471"/>
      <c r="D133" s="471"/>
      <c r="E133" s="471"/>
      <c r="F133" s="471"/>
      <c r="G133" s="471"/>
    </row>
    <row r="134" spans="3:7" x14ac:dyDescent="0.25">
      <c r="C134" s="471"/>
      <c r="D134" s="471"/>
      <c r="E134" s="471"/>
      <c r="F134" s="471"/>
      <c r="G134" s="471"/>
    </row>
    <row r="135" spans="3:7" x14ac:dyDescent="0.25">
      <c r="C135" s="471"/>
      <c r="D135" s="471"/>
      <c r="E135" s="471"/>
      <c r="F135" s="471"/>
      <c r="G135" s="471"/>
    </row>
    <row r="136" spans="3:7" x14ac:dyDescent="0.25">
      <c r="C136" s="471"/>
      <c r="D136" s="471"/>
      <c r="E136" s="471"/>
      <c r="F136" s="471"/>
      <c r="G136" s="471"/>
    </row>
    <row r="137" spans="3:7" x14ac:dyDescent="0.25">
      <c r="C137" s="471"/>
      <c r="D137" s="471"/>
      <c r="E137" s="471"/>
      <c r="F137" s="471"/>
      <c r="G137" s="471"/>
    </row>
    <row r="138" spans="3:7" x14ac:dyDescent="0.25">
      <c r="C138" s="471"/>
      <c r="D138" s="471"/>
      <c r="E138" s="471"/>
      <c r="F138" s="471"/>
      <c r="G138" s="471"/>
    </row>
    <row r="139" spans="3:7" x14ac:dyDescent="0.25">
      <c r="C139" s="471"/>
      <c r="D139" s="471"/>
      <c r="E139" s="471"/>
      <c r="F139" s="471"/>
      <c r="G139" s="471"/>
    </row>
    <row r="140" spans="3:7" x14ac:dyDescent="0.25">
      <c r="C140" s="471"/>
      <c r="D140" s="471"/>
      <c r="E140" s="471"/>
      <c r="F140" s="471"/>
      <c r="G140" s="471"/>
    </row>
    <row r="141" spans="3:7" x14ac:dyDescent="0.25">
      <c r="C141" s="471"/>
      <c r="D141" s="471"/>
      <c r="E141" s="471"/>
      <c r="F141" s="471"/>
      <c r="G141" s="471"/>
    </row>
    <row r="142" spans="3:7" x14ac:dyDescent="0.25">
      <c r="C142" s="471"/>
      <c r="D142" s="471"/>
      <c r="E142" s="471"/>
      <c r="F142" s="471"/>
      <c r="G142" s="471"/>
    </row>
    <row r="143" spans="3:7" x14ac:dyDescent="0.25">
      <c r="C143" s="471"/>
      <c r="D143" s="471"/>
      <c r="E143" s="471"/>
      <c r="F143" s="471"/>
      <c r="G143" s="471"/>
    </row>
    <row r="144" spans="3:7" x14ac:dyDescent="0.25">
      <c r="C144" s="471"/>
      <c r="D144" s="471"/>
      <c r="E144" s="471"/>
      <c r="F144" s="471"/>
      <c r="G144" s="471"/>
    </row>
    <row r="145" spans="3:7" x14ac:dyDescent="0.25">
      <c r="C145" s="471"/>
      <c r="D145" s="471"/>
      <c r="E145" s="471"/>
      <c r="F145" s="471"/>
      <c r="G145" s="471"/>
    </row>
    <row r="146" spans="3:7" x14ac:dyDescent="0.25">
      <c r="C146" s="471"/>
      <c r="D146" s="471"/>
      <c r="E146" s="471"/>
      <c r="F146" s="471"/>
      <c r="G146" s="471"/>
    </row>
    <row r="147" spans="3:7" x14ac:dyDescent="0.25">
      <c r="C147" s="471"/>
      <c r="D147" s="471"/>
      <c r="E147" s="471"/>
      <c r="F147" s="471"/>
      <c r="G147" s="471"/>
    </row>
    <row r="148" spans="3:7" x14ac:dyDescent="0.25">
      <c r="C148" s="471"/>
      <c r="D148" s="471"/>
      <c r="E148" s="471"/>
      <c r="F148" s="471"/>
      <c r="G148" s="471"/>
    </row>
    <row r="149" spans="3:7" x14ac:dyDescent="0.25">
      <c r="C149" s="471"/>
      <c r="D149" s="471"/>
      <c r="E149" s="471"/>
      <c r="F149" s="471"/>
      <c r="G149" s="471"/>
    </row>
    <row r="150" spans="3:7" x14ac:dyDescent="0.25">
      <c r="C150" s="471"/>
      <c r="D150" s="471"/>
      <c r="E150" s="471"/>
      <c r="F150" s="471"/>
      <c r="G150" s="471"/>
    </row>
    <row r="151" spans="3:7" x14ac:dyDescent="0.25">
      <c r="C151" s="471"/>
      <c r="D151" s="471"/>
      <c r="E151" s="471"/>
      <c r="F151" s="471"/>
      <c r="G151" s="471"/>
    </row>
    <row r="152" spans="3:7" x14ac:dyDescent="0.25">
      <c r="C152" s="471"/>
      <c r="D152" s="471"/>
      <c r="E152" s="471"/>
      <c r="F152" s="471"/>
      <c r="G152" s="471"/>
    </row>
    <row r="153" spans="3:7" x14ac:dyDescent="0.25">
      <c r="C153" s="471"/>
      <c r="D153" s="471"/>
      <c r="E153" s="471"/>
      <c r="F153" s="471"/>
      <c r="G153" s="471"/>
    </row>
    <row r="154" spans="3:7" x14ac:dyDescent="0.25">
      <c r="C154" s="471"/>
      <c r="D154" s="471"/>
      <c r="E154" s="471"/>
      <c r="F154" s="471"/>
      <c r="G154" s="471"/>
    </row>
    <row r="155" spans="3:7" x14ac:dyDescent="0.25">
      <c r="C155" s="471"/>
      <c r="D155" s="471"/>
      <c r="E155" s="471"/>
      <c r="F155" s="471"/>
      <c r="G155" s="471"/>
    </row>
    <row r="156" spans="3:7" x14ac:dyDescent="0.25">
      <c r="C156" s="471"/>
      <c r="D156" s="471"/>
      <c r="E156" s="471"/>
      <c r="F156" s="471"/>
      <c r="G156" s="471"/>
    </row>
    <row r="157" spans="3:7" x14ac:dyDescent="0.25">
      <c r="C157" s="471"/>
      <c r="D157" s="471"/>
      <c r="E157" s="471"/>
      <c r="F157" s="471"/>
      <c r="G157" s="471"/>
    </row>
    <row r="158" spans="3:7" x14ac:dyDescent="0.25">
      <c r="C158" s="471"/>
      <c r="D158" s="471"/>
      <c r="E158" s="471"/>
      <c r="F158" s="471"/>
      <c r="G158" s="471"/>
    </row>
    <row r="159" spans="3:7" x14ac:dyDescent="0.25">
      <c r="C159" s="471"/>
      <c r="D159" s="471"/>
      <c r="E159" s="471"/>
      <c r="F159" s="471"/>
      <c r="G159" s="471"/>
    </row>
    <row r="160" spans="3:7" x14ac:dyDescent="0.25">
      <c r="C160" s="471"/>
      <c r="D160" s="471"/>
      <c r="E160" s="471"/>
      <c r="F160" s="471"/>
      <c r="G160" s="471"/>
    </row>
    <row r="161" spans="3:7" x14ac:dyDescent="0.25">
      <c r="C161" s="471"/>
      <c r="D161" s="471"/>
      <c r="E161" s="471"/>
      <c r="F161" s="471"/>
      <c r="G161" s="471"/>
    </row>
    <row r="162" spans="3:7" x14ac:dyDescent="0.25">
      <c r="C162" s="471"/>
      <c r="D162" s="471"/>
      <c r="E162" s="471"/>
      <c r="F162" s="471"/>
      <c r="G162" s="471"/>
    </row>
    <row r="163" spans="3:7" x14ac:dyDescent="0.25">
      <c r="C163" s="471"/>
      <c r="D163" s="471"/>
      <c r="E163" s="471"/>
      <c r="F163" s="471"/>
      <c r="G163" s="471"/>
    </row>
    <row r="164" spans="3:7" x14ac:dyDescent="0.25">
      <c r="C164" s="471"/>
      <c r="D164" s="471"/>
      <c r="E164" s="471"/>
      <c r="F164" s="471"/>
      <c r="G164" s="471"/>
    </row>
    <row r="165" spans="3:7" x14ac:dyDescent="0.25">
      <c r="C165" s="471"/>
      <c r="D165" s="471"/>
      <c r="E165" s="471"/>
      <c r="F165" s="471"/>
      <c r="G165" s="471"/>
    </row>
    <row r="166" spans="3:7" x14ac:dyDescent="0.25">
      <c r="C166" s="471"/>
      <c r="D166" s="471"/>
      <c r="E166" s="471"/>
      <c r="F166" s="471"/>
      <c r="G166" s="471"/>
    </row>
    <row r="167" spans="3:7" x14ac:dyDescent="0.25">
      <c r="C167" s="471"/>
      <c r="D167" s="471"/>
      <c r="E167" s="471"/>
      <c r="F167" s="471"/>
      <c r="G167" s="471"/>
    </row>
    <row r="168" spans="3:7" x14ac:dyDescent="0.25">
      <c r="C168" s="471"/>
      <c r="D168" s="471"/>
      <c r="E168" s="471"/>
      <c r="F168" s="471"/>
      <c r="G168" s="471"/>
    </row>
    <row r="169" spans="3:7" x14ac:dyDescent="0.25">
      <c r="C169" s="471"/>
      <c r="D169" s="471"/>
      <c r="E169" s="471"/>
      <c r="F169" s="471"/>
      <c r="G169" s="471"/>
    </row>
    <row r="170" spans="3:7" x14ac:dyDescent="0.25">
      <c r="C170" s="471"/>
      <c r="D170" s="471"/>
      <c r="E170" s="471"/>
      <c r="F170" s="471"/>
      <c r="G170" s="471"/>
    </row>
    <row r="171" spans="3:7" x14ac:dyDescent="0.25">
      <c r="C171" s="471"/>
      <c r="D171" s="471"/>
      <c r="E171" s="471"/>
      <c r="F171" s="471"/>
      <c r="G171" s="471"/>
    </row>
    <row r="172" spans="3:7" x14ac:dyDescent="0.25">
      <c r="C172" s="471"/>
      <c r="D172" s="471"/>
      <c r="E172" s="471"/>
      <c r="F172" s="471"/>
      <c r="G172" s="471"/>
    </row>
    <row r="173" spans="3:7" x14ac:dyDescent="0.25">
      <c r="C173" s="471"/>
      <c r="D173" s="471"/>
      <c r="E173" s="471"/>
      <c r="F173" s="471"/>
      <c r="G173" s="471"/>
    </row>
    <row r="174" spans="3:7" x14ac:dyDescent="0.25">
      <c r="C174" s="471"/>
      <c r="D174" s="471"/>
      <c r="E174" s="471"/>
      <c r="F174" s="471"/>
      <c r="G174" s="471"/>
    </row>
    <row r="175" spans="3:7" x14ac:dyDescent="0.25">
      <c r="C175" s="471"/>
      <c r="D175" s="471"/>
      <c r="E175" s="471"/>
      <c r="F175" s="471"/>
      <c r="G175" s="471"/>
    </row>
    <row r="176" spans="3:7" x14ac:dyDescent="0.25">
      <c r="C176" s="471"/>
      <c r="D176" s="471"/>
      <c r="E176" s="471"/>
      <c r="F176" s="471"/>
      <c r="G176" s="471"/>
    </row>
    <row r="177" spans="3:7" x14ac:dyDescent="0.25">
      <c r="C177" s="471"/>
      <c r="D177" s="471"/>
      <c r="E177" s="471"/>
      <c r="F177" s="471"/>
      <c r="G177" s="471"/>
    </row>
    <row r="178" spans="3:7" x14ac:dyDescent="0.25">
      <c r="C178" s="471"/>
      <c r="D178" s="471"/>
      <c r="E178" s="471"/>
      <c r="F178" s="471"/>
      <c r="G178" s="471"/>
    </row>
    <row r="179" spans="3:7" x14ac:dyDescent="0.25">
      <c r="C179" s="471"/>
      <c r="D179" s="471"/>
      <c r="E179" s="471"/>
      <c r="F179" s="471"/>
      <c r="G179" s="471"/>
    </row>
    <row r="180" spans="3:7" x14ac:dyDescent="0.25">
      <c r="C180" s="471"/>
      <c r="D180" s="471"/>
      <c r="E180" s="471"/>
      <c r="F180" s="471"/>
      <c r="G180" s="471"/>
    </row>
    <row r="181" spans="3:7" x14ac:dyDescent="0.25">
      <c r="C181" s="471"/>
      <c r="D181" s="471"/>
      <c r="E181" s="471"/>
      <c r="F181" s="471"/>
      <c r="G181" s="471"/>
    </row>
    <row r="182" spans="3:7" x14ac:dyDescent="0.25">
      <c r="C182" s="471"/>
      <c r="D182" s="471"/>
      <c r="E182" s="471"/>
      <c r="F182" s="471"/>
      <c r="G182" s="471"/>
    </row>
    <row r="183" spans="3:7" x14ac:dyDescent="0.25">
      <c r="C183" s="471"/>
      <c r="D183" s="471"/>
      <c r="E183" s="471"/>
      <c r="F183" s="471"/>
      <c r="G183" s="471"/>
    </row>
    <row r="184" spans="3:7" x14ac:dyDescent="0.25">
      <c r="C184" s="471"/>
      <c r="D184" s="471"/>
      <c r="E184" s="471"/>
      <c r="F184" s="471"/>
      <c r="G184" s="471"/>
    </row>
    <row r="185" spans="3:7" x14ac:dyDescent="0.25">
      <c r="C185" s="471"/>
      <c r="D185" s="471"/>
      <c r="E185" s="471"/>
      <c r="F185" s="471"/>
      <c r="G185" s="471"/>
    </row>
    <row r="186" spans="3:7" x14ac:dyDescent="0.25">
      <c r="C186" s="471"/>
      <c r="D186" s="471"/>
      <c r="E186" s="471"/>
      <c r="F186" s="471"/>
      <c r="G186" s="471"/>
    </row>
    <row r="187" spans="3:7" x14ac:dyDescent="0.25">
      <c r="C187" s="471"/>
      <c r="D187" s="471"/>
      <c r="E187" s="471"/>
      <c r="F187" s="471"/>
      <c r="G187" s="471"/>
    </row>
    <row r="188" spans="3:7" x14ac:dyDescent="0.25">
      <c r="C188" s="471"/>
      <c r="D188" s="471"/>
      <c r="E188" s="471"/>
      <c r="F188" s="471"/>
      <c r="G188" s="471"/>
    </row>
  </sheetData>
  <mergeCells count="91">
    <mergeCell ref="A63:A64"/>
    <mergeCell ref="A66:A67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9:A70"/>
    <mergeCell ref="A72:A73"/>
    <mergeCell ref="D111:F111"/>
    <mergeCell ref="A96:A97"/>
    <mergeCell ref="A87:A88"/>
    <mergeCell ref="A99:A100"/>
    <mergeCell ref="A93:A94"/>
    <mergeCell ref="A9:A10"/>
    <mergeCell ref="A12:A13"/>
    <mergeCell ref="B6:B7"/>
    <mergeCell ref="C6:C7"/>
    <mergeCell ref="N6:N7"/>
    <mergeCell ref="J6:J7"/>
    <mergeCell ref="A6:A7"/>
    <mergeCell ref="H6:H7"/>
    <mergeCell ref="D6:D7"/>
    <mergeCell ref="E6:E7"/>
    <mergeCell ref="AU6:AU7"/>
    <mergeCell ref="A39:A40"/>
    <mergeCell ref="A30:A31"/>
    <mergeCell ref="A33:A34"/>
    <mergeCell ref="A42:A43"/>
    <mergeCell ref="W6:W7"/>
    <mergeCell ref="AK6:AK7"/>
    <mergeCell ref="AR6:AR7"/>
    <mergeCell ref="S6:S7"/>
    <mergeCell ref="AA6:AA7"/>
    <mergeCell ref="AT6:AT7"/>
    <mergeCell ref="AG6:AH6"/>
    <mergeCell ref="AN6:AN7"/>
    <mergeCell ref="AQ6:AQ7"/>
    <mergeCell ref="AD6:AE6"/>
    <mergeCell ref="U6:U7"/>
    <mergeCell ref="A45:A46"/>
    <mergeCell ref="A36:A37"/>
    <mergeCell ref="A24:A25"/>
    <mergeCell ref="A27:A28"/>
    <mergeCell ref="A15:A16"/>
    <mergeCell ref="A18:A19"/>
    <mergeCell ref="A21:A22"/>
    <mergeCell ref="AV6:AV7"/>
    <mergeCell ref="AW6:AW7"/>
    <mergeCell ref="BR6:BR7"/>
    <mergeCell ref="BG6:BG7"/>
    <mergeCell ref="BH6:BH7"/>
    <mergeCell ref="BI6:BI7"/>
    <mergeCell ref="BN6:BN7"/>
    <mergeCell ref="BC6:BC7"/>
    <mergeCell ref="BM6:BM7"/>
    <mergeCell ref="BF6:BF7"/>
    <mergeCell ref="BL6:BL7"/>
    <mergeCell ref="BK6:BK7"/>
    <mergeCell ref="BA6:BA7"/>
    <mergeCell ref="BD6:BD7"/>
    <mergeCell ref="BE6:BE7"/>
    <mergeCell ref="V6:V7"/>
    <mergeCell ref="K6:K7"/>
    <mergeCell ref="L6:L7"/>
    <mergeCell ref="F6:F7"/>
    <mergeCell ref="M6:M7"/>
    <mergeCell ref="I6:I7"/>
    <mergeCell ref="G6:G7"/>
    <mergeCell ref="T6:T7"/>
    <mergeCell ref="AM6:AM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/>
  </sheetViews>
  <sheetFormatPr defaultRowHeight="11.25" x14ac:dyDescent="0.2"/>
  <cols>
    <col min="1" max="1" width="15.42578125" style="97" customWidth="1"/>
    <col min="2" max="3" width="12.28515625" style="289" customWidth="1"/>
    <col min="4" max="4" width="8.28515625" style="97" customWidth="1"/>
    <col min="5" max="5" width="30" style="288" customWidth="1"/>
    <col min="6" max="6" width="43.5703125" style="288" customWidth="1"/>
    <col min="7" max="7" width="17.5703125" style="94" customWidth="1"/>
    <col min="8" max="8" width="20" style="93" customWidth="1"/>
    <col min="9" max="9" width="12.140625" style="93" customWidth="1"/>
    <col min="10" max="11" width="9.140625" style="93"/>
    <col min="12" max="12" width="27.42578125" style="93" customWidth="1"/>
    <col min="13" max="13" width="15.140625" style="93" customWidth="1"/>
    <col min="14" max="16384" width="9.140625" style="93"/>
  </cols>
  <sheetData>
    <row r="1" spans="1:10" s="337" customFormat="1" x14ac:dyDescent="0.2">
      <c r="A1" s="333" t="s">
        <v>296</v>
      </c>
      <c r="B1" s="339"/>
      <c r="C1" s="339"/>
      <c r="D1" s="338"/>
      <c r="E1" s="334"/>
      <c r="F1" s="333"/>
      <c r="G1" s="333"/>
      <c r="H1" s="333"/>
      <c r="I1" s="333"/>
      <c r="J1" s="333"/>
    </row>
    <row r="2" spans="1:10" s="337" customFormat="1" x14ac:dyDescent="0.2">
      <c r="A2" s="333" t="s">
        <v>295</v>
      </c>
      <c r="B2" s="334"/>
      <c r="C2" s="334"/>
      <c r="D2" s="334"/>
      <c r="E2" s="334"/>
      <c r="F2" s="333"/>
      <c r="G2" s="333"/>
      <c r="H2" s="333"/>
      <c r="I2" s="333"/>
      <c r="J2" s="333"/>
    </row>
    <row r="3" spans="1:10" s="337" customFormat="1" x14ac:dyDescent="0.2">
      <c r="A3" s="333" t="s">
        <v>294</v>
      </c>
      <c r="B3" s="339"/>
      <c r="C3" s="339"/>
      <c r="D3" s="338"/>
      <c r="E3" s="334"/>
      <c r="F3" s="333"/>
      <c r="G3" s="333"/>
      <c r="H3" s="333"/>
      <c r="I3" s="333"/>
      <c r="J3" s="333"/>
    </row>
    <row r="4" spans="1:10" ht="12" thickBot="1" x14ac:dyDescent="0.25">
      <c r="B4" s="336"/>
      <c r="C4" s="336"/>
      <c r="D4" s="335"/>
      <c r="E4" s="334"/>
      <c r="F4" s="333"/>
    </row>
    <row r="5" spans="1:10" s="327" customFormat="1" ht="12" thickBot="1" x14ac:dyDescent="0.25">
      <c r="A5" s="332" t="s">
        <v>293</v>
      </c>
      <c r="B5" s="331" t="s">
        <v>292</v>
      </c>
      <c r="C5" s="331" t="s">
        <v>291</v>
      </c>
      <c r="D5" s="330" t="s">
        <v>290</v>
      </c>
      <c r="E5" s="330" t="s">
        <v>289</v>
      </c>
      <c r="F5" s="329" t="s">
        <v>288</v>
      </c>
      <c r="G5" s="328" t="s">
        <v>26</v>
      </c>
    </row>
    <row r="6" spans="1:10" s="326" customFormat="1" x14ac:dyDescent="0.2">
      <c r="A6" s="312">
        <v>43828</v>
      </c>
      <c r="B6" s="310">
        <v>1289520</v>
      </c>
      <c r="C6" s="311">
        <v>43828</v>
      </c>
      <c r="D6" s="310">
        <v>13478</v>
      </c>
      <c r="E6" s="310" t="s">
        <v>253</v>
      </c>
      <c r="F6" s="315" t="s">
        <v>287</v>
      </c>
      <c r="G6" s="314">
        <v>13498.75</v>
      </c>
      <c r="H6" s="313"/>
    </row>
    <row r="7" spans="1:10" s="326" customFormat="1" x14ac:dyDescent="0.2">
      <c r="A7" s="312">
        <v>43827</v>
      </c>
      <c r="B7" s="310">
        <f t="shared" ref="B7:B27" si="0">B6+1</f>
        <v>1289521</v>
      </c>
      <c r="C7" s="311">
        <v>43470</v>
      </c>
      <c r="D7" s="310">
        <f>D6+1</f>
        <v>13479</v>
      </c>
      <c r="E7" s="310" t="s">
        <v>286</v>
      </c>
      <c r="F7" s="315" t="s">
        <v>285</v>
      </c>
      <c r="G7" s="314">
        <v>6277.45</v>
      </c>
      <c r="H7" s="313"/>
    </row>
    <row r="8" spans="1:10" s="326" customFormat="1" x14ac:dyDescent="0.2">
      <c r="A8" s="312">
        <v>43827</v>
      </c>
      <c r="B8" s="310">
        <f t="shared" si="0"/>
        <v>1289522</v>
      </c>
      <c r="C8" s="311">
        <v>43470</v>
      </c>
      <c r="D8" s="310">
        <f>D7+1</f>
        <v>13480</v>
      </c>
      <c r="E8" s="310" t="s">
        <v>212</v>
      </c>
      <c r="F8" s="315"/>
      <c r="G8" s="314">
        <v>0</v>
      </c>
      <c r="H8" s="313"/>
    </row>
    <row r="9" spans="1:10" s="326" customFormat="1" x14ac:dyDescent="0.2">
      <c r="A9" s="312">
        <v>43827</v>
      </c>
      <c r="B9" s="310">
        <f t="shared" si="0"/>
        <v>1289523</v>
      </c>
      <c r="C9" s="311">
        <v>43470</v>
      </c>
      <c r="D9" s="310">
        <v>13480</v>
      </c>
      <c r="E9" s="310" t="s">
        <v>24</v>
      </c>
      <c r="F9" s="315" t="s">
        <v>284</v>
      </c>
      <c r="G9" s="314">
        <v>5445.35</v>
      </c>
      <c r="H9" s="313"/>
    </row>
    <row r="10" spans="1:10" s="326" customFormat="1" x14ac:dyDescent="0.2">
      <c r="A10" s="312">
        <v>43827</v>
      </c>
      <c r="B10" s="310">
        <f t="shared" si="0"/>
        <v>1289524</v>
      </c>
      <c r="C10" s="311">
        <v>43470</v>
      </c>
      <c r="D10" s="310">
        <f>D9+1</f>
        <v>13481</v>
      </c>
      <c r="E10" s="310" t="s">
        <v>21</v>
      </c>
      <c r="F10" s="315" t="s">
        <v>283</v>
      </c>
      <c r="G10" s="314">
        <v>1400</v>
      </c>
      <c r="H10" s="313"/>
    </row>
    <row r="11" spans="1:10" s="326" customFormat="1" x14ac:dyDescent="0.2">
      <c r="A11" s="312">
        <v>43827</v>
      </c>
      <c r="B11" s="310">
        <f t="shared" si="0"/>
        <v>1289525</v>
      </c>
      <c r="C11" s="311">
        <v>43470</v>
      </c>
      <c r="D11" s="310">
        <f>D10+1</f>
        <v>13482</v>
      </c>
      <c r="E11" s="310" t="s">
        <v>21</v>
      </c>
      <c r="F11" s="315" t="s">
        <v>282</v>
      </c>
      <c r="G11" s="314">
        <v>4140.68</v>
      </c>
      <c r="H11" s="313"/>
    </row>
    <row r="12" spans="1:10" s="326" customFormat="1" x14ac:dyDescent="0.2">
      <c r="A12" s="312">
        <v>43827</v>
      </c>
      <c r="B12" s="310">
        <f t="shared" si="0"/>
        <v>1289526</v>
      </c>
      <c r="C12" s="311">
        <v>43470</v>
      </c>
      <c r="D12" s="310">
        <f>D11+1</f>
        <v>13483</v>
      </c>
      <c r="E12" s="310" t="s">
        <v>212</v>
      </c>
      <c r="F12" s="315"/>
      <c r="G12" s="314">
        <v>0</v>
      </c>
      <c r="H12" s="313"/>
    </row>
    <row r="13" spans="1:10" s="326" customFormat="1" x14ac:dyDescent="0.2">
      <c r="A13" s="312">
        <v>43827</v>
      </c>
      <c r="B13" s="310">
        <f t="shared" si="0"/>
        <v>1289527</v>
      </c>
      <c r="C13" s="311">
        <v>43470</v>
      </c>
      <c r="D13" s="310">
        <v>13483</v>
      </c>
      <c r="E13" s="310" t="s">
        <v>281</v>
      </c>
      <c r="F13" s="315" t="s">
        <v>235</v>
      </c>
      <c r="G13" s="314">
        <v>2576.7800000000002</v>
      </c>
      <c r="H13" s="313"/>
    </row>
    <row r="14" spans="1:10" s="326" customFormat="1" x14ac:dyDescent="0.2">
      <c r="A14" s="312">
        <v>43827</v>
      </c>
      <c r="B14" s="310">
        <f t="shared" si="0"/>
        <v>1289528</v>
      </c>
      <c r="C14" s="311">
        <v>43470</v>
      </c>
      <c r="D14" s="310">
        <f t="shared" ref="D14:D25" si="1">D13+1</f>
        <v>13484</v>
      </c>
      <c r="E14" s="310" t="s">
        <v>280</v>
      </c>
      <c r="F14" s="315" t="s">
        <v>279</v>
      </c>
      <c r="G14" s="314">
        <v>2517.3200000000002</v>
      </c>
      <c r="H14" s="313"/>
    </row>
    <row r="15" spans="1:10" s="326" customFormat="1" x14ac:dyDescent="0.2">
      <c r="A15" s="312">
        <v>43827</v>
      </c>
      <c r="B15" s="310">
        <f t="shared" si="0"/>
        <v>1289529</v>
      </c>
      <c r="C15" s="311">
        <v>43470</v>
      </c>
      <c r="D15" s="310">
        <f t="shared" si="1"/>
        <v>13485</v>
      </c>
      <c r="E15" s="310" t="s">
        <v>278</v>
      </c>
      <c r="F15" s="315" t="s">
        <v>277</v>
      </c>
      <c r="G15" s="314">
        <v>8225.89</v>
      </c>
      <c r="H15" s="313"/>
    </row>
    <row r="16" spans="1:10" s="326" customFormat="1" x14ac:dyDescent="0.2">
      <c r="A16" s="312">
        <v>43827</v>
      </c>
      <c r="B16" s="310">
        <f t="shared" si="0"/>
        <v>1289530</v>
      </c>
      <c r="C16" s="311">
        <v>43470</v>
      </c>
      <c r="D16" s="310">
        <f t="shared" si="1"/>
        <v>13486</v>
      </c>
      <c r="E16" s="310" t="s">
        <v>215</v>
      </c>
      <c r="F16" s="315" t="s">
        <v>232</v>
      </c>
      <c r="G16" s="314">
        <v>17817.48</v>
      </c>
      <c r="H16" s="313"/>
    </row>
    <row r="17" spans="1:8" s="326" customFormat="1" x14ac:dyDescent="0.2">
      <c r="A17" s="312">
        <v>43827</v>
      </c>
      <c r="B17" s="310">
        <f t="shared" si="0"/>
        <v>1289531</v>
      </c>
      <c r="C17" s="311">
        <v>43470</v>
      </c>
      <c r="D17" s="310">
        <f t="shared" si="1"/>
        <v>13487</v>
      </c>
      <c r="E17" s="310" t="s">
        <v>210</v>
      </c>
      <c r="F17" s="315" t="s">
        <v>227</v>
      </c>
      <c r="G17" s="314">
        <v>2056.73</v>
      </c>
      <c r="H17" s="313"/>
    </row>
    <row r="18" spans="1:8" s="326" customFormat="1" x14ac:dyDescent="0.2">
      <c r="A18" s="312">
        <v>43827</v>
      </c>
      <c r="B18" s="310">
        <f t="shared" si="0"/>
        <v>1289532</v>
      </c>
      <c r="C18" s="311">
        <v>43470</v>
      </c>
      <c r="D18" s="310">
        <f t="shared" si="1"/>
        <v>13488</v>
      </c>
      <c r="E18" s="310" t="s">
        <v>210</v>
      </c>
      <c r="F18" s="315" t="s">
        <v>209</v>
      </c>
      <c r="G18" s="314">
        <v>6345.9</v>
      </c>
      <c r="H18" s="313"/>
    </row>
    <row r="19" spans="1:8" s="326" customFormat="1" x14ac:dyDescent="0.2">
      <c r="A19" s="312">
        <v>43827</v>
      </c>
      <c r="B19" s="310">
        <f t="shared" si="0"/>
        <v>1289533</v>
      </c>
      <c r="C19" s="311">
        <v>43470</v>
      </c>
      <c r="D19" s="310">
        <f t="shared" si="1"/>
        <v>13489</v>
      </c>
      <c r="E19" s="310" t="s">
        <v>236</v>
      </c>
      <c r="F19" s="315" t="s">
        <v>276</v>
      </c>
      <c r="G19" s="314">
        <v>6973.92</v>
      </c>
      <c r="H19" s="313"/>
    </row>
    <row r="20" spans="1:8" s="326" customFormat="1" x14ac:dyDescent="0.2">
      <c r="A20" s="312">
        <v>43827</v>
      </c>
      <c r="B20" s="310">
        <f t="shared" si="0"/>
        <v>1289534</v>
      </c>
      <c r="C20" s="311">
        <v>43470</v>
      </c>
      <c r="D20" s="310">
        <f t="shared" si="1"/>
        <v>13490</v>
      </c>
      <c r="E20" s="310" t="s">
        <v>152</v>
      </c>
      <c r="F20" s="315" t="s">
        <v>275</v>
      </c>
      <c r="G20" s="314">
        <v>10280.58</v>
      </c>
      <c r="H20" s="313"/>
    </row>
    <row r="21" spans="1:8" s="326" customFormat="1" x14ac:dyDescent="0.2">
      <c r="A21" s="312">
        <v>43827</v>
      </c>
      <c r="B21" s="310">
        <f t="shared" si="0"/>
        <v>1289535</v>
      </c>
      <c r="C21" s="311">
        <v>43470</v>
      </c>
      <c r="D21" s="310">
        <f t="shared" si="1"/>
        <v>13491</v>
      </c>
      <c r="E21" s="310" t="s">
        <v>152</v>
      </c>
      <c r="F21" s="315" t="s">
        <v>274</v>
      </c>
      <c r="G21" s="314">
        <v>1876.76</v>
      </c>
      <c r="H21" s="313"/>
    </row>
    <row r="22" spans="1:8" s="326" customFormat="1" x14ac:dyDescent="0.2">
      <c r="A22" s="312">
        <v>43827</v>
      </c>
      <c r="B22" s="310">
        <f t="shared" si="0"/>
        <v>1289536</v>
      </c>
      <c r="C22" s="311">
        <v>43470</v>
      </c>
      <c r="D22" s="310">
        <f t="shared" si="1"/>
        <v>13492</v>
      </c>
      <c r="E22" s="310" t="s">
        <v>152</v>
      </c>
      <c r="F22" s="315" t="s">
        <v>273</v>
      </c>
      <c r="G22" s="314">
        <v>21201.83</v>
      </c>
      <c r="H22" s="313"/>
    </row>
    <row r="23" spans="1:8" s="326" customFormat="1" x14ac:dyDescent="0.2">
      <c r="A23" s="312">
        <v>43827</v>
      </c>
      <c r="B23" s="310">
        <f t="shared" si="0"/>
        <v>1289537</v>
      </c>
      <c r="C23" s="311">
        <v>43470</v>
      </c>
      <c r="D23" s="310">
        <f t="shared" si="1"/>
        <v>13493</v>
      </c>
      <c r="E23" s="310" t="s">
        <v>210</v>
      </c>
      <c r="F23" s="315" t="s">
        <v>209</v>
      </c>
      <c r="G23" s="314">
        <v>4578.75</v>
      </c>
      <c r="H23" s="313"/>
    </row>
    <row r="24" spans="1:8" s="326" customFormat="1" x14ac:dyDescent="0.2">
      <c r="A24" s="312">
        <v>43827</v>
      </c>
      <c r="B24" s="310">
        <f t="shared" si="0"/>
        <v>1289538</v>
      </c>
      <c r="C24" s="311">
        <v>43470</v>
      </c>
      <c r="D24" s="310">
        <f t="shared" si="1"/>
        <v>13494</v>
      </c>
      <c r="E24" s="310" t="s">
        <v>215</v>
      </c>
      <c r="F24" s="315" t="s">
        <v>272</v>
      </c>
      <c r="G24" s="314">
        <v>15341.78</v>
      </c>
      <c r="H24" s="313"/>
    </row>
    <row r="25" spans="1:8" s="326" customFormat="1" x14ac:dyDescent="0.2">
      <c r="A25" s="312">
        <v>43827</v>
      </c>
      <c r="B25" s="310">
        <f t="shared" si="0"/>
        <v>1289539</v>
      </c>
      <c r="C25" s="311">
        <v>43470</v>
      </c>
      <c r="D25" s="310">
        <f t="shared" si="1"/>
        <v>13495</v>
      </c>
      <c r="E25" s="310" t="s">
        <v>212</v>
      </c>
      <c r="F25" s="315"/>
      <c r="G25" s="314">
        <v>0</v>
      </c>
      <c r="H25" s="313"/>
    </row>
    <row r="26" spans="1:8" s="326" customFormat="1" x14ac:dyDescent="0.2">
      <c r="A26" s="312">
        <v>43827</v>
      </c>
      <c r="B26" s="310">
        <f t="shared" si="0"/>
        <v>1289540</v>
      </c>
      <c r="C26" s="311">
        <v>43470</v>
      </c>
      <c r="D26" s="310">
        <v>13495</v>
      </c>
      <c r="E26" s="310" t="s">
        <v>24</v>
      </c>
      <c r="F26" s="315" t="s">
        <v>270</v>
      </c>
      <c r="G26" s="314">
        <v>10320</v>
      </c>
      <c r="H26" s="313"/>
    </row>
    <row r="27" spans="1:8" s="326" customFormat="1" x14ac:dyDescent="0.2">
      <c r="A27" s="321">
        <v>43827</v>
      </c>
      <c r="B27" s="319">
        <f t="shared" si="0"/>
        <v>1289541</v>
      </c>
      <c r="C27" s="320">
        <v>43470</v>
      </c>
      <c r="D27" s="319">
        <f>D26+1</f>
        <v>13496</v>
      </c>
      <c r="E27" s="319" t="s">
        <v>271</v>
      </c>
      <c r="F27" s="323" t="s">
        <v>270</v>
      </c>
      <c r="G27" s="317">
        <v>2690.18</v>
      </c>
      <c r="H27" s="313"/>
    </row>
    <row r="28" spans="1:8" s="326" customFormat="1" x14ac:dyDescent="0.2">
      <c r="A28" s="325">
        <v>43471</v>
      </c>
      <c r="B28" s="310">
        <v>1289542</v>
      </c>
      <c r="C28" s="311">
        <v>43476</v>
      </c>
      <c r="D28" s="310">
        <v>13497</v>
      </c>
      <c r="E28" s="310" t="s">
        <v>210</v>
      </c>
      <c r="F28" s="315" t="s">
        <v>209</v>
      </c>
      <c r="G28" s="314">
        <v>9405</v>
      </c>
      <c r="H28" s="313"/>
    </row>
    <row r="29" spans="1:8" x14ac:dyDescent="0.2">
      <c r="A29" s="325">
        <v>43471</v>
      </c>
      <c r="B29" s="310">
        <f t="shared" ref="B29:B36" si="2">B28+1</f>
        <v>1289543</v>
      </c>
      <c r="C29" s="311">
        <v>43476</v>
      </c>
      <c r="D29" s="310">
        <f t="shared" ref="D29:D35" si="3">D28+1</f>
        <v>13498</v>
      </c>
      <c r="E29" s="310" t="s">
        <v>210</v>
      </c>
      <c r="F29" s="315" t="s">
        <v>227</v>
      </c>
      <c r="G29" s="314">
        <v>3924.61</v>
      </c>
      <c r="H29" s="313"/>
    </row>
    <row r="30" spans="1:8" s="259" customFormat="1" x14ac:dyDescent="0.2">
      <c r="A30" s="325">
        <v>43471</v>
      </c>
      <c r="B30" s="310">
        <f t="shared" si="2"/>
        <v>1289544</v>
      </c>
      <c r="C30" s="311">
        <v>43476</v>
      </c>
      <c r="D30" s="310">
        <f t="shared" si="3"/>
        <v>13499</v>
      </c>
      <c r="E30" s="310" t="s">
        <v>269</v>
      </c>
      <c r="F30" s="315" t="s">
        <v>268</v>
      </c>
      <c r="G30" s="314">
        <v>22316.95</v>
      </c>
      <c r="H30" s="313"/>
    </row>
    <row r="31" spans="1:8" x14ac:dyDescent="0.2">
      <c r="A31" s="325">
        <v>43471</v>
      </c>
      <c r="B31" s="310">
        <f t="shared" si="2"/>
        <v>1289545</v>
      </c>
      <c r="C31" s="311">
        <v>43476</v>
      </c>
      <c r="D31" s="310">
        <f t="shared" si="3"/>
        <v>13500</v>
      </c>
      <c r="E31" s="310" t="s">
        <v>266</v>
      </c>
      <c r="F31" s="315" t="s">
        <v>267</v>
      </c>
      <c r="G31" s="314">
        <v>16050</v>
      </c>
      <c r="H31" s="313"/>
    </row>
    <row r="32" spans="1:8" x14ac:dyDescent="0.2">
      <c r="A32" s="325">
        <v>43471</v>
      </c>
      <c r="B32" s="310">
        <f t="shared" si="2"/>
        <v>1289546</v>
      </c>
      <c r="C32" s="311">
        <v>43476</v>
      </c>
      <c r="D32" s="310">
        <f t="shared" si="3"/>
        <v>13501</v>
      </c>
      <c r="E32" s="310" t="s">
        <v>266</v>
      </c>
      <c r="F32" s="315" t="s">
        <v>265</v>
      </c>
      <c r="G32" s="314">
        <v>16050</v>
      </c>
      <c r="H32" s="313"/>
    </row>
    <row r="33" spans="1:9" x14ac:dyDescent="0.2">
      <c r="A33" s="325">
        <v>43471</v>
      </c>
      <c r="B33" s="310">
        <f t="shared" si="2"/>
        <v>1289547</v>
      </c>
      <c r="C33" s="311">
        <v>43476</v>
      </c>
      <c r="D33" s="310">
        <f t="shared" si="3"/>
        <v>13502</v>
      </c>
      <c r="E33" s="310" t="s">
        <v>238</v>
      </c>
      <c r="F33" s="315" t="s">
        <v>264</v>
      </c>
      <c r="G33" s="314">
        <v>15033</v>
      </c>
      <c r="H33" s="313"/>
    </row>
    <row r="34" spans="1:9" x14ac:dyDescent="0.2">
      <c r="A34" s="325">
        <v>43471</v>
      </c>
      <c r="B34" s="310">
        <f t="shared" si="2"/>
        <v>1289548</v>
      </c>
      <c r="C34" s="311">
        <v>43476</v>
      </c>
      <c r="D34" s="310">
        <f t="shared" si="3"/>
        <v>13503</v>
      </c>
      <c r="E34" s="310" t="s">
        <v>215</v>
      </c>
      <c r="F34" s="315" t="s">
        <v>263</v>
      </c>
      <c r="G34" s="314">
        <v>10356.69</v>
      </c>
      <c r="H34" s="313"/>
    </row>
    <row r="35" spans="1:9" x14ac:dyDescent="0.2">
      <c r="A35" s="325">
        <v>43471</v>
      </c>
      <c r="B35" s="310">
        <f t="shared" si="2"/>
        <v>1289549</v>
      </c>
      <c r="C35" s="311">
        <v>43476</v>
      </c>
      <c r="D35" s="310">
        <f t="shared" si="3"/>
        <v>13504</v>
      </c>
      <c r="E35" s="310" t="s">
        <v>212</v>
      </c>
      <c r="F35" s="315"/>
      <c r="G35" s="314">
        <v>0</v>
      </c>
      <c r="H35" s="313"/>
    </row>
    <row r="36" spans="1:9" x14ac:dyDescent="0.2">
      <c r="A36" s="324">
        <v>43471</v>
      </c>
      <c r="B36" s="319">
        <f t="shared" si="2"/>
        <v>1289550</v>
      </c>
      <c r="C36" s="320">
        <v>43476</v>
      </c>
      <c r="D36" s="319">
        <v>13504</v>
      </c>
      <c r="E36" s="319" t="s">
        <v>152</v>
      </c>
      <c r="F36" s="323" t="s">
        <v>262</v>
      </c>
      <c r="G36" s="317">
        <v>14505.79</v>
      </c>
      <c r="H36" s="313"/>
    </row>
    <row r="37" spans="1:9" x14ac:dyDescent="0.2">
      <c r="A37" s="312">
        <v>43476</v>
      </c>
      <c r="B37" s="310">
        <v>1289551</v>
      </c>
      <c r="C37" s="311">
        <v>43482</v>
      </c>
      <c r="D37" s="310">
        <v>13505</v>
      </c>
      <c r="E37" s="310" t="s">
        <v>152</v>
      </c>
      <c r="F37" s="315" t="s">
        <v>261</v>
      </c>
      <c r="G37" s="314">
        <v>10000</v>
      </c>
      <c r="H37" s="313"/>
    </row>
    <row r="38" spans="1:9" x14ac:dyDescent="0.2">
      <c r="A38" s="312">
        <v>43476</v>
      </c>
      <c r="B38" s="310">
        <f t="shared" ref="B38:B67" si="4">B37+1</f>
        <v>1289552</v>
      </c>
      <c r="C38" s="311">
        <v>43482</v>
      </c>
      <c r="D38" s="310">
        <f>D37+1</f>
        <v>13506</v>
      </c>
      <c r="E38" s="310" t="s">
        <v>212</v>
      </c>
      <c r="F38" s="315"/>
      <c r="G38" s="314">
        <v>0</v>
      </c>
      <c r="H38" s="313"/>
    </row>
    <row r="39" spans="1:9" x14ac:dyDescent="0.2">
      <c r="A39" s="312">
        <v>43476</v>
      </c>
      <c r="B39" s="310">
        <f t="shared" si="4"/>
        <v>1289553</v>
      </c>
      <c r="C39" s="311">
        <v>43482</v>
      </c>
      <c r="D39" s="310">
        <v>13506</v>
      </c>
      <c r="E39" s="310" t="s">
        <v>212</v>
      </c>
      <c r="F39" s="315"/>
      <c r="G39" s="314">
        <v>0</v>
      </c>
      <c r="H39" s="313"/>
    </row>
    <row r="40" spans="1:9" x14ac:dyDescent="0.2">
      <c r="A40" s="312">
        <v>43476</v>
      </c>
      <c r="B40" s="310">
        <f t="shared" si="4"/>
        <v>1289554</v>
      </c>
      <c r="C40" s="311">
        <v>43479</v>
      </c>
      <c r="D40" s="310">
        <v>13506</v>
      </c>
      <c r="E40" s="310" t="s">
        <v>152</v>
      </c>
      <c r="F40" s="315" t="s">
        <v>260</v>
      </c>
      <c r="G40" s="314">
        <v>43336.74</v>
      </c>
      <c r="H40" s="313"/>
      <c r="I40" s="259"/>
    </row>
    <row r="41" spans="1:9" x14ac:dyDescent="0.2">
      <c r="A41" s="312">
        <v>43476</v>
      </c>
      <c r="B41" s="310">
        <f t="shared" si="4"/>
        <v>1289555</v>
      </c>
      <c r="C41" s="311">
        <v>43483</v>
      </c>
      <c r="D41" s="310">
        <f>D40+1</f>
        <v>13507</v>
      </c>
      <c r="E41" s="310" t="s">
        <v>210</v>
      </c>
      <c r="F41" s="315" t="s">
        <v>209</v>
      </c>
      <c r="G41" s="314">
        <v>7885.35</v>
      </c>
      <c r="H41" s="313"/>
      <c r="I41" s="259"/>
    </row>
    <row r="42" spans="1:9" x14ac:dyDescent="0.2">
      <c r="A42" s="312">
        <v>43476</v>
      </c>
      <c r="B42" s="310">
        <f t="shared" si="4"/>
        <v>1289556</v>
      </c>
      <c r="C42" s="311">
        <v>43483</v>
      </c>
      <c r="D42" s="310">
        <f>D41+1</f>
        <v>13508</v>
      </c>
      <c r="E42" s="310" t="s">
        <v>212</v>
      </c>
      <c r="F42" s="315"/>
      <c r="G42" s="314">
        <v>0</v>
      </c>
      <c r="H42" s="313"/>
    </row>
    <row r="43" spans="1:9" x14ac:dyDescent="0.2">
      <c r="A43" s="312">
        <v>43476</v>
      </c>
      <c r="B43" s="310">
        <f t="shared" si="4"/>
        <v>1289557</v>
      </c>
      <c r="C43" s="311">
        <v>43483</v>
      </c>
      <c r="D43" s="310">
        <v>13508</v>
      </c>
      <c r="E43" s="310" t="s">
        <v>212</v>
      </c>
      <c r="F43" s="315"/>
      <c r="G43" s="314">
        <v>0</v>
      </c>
      <c r="H43" s="313"/>
    </row>
    <row r="44" spans="1:9" x14ac:dyDescent="0.2">
      <c r="A44" s="312">
        <v>43476</v>
      </c>
      <c r="B44" s="310">
        <f t="shared" si="4"/>
        <v>1289558</v>
      </c>
      <c r="C44" s="311">
        <v>43483</v>
      </c>
      <c r="D44" s="310">
        <v>13508</v>
      </c>
      <c r="E44" s="310" t="s">
        <v>212</v>
      </c>
      <c r="F44" s="315"/>
      <c r="G44" s="314">
        <v>0</v>
      </c>
      <c r="H44" s="313"/>
    </row>
    <row r="45" spans="1:9" x14ac:dyDescent="0.2">
      <c r="A45" s="312">
        <v>43476</v>
      </c>
      <c r="B45" s="310">
        <f t="shared" si="4"/>
        <v>1289559</v>
      </c>
      <c r="C45" s="311">
        <v>43483</v>
      </c>
      <c r="D45" s="310">
        <v>13508</v>
      </c>
      <c r="E45" s="310" t="s">
        <v>249</v>
      </c>
      <c r="F45" s="315" t="s">
        <v>229</v>
      </c>
      <c r="G45" s="314">
        <v>1692.71</v>
      </c>
      <c r="H45" s="313"/>
    </row>
    <row r="46" spans="1:9" x14ac:dyDescent="0.2">
      <c r="A46" s="312">
        <v>43476</v>
      </c>
      <c r="B46" s="310">
        <f t="shared" si="4"/>
        <v>1289560</v>
      </c>
      <c r="C46" s="311">
        <v>43483</v>
      </c>
      <c r="D46" s="310">
        <f>D45+1</f>
        <v>13509</v>
      </c>
      <c r="E46" s="310" t="s">
        <v>259</v>
      </c>
      <c r="F46" s="315" t="s">
        <v>258</v>
      </c>
      <c r="G46" s="314">
        <v>3894.91</v>
      </c>
      <c r="H46" s="313"/>
    </row>
    <row r="47" spans="1:9" x14ac:dyDescent="0.2">
      <c r="A47" s="312">
        <v>43476</v>
      </c>
      <c r="B47" s="310">
        <f t="shared" si="4"/>
        <v>1289561</v>
      </c>
      <c r="C47" s="311">
        <v>43483</v>
      </c>
      <c r="D47" s="310">
        <f>D46+1</f>
        <v>13510</v>
      </c>
      <c r="E47" s="310" t="s">
        <v>257</v>
      </c>
      <c r="F47" s="315" t="s">
        <v>256</v>
      </c>
      <c r="G47" s="314">
        <v>7722</v>
      </c>
      <c r="H47" s="313"/>
    </row>
    <row r="48" spans="1:9" x14ac:dyDescent="0.2">
      <c r="A48" s="312">
        <v>43476</v>
      </c>
      <c r="B48" s="310">
        <f t="shared" si="4"/>
        <v>1289562</v>
      </c>
      <c r="C48" s="311">
        <v>43483</v>
      </c>
      <c r="D48" s="310">
        <f>D47+1</f>
        <v>13511</v>
      </c>
      <c r="E48" s="310" t="s">
        <v>212</v>
      </c>
      <c r="F48" s="315"/>
      <c r="G48" s="314">
        <v>0</v>
      </c>
      <c r="H48" s="313"/>
    </row>
    <row r="49" spans="1:8" x14ac:dyDescent="0.2">
      <c r="A49" s="312">
        <v>43476</v>
      </c>
      <c r="B49" s="310">
        <f t="shared" si="4"/>
        <v>1289563</v>
      </c>
      <c r="C49" s="311">
        <v>43483</v>
      </c>
      <c r="D49" s="310">
        <v>13511</v>
      </c>
      <c r="E49" s="310" t="s">
        <v>220</v>
      </c>
      <c r="F49" s="315" t="s">
        <v>219</v>
      </c>
      <c r="G49" s="314">
        <v>5798.81</v>
      </c>
      <c r="H49" s="313"/>
    </row>
    <row r="50" spans="1:8" x14ac:dyDescent="0.2">
      <c r="A50" s="312">
        <v>43476</v>
      </c>
      <c r="B50" s="310">
        <f t="shared" si="4"/>
        <v>1289564</v>
      </c>
      <c r="C50" s="311">
        <v>43483</v>
      </c>
      <c r="D50" s="310">
        <f t="shared" ref="D50:D59" si="5">D49+1</f>
        <v>13512</v>
      </c>
      <c r="E50" s="310" t="s">
        <v>255</v>
      </c>
      <c r="F50" s="315" t="s">
        <v>254</v>
      </c>
      <c r="G50" s="314">
        <v>3210</v>
      </c>
      <c r="H50" s="313"/>
    </row>
    <row r="51" spans="1:8" x14ac:dyDescent="0.2">
      <c r="A51" s="312">
        <v>43476</v>
      </c>
      <c r="B51" s="310">
        <f t="shared" si="4"/>
        <v>1289565</v>
      </c>
      <c r="C51" s="311">
        <v>43483</v>
      </c>
      <c r="D51" s="310">
        <f t="shared" si="5"/>
        <v>13513</v>
      </c>
      <c r="E51" s="310" t="s">
        <v>253</v>
      </c>
      <c r="F51" s="315" t="s">
        <v>252</v>
      </c>
      <c r="G51" s="314">
        <v>15953.47</v>
      </c>
      <c r="H51" s="313"/>
    </row>
    <row r="52" spans="1:8" x14ac:dyDescent="0.2">
      <c r="A52" s="312">
        <v>43476</v>
      </c>
      <c r="B52" s="310">
        <f t="shared" si="4"/>
        <v>1289566</v>
      </c>
      <c r="C52" s="311">
        <v>43483</v>
      </c>
      <c r="D52" s="310">
        <f t="shared" si="5"/>
        <v>13514</v>
      </c>
      <c r="E52" s="310" t="s">
        <v>251</v>
      </c>
      <c r="F52" s="315" t="s">
        <v>250</v>
      </c>
      <c r="G52" s="314">
        <v>1353.27</v>
      </c>
      <c r="H52" s="313"/>
    </row>
    <row r="53" spans="1:8" x14ac:dyDescent="0.2">
      <c r="A53" s="312">
        <v>43476</v>
      </c>
      <c r="B53" s="310">
        <f t="shared" si="4"/>
        <v>1289567</v>
      </c>
      <c r="C53" s="311">
        <v>43483</v>
      </c>
      <c r="D53" s="310">
        <f t="shared" si="5"/>
        <v>13515</v>
      </c>
      <c r="E53" s="310" t="s">
        <v>231</v>
      </c>
      <c r="F53" s="315" t="s">
        <v>230</v>
      </c>
      <c r="G53" s="314">
        <v>6088.5</v>
      </c>
      <c r="H53" s="313"/>
    </row>
    <row r="54" spans="1:8" x14ac:dyDescent="0.2">
      <c r="A54" s="312">
        <v>43476</v>
      </c>
      <c r="B54" s="310">
        <f t="shared" si="4"/>
        <v>1289568</v>
      </c>
      <c r="C54" s="311">
        <v>43483</v>
      </c>
      <c r="D54" s="310">
        <f t="shared" si="5"/>
        <v>13516</v>
      </c>
      <c r="E54" s="310" t="s">
        <v>249</v>
      </c>
      <c r="F54" s="315" t="s">
        <v>229</v>
      </c>
      <c r="G54" s="314">
        <v>11113.54</v>
      </c>
      <c r="H54" s="313"/>
    </row>
    <row r="55" spans="1:8" x14ac:dyDescent="0.2">
      <c r="A55" s="312">
        <v>43476</v>
      </c>
      <c r="B55" s="310">
        <f t="shared" si="4"/>
        <v>1289569</v>
      </c>
      <c r="C55" s="311">
        <v>43483</v>
      </c>
      <c r="D55" s="310">
        <f t="shared" si="5"/>
        <v>13517</v>
      </c>
      <c r="E55" s="310" t="s">
        <v>248</v>
      </c>
      <c r="F55" s="315" t="s">
        <v>235</v>
      </c>
      <c r="G55" s="314">
        <v>2369.65</v>
      </c>
      <c r="H55" s="313"/>
    </row>
    <row r="56" spans="1:8" x14ac:dyDescent="0.2">
      <c r="A56" s="312">
        <v>43476</v>
      </c>
      <c r="B56" s="310">
        <f t="shared" si="4"/>
        <v>1289570</v>
      </c>
      <c r="C56" s="311">
        <v>43483</v>
      </c>
      <c r="D56" s="310">
        <f t="shared" si="5"/>
        <v>13518</v>
      </c>
      <c r="E56" s="310" t="s">
        <v>210</v>
      </c>
      <c r="F56" s="315" t="s">
        <v>227</v>
      </c>
      <c r="G56" s="314">
        <v>2562.12</v>
      </c>
      <c r="H56" s="313"/>
    </row>
    <row r="57" spans="1:8" x14ac:dyDescent="0.2">
      <c r="A57" s="312">
        <v>43476</v>
      </c>
      <c r="B57" s="310">
        <f t="shared" si="4"/>
        <v>1289571</v>
      </c>
      <c r="C57" s="311">
        <v>43483</v>
      </c>
      <c r="D57" s="310">
        <f t="shared" si="5"/>
        <v>13519</v>
      </c>
      <c r="E57" s="310" t="s">
        <v>215</v>
      </c>
      <c r="F57" s="315" t="s">
        <v>247</v>
      </c>
      <c r="G57" s="314">
        <v>15556.85</v>
      </c>
      <c r="H57" s="313"/>
    </row>
    <row r="58" spans="1:8" x14ac:dyDescent="0.2">
      <c r="A58" s="312">
        <v>43476</v>
      </c>
      <c r="B58" s="310">
        <f t="shared" si="4"/>
        <v>1289572</v>
      </c>
      <c r="C58" s="311">
        <v>43483</v>
      </c>
      <c r="D58" s="310">
        <f t="shared" si="5"/>
        <v>13520</v>
      </c>
      <c r="E58" s="310" t="s">
        <v>217</v>
      </c>
      <c r="F58" s="315" t="s">
        <v>246</v>
      </c>
      <c r="G58" s="314">
        <v>3879.62</v>
      </c>
      <c r="H58" s="313"/>
    </row>
    <row r="59" spans="1:8" x14ac:dyDescent="0.2">
      <c r="A59" s="312">
        <v>43476</v>
      </c>
      <c r="B59" s="310">
        <f t="shared" si="4"/>
        <v>1289573</v>
      </c>
      <c r="C59" s="311">
        <v>43483</v>
      </c>
      <c r="D59" s="310">
        <f t="shared" si="5"/>
        <v>13521</v>
      </c>
      <c r="E59" s="310" t="s">
        <v>212</v>
      </c>
      <c r="F59" s="315"/>
      <c r="G59" s="314">
        <v>0</v>
      </c>
      <c r="H59" s="313"/>
    </row>
    <row r="60" spans="1:8" x14ac:dyDescent="0.2">
      <c r="A60" s="312">
        <v>43476</v>
      </c>
      <c r="B60" s="310">
        <f t="shared" si="4"/>
        <v>1289574</v>
      </c>
      <c r="C60" s="311">
        <v>43483</v>
      </c>
      <c r="D60" s="310">
        <v>13521</v>
      </c>
      <c r="E60" s="310" t="s">
        <v>152</v>
      </c>
      <c r="F60" s="315" t="s">
        <v>245</v>
      </c>
      <c r="G60" s="314"/>
      <c r="H60" s="313"/>
    </row>
    <row r="61" spans="1:8" x14ac:dyDescent="0.2">
      <c r="A61" s="312">
        <v>43476</v>
      </c>
      <c r="B61" s="310">
        <f t="shared" si="4"/>
        <v>1289575</v>
      </c>
      <c r="C61" s="311">
        <v>43483</v>
      </c>
      <c r="D61" s="310">
        <f>D60+1</f>
        <v>13522</v>
      </c>
      <c r="E61" s="310" t="s">
        <v>152</v>
      </c>
      <c r="F61" s="315" t="s">
        <v>244</v>
      </c>
      <c r="G61" s="314">
        <v>27000</v>
      </c>
      <c r="H61" s="313"/>
    </row>
    <row r="62" spans="1:8" x14ac:dyDescent="0.2">
      <c r="A62" s="312">
        <v>43476</v>
      </c>
      <c r="B62" s="310">
        <f t="shared" si="4"/>
        <v>1289576</v>
      </c>
      <c r="C62" s="311">
        <v>43483</v>
      </c>
      <c r="D62" s="310">
        <f>D61+1</f>
        <v>13523</v>
      </c>
      <c r="E62" s="310" t="s">
        <v>212</v>
      </c>
      <c r="F62" s="315"/>
      <c r="G62" s="314">
        <v>0</v>
      </c>
      <c r="H62" s="313"/>
    </row>
    <row r="63" spans="1:8" x14ac:dyDescent="0.2">
      <c r="A63" s="312">
        <v>43476</v>
      </c>
      <c r="B63" s="310">
        <f t="shared" si="4"/>
        <v>1289577</v>
      </c>
      <c r="C63" s="311">
        <v>43483</v>
      </c>
      <c r="D63" s="310">
        <v>13523</v>
      </c>
      <c r="E63" s="310" t="s">
        <v>212</v>
      </c>
      <c r="F63" s="315"/>
      <c r="G63" s="314">
        <v>0</v>
      </c>
      <c r="H63" s="313"/>
    </row>
    <row r="64" spans="1:8" x14ac:dyDescent="0.2">
      <c r="A64" s="312">
        <v>43476</v>
      </c>
      <c r="B64" s="310">
        <f t="shared" si="4"/>
        <v>1289578</v>
      </c>
      <c r="C64" s="311">
        <v>43483</v>
      </c>
      <c r="D64" s="310">
        <f>D63+1</f>
        <v>13524</v>
      </c>
      <c r="E64" s="310" t="s">
        <v>152</v>
      </c>
      <c r="F64" s="315" t="s">
        <v>243</v>
      </c>
      <c r="G64" s="314">
        <v>14278.43</v>
      </c>
      <c r="H64" s="313"/>
    </row>
    <row r="65" spans="1:8" x14ac:dyDescent="0.2">
      <c r="A65" s="312">
        <v>43476</v>
      </c>
      <c r="B65" s="310">
        <f t="shared" si="4"/>
        <v>1289579</v>
      </c>
      <c r="C65" s="311">
        <v>43483</v>
      </c>
      <c r="D65" s="310">
        <f>D64+1</f>
        <v>13525</v>
      </c>
      <c r="E65" s="310" t="s">
        <v>160</v>
      </c>
      <c r="F65" s="315" t="s">
        <v>242</v>
      </c>
      <c r="G65" s="314">
        <v>16747.89</v>
      </c>
      <c r="H65" s="313"/>
    </row>
    <row r="66" spans="1:8" x14ac:dyDescent="0.2">
      <c r="A66" s="312">
        <v>43476</v>
      </c>
      <c r="B66" s="310">
        <f t="shared" si="4"/>
        <v>1289580</v>
      </c>
      <c r="C66" s="311">
        <v>43483</v>
      </c>
      <c r="D66" s="310">
        <f>D65+1</f>
        <v>13526</v>
      </c>
      <c r="E66" s="310" t="s">
        <v>160</v>
      </c>
      <c r="F66" s="315" t="s">
        <v>241</v>
      </c>
      <c r="G66" s="314">
        <v>48806.54</v>
      </c>
      <c r="H66" s="313"/>
    </row>
    <row r="67" spans="1:8" x14ac:dyDescent="0.2">
      <c r="A67" s="321">
        <v>43476</v>
      </c>
      <c r="B67" s="319">
        <f t="shared" si="4"/>
        <v>1289581</v>
      </c>
      <c r="C67" s="320">
        <v>43483</v>
      </c>
      <c r="D67" s="319">
        <f>D66+1</f>
        <v>13527</v>
      </c>
      <c r="E67" s="319" t="s">
        <v>212</v>
      </c>
      <c r="F67" s="323"/>
      <c r="G67" s="317">
        <v>0</v>
      </c>
      <c r="H67" s="313"/>
    </row>
    <row r="68" spans="1:8" s="259" customFormat="1" x14ac:dyDescent="0.2">
      <c r="A68" s="312">
        <v>43483</v>
      </c>
      <c r="B68" s="310">
        <v>1289582</v>
      </c>
      <c r="C68" s="311">
        <v>43490</v>
      </c>
      <c r="D68" s="310">
        <v>13528</v>
      </c>
      <c r="E68" s="310" t="s">
        <v>240</v>
      </c>
      <c r="F68" s="315" t="s">
        <v>239</v>
      </c>
      <c r="G68" s="314">
        <v>3210</v>
      </c>
      <c r="H68" s="313"/>
    </row>
    <row r="69" spans="1:8" s="259" customFormat="1" x14ac:dyDescent="0.2">
      <c r="A69" s="312">
        <v>43483</v>
      </c>
      <c r="B69" s="310">
        <f t="shared" ref="B69:B87" si="6">B68+1</f>
        <v>1289583</v>
      </c>
      <c r="C69" s="311">
        <v>43490</v>
      </c>
      <c r="D69" s="310">
        <f t="shared" ref="D69:D87" si="7">D68+1</f>
        <v>13529</v>
      </c>
      <c r="E69" s="310" t="s">
        <v>238</v>
      </c>
      <c r="F69" s="315" t="s">
        <v>237</v>
      </c>
      <c r="G69" s="314">
        <v>9190.4</v>
      </c>
      <c r="H69" s="313"/>
    </row>
    <row r="70" spans="1:8" s="259" customFormat="1" x14ac:dyDescent="0.2">
      <c r="A70" s="312">
        <v>43483</v>
      </c>
      <c r="B70" s="310">
        <f t="shared" si="6"/>
        <v>1289584</v>
      </c>
      <c r="C70" s="311">
        <v>43490</v>
      </c>
      <c r="D70" s="310">
        <f t="shared" si="7"/>
        <v>13530</v>
      </c>
      <c r="E70" s="310" t="s">
        <v>236</v>
      </c>
      <c r="F70" s="315" t="s">
        <v>235</v>
      </c>
      <c r="G70" s="314">
        <v>3614.93</v>
      </c>
      <c r="H70" s="313"/>
    </row>
    <row r="71" spans="1:8" s="259" customFormat="1" x14ac:dyDescent="0.2">
      <c r="A71" s="312">
        <v>43483</v>
      </c>
      <c r="B71" s="310">
        <f t="shared" si="6"/>
        <v>1289585</v>
      </c>
      <c r="C71" s="311">
        <v>43490</v>
      </c>
      <c r="D71" s="310">
        <f t="shared" si="7"/>
        <v>13531</v>
      </c>
      <c r="E71" s="310" t="s">
        <v>234</v>
      </c>
      <c r="F71" s="315" t="s">
        <v>233</v>
      </c>
      <c r="G71" s="314">
        <v>1783.93</v>
      </c>
      <c r="H71" s="313"/>
    </row>
    <row r="72" spans="1:8" s="259" customFormat="1" x14ac:dyDescent="0.2">
      <c r="A72" s="312">
        <v>43483</v>
      </c>
      <c r="B72" s="310">
        <f t="shared" si="6"/>
        <v>1289586</v>
      </c>
      <c r="C72" s="311">
        <v>43490</v>
      </c>
      <c r="D72" s="310">
        <f t="shared" si="7"/>
        <v>13532</v>
      </c>
      <c r="E72" s="310" t="s">
        <v>212</v>
      </c>
      <c r="F72" s="315"/>
      <c r="G72" s="314">
        <v>0</v>
      </c>
      <c r="H72" s="313"/>
    </row>
    <row r="73" spans="1:8" s="259" customFormat="1" x14ac:dyDescent="0.2">
      <c r="A73" s="312">
        <v>43483</v>
      </c>
      <c r="B73" s="310">
        <f t="shared" si="6"/>
        <v>1289587</v>
      </c>
      <c r="C73" s="311">
        <v>43490</v>
      </c>
      <c r="D73" s="310">
        <f t="shared" si="7"/>
        <v>13533</v>
      </c>
      <c r="E73" s="310" t="s">
        <v>215</v>
      </c>
      <c r="F73" s="315" t="s">
        <v>232</v>
      </c>
      <c r="G73" s="314">
        <v>5531.17</v>
      </c>
      <c r="H73" s="313"/>
    </row>
    <row r="74" spans="1:8" s="259" customFormat="1" x14ac:dyDescent="0.2">
      <c r="A74" s="312">
        <v>43483</v>
      </c>
      <c r="B74" s="310">
        <f t="shared" si="6"/>
        <v>1289588</v>
      </c>
      <c r="C74" s="311">
        <v>43490</v>
      </c>
      <c r="D74" s="310">
        <f t="shared" si="7"/>
        <v>13534</v>
      </c>
      <c r="E74" s="310" t="s">
        <v>231</v>
      </c>
      <c r="F74" s="315" t="s">
        <v>230</v>
      </c>
      <c r="G74" s="314">
        <v>4603.5</v>
      </c>
      <c r="H74" s="313"/>
    </row>
    <row r="75" spans="1:8" s="259" customFormat="1" x14ac:dyDescent="0.2">
      <c r="A75" s="312">
        <v>43483</v>
      </c>
      <c r="B75" s="310">
        <f t="shared" si="6"/>
        <v>1289589</v>
      </c>
      <c r="C75" s="311">
        <v>43490</v>
      </c>
      <c r="D75" s="310">
        <f t="shared" si="7"/>
        <v>13535</v>
      </c>
      <c r="E75" s="310" t="s">
        <v>231</v>
      </c>
      <c r="F75" s="315" t="s">
        <v>230</v>
      </c>
      <c r="G75" s="314">
        <v>3811.5</v>
      </c>
      <c r="H75" s="313"/>
    </row>
    <row r="76" spans="1:8" s="259" customFormat="1" x14ac:dyDescent="0.2">
      <c r="A76" s="312">
        <v>43483</v>
      </c>
      <c r="B76" s="310">
        <f t="shared" si="6"/>
        <v>1289590</v>
      </c>
      <c r="C76" s="311">
        <v>43490</v>
      </c>
      <c r="D76" s="310">
        <f t="shared" si="7"/>
        <v>13536</v>
      </c>
      <c r="E76" s="310" t="s">
        <v>210</v>
      </c>
      <c r="F76" s="315" t="s">
        <v>209</v>
      </c>
      <c r="G76" s="314">
        <v>8534.7900000000009</v>
      </c>
      <c r="H76" s="313"/>
    </row>
    <row r="77" spans="1:8" s="259" customFormat="1" x14ac:dyDescent="0.2">
      <c r="A77" s="312">
        <v>43483</v>
      </c>
      <c r="B77" s="310">
        <f t="shared" si="6"/>
        <v>1289591</v>
      </c>
      <c r="C77" s="311">
        <v>43490</v>
      </c>
      <c r="D77" s="310">
        <f t="shared" si="7"/>
        <v>13537</v>
      </c>
      <c r="E77" s="310" t="s">
        <v>210</v>
      </c>
      <c r="F77" s="315" t="s">
        <v>209</v>
      </c>
      <c r="G77" s="314">
        <v>5738.04</v>
      </c>
      <c r="H77" s="313"/>
    </row>
    <row r="78" spans="1:8" s="259" customFormat="1" x14ac:dyDescent="0.2">
      <c r="A78" s="312">
        <v>43483</v>
      </c>
      <c r="B78" s="310">
        <f t="shared" si="6"/>
        <v>1289592</v>
      </c>
      <c r="C78" s="311">
        <v>43490</v>
      </c>
      <c r="D78" s="310">
        <f t="shared" si="7"/>
        <v>13538</v>
      </c>
      <c r="E78" s="310" t="s">
        <v>228</v>
      </c>
      <c r="F78" s="315" t="s">
        <v>229</v>
      </c>
      <c r="G78" s="314">
        <v>7824.46</v>
      </c>
      <c r="H78" s="313"/>
    </row>
    <row r="79" spans="1:8" s="259" customFormat="1" x14ac:dyDescent="0.2">
      <c r="A79" s="312">
        <v>43483</v>
      </c>
      <c r="B79" s="310">
        <f t="shared" si="6"/>
        <v>1289593</v>
      </c>
      <c r="C79" s="311">
        <v>43490</v>
      </c>
      <c r="D79" s="310">
        <f t="shared" si="7"/>
        <v>13539</v>
      </c>
      <c r="E79" s="310" t="s">
        <v>228</v>
      </c>
      <c r="F79" s="315" t="s">
        <v>227</v>
      </c>
      <c r="G79" s="314">
        <v>834.37</v>
      </c>
      <c r="H79" s="313"/>
    </row>
    <row r="80" spans="1:8" s="259" customFormat="1" x14ac:dyDescent="0.2">
      <c r="A80" s="312">
        <v>43483</v>
      </c>
      <c r="B80" s="310">
        <f t="shared" si="6"/>
        <v>1289594</v>
      </c>
      <c r="C80" s="311">
        <v>43490</v>
      </c>
      <c r="D80" s="310">
        <f t="shared" si="7"/>
        <v>13540</v>
      </c>
      <c r="E80" s="310" t="s">
        <v>226</v>
      </c>
      <c r="F80" s="315" t="s">
        <v>225</v>
      </c>
      <c r="G80" s="314">
        <v>5307.19</v>
      </c>
      <c r="H80" s="313"/>
    </row>
    <row r="81" spans="1:8" s="259" customFormat="1" x14ac:dyDescent="0.2">
      <c r="A81" s="312">
        <v>43483</v>
      </c>
      <c r="B81" s="310">
        <f t="shared" si="6"/>
        <v>1289595</v>
      </c>
      <c r="C81" s="311">
        <v>43490</v>
      </c>
      <c r="D81" s="310">
        <f t="shared" si="7"/>
        <v>13541</v>
      </c>
      <c r="E81" s="310" t="s">
        <v>224</v>
      </c>
      <c r="F81" s="315" t="s">
        <v>223</v>
      </c>
      <c r="G81" s="314">
        <v>1399.46</v>
      </c>
      <c r="H81" s="313"/>
    </row>
    <row r="82" spans="1:8" s="259" customFormat="1" x14ac:dyDescent="0.2">
      <c r="A82" s="312">
        <v>43483</v>
      </c>
      <c r="B82" s="310">
        <f t="shared" si="6"/>
        <v>1289596</v>
      </c>
      <c r="C82" s="311">
        <v>43490</v>
      </c>
      <c r="D82" s="310">
        <f t="shared" si="7"/>
        <v>13542</v>
      </c>
      <c r="E82" s="310" t="s">
        <v>222</v>
      </c>
      <c r="F82" s="315" t="s">
        <v>221</v>
      </c>
      <c r="G82" s="314">
        <v>3920</v>
      </c>
      <c r="H82" s="313"/>
    </row>
    <row r="83" spans="1:8" s="259" customFormat="1" x14ac:dyDescent="0.2">
      <c r="A83" s="312">
        <v>43483</v>
      </c>
      <c r="B83" s="310">
        <f t="shared" si="6"/>
        <v>1289597</v>
      </c>
      <c r="C83" s="311">
        <v>43490</v>
      </c>
      <c r="D83" s="310">
        <f t="shared" si="7"/>
        <v>13543</v>
      </c>
      <c r="E83" s="310" t="s">
        <v>220</v>
      </c>
      <c r="F83" s="315" t="s">
        <v>219</v>
      </c>
      <c r="G83" s="314">
        <v>4043.67</v>
      </c>
      <c r="H83" s="313"/>
    </row>
    <row r="84" spans="1:8" s="259" customFormat="1" x14ac:dyDescent="0.2">
      <c r="A84" s="312">
        <v>43483</v>
      </c>
      <c r="B84" s="310">
        <f t="shared" si="6"/>
        <v>1289598</v>
      </c>
      <c r="C84" s="311">
        <v>43490</v>
      </c>
      <c r="D84" s="310">
        <f t="shared" si="7"/>
        <v>13544</v>
      </c>
      <c r="E84" s="310" t="s">
        <v>212</v>
      </c>
      <c r="F84" s="315"/>
      <c r="G84" s="314">
        <v>0</v>
      </c>
      <c r="H84" s="313"/>
    </row>
    <row r="85" spans="1:8" s="259" customFormat="1" x14ac:dyDescent="0.2">
      <c r="A85" s="312">
        <v>43483</v>
      </c>
      <c r="B85" s="310">
        <f t="shared" si="6"/>
        <v>1289599</v>
      </c>
      <c r="C85" s="311">
        <v>43490</v>
      </c>
      <c r="D85" s="310">
        <f t="shared" si="7"/>
        <v>13545</v>
      </c>
      <c r="E85" s="310" t="s">
        <v>152</v>
      </c>
      <c r="F85" s="315" t="s">
        <v>218</v>
      </c>
      <c r="G85" s="314">
        <v>9415.42</v>
      </c>
      <c r="H85" s="313"/>
    </row>
    <row r="86" spans="1:8" s="259" customFormat="1" x14ac:dyDescent="0.2">
      <c r="A86" s="312">
        <v>43483</v>
      </c>
      <c r="B86" s="310">
        <f t="shared" si="6"/>
        <v>1289600</v>
      </c>
      <c r="C86" s="311">
        <v>43490</v>
      </c>
      <c r="D86" s="310">
        <f t="shared" si="7"/>
        <v>13546</v>
      </c>
      <c r="E86" s="310" t="s">
        <v>217</v>
      </c>
      <c r="F86" s="322" t="s">
        <v>216</v>
      </c>
      <c r="G86" s="314">
        <v>24595.57</v>
      </c>
      <c r="H86" s="313"/>
    </row>
    <row r="87" spans="1:8" s="259" customFormat="1" x14ac:dyDescent="0.2">
      <c r="A87" s="321">
        <v>43483</v>
      </c>
      <c r="B87" s="319">
        <f t="shared" si="6"/>
        <v>1289601</v>
      </c>
      <c r="C87" s="320">
        <v>43490</v>
      </c>
      <c r="D87" s="319">
        <f t="shared" si="7"/>
        <v>13547</v>
      </c>
      <c r="E87" s="319" t="s">
        <v>215</v>
      </c>
      <c r="F87" s="318" t="s">
        <v>214</v>
      </c>
      <c r="G87" s="317">
        <v>20730.240000000002</v>
      </c>
      <c r="H87" s="313"/>
    </row>
    <row r="88" spans="1:8" s="259" customFormat="1" x14ac:dyDescent="0.2">
      <c r="A88" s="312">
        <v>43490</v>
      </c>
      <c r="B88" s="310">
        <v>1294302</v>
      </c>
      <c r="C88" s="311">
        <v>43496</v>
      </c>
      <c r="D88" s="310">
        <v>13548</v>
      </c>
      <c r="E88" s="310" t="s">
        <v>152</v>
      </c>
      <c r="F88" s="315" t="s">
        <v>213</v>
      </c>
      <c r="G88" s="314">
        <v>12190.27</v>
      </c>
      <c r="H88" s="313"/>
    </row>
    <row r="89" spans="1:8" s="259" customFormat="1" x14ac:dyDescent="0.2">
      <c r="A89" s="312">
        <v>43490</v>
      </c>
      <c r="B89" s="310">
        <f t="shared" ref="B89:B95" si="8">B88+1</f>
        <v>1294303</v>
      </c>
      <c r="C89" s="311">
        <v>43496</v>
      </c>
      <c r="D89" s="310">
        <f t="shared" ref="D89:D95" si="9">D88+1</f>
        <v>13549</v>
      </c>
      <c r="E89" s="310" t="s">
        <v>212</v>
      </c>
      <c r="F89" s="315"/>
      <c r="G89" s="314">
        <v>0</v>
      </c>
      <c r="H89" s="313"/>
    </row>
    <row r="90" spans="1:8" s="259" customFormat="1" x14ac:dyDescent="0.2">
      <c r="A90" s="312">
        <v>43490</v>
      </c>
      <c r="B90" s="310">
        <f t="shared" si="8"/>
        <v>1294304</v>
      </c>
      <c r="C90" s="311">
        <v>43496</v>
      </c>
      <c r="D90" s="310">
        <f t="shared" si="9"/>
        <v>13550</v>
      </c>
      <c r="E90" s="310" t="s">
        <v>152</v>
      </c>
      <c r="F90" s="315" t="s">
        <v>211</v>
      </c>
      <c r="G90" s="314">
        <v>41053.050000000003</v>
      </c>
      <c r="H90" s="313"/>
    </row>
    <row r="91" spans="1:8" s="259" customFormat="1" x14ac:dyDescent="0.2">
      <c r="A91" s="312">
        <v>43490</v>
      </c>
      <c r="B91" s="310">
        <f t="shared" si="8"/>
        <v>1294305</v>
      </c>
      <c r="C91" s="311">
        <v>43496</v>
      </c>
      <c r="D91" s="310">
        <f t="shared" si="9"/>
        <v>13551</v>
      </c>
      <c r="E91" s="310" t="s">
        <v>210</v>
      </c>
      <c r="F91" s="315" t="s">
        <v>209</v>
      </c>
      <c r="G91" s="314">
        <v>10206.9</v>
      </c>
      <c r="H91" s="313"/>
    </row>
    <row r="92" spans="1:8" s="259" customFormat="1" x14ac:dyDescent="0.2">
      <c r="A92" s="312">
        <v>43490</v>
      </c>
      <c r="B92" s="310">
        <f t="shared" si="8"/>
        <v>1294306</v>
      </c>
      <c r="C92" s="311">
        <v>43496</v>
      </c>
      <c r="D92" s="310">
        <f t="shared" si="9"/>
        <v>13552</v>
      </c>
      <c r="E92" s="310" t="s">
        <v>152</v>
      </c>
      <c r="F92" s="315" t="s">
        <v>208</v>
      </c>
      <c r="G92" s="314">
        <v>7503.4</v>
      </c>
      <c r="H92" s="313"/>
    </row>
    <row r="93" spans="1:8" s="259" customFormat="1" x14ac:dyDescent="0.2">
      <c r="A93" s="312">
        <v>43490</v>
      </c>
      <c r="B93" s="310">
        <f t="shared" si="8"/>
        <v>1294307</v>
      </c>
      <c r="C93" s="311">
        <v>43496</v>
      </c>
      <c r="D93" s="310">
        <f t="shared" si="9"/>
        <v>13553</v>
      </c>
      <c r="E93" s="310" t="s">
        <v>152</v>
      </c>
      <c r="F93" s="315" t="s">
        <v>207</v>
      </c>
      <c r="G93" s="314">
        <v>1924</v>
      </c>
      <c r="H93" s="313"/>
    </row>
    <row r="94" spans="1:8" s="259" customFormat="1" x14ac:dyDescent="0.2">
      <c r="A94" s="312">
        <v>43490</v>
      </c>
      <c r="B94" s="310">
        <f t="shared" si="8"/>
        <v>1294308</v>
      </c>
      <c r="C94" s="311">
        <v>43496</v>
      </c>
      <c r="D94" s="310">
        <f t="shared" si="9"/>
        <v>13554</v>
      </c>
      <c r="E94" s="310" t="s">
        <v>206</v>
      </c>
      <c r="F94" s="315" t="s">
        <v>205</v>
      </c>
      <c r="G94" s="314">
        <v>13330.01</v>
      </c>
      <c r="H94" s="313"/>
    </row>
    <row r="95" spans="1:8" s="259" customFormat="1" x14ac:dyDescent="0.2">
      <c r="A95" s="312">
        <v>43490</v>
      </c>
      <c r="B95" s="310">
        <f t="shared" si="8"/>
        <v>1294309</v>
      </c>
      <c r="C95" s="311">
        <v>43496</v>
      </c>
      <c r="D95" s="310">
        <f t="shared" si="9"/>
        <v>13555</v>
      </c>
      <c r="E95" s="310" t="s">
        <v>152</v>
      </c>
      <c r="F95" s="315" t="s">
        <v>204</v>
      </c>
      <c r="G95" s="314">
        <v>6516.03</v>
      </c>
      <c r="H95" s="313"/>
    </row>
    <row r="96" spans="1:8" x14ac:dyDescent="0.2">
      <c r="A96" s="316"/>
      <c r="B96" s="310"/>
      <c r="C96" s="311"/>
      <c r="D96" s="310"/>
      <c r="E96" s="310"/>
      <c r="F96" s="315"/>
      <c r="G96" s="314"/>
      <c r="H96" s="313"/>
    </row>
    <row r="97" spans="1:13" x14ac:dyDescent="0.2">
      <c r="A97" s="312"/>
      <c r="B97" s="310"/>
      <c r="C97" s="311"/>
      <c r="D97" s="310"/>
      <c r="E97" s="123"/>
      <c r="F97" s="309"/>
      <c r="G97" s="308"/>
    </row>
    <row r="98" spans="1:13" ht="12" thickBot="1" x14ac:dyDescent="0.25">
      <c r="A98" s="307" t="s">
        <v>6</v>
      </c>
      <c r="B98" s="306"/>
      <c r="C98" s="306"/>
      <c r="D98" s="305"/>
      <c r="E98" s="304"/>
      <c r="F98" s="303"/>
      <c r="G98" s="302"/>
    </row>
    <row r="99" spans="1:13" x14ac:dyDescent="0.2">
      <c r="A99" s="297"/>
      <c r="B99" s="296"/>
      <c r="C99" s="296"/>
      <c r="D99" s="295"/>
      <c r="E99" s="294"/>
      <c r="F99" s="294"/>
      <c r="G99" s="293"/>
    </row>
    <row r="100" spans="1:13" ht="12.75" x14ac:dyDescent="0.2">
      <c r="A100" s="297"/>
      <c r="B100" s="296"/>
      <c r="C100" s="296"/>
      <c r="D100" s="295"/>
      <c r="E100" s="294"/>
      <c r="F100" s="301"/>
      <c r="G100" s="300"/>
    </row>
    <row r="101" spans="1:13" ht="12" x14ac:dyDescent="0.2">
      <c r="A101" s="297"/>
      <c r="B101" s="296"/>
      <c r="C101" s="296"/>
      <c r="D101" s="295"/>
      <c r="E101" s="294"/>
      <c r="F101" s="294"/>
      <c r="G101" s="299">
        <f>SUM(G6:G100)</f>
        <v>717270.87000000011</v>
      </c>
    </row>
    <row r="102" spans="1:13" x14ac:dyDescent="0.2">
      <c r="A102" s="298"/>
      <c r="B102" s="296"/>
      <c r="C102" s="296"/>
      <c r="D102" s="295"/>
      <c r="E102" s="294"/>
      <c r="F102" s="294"/>
      <c r="G102" s="293"/>
    </row>
    <row r="103" spans="1:13" x14ac:dyDescent="0.2">
      <c r="A103" s="297" t="s">
        <v>203</v>
      </c>
      <c r="B103" s="296"/>
      <c r="C103" s="296"/>
      <c r="D103" s="295"/>
      <c r="E103" s="294"/>
      <c r="F103" s="294"/>
      <c r="G103" s="293"/>
    </row>
    <row r="104" spans="1:13" x14ac:dyDescent="0.2">
      <c r="E104" s="291"/>
      <c r="F104" s="291"/>
      <c r="G104" s="290"/>
    </row>
    <row r="107" spans="1:13" s="97" customFormat="1" x14ac:dyDescent="0.2">
      <c r="A107" s="154"/>
      <c r="B107" s="292"/>
      <c r="C107" s="292"/>
      <c r="E107" s="288"/>
      <c r="F107" s="288"/>
      <c r="G107" s="94"/>
      <c r="H107" s="93"/>
      <c r="I107" s="93"/>
      <c r="J107" s="93"/>
      <c r="K107" s="93"/>
      <c r="L107" s="93"/>
      <c r="M107" s="93"/>
    </row>
    <row r="108" spans="1:13" s="97" customFormat="1" x14ac:dyDescent="0.2">
      <c r="A108" s="154"/>
      <c r="B108" s="292"/>
      <c r="C108" s="292"/>
      <c r="E108" s="288"/>
      <c r="F108" s="288"/>
      <c r="G108" s="94"/>
      <c r="H108" s="93"/>
      <c r="I108" s="93"/>
      <c r="J108" s="93"/>
      <c r="K108" s="93"/>
      <c r="L108" s="93"/>
      <c r="M108" s="93"/>
    </row>
    <row r="109" spans="1:13" s="97" customFormat="1" x14ac:dyDescent="0.2">
      <c r="A109" s="154"/>
      <c r="B109" s="292"/>
      <c r="C109" s="292"/>
      <c r="E109" s="288"/>
      <c r="F109" s="288"/>
      <c r="G109" s="94"/>
      <c r="H109" s="93"/>
      <c r="I109" s="93"/>
      <c r="J109" s="93"/>
      <c r="K109" s="93"/>
      <c r="L109" s="93"/>
      <c r="M109" s="93"/>
    </row>
    <row r="143" spans="5:7" x14ac:dyDescent="0.2">
      <c r="E143" s="291"/>
      <c r="F143" s="291"/>
      <c r="G143" s="290">
        <f>SUM(G108:G140)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/>
  </sheetViews>
  <sheetFormatPr defaultRowHeight="11.25" x14ac:dyDescent="0.2"/>
  <cols>
    <col min="1" max="1" width="10.140625" style="99" customWidth="1"/>
    <col min="2" max="2" width="9.7109375" style="98" customWidth="1"/>
    <col min="3" max="3" width="4.42578125" style="98" customWidth="1"/>
    <col min="4" max="4" width="29.140625" style="93" bestFit="1" customWidth="1"/>
    <col min="5" max="5" width="13.140625" style="97" customWidth="1"/>
    <col min="6" max="6" width="13.42578125" style="97" customWidth="1"/>
    <col min="7" max="7" width="18" style="93" bestFit="1" customWidth="1"/>
    <col min="8" max="9" width="10.42578125" style="94" customWidth="1"/>
    <col min="10" max="10" width="10.42578125" style="96" customWidth="1"/>
    <col min="11" max="11" width="10.7109375" style="94" customWidth="1"/>
    <col min="12" max="12" width="8.140625" style="95" customWidth="1"/>
    <col min="13" max="13" width="11" style="94" customWidth="1"/>
    <col min="14" max="14" width="10.28515625" style="94" customWidth="1"/>
    <col min="15" max="15" width="8.7109375" style="94" customWidth="1"/>
    <col min="16" max="35" width="13.28515625" style="94" customWidth="1"/>
    <col min="36" max="16384" width="9.140625" style="93"/>
  </cols>
  <sheetData>
    <row r="1" spans="1:36" x14ac:dyDescent="0.2">
      <c r="A1" s="153" t="s">
        <v>146</v>
      </c>
    </row>
    <row r="2" spans="1:36" x14ac:dyDescent="0.2">
      <c r="A2" s="154" t="s">
        <v>145</v>
      </c>
    </row>
    <row r="3" spans="1:36" x14ac:dyDescent="0.2">
      <c r="A3" s="153" t="s">
        <v>144</v>
      </c>
      <c r="B3" s="152"/>
      <c r="N3" s="151">
        <v>1301</v>
      </c>
      <c r="O3" s="151">
        <v>2402</v>
      </c>
      <c r="P3" s="151">
        <v>5001</v>
      </c>
      <c r="Q3" s="151">
        <v>5002</v>
      </c>
      <c r="R3" s="151">
        <v>6214</v>
      </c>
      <c r="S3" s="151">
        <v>6212</v>
      </c>
      <c r="T3" s="151">
        <v>6218</v>
      </c>
      <c r="U3" s="151">
        <v>6217</v>
      </c>
      <c r="V3" s="151">
        <v>6219</v>
      </c>
      <c r="W3" s="151">
        <v>6220</v>
      </c>
      <c r="X3" s="151">
        <v>6229</v>
      </c>
      <c r="Y3" s="151">
        <v>6211</v>
      </c>
      <c r="Z3" s="151">
        <v>6109</v>
      </c>
      <c r="AA3" s="151">
        <v>6308</v>
      </c>
      <c r="AB3" s="151">
        <v>6312</v>
      </c>
      <c r="AC3" s="151">
        <v>6313</v>
      </c>
      <c r="AD3" s="151">
        <v>6234</v>
      </c>
      <c r="AE3" s="151">
        <v>6315</v>
      </c>
      <c r="AF3" s="151">
        <v>6316</v>
      </c>
      <c r="AG3" s="151">
        <v>6204</v>
      </c>
      <c r="AH3" s="151"/>
      <c r="AI3" s="151">
        <v>2101</v>
      </c>
    </row>
    <row r="4" spans="1:36" s="144" customFormat="1" ht="41.25" customHeight="1" x14ac:dyDescent="0.25">
      <c r="A4" s="150" t="s">
        <v>143</v>
      </c>
      <c r="B4" s="149" t="s">
        <v>142</v>
      </c>
      <c r="C4" s="149" t="s">
        <v>141</v>
      </c>
      <c r="D4" s="146" t="s">
        <v>140</v>
      </c>
      <c r="E4" s="146" t="s">
        <v>139</v>
      </c>
      <c r="F4" s="146" t="s">
        <v>138</v>
      </c>
      <c r="G4" s="146" t="s">
        <v>137</v>
      </c>
      <c r="H4" s="146" t="s">
        <v>136</v>
      </c>
      <c r="I4" s="146" t="s">
        <v>135</v>
      </c>
      <c r="J4" s="148" t="s">
        <v>134</v>
      </c>
      <c r="K4" s="146" t="s">
        <v>133</v>
      </c>
      <c r="L4" s="147" t="s">
        <v>132</v>
      </c>
      <c r="M4" s="146" t="s">
        <v>131</v>
      </c>
      <c r="N4" s="145" t="s">
        <v>130</v>
      </c>
      <c r="O4" s="145" t="s">
        <v>129</v>
      </c>
      <c r="P4" s="145" t="s">
        <v>128</v>
      </c>
      <c r="Q4" s="145" t="s">
        <v>127</v>
      </c>
      <c r="R4" s="145" t="s">
        <v>126</v>
      </c>
      <c r="S4" s="145" t="s">
        <v>109</v>
      </c>
      <c r="T4" s="145" t="s">
        <v>125</v>
      </c>
      <c r="U4" s="145" t="s">
        <v>124</v>
      </c>
      <c r="V4" s="145" t="s">
        <v>123</v>
      </c>
      <c r="W4" s="145" t="s">
        <v>122</v>
      </c>
      <c r="X4" s="145" t="s">
        <v>121</v>
      </c>
      <c r="Y4" s="145" t="s">
        <v>120</v>
      </c>
      <c r="Z4" s="145" t="s">
        <v>119</v>
      </c>
      <c r="AA4" s="145" t="s">
        <v>118</v>
      </c>
      <c r="AB4" s="145" t="s">
        <v>117</v>
      </c>
      <c r="AC4" s="145" t="s">
        <v>116</v>
      </c>
      <c r="AD4" s="145" t="s">
        <v>115</v>
      </c>
      <c r="AE4" s="145" t="s">
        <v>114</v>
      </c>
      <c r="AF4" s="145" t="s">
        <v>113</v>
      </c>
      <c r="AG4" s="145" t="s">
        <v>112</v>
      </c>
      <c r="AH4" s="145" t="s">
        <v>111</v>
      </c>
      <c r="AI4" s="145" t="s">
        <v>110</v>
      </c>
    </row>
    <row r="5" spans="1:36" s="143" customFormat="1" ht="12.95" customHeight="1" x14ac:dyDescent="0.2">
      <c r="A5" s="134">
        <v>43467</v>
      </c>
      <c r="B5" s="132">
        <v>11621</v>
      </c>
      <c r="C5" s="132">
        <v>2038</v>
      </c>
      <c r="D5" s="131" t="s">
        <v>84</v>
      </c>
      <c r="E5" s="132" t="s">
        <v>83</v>
      </c>
      <c r="F5" s="131">
        <v>75846</v>
      </c>
      <c r="G5" s="131" t="s">
        <v>82</v>
      </c>
      <c r="H5" s="123"/>
      <c r="I5" s="123"/>
      <c r="J5" s="122"/>
      <c r="K5" s="121">
        <v>999.46</v>
      </c>
      <c r="L5" s="120">
        <v>0.01</v>
      </c>
      <c r="M5" s="141">
        <f t="shared" ref="M5:M36" si="0">SUM(H5:J5,K5/1.12)</f>
        <v>892.375</v>
      </c>
      <c r="N5" s="141">
        <f t="shared" ref="N5:N36" si="1">K5/1.12*0.12</f>
        <v>107.08499999999999</v>
      </c>
      <c r="O5" s="119">
        <f t="shared" ref="O5:O36" si="2">-SUM(I5:J5,K5/1.12)*L5</f>
        <v>-8.9237500000000001</v>
      </c>
      <c r="P5" s="119"/>
      <c r="Q5" s="119"/>
      <c r="R5" s="119"/>
      <c r="S5" s="119"/>
      <c r="T5" s="119"/>
      <c r="U5" s="119"/>
      <c r="V5" s="119">
        <f>M5</f>
        <v>892.375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>
        <f t="shared" ref="AI5:AI36" si="3">-SUM(N5:AH5)</f>
        <v>-990.53625</v>
      </c>
      <c r="AJ5" s="118">
        <f t="shared" ref="AJ5:AJ36" si="4">SUM(H5:K5)+AI5+O5</f>
        <v>4.0856207306205761E-14</v>
      </c>
    </row>
    <row r="6" spans="1:36" ht="12.95" customHeight="1" x14ac:dyDescent="0.2">
      <c r="A6" s="134"/>
      <c r="B6" s="132">
        <v>11621</v>
      </c>
      <c r="C6" s="132">
        <v>2038</v>
      </c>
      <c r="D6" s="131" t="s">
        <v>84</v>
      </c>
      <c r="E6" s="132" t="s">
        <v>83</v>
      </c>
      <c r="F6" s="131">
        <v>75846</v>
      </c>
      <c r="G6" s="131" t="s">
        <v>82</v>
      </c>
      <c r="H6" s="123"/>
      <c r="I6" s="123"/>
      <c r="J6" s="122"/>
      <c r="K6" s="121">
        <v>981.31</v>
      </c>
      <c r="L6" s="120">
        <v>0.01</v>
      </c>
      <c r="M6" s="141">
        <f t="shared" si="0"/>
        <v>876.16964285714278</v>
      </c>
      <c r="N6" s="141">
        <f t="shared" si="1"/>
        <v>105.14035714285713</v>
      </c>
      <c r="O6" s="119">
        <f t="shared" si="2"/>
        <v>-8.7616964285714278</v>
      </c>
      <c r="P6" s="119"/>
      <c r="Q6" s="119"/>
      <c r="R6" s="119"/>
      <c r="S6" s="119"/>
      <c r="T6" s="119"/>
      <c r="U6" s="119"/>
      <c r="V6" s="119">
        <f>M6</f>
        <v>876.16964285714278</v>
      </c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>
        <f t="shared" si="3"/>
        <v>-972.54830357142851</v>
      </c>
      <c r="AJ6" s="118">
        <f t="shared" si="4"/>
        <v>0</v>
      </c>
    </row>
    <row r="7" spans="1:36" ht="12.95" customHeight="1" x14ac:dyDescent="0.2">
      <c r="A7" s="134"/>
      <c r="B7" s="132">
        <v>11622</v>
      </c>
      <c r="C7" s="132">
        <v>2062</v>
      </c>
      <c r="D7" s="131" t="s">
        <v>70</v>
      </c>
      <c r="E7" s="132" t="s">
        <v>69</v>
      </c>
      <c r="F7" s="131">
        <v>16235</v>
      </c>
      <c r="G7" s="131" t="s">
        <v>75</v>
      </c>
      <c r="H7" s="123"/>
      <c r="I7" s="123"/>
      <c r="J7" s="122">
        <v>185.7</v>
      </c>
      <c r="K7" s="121">
        <v>0</v>
      </c>
      <c r="L7" s="120">
        <v>0.01</v>
      </c>
      <c r="M7" s="141">
        <f t="shared" si="0"/>
        <v>185.7</v>
      </c>
      <c r="N7" s="141">
        <f t="shared" si="1"/>
        <v>0</v>
      </c>
      <c r="O7" s="119">
        <f t="shared" si="2"/>
        <v>-1.857</v>
      </c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>
        <f>M7</f>
        <v>185.7</v>
      </c>
      <c r="AA7" s="119"/>
      <c r="AB7" s="119"/>
      <c r="AC7" s="119"/>
      <c r="AD7" s="119"/>
      <c r="AE7" s="119"/>
      <c r="AF7" s="119"/>
      <c r="AG7" s="119"/>
      <c r="AH7" s="119"/>
      <c r="AI7" s="119">
        <f t="shared" si="3"/>
        <v>-183.84299999999999</v>
      </c>
      <c r="AJ7" s="118">
        <f t="shared" si="4"/>
        <v>0</v>
      </c>
    </row>
    <row r="8" spans="1:36" ht="12.95" customHeight="1" x14ac:dyDescent="0.2">
      <c r="A8" s="134"/>
      <c r="B8" s="132">
        <v>11622</v>
      </c>
      <c r="C8" s="132">
        <v>2062</v>
      </c>
      <c r="D8" s="131" t="s">
        <v>70</v>
      </c>
      <c r="E8" s="132" t="s">
        <v>69</v>
      </c>
      <c r="F8" s="131">
        <v>16235</v>
      </c>
      <c r="G8" s="131" t="s">
        <v>64</v>
      </c>
      <c r="H8" s="123"/>
      <c r="I8" s="123"/>
      <c r="J8" s="122">
        <v>1941</v>
      </c>
      <c r="K8" s="121">
        <v>0</v>
      </c>
      <c r="L8" s="120">
        <v>0.01</v>
      </c>
      <c r="M8" s="141">
        <f t="shared" si="0"/>
        <v>1941</v>
      </c>
      <c r="N8" s="141">
        <f t="shared" si="1"/>
        <v>0</v>
      </c>
      <c r="O8" s="119">
        <f t="shared" si="2"/>
        <v>-19.41</v>
      </c>
      <c r="P8" s="119">
        <f>M8</f>
        <v>1941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>
        <f t="shared" si="3"/>
        <v>-1921.59</v>
      </c>
      <c r="AJ8" s="118">
        <f t="shared" si="4"/>
        <v>8.1712414612411521E-14</v>
      </c>
    </row>
    <row r="9" spans="1:36" ht="12.95" customHeight="1" x14ac:dyDescent="0.2">
      <c r="A9" s="134">
        <v>43468</v>
      </c>
      <c r="B9" s="132">
        <v>11623</v>
      </c>
      <c r="C9" s="132">
        <v>2063</v>
      </c>
      <c r="D9" s="131" t="s">
        <v>92</v>
      </c>
      <c r="E9" s="132" t="s">
        <v>91</v>
      </c>
      <c r="F9" s="131">
        <v>510895535</v>
      </c>
      <c r="G9" s="131" t="s">
        <v>76</v>
      </c>
      <c r="H9" s="123"/>
      <c r="I9" s="123"/>
      <c r="J9" s="142"/>
      <c r="K9" s="121">
        <v>3930</v>
      </c>
      <c r="L9" s="120">
        <v>0.01</v>
      </c>
      <c r="M9" s="141">
        <f t="shared" si="0"/>
        <v>3508.9285714285711</v>
      </c>
      <c r="N9" s="141">
        <f t="shared" si="1"/>
        <v>421.0714285714285</v>
      </c>
      <c r="O9" s="119">
        <f t="shared" si="2"/>
        <v>-35.089285714285715</v>
      </c>
      <c r="P9" s="119"/>
      <c r="Q9" s="119">
        <f>M9</f>
        <v>3508.9285714285711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>
        <f t="shared" si="3"/>
        <v>-3894.9107142857138</v>
      </c>
      <c r="AJ9" s="118">
        <f t="shared" si="4"/>
        <v>5.1869619710487314E-13</v>
      </c>
    </row>
    <row r="10" spans="1:36" ht="12.95" customHeight="1" x14ac:dyDescent="0.2">
      <c r="A10" s="134"/>
      <c r="B10" s="132">
        <v>11624</v>
      </c>
      <c r="C10" s="132">
        <v>2064</v>
      </c>
      <c r="D10" s="131" t="s">
        <v>72</v>
      </c>
      <c r="E10" s="132" t="s">
        <v>71</v>
      </c>
      <c r="F10" s="131">
        <v>71006</v>
      </c>
      <c r="G10" s="131" t="s">
        <v>64</v>
      </c>
      <c r="H10" s="123"/>
      <c r="I10" s="123"/>
      <c r="J10" s="142">
        <v>2840</v>
      </c>
      <c r="K10" s="121">
        <v>0</v>
      </c>
      <c r="L10" s="120">
        <v>0.01</v>
      </c>
      <c r="M10" s="141">
        <f t="shared" si="0"/>
        <v>2840</v>
      </c>
      <c r="N10" s="141">
        <f t="shared" si="1"/>
        <v>0</v>
      </c>
      <c r="O10" s="119">
        <f t="shared" si="2"/>
        <v>-28.400000000000002</v>
      </c>
      <c r="P10" s="119">
        <f>M10</f>
        <v>2840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>
        <f t="shared" si="3"/>
        <v>-2811.6</v>
      </c>
      <c r="AJ10" s="118">
        <f t="shared" si="4"/>
        <v>8.8817841970012523E-14</v>
      </c>
    </row>
    <row r="11" spans="1:36" ht="12.95" customHeight="1" x14ac:dyDescent="0.2">
      <c r="A11" s="134"/>
      <c r="B11" s="132">
        <v>11625</v>
      </c>
      <c r="C11" s="132">
        <v>2065</v>
      </c>
      <c r="D11" s="131" t="s">
        <v>72</v>
      </c>
      <c r="E11" s="132" t="s">
        <v>71</v>
      </c>
      <c r="F11" s="131">
        <v>71005</v>
      </c>
      <c r="G11" s="131" t="s">
        <v>75</v>
      </c>
      <c r="H11" s="123"/>
      <c r="I11" s="123"/>
      <c r="J11" s="142">
        <v>1165</v>
      </c>
      <c r="K11" s="121">
        <v>0</v>
      </c>
      <c r="L11" s="120">
        <v>0.01</v>
      </c>
      <c r="M11" s="141">
        <f t="shared" si="0"/>
        <v>1165</v>
      </c>
      <c r="N11" s="141">
        <f t="shared" si="1"/>
        <v>0</v>
      </c>
      <c r="O11" s="119">
        <f t="shared" si="2"/>
        <v>-11.65</v>
      </c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>
        <f>M11</f>
        <v>1165</v>
      </c>
      <c r="AA11" s="119"/>
      <c r="AB11" s="119"/>
      <c r="AC11" s="119"/>
      <c r="AD11" s="119"/>
      <c r="AE11" s="119"/>
      <c r="AF11" s="119"/>
      <c r="AG11" s="119"/>
      <c r="AH11" s="119"/>
      <c r="AI11" s="119">
        <f t="shared" si="3"/>
        <v>-1153.3499999999999</v>
      </c>
      <c r="AJ11" s="118">
        <f t="shared" si="4"/>
        <v>9.0594198809412774E-14</v>
      </c>
    </row>
    <row r="12" spans="1:36" ht="12.95" customHeight="1" x14ac:dyDescent="0.2">
      <c r="A12" s="134"/>
      <c r="B12" s="132">
        <v>11626</v>
      </c>
      <c r="C12" s="132">
        <v>2059</v>
      </c>
      <c r="D12" s="131" t="s">
        <v>81</v>
      </c>
      <c r="E12" s="132" t="s">
        <v>80</v>
      </c>
      <c r="F12" s="131">
        <v>30510</v>
      </c>
      <c r="G12" s="131" t="s">
        <v>109</v>
      </c>
      <c r="H12" s="123"/>
      <c r="I12" s="123"/>
      <c r="J12" s="122"/>
      <c r="K12" s="121">
        <v>1695</v>
      </c>
      <c r="L12" s="120">
        <v>0.01</v>
      </c>
      <c r="M12" s="141">
        <f t="shared" si="0"/>
        <v>1513.3928571428571</v>
      </c>
      <c r="N12" s="141">
        <f t="shared" si="1"/>
        <v>181.60714285714283</v>
      </c>
      <c r="O12" s="119">
        <f t="shared" si="2"/>
        <v>-15.133928571428571</v>
      </c>
      <c r="P12" s="119"/>
      <c r="Q12" s="119"/>
      <c r="R12" s="119"/>
      <c r="S12" s="119">
        <f>M12</f>
        <v>1513.3928571428571</v>
      </c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>
        <f t="shared" si="3"/>
        <v>-1679.8660714285713</v>
      </c>
      <c r="AJ12" s="118">
        <f t="shared" si="4"/>
        <v>9.7699626167013776E-14</v>
      </c>
    </row>
    <row r="13" spans="1:36" ht="12.95" customHeight="1" x14ac:dyDescent="0.2">
      <c r="A13" s="134">
        <v>43469</v>
      </c>
      <c r="B13" s="132">
        <v>11627</v>
      </c>
      <c r="C13" s="132">
        <v>2066</v>
      </c>
      <c r="D13" s="131" t="s">
        <v>66</v>
      </c>
      <c r="E13" s="132" t="s">
        <v>65</v>
      </c>
      <c r="F13" s="131">
        <v>151889</v>
      </c>
      <c r="G13" s="131" t="s">
        <v>64</v>
      </c>
      <c r="H13" s="123"/>
      <c r="I13" s="123"/>
      <c r="J13" s="122">
        <v>2750</v>
      </c>
      <c r="K13" s="121">
        <v>0</v>
      </c>
      <c r="L13" s="120">
        <v>0.01</v>
      </c>
      <c r="M13" s="141">
        <f t="shared" si="0"/>
        <v>2750</v>
      </c>
      <c r="N13" s="141">
        <f t="shared" si="1"/>
        <v>0</v>
      </c>
      <c r="O13" s="119">
        <f t="shared" si="2"/>
        <v>-27.5</v>
      </c>
      <c r="P13" s="119">
        <f>M13</f>
        <v>2750</v>
      </c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>
        <f t="shared" si="3"/>
        <v>-2722.5</v>
      </c>
      <c r="AJ13" s="118">
        <f t="shared" si="4"/>
        <v>0</v>
      </c>
    </row>
    <row r="14" spans="1:36" ht="12.95" customHeight="1" x14ac:dyDescent="0.2">
      <c r="A14" s="134"/>
      <c r="B14" s="132">
        <v>11628</v>
      </c>
      <c r="C14" s="132">
        <v>2061</v>
      </c>
      <c r="D14" s="131" t="s">
        <v>108</v>
      </c>
      <c r="E14" s="132" t="s">
        <v>107</v>
      </c>
      <c r="F14" s="131">
        <v>28869</v>
      </c>
      <c r="G14" s="131" t="s">
        <v>106</v>
      </c>
      <c r="H14" s="123"/>
      <c r="I14" s="123"/>
      <c r="J14" s="122"/>
      <c r="K14" s="121">
        <v>1800</v>
      </c>
      <c r="L14" s="120">
        <v>0.01</v>
      </c>
      <c r="M14" s="141">
        <f t="shared" si="0"/>
        <v>1607.1428571428569</v>
      </c>
      <c r="N14" s="141">
        <f t="shared" si="1"/>
        <v>192.85714285714283</v>
      </c>
      <c r="O14" s="119">
        <f t="shared" si="2"/>
        <v>-16.071428571428569</v>
      </c>
      <c r="P14" s="119"/>
      <c r="Q14" s="119"/>
      <c r="R14" s="119"/>
      <c r="S14" s="119"/>
      <c r="T14" s="119"/>
      <c r="U14" s="119">
        <f>M14</f>
        <v>1607.1428571428569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>
        <f t="shared" si="3"/>
        <v>-1783.9285714285711</v>
      </c>
      <c r="AJ14" s="118">
        <f t="shared" si="4"/>
        <v>3.2684965844964609E-13</v>
      </c>
    </row>
    <row r="15" spans="1:36" ht="12.95" customHeight="1" x14ac:dyDescent="0.2">
      <c r="A15" s="134"/>
      <c r="B15" s="132">
        <v>11629</v>
      </c>
      <c r="C15" s="132">
        <v>2067</v>
      </c>
      <c r="D15" s="131" t="s">
        <v>74</v>
      </c>
      <c r="E15" s="132" t="s">
        <v>73</v>
      </c>
      <c r="F15" s="131">
        <v>66714</v>
      </c>
      <c r="G15" s="131" t="s">
        <v>64</v>
      </c>
      <c r="H15" s="123"/>
      <c r="I15" s="123"/>
      <c r="J15" s="122"/>
      <c r="K15" s="121">
        <v>6953</v>
      </c>
      <c r="L15" s="120">
        <v>0.01</v>
      </c>
      <c r="M15" s="141">
        <f t="shared" si="0"/>
        <v>6208.0357142857138</v>
      </c>
      <c r="N15" s="141">
        <f t="shared" si="1"/>
        <v>744.96428571428567</v>
      </c>
      <c r="O15" s="119">
        <f t="shared" si="2"/>
        <v>-62.080357142857139</v>
      </c>
      <c r="P15" s="119">
        <f>M15</f>
        <v>6208.0357142857138</v>
      </c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>
        <f t="shared" si="3"/>
        <v>-6890.9196428571422</v>
      </c>
      <c r="AJ15" s="118">
        <f t="shared" si="4"/>
        <v>6.5369931689929217E-13</v>
      </c>
    </row>
    <row r="16" spans="1:36" ht="12.95" customHeight="1" x14ac:dyDescent="0.2">
      <c r="A16" s="134"/>
      <c r="B16" s="132">
        <v>11647</v>
      </c>
      <c r="C16" s="132">
        <v>2088</v>
      </c>
      <c r="D16" s="131" t="s">
        <v>70</v>
      </c>
      <c r="E16" s="132" t="s">
        <v>69</v>
      </c>
      <c r="F16" s="131">
        <v>16698</v>
      </c>
      <c r="G16" s="131" t="s">
        <v>64</v>
      </c>
      <c r="H16" s="123"/>
      <c r="I16" s="123"/>
      <c r="J16" s="122">
        <v>2744.15</v>
      </c>
      <c r="K16" s="121">
        <v>0</v>
      </c>
      <c r="L16" s="120">
        <v>0.01</v>
      </c>
      <c r="M16" s="141">
        <f t="shared" si="0"/>
        <v>2744.15</v>
      </c>
      <c r="N16" s="141">
        <f t="shared" si="1"/>
        <v>0</v>
      </c>
      <c r="O16" s="119">
        <f t="shared" si="2"/>
        <v>-27.441500000000001</v>
      </c>
      <c r="P16" s="119">
        <f>M16</f>
        <v>2744.15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>
        <f t="shared" si="3"/>
        <v>-2716.7085000000002</v>
      </c>
      <c r="AJ16" s="118">
        <f t="shared" si="4"/>
        <v>-9.5923269327613525E-14</v>
      </c>
    </row>
    <row r="17" spans="1:36" ht="12.95" customHeight="1" x14ac:dyDescent="0.2">
      <c r="A17" s="134">
        <v>43470</v>
      </c>
      <c r="B17" s="132">
        <v>11630</v>
      </c>
      <c r="C17" s="132">
        <v>2068</v>
      </c>
      <c r="D17" s="131" t="s">
        <v>68</v>
      </c>
      <c r="E17" s="132">
        <v>139564</v>
      </c>
      <c r="F17" s="131">
        <v>236428</v>
      </c>
      <c r="G17" s="131" t="s">
        <v>67</v>
      </c>
      <c r="H17" s="123"/>
      <c r="I17" s="123"/>
      <c r="J17" s="122"/>
      <c r="K17" s="121">
        <v>3783.26</v>
      </c>
      <c r="L17" s="120">
        <v>0.01</v>
      </c>
      <c r="M17" s="141">
        <f t="shared" si="0"/>
        <v>3377.9107142857142</v>
      </c>
      <c r="N17" s="141">
        <f t="shared" si="1"/>
        <v>405.34928571428571</v>
      </c>
      <c r="O17" s="119">
        <f t="shared" si="2"/>
        <v>-33.779107142857143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>
        <f>M17</f>
        <v>3377.9107142857142</v>
      </c>
      <c r="AI17" s="119">
        <f t="shared" si="3"/>
        <v>-3749.4808928571429</v>
      </c>
      <c r="AJ17" s="118">
        <f t="shared" si="4"/>
        <v>2.1316282072803006E-13</v>
      </c>
    </row>
    <row r="18" spans="1:36" ht="12.95" customHeight="1" x14ac:dyDescent="0.2">
      <c r="A18" s="134"/>
      <c r="B18" s="132">
        <v>11631</v>
      </c>
      <c r="C18" s="132">
        <v>2069</v>
      </c>
      <c r="D18" s="131" t="s">
        <v>105</v>
      </c>
      <c r="E18" s="132" t="s">
        <v>104</v>
      </c>
      <c r="F18" s="131">
        <v>11419</v>
      </c>
      <c r="G18" s="131" t="s">
        <v>64</v>
      </c>
      <c r="H18" s="123"/>
      <c r="I18" s="123"/>
      <c r="J18" s="142"/>
      <c r="K18" s="121">
        <v>7800</v>
      </c>
      <c r="L18" s="120">
        <v>0.01</v>
      </c>
      <c r="M18" s="141">
        <f t="shared" si="0"/>
        <v>6964.2857142857138</v>
      </c>
      <c r="N18" s="141">
        <f t="shared" si="1"/>
        <v>835.71428571428567</v>
      </c>
      <c r="O18" s="119">
        <f t="shared" si="2"/>
        <v>-69.642857142857139</v>
      </c>
      <c r="P18" s="119">
        <f>M18</f>
        <v>6964.2857142857138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>
        <f t="shared" si="3"/>
        <v>-7730.3571428571422</v>
      </c>
      <c r="AJ18" s="118">
        <f t="shared" si="4"/>
        <v>6.5369931689929217E-13</v>
      </c>
    </row>
    <row r="19" spans="1:36" ht="12.95" customHeight="1" x14ac:dyDescent="0.2">
      <c r="A19" s="134"/>
      <c r="B19" s="132">
        <v>11632</v>
      </c>
      <c r="C19" s="132">
        <v>2060</v>
      </c>
      <c r="D19" s="131" t="s">
        <v>103</v>
      </c>
      <c r="E19" s="132" t="s">
        <v>102</v>
      </c>
      <c r="F19" s="131">
        <v>154675</v>
      </c>
      <c r="G19" s="131" t="s">
        <v>64</v>
      </c>
      <c r="H19" s="123"/>
      <c r="I19" s="123"/>
      <c r="J19" s="142"/>
      <c r="K19" s="121">
        <v>6850</v>
      </c>
      <c r="L19" s="120">
        <v>0.01</v>
      </c>
      <c r="M19" s="141">
        <f t="shared" si="0"/>
        <v>6116.0714285714284</v>
      </c>
      <c r="N19" s="141">
        <f t="shared" si="1"/>
        <v>733.92857142857133</v>
      </c>
      <c r="O19" s="119">
        <f t="shared" si="2"/>
        <v>-61.160714285714285</v>
      </c>
      <c r="P19" s="119">
        <f>M19</f>
        <v>6116.0714285714284</v>
      </c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>
        <f t="shared" si="3"/>
        <v>-6788.8392857142853</v>
      </c>
      <c r="AJ19" s="118">
        <f t="shared" si="4"/>
        <v>3.907985046680551E-13</v>
      </c>
    </row>
    <row r="20" spans="1:36" ht="12.95" customHeight="1" x14ac:dyDescent="0.2">
      <c r="A20" s="134">
        <v>43472</v>
      </c>
      <c r="B20" s="132">
        <v>11633</v>
      </c>
      <c r="C20" s="132">
        <v>2070</v>
      </c>
      <c r="D20" s="131" t="s">
        <v>101</v>
      </c>
      <c r="E20" s="132" t="s">
        <v>100</v>
      </c>
      <c r="F20" s="131">
        <v>120001272489</v>
      </c>
      <c r="G20" s="131" t="s">
        <v>76</v>
      </c>
      <c r="H20" s="123"/>
      <c r="I20" s="123"/>
      <c r="J20" s="142"/>
      <c r="K20" s="121">
        <v>3953</v>
      </c>
      <c r="L20" s="120">
        <v>0.01</v>
      </c>
      <c r="M20" s="141">
        <f t="shared" si="0"/>
        <v>3529.4642857142853</v>
      </c>
      <c r="N20" s="141">
        <f t="shared" si="1"/>
        <v>423.53571428571422</v>
      </c>
      <c r="O20" s="119">
        <f t="shared" si="2"/>
        <v>-35.294642857142854</v>
      </c>
      <c r="P20" s="119"/>
      <c r="Q20" s="119">
        <f>M20</f>
        <v>3529.4642857142853</v>
      </c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>
        <f t="shared" si="3"/>
        <v>-3917.7053571428569</v>
      </c>
      <c r="AJ20" s="118">
        <f t="shared" si="4"/>
        <v>2.6290081223123707E-13</v>
      </c>
    </row>
    <row r="21" spans="1:36" s="94" customFormat="1" ht="12.95" customHeight="1" x14ac:dyDescent="0.2">
      <c r="A21" s="134"/>
      <c r="B21" s="132">
        <v>11634</v>
      </c>
      <c r="C21" s="132">
        <v>2071</v>
      </c>
      <c r="D21" s="131" t="s">
        <v>66</v>
      </c>
      <c r="E21" s="132" t="s">
        <v>65</v>
      </c>
      <c r="F21" s="131">
        <v>152125</v>
      </c>
      <c r="G21" s="131" t="s">
        <v>64</v>
      </c>
      <c r="H21" s="123"/>
      <c r="I21" s="123"/>
      <c r="J21" s="122">
        <v>2750</v>
      </c>
      <c r="K21" s="121">
        <v>0</v>
      </c>
      <c r="L21" s="120">
        <v>0.01</v>
      </c>
      <c r="M21" s="141">
        <f t="shared" si="0"/>
        <v>2750</v>
      </c>
      <c r="N21" s="141">
        <f t="shared" si="1"/>
        <v>0</v>
      </c>
      <c r="O21" s="119">
        <f t="shared" si="2"/>
        <v>-27.5</v>
      </c>
      <c r="P21" s="119">
        <f>M21</f>
        <v>2750</v>
      </c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>
        <f t="shared" si="3"/>
        <v>-2722.5</v>
      </c>
      <c r="AJ21" s="118">
        <f t="shared" si="4"/>
        <v>0</v>
      </c>
    </row>
    <row r="22" spans="1:36" s="94" customFormat="1" ht="12.95" customHeight="1" x14ac:dyDescent="0.2">
      <c r="A22" s="134"/>
      <c r="B22" s="132">
        <v>11635</v>
      </c>
      <c r="C22" s="132">
        <v>2072</v>
      </c>
      <c r="D22" s="131" t="s">
        <v>72</v>
      </c>
      <c r="E22" s="132" t="s">
        <v>71</v>
      </c>
      <c r="F22" s="131">
        <v>71011</v>
      </c>
      <c r="G22" s="131" t="s">
        <v>64</v>
      </c>
      <c r="H22" s="123"/>
      <c r="I22" s="123"/>
      <c r="J22" s="122">
        <v>4465</v>
      </c>
      <c r="K22" s="121">
        <v>0</v>
      </c>
      <c r="L22" s="120">
        <v>0.01</v>
      </c>
      <c r="M22" s="141">
        <f t="shared" si="0"/>
        <v>4465</v>
      </c>
      <c r="N22" s="141">
        <f t="shared" si="1"/>
        <v>0</v>
      </c>
      <c r="O22" s="119">
        <f t="shared" si="2"/>
        <v>-44.65</v>
      </c>
      <c r="P22" s="119">
        <f>M22</f>
        <v>4465</v>
      </c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>
        <f t="shared" si="3"/>
        <v>-4420.3500000000004</v>
      </c>
      <c r="AJ22" s="118">
        <f t="shared" si="4"/>
        <v>-3.6237679523765109E-13</v>
      </c>
    </row>
    <row r="23" spans="1:36" s="94" customFormat="1" ht="12.95" customHeight="1" x14ac:dyDescent="0.2">
      <c r="A23" s="134"/>
      <c r="B23" s="132">
        <v>11636</v>
      </c>
      <c r="C23" s="132">
        <v>2073</v>
      </c>
      <c r="D23" s="131" t="s">
        <v>70</v>
      </c>
      <c r="E23" s="132" t="s">
        <v>69</v>
      </c>
      <c r="F23" s="131">
        <v>16341</v>
      </c>
      <c r="G23" s="131" t="s">
        <v>75</v>
      </c>
      <c r="H23" s="123"/>
      <c r="I23" s="123"/>
      <c r="J23" s="122">
        <v>490.18</v>
      </c>
      <c r="K23" s="121">
        <v>0</v>
      </c>
      <c r="L23" s="120">
        <v>0.01</v>
      </c>
      <c r="M23" s="141">
        <f t="shared" si="0"/>
        <v>490.18</v>
      </c>
      <c r="N23" s="141">
        <f t="shared" si="1"/>
        <v>0</v>
      </c>
      <c r="O23" s="119">
        <f t="shared" si="2"/>
        <v>-4.9018000000000006</v>
      </c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>
        <f>M23</f>
        <v>490.18</v>
      </c>
      <c r="AA23" s="119"/>
      <c r="AB23" s="119"/>
      <c r="AC23" s="119"/>
      <c r="AD23" s="119"/>
      <c r="AE23" s="119"/>
      <c r="AF23" s="119"/>
      <c r="AG23" s="119"/>
      <c r="AH23" s="119"/>
      <c r="AI23" s="119">
        <f t="shared" si="3"/>
        <v>-485.27820000000003</v>
      </c>
      <c r="AJ23" s="118">
        <f t="shared" si="4"/>
        <v>-2.042810365310288E-14</v>
      </c>
    </row>
    <row r="24" spans="1:36" ht="12.95" customHeight="1" x14ac:dyDescent="0.2">
      <c r="A24" s="134"/>
      <c r="B24" s="132">
        <v>11636</v>
      </c>
      <c r="C24" s="132">
        <v>2073</v>
      </c>
      <c r="D24" s="131" t="s">
        <v>70</v>
      </c>
      <c r="E24" s="132" t="s">
        <v>69</v>
      </c>
      <c r="F24" s="131">
        <v>16341</v>
      </c>
      <c r="G24" s="131" t="s">
        <v>64</v>
      </c>
      <c r="H24" s="123"/>
      <c r="I24" s="123"/>
      <c r="J24" s="122">
        <v>2734.25</v>
      </c>
      <c r="K24" s="121">
        <v>0</v>
      </c>
      <c r="L24" s="120">
        <v>0.01</v>
      </c>
      <c r="M24" s="141">
        <f t="shared" si="0"/>
        <v>2734.25</v>
      </c>
      <c r="N24" s="141">
        <f t="shared" si="1"/>
        <v>0</v>
      </c>
      <c r="O24" s="119">
        <f t="shared" si="2"/>
        <v>-27.342500000000001</v>
      </c>
      <c r="P24" s="119">
        <f>M24</f>
        <v>2734.25</v>
      </c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>
        <f t="shared" si="3"/>
        <v>-2706.9074999999998</v>
      </c>
      <c r="AJ24" s="118">
        <f t="shared" si="4"/>
        <v>1.9895196601282805E-13</v>
      </c>
    </row>
    <row r="25" spans="1:36" s="94" customFormat="1" ht="12.95" customHeight="1" x14ac:dyDescent="0.2">
      <c r="A25" s="134"/>
      <c r="B25" s="132">
        <v>11638</v>
      </c>
      <c r="C25" s="132">
        <v>2076</v>
      </c>
      <c r="D25" s="131" t="s">
        <v>72</v>
      </c>
      <c r="E25" s="132" t="s">
        <v>71</v>
      </c>
      <c r="F25" s="131">
        <v>71012</v>
      </c>
      <c r="G25" s="131" t="s">
        <v>75</v>
      </c>
      <c r="H25" s="123"/>
      <c r="I25" s="123"/>
      <c r="J25" s="122">
        <v>1612.5</v>
      </c>
      <c r="K25" s="121">
        <v>0</v>
      </c>
      <c r="L25" s="120">
        <v>0.01</v>
      </c>
      <c r="M25" s="141">
        <f t="shared" si="0"/>
        <v>1612.5</v>
      </c>
      <c r="N25" s="141">
        <f t="shared" si="1"/>
        <v>0</v>
      </c>
      <c r="O25" s="119">
        <f t="shared" si="2"/>
        <v>-16.125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>
        <f>M25</f>
        <v>1612.5</v>
      </c>
      <c r="AA25" s="119"/>
      <c r="AB25" s="119"/>
      <c r="AC25" s="119"/>
      <c r="AD25" s="119"/>
      <c r="AE25" s="119"/>
      <c r="AF25" s="119"/>
      <c r="AG25" s="119"/>
      <c r="AH25" s="119"/>
      <c r="AI25" s="119">
        <f t="shared" si="3"/>
        <v>-1596.375</v>
      </c>
      <c r="AJ25" s="118">
        <f t="shared" si="4"/>
        <v>0</v>
      </c>
    </row>
    <row r="26" spans="1:36" s="94" customFormat="1" ht="12.95" customHeight="1" x14ac:dyDescent="0.2">
      <c r="A26" s="134">
        <v>43475</v>
      </c>
      <c r="B26" s="132">
        <v>11639</v>
      </c>
      <c r="C26" s="132">
        <v>2077</v>
      </c>
      <c r="D26" s="131" t="s">
        <v>99</v>
      </c>
      <c r="E26" s="132" t="s">
        <v>98</v>
      </c>
      <c r="F26" s="131">
        <v>1349</v>
      </c>
      <c r="G26" s="131" t="s">
        <v>64</v>
      </c>
      <c r="H26" s="123"/>
      <c r="I26" s="123"/>
      <c r="J26" s="142"/>
      <c r="K26" s="121">
        <v>5200</v>
      </c>
      <c r="L26" s="120">
        <v>0.01</v>
      </c>
      <c r="M26" s="141">
        <f t="shared" si="0"/>
        <v>4642.8571428571422</v>
      </c>
      <c r="N26" s="141">
        <f t="shared" si="1"/>
        <v>557.142857142857</v>
      </c>
      <c r="O26" s="119">
        <f t="shared" si="2"/>
        <v>-46.428571428571423</v>
      </c>
      <c r="P26" s="119">
        <f>M26</f>
        <v>4642.8571428571422</v>
      </c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>
        <f t="shared" si="3"/>
        <v>-5153.5714285714275</v>
      </c>
      <c r="AJ26" s="118">
        <f t="shared" si="4"/>
        <v>1.0444978215673473E-12</v>
      </c>
    </row>
    <row r="27" spans="1:36" s="94" customFormat="1" ht="12.95" customHeight="1" x14ac:dyDescent="0.2">
      <c r="A27" s="134">
        <v>43476</v>
      </c>
      <c r="B27" s="132">
        <v>11640</v>
      </c>
      <c r="C27" s="132">
        <v>2078</v>
      </c>
      <c r="D27" s="131" t="s">
        <v>66</v>
      </c>
      <c r="E27" s="132" t="s">
        <v>65</v>
      </c>
      <c r="F27" s="131">
        <v>152307</v>
      </c>
      <c r="G27" s="131" t="s">
        <v>64</v>
      </c>
      <c r="H27" s="123"/>
      <c r="I27" s="123"/>
      <c r="J27" s="142">
        <v>2200</v>
      </c>
      <c r="K27" s="121">
        <v>0</v>
      </c>
      <c r="L27" s="120">
        <v>0.01</v>
      </c>
      <c r="M27" s="141">
        <f t="shared" si="0"/>
        <v>2200</v>
      </c>
      <c r="N27" s="141">
        <f t="shared" si="1"/>
        <v>0</v>
      </c>
      <c r="O27" s="119">
        <f t="shared" si="2"/>
        <v>-22</v>
      </c>
      <c r="P27" s="119">
        <f>M27</f>
        <v>2200</v>
      </c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>
        <f t="shared" si="3"/>
        <v>-2178</v>
      </c>
      <c r="AJ27" s="118">
        <f t="shared" si="4"/>
        <v>0</v>
      </c>
    </row>
    <row r="28" spans="1:36" s="94" customFormat="1" ht="12.95" customHeight="1" x14ac:dyDescent="0.2">
      <c r="A28" s="134"/>
      <c r="B28" s="132">
        <v>11641</v>
      </c>
      <c r="C28" s="132">
        <v>2079</v>
      </c>
      <c r="D28" s="131" t="s">
        <v>70</v>
      </c>
      <c r="E28" s="132" t="s">
        <v>69</v>
      </c>
      <c r="F28" s="131">
        <v>16445</v>
      </c>
      <c r="G28" s="131" t="s">
        <v>64</v>
      </c>
      <c r="H28" s="123"/>
      <c r="I28" s="123"/>
      <c r="J28" s="142">
        <v>508</v>
      </c>
      <c r="K28" s="121">
        <v>0</v>
      </c>
      <c r="L28" s="120">
        <v>0.01</v>
      </c>
      <c r="M28" s="141">
        <f t="shared" si="0"/>
        <v>508</v>
      </c>
      <c r="N28" s="141">
        <f t="shared" si="1"/>
        <v>0</v>
      </c>
      <c r="O28" s="119">
        <f t="shared" si="2"/>
        <v>-5.08</v>
      </c>
      <c r="P28" s="119">
        <f>M28</f>
        <v>508</v>
      </c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>
        <f t="shared" si="3"/>
        <v>-502.92</v>
      </c>
      <c r="AJ28" s="118">
        <f t="shared" si="4"/>
        <v>-1.5987211554602254E-14</v>
      </c>
    </row>
    <row r="29" spans="1:36" s="94" customFormat="1" ht="12.95" customHeight="1" x14ac:dyDescent="0.2">
      <c r="A29" s="134"/>
      <c r="B29" s="132">
        <v>11642</v>
      </c>
      <c r="C29" s="132">
        <v>2080</v>
      </c>
      <c r="D29" s="131" t="s">
        <v>97</v>
      </c>
      <c r="E29" s="132" t="s">
        <v>96</v>
      </c>
      <c r="F29" s="131">
        <v>18277</v>
      </c>
      <c r="G29" s="131" t="s">
        <v>64</v>
      </c>
      <c r="H29" s="123"/>
      <c r="I29" s="123"/>
      <c r="J29" s="142"/>
      <c r="K29" s="121">
        <v>2540</v>
      </c>
      <c r="L29" s="120">
        <v>0.01</v>
      </c>
      <c r="M29" s="141">
        <f t="shared" si="0"/>
        <v>2267.8571428571427</v>
      </c>
      <c r="N29" s="141">
        <f t="shared" si="1"/>
        <v>272.14285714285711</v>
      </c>
      <c r="O29" s="119">
        <f t="shared" si="2"/>
        <v>-22.678571428571427</v>
      </c>
      <c r="P29" s="119">
        <f>M29</f>
        <v>2267.8571428571427</v>
      </c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>
        <f t="shared" si="3"/>
        <v>-2517.3214285714284</v>
      </c>
      <c r="AJ29" s="118">
        <f t="shared" si="4"/>
        <v>1.3145040611561853E-13</v>
      </c>
    </row>
    <row r="30" spans="1:36" s="94" customFormat="1" ht="12.95" customHeight="1" x14ac:dyDescent="0.2">
      <c r="A30" s="134">
        <v>43477</v>
      </c>
      <c r="B30" s="132">
        <v>11643</v>
      </c>
      <c r="C30" s="132">
        <v>2081</v>
      </c>
      <c r="D30" s="131" t="s">
        <v>86</v>
      </c>
      <c r="E30" s="132" t="s">
        <v>85</v>
      </c>
      <c r="F30" s="131">
        <v>21843</v>
      </c>
      <c r="G30" s="131" t="s">
        <v>64</v>
      </c>
      <c r="H30" s="123"/>
      <c r="I30" s="123"/>
      <c r="J30" s="142"/>
      <c r="K30" s="121">
        <v>9712</v>
      </c>
      <c r="L30" s="120">
        <v>0.01</v>
      </c>
      <c r="M30" s="141">
        <f t="shared" si="0"/>
        <v>8671.4285714285706</v>
      </c>
      <c r="N30" s="141">
        <f t="shared" si="1"/>
        <v>1040.5714285714284</v>
      </c>
      <c r="O30" s="119">
        <f t="shared" si="2"/>
        <v>-86.714285714285708</v>
      </c>
      <c r="P30" s="119">
        <f>M30</f>
        <v>8671.4285714285706</v>
      </c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>
        <f t="shared" si="3"/>
        <v>-9625.2857142857138</v>
      </c>
      <c r="AJ30" s="118">
        <f t="shared" si="4"/>
        <v>5.2580162446247414E-13</v>
      </c>
    </row>
    <row r="31" spans="1:36" s="94" customFormat="1" ht="12.95" customHeight="1" x14ac:dyDescent="0.2">
      <c r="A31" s="134"/>
      <c r="B31" s="132">
        <v>11643</v>
      </c>
      <c r="C31" s="132">
        <v>2081</v>
      </c>
      <c r="D31" s="131" t="s">
        <v>86</v>
      </c>
      <c r="E31" s="132" t="s">
        <v>85</v>
      </c>
      <c r="F31" s="131">
        <v>21843</v>
      </c>
      <c r="G31" s="131" t="s">
        <v>79</v>
      </c>
      <c r="H31" s="123"/>
      <c r="I31" s="123"/>
      <c r="J31" s="122"/>
      <c r="K31" s="121">
        <v>738</v>
      </c>
      <c r="L31" s="120">
        <v>0.01</v>
      </c>
      <c r="M31" s="141">
        <f t="shared" si="0"/>
        <v>658.92857142857133</v>
      </c>
      <c r="N31" s="141">
        <f t="shared" si="1"/>
        <v>79.071428571428555</v>
      </c>
      <c r="O31" s="119">
        <f t="shared" si="2"/>
        <v>-6.5892857142857135</v>
      </c>
      <c r="P31" s="119"/>
      <c r="Q31" s="119"/>
      <c r="R31" s="119"/>
      <c r="S31" s="119"/>
      <c r="T31" s="119"/>
      <c r="U31" s="119"/>
      <c r="V31" s="119"/>
      <c r="W31" s="119">
        <f>M31</f>
        <v>658.92857142857133</v>
      </c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>
        <f t="shared" si="3"/>
        <v>-731.41071428571422</v>
      </c>
      <c r="AJ31" s="118">
        <f t="shared" si="4"/>
        <v>6.5725203057809267E-14</v>
      </c>
    </row>
    <row r="32" spans="1:36" s="94" customFormat="1" ht="12.95" customHeight="1" x14ac:dyDescent="0.2">
      <c r="A32" s="134">
        <v>43479</v>
      </c>
      <c r="B32" s="132">
        <v>11644</v>
      </c>
      <c r="C32" s="132">
        <v>2085</v>
      </c>
      <c r="D32" s="131" t="s">
        <v>66</v>
      </c>
      <c r="E32" s="132" t="s">
        <v>65</v>
      </c>
      <c r="F32" s="131">
        <v>152566</v>
      </c>
      <c r="G32" s="131" t="s">
        <v>64</v>
      </c>
      <c r="H32" s="123"/>
      <c r="I32" s="123"/>
      <c r="J32" s="122">
        <v>2950</v>
      </c>
      <c r="K32" s="121">
        <v>0</v>
      </c>
      <c r="L32" s="120">
        <v>0.01</v>
      </c>
      <c r="M32" s="141">
        <f t="shared" si="0"/>
        <v>2950</v>
      </c>
      <c r="N32" s="141">
        <f t="shared" si="1"/>
        <v>0</v>
      </c>
      <c r="O32" s="119">
        <f t="shared" si="2"/>
        <v>-29.5</v>
      </c>
      <c r="P32" s="119">
        <f>M32</f>
        <v>2950</v>
      </c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>
        <f t="shared" si="3"/>
        <v>-2920.5</v>
      </c>
      <c r="AJ32" s="118">
        <f t="shared" si="4"/>
        <v>0</v>
      </c>
    </row>
    <row r="33" spans="1:36" s="94" customFormat="1" ht="12.95" customHeight="1" x14ac:dyDescent="0.2">
      <c r="A33" s="134"/>
      <c r="B33" s="132">
        <v>11645</v>
      </c>
      <c r="C33" s="132">
        <v>2086</v>
      </c>
      <c r="D33" s="131" t="s">
        <v>72</v>
      </c>
      <c r="E33" s="132" t="s">
        <v>71</v>
      </c>
      <c r="F33" s="131">
        <v>71018</v>
      </c>
      <c r="G33" s="131" t="s">
        <v>64</v>
      </c>
      <c r="H33" s="123"/>
      <c r="I33" s="123"/>
      <c r="J33" s="122">
        <v>6910</v>
      </c>
      <c r="K33" s="121">
        <v>0</v>
      </c>
      <c r="L33" s="120">
        <v>0.01</v>
      </c>
      <c r="M33" s="141">
        <f t="shared" si="0"/>
        <v>6910</v>
      </c>
      <c r="N33" s="141">
        <f t="shared" si="1"/>
        <v>0</v>
      </c>
      <c r="O33" s="119">
        <f t="shared" si="2"/>
        <v>-69.100000000000009</v>
      </c>
      <c r="P33" s="119">
        <f>M33</f>
        <v>6910</v>
      </c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>
        <f t="shared" si="3"/>
        <v>-6840.9</v>
      </c>
      <c r="AJ33" s="118">
        <f t="shared" si="4"/>
        <v>3.5527136788005009E-13</v>
      </c>
    </row>
    <row r="34" spans="1:36" s="94" customFormat="1" ht="12.95" customHeight="1" x14ac:dyDescent="0.2">
      <c r="A34" s="134"/>
      <c r="B34" s="132">
        <v>11646</v>
      </c>
      <c r="C34" s="132">
        <v>2087</v>
      </c>
      <c r="D34" s="131" t="s">
        <v>72</v>
      </c>
      <c r="E34" s="132" t="s">
        <v>71</v>
      </c>
      <c r="F34" s="131">
        <v>71019</v>
      </c>
      <c r="G34" s="131" t="s">
        <v>75</v>
      </c>
      <c r="H34" s="123"/>
      <c r="I34" s="123"/>
      <c r="J34" s="122">
        <v>2055</v>
      </c>
      <c r="K34" s="121">
        <v>0</v>
      </c>
      <c r="L34" s="120">
        <v>0.01</v>
      </c>
      <c r="M34" s="141">
        <f t="shared" si="0"/>
        <v>2055</v>
      </c>
      <c r="N34" s="141">
        <f t="shared" si="1"/>
        <v>0</v>
      </c>
      <c r="O34" s="119">
        <f t="shared" si="2"/>
        <v>-20.55</v>
      </c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>
        <f>M34</f>
        <v>2055</v>
      </c>
      <c r="AA34" s="119"/>
      <c r="AB34" s="119"/>
      <c r="AC34" s="119"/>
      <c r="AD34" s="119"/>
      <c r="AE34" s="119"/>
      <c r="AF34" s="119"/>
      <c r="AG34" s="119"/>
      <c r="AH34" s="119"/>
      <c r="AI34" s="119">
        <f t="shared" si="3"/>
        <v>-2034.45</v>
      </c>
      <c r="AJ34" s="118">
        <f t="shared" si="4"/>
        <v>-4.6185277824406512E-14</v>
      </c>
    </row>
    <row r="35" spans="1:36" s="94" customFormat="1" ht="12.95" customHeight="1" x14ac:dyDescent="0.2">
      <c r="A35" s="134"/>
      <c r="B35" s="132">
        <v>11649</v>
      </c>
      <c r="C35" s="132">
        <v>2090</v>
      </c>
      <c r="D35" s="131" t="s">
        <v>70</v>
      </c>
      <c r="E35" s="132" t="s">
        <v>69</v>
      </c>
      <c r="F35" s="131">
        <v>16699</v>
      </c>
      <c r="G35" s="131" t="s">
        <v>75</v>
      </c>
      <c r="H35" s="123"/>
      <c r="I35" s="123"/>
      <c r="J35" s="122">
        <v>373.75</v>
      </c>
      <c r="K35" s="121">
        <v>0</v>
      </c>
      <c r="L35" s="120">
        <v>0.01</v>
      </c>
      <c r="M35" s="141">
        <f t="shared" si="0"/>
        <v>373.75</v>
      </c>
      <c r="N35" s="141">
        <f t="shared" si="1"/>
        <v>0</v>
      </c>
      <c r="O35" s="119">
        <f t="shared" si="2"/>
        <v>-3.7375000000000003</v>
      </c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>
        <f>M35</f>
        <v>373.75</v>
      </c>
      <c r="AA35" s="119"/>
      <c r="AB35" s="119"/>
      <c r="AC35" s="119"/>
      <c r="AD35" s="119"/>
      <c r="AE35" s="119"/>
      <c r="AF35" s="119"/>
      <c r="AG35" s="119"/>
      <c r="AH35" s="119"/>
      <c r="AI35" s="119">
        <f t="shared" si="3"/>
        <v>-370.01249999999999</v>
      </c>
      <c r="AJ35" s="118">
        <f t="shared" si="4"/>
        <v>1.1102230246251565E-14</v>
      </c>
    </row>
    <row r="36" spans="1:36" s="94" customFormat="1" ht="12.95" customHeight="1" x14ac:dyDescent="0.2">
      <c r="A36" s="134">
        <v>43481</v>
      </c>
      <c r="B36" s="132">
        <v>11651</v>
      </c>
      <c r="C36" s="132">
        <v>2091</v>
      </c>
      <c r="D36" s="131" t="s">
        <v>70</v>
      </c>
      <c r="E36" s="132" t="s">
        <v>69</v>
      </c>
      <c r="F36" s="131">
        <v>16516</v>
      </c>
      <c r="G36" s="131" t="s">
        <v>64</v>
      </c>
      <c r="H36" s="123"/>
      <c r="I36" s="123"/>
      <c r="J36" s="122">
        <v>950</v>
      </c>
      <c r="K36" s="121">
        <v>0</v>
      </c>
      <c r="L36" s="120">
        <v>0.01</v>
      </c>
      <c r="M36" s="141">
        <f t="shared" si="0"/>
        <v>950</v>
      </c>
      <c r="N36" s="141">
        <f t="shared" si="1"/>
        <v>0</v>
      </c>
      <c r="O36" s="119">
        <f t="shared" si="2"/>
        <v>-9.5</v>
      </c>
      <c r="P36" s="119">
        <f>M36</f>
        <v>950</v>
      </c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>
        <f t="shared" si="3"/>
        <v>-940.5</v>
      </c>
      <c r="AJ36" s="118">
        <f t="shared" si="4"/>
        <v>0</v>
      </c>
    </row>
    <row r="37" spans="1:36" s="94" customFormat="1" ht="12.95" customHeight="1" x14ac:dyDescent="0.2">
      <c r="A37" s="134">
        <v>43482</v>
      </c>
      <c r="B37" s="132">
        <v>11650</v>
      </c>
      <c r="C37" s="132">
        <v>2058</v>
      </c>
      <c r="D37" s="131" t="s">
        <v>94</v>
      </c>
      <c r="E37" s="132" t="s">
        <v>93</v>
      </c>
      <c r="F37" s="131">
        <v>130510</v>
      </c>
      <c r="G37" s="131" t="s">
        <v>95</v>
      </c>
      <c r="H37" s="123"/>
      <c r="I37" s="123"/>
      <c r="J37" s="122"/>
      <c r="K37" s="121">
        <v>70</v>
      </c>
      <c r="L37" s="120">
        <v>0.01</v>
      </c>
      <c r="M37" s="141">
        <f t="shared" ref="M37:M68" si="5">SUM(H37:J37,K37/1.12)</f>
        <v>62.499999999999993</v>
      </c>
      <c r="N37" s="141">
        <f t="shared" ref="N37:N68" si="6">K37/1.12*0.12</f>
        <v>7.4999999999999991</v>
      </c>
      <c r="O37" s="119">
        <f t="shared" ref="O37:O68" si="7">-SUM(I37:J37,K37/1.12)*L37</f>
        <v>-0.62499999999999989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19">
        <f>M37</f>
        <v>62.499999999999993</v>
      </c>
      <c r="Z37" s="119"/>
      <c r="AA37" s="119"/>
      <c r="AB37" s="119"/>
      <c r="AC37" s="119"/>
      <c r="AD37" s="119"/>
      <c r="AE37" s="119"/>
      <c r="AF37" s="119"/>
      <c r="AG37" s="119"/>
      <c r="AH37" s="119"/>
      <c r="AI37" s="119">
        <f t="shared" ref="AI37:AI68" si="8">-SUM(N37:AH37)</f>
        <v>-69.374999999999986</v>
      </c>
      <c r="AJ37" s="118">
        <f t="shared" ref="AJ37:AJ68" si="9">SUM(H37:K37)+AI37+O37</f>
        <v>1.4321877017664519E-14</v>
      </c>
    </row>
    <row r="38" spans="1:36" s="94" customFormat="1" ht="12.95" customHeight="1" x14ac:dyDescent="0.2">
      <c r="A38" s="134"/>
      <c r="B38" s="132">
        <v>11650</v>
      </c>
      <c r="C38" s="132">
        <v>2058</v>
      </c>
      <c r="D38" s="131" t="s">
        <v>94</v>
      </c>
      <c r="E38" s="132" t="s">
        <v>93</v>
      </c>
      <c r="F38" s="131">
        <v>130510</v>
      </c>
      <c r="G38" s="131" t="s">
        <v>79</v>
      </c>
      <c r="H38" s="123"/>
      <c r="I38" s="123"/>
      <c r="J38" s="122"/>
      <c r="K38" s="121">
        <v>2600</v>
      </c>
      <c r="L38" s="120">
        <v>0.01</v>
      </c>
      <c r="M38" s="141">
        <f t="shared" si="5"/>
        <v>2321.4285714285711</v>
      </c>
      <c r="N38" s="141">
        <f t="shared" si="6"/>
        <v>278.5714285714285</v>
      </c>
      <c r="O38" s="119">
        <f t="shared" si="7"/>
        <v>-23.214285714285712</v>
      </c>
      <c r="P38" s="119"/>
      <c r="Q38" s="119"/>
      <c r="R38" s="119"/>
      <c r="S38" s="119"/>
      <c r="T38" s="119"/>
      <c r="U38" s="119"/>
      <c r="V38" s="119"/>
      <c r="W38" s="119">
        <f>M38</f>
        <v>2321.4285714285711</v>
      </c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>
        <f t="shared" si="8"/>
        <v>-2576.7857142857138</v>
      </c>
      <c r="AJ38" s="118">
        <f t="shared" si="9"/>
        <v>5.2224891078367364E-13</v>
      </c>
    </row>
    <row r="39" spans="1:36" s="94" customFormat="1" ht="12.95" customHeight="1" x14ac:dyDescent="0.2">
      <c r="A39" s="134"/>
      <c r="B39" s="132">
        <v>11652</v>
      </c>
      <c r="C39" s="132">
        <v>2084</v>
      </c>
      <c r="D39" s="131" t="s">
        <v>81</v>
      </c>
      <c r="E39" s="132" t="s">
        <v>80</v>
      </c>
      <c r="F39" s="131">
        <v>31049</v>
      </c>
      <c r="G39" s="131" t="s">
        <v>79</v>
      </c>
      <c r="H39" s="123"/>
      <c r="I39" s="123"/>
      <c r="J39" s="122"/>
      <c r="K39" s="121">
        <v>2974.75</v>
      </c>
      <c r="L39" s="120">
        <v>0.01</v>
      </c>
      <c r="M39" s="141">
        <f t="shared" si="5"/>
        <v>2656.0267857142853</v>
      </c>
      <c r="N39" s="141">
        <f t="shared" si="6"/>
        <v>318.72321428571422</v>
      </c>
      <c r="O39" s="119">
        <f t="shared" si="7"/>
        <v>-26.560267857142854</v>
      </c>
      <c r="P39" s="119"/>
      <c r="Q39" s="119"/>
      <c r="R39" s="119"/>
      <c r="S39" s="119"/>
      <c r="T39" s="119"/>
      <c r="U39" s="119"/>
      <c r="V39" s="119"/>
      <c r="W39" s="119">
        <f>M39</f>
        <v>2656.0267857142853</v>
      </c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>
        <f t="shared" si="8"/>
        <v>-2948.1897321428569</v>
      </c>
      <c r="AJ39" s="118">
        <f t="shared" si="9"/>
        <v>2.6290081223123707E-13</v>
      </c>
    </row>
    <row r="40" spans="1:36" s="94" customFormat="1" ht="12.95" customHeight="1" x14ac:dyDescent="0.2">
      <c r="A40" s="134">
        <v>43483</v>
      </c>
      <c r="B40" s="132">
        <v>11653</v>
      </c>
      <c r="C40" s="132">
        <v>2092</v>
      </c>
      <c r="D40" s="131" t="s">
        <v>66</v>
      </c>
      <c r="E40" s="132" t="s">
        <v>65</v>
      </c>
      <c r="F40" s="131">
        <v>152937</v>
      </c>
      <c r="G40" s="131" t="s">
        <v>64</v>
      </c>
      <c r="H40" s="123"/>
      <c r="I40" s="123"/>
      <c r="J40" s="122">
        <v>2100</v>
      </c>
      <c r="K40" s="121">
        <v>0</v>
      </c>
      <c r="L40" s="120">
        <v>0.01</v>
      </c>
      <c r="M40" s="141">
        <f t="shared" si="5"/>
        <v>2100</v>
      </c>
      <c r="N40" s="141">
        <f t="shared" si="6"/>
        <v>0</v>
      </c>
      <c r="O40" s="119">
        <f t="shared" si="7"/>
        <v>-21</v>
      </c>
      <c r="P40" s="119">
        <f>M40</f>
        <v>2100</v>
      </c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>
        <f t="shared" si="8"/>
        <v>-2079</v>
      </c>
      <c r="AJ40" s="118">
        <f t="shared" si="9"/>
        <v>0</v>
      </c>
    </row>
    <row r="41" spans="1:36" s="94" customFormat="1" ht="12.95" customHeight="1" x14ac:dyDescent="0.2">
      <c r="A41" s="134"/>
      <c r="B41" s="132">
        <v>11654</v>
      </c>
      <c r="C41" s="132">
        <v>2093</v>
      </c>
      <c r="D41" s="131" t="s">
        <v>92</v>
      </c>
      <c r="E41" s="132" t="s">
        <v>91</v>
      </c>
      <c r="F41" s="131">
        <v>510945787</v>
      </c>
      <c r="G41" s="131" t="s">
        <v>76</v>
      </c>
      <c r="H41" s="123"/>
      <c r="I41" s="123"/>
      <c r="J41" s="142"/>
      <c r="K41" s="121">
        <v>5514</v>
      </c>
      <c r="L41" s="120">
        <v>0.01</v>
      </c>
      <c r="M41" s="141">
        <f t="shared" si="5"/>
        <v>4923.2142857142853</v>
      </c>
      <c r="N41" s="141">
        <f t="shared" si="6"/>
        <v>590.78571428571422</v>
      </c>
      <c r="O41" s="119">
        <f t="shared" si="7"/>
        <v>-49.232142857142854</v>
      </c>
      <c r="P41" s="119"/>
      <c r="Q41" s="119">
        <f>M41</f>
        <v>4923.2142857142853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>
        <f t="shared" si="8"/>
        <v>-5464.7678571428569</v>
      </c>
      <c r="AJ41" s="118">
        <f t="shared" si="9"/>
        <v>2.6290081223123707E-13</v>
      </c>
    </row>
    <row r="42" spans="1:36" s="94" customFormat="1" ht="12.95" customHeight="1" x14ac:dyDescent="0.2">
      <c r="A42" s="134"/>
      <c r="B42" s="132">
        <v>11655</v>
      </c>
      <c r="C42" s="132">
        <v>2095</v>
      </c>
      <c r="D42" s="131" t="s">
        <v>68</v>
      </c>
      <c r="E42" s="132">
        <v>139564</v>
      </c>
      <c r="F42" s="131">
        <v>239207</v>
      </c>
      <c r="G42" s="131" t="s">
        <v>67</v>
      </c>
      <c r="H42" s="123"/>
      <c r="I42" s="123"/>
      <c r="J42" s="142"/>
      <c r="K42" s="121">
        <v>3464.08</v>
      </c>
      <c r="L42" s="120">
        <v>0.01</v>
      </c>
      <c r="M42" s="141">
        <f t="shared" si="5"/>
        <v>3092.9285714285711</v>
      </c>
      <c r="N42" s="141">
        <f t="shared" si="6"/>
        <v>371.15142857142854</v>
      </c>
      <c r="O42" s="119">
        <f t="shared" si="7"/>
        <v>-30.929285714285712</v>
      </c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>
        <f>M42</f>
        <v>3092.9285714285711</v>
      </c>
      <c r="AI42" s="119">
        <f t="shared" si="8"/>
        <v>-3433.150714285714</v>
      </c>
      <c r="AJ42" s="118">
        <f t="shared" si="9"/>
        <v>2.1316282072803006E-13</v>
      </c>
    </row>
    <row r="43" spans="1:36" s="94" customFormat="1" ht="12.95" customHeight="1" x14ac:dyDescent="0.2">
      <c r="A43" s="134"/>
      <c r="B43" s="132">
        <v>11656</v>
      </c>
      <c r="C43" s="132">
        <v>2096</v>
      </c>
      <c r="D43" s="131" t="s">
        <v>70</v>
      </c>
      <c r="E43" s="132" t="s">
        <v>69</v>
      </c>
      <c r="F43" s="131">
        <v>16570</v>
      </c>
      <c r="G43" s="131" t="s">
        <v>64</v>
      </c>
      <c r="H43" s="123"/>
      <c r="I43" s="123"/>
      <c r="J43" s="122">
        <v>476</v>
      </c>
      <c r="K43" s="121">
        <v>0</v>
      </c>
      <c r="L43" s="120">
        <v>0.01</v>
      </c>
      <c r="M43" s="141">
        <f t="shared" si="5"/>
        <v>476</v>
      </c>
      <c r="N43" s="141">
        <f t="shared" si="6"/>
        <v>0</v>
      </c>
      <c r="O43" s="119">
        <f t="shared" si="7"/>
        <v>-4.76</v>
      </c>
      <c r="P43" s="119">
        <f>M43</f>
        <v>476</v>
      </c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>
        <f t="shared" si="8"/>
        <v>-471.24</v>
      </c>
      <c r="AJ43" s="118">
        <f t="shared" si="9"/>
        <v>-8.8817841970012523E-15</v>
      </c>
    </row>
    <row r="44" spans="1:36" s="94" customFormat="1" ht="12.95" customHeight="1" x14ac:dyDescent="0.2">
      <c r="A44" s="134">
        <v>43486</v>
      </c>
      <c r="B44" s="132">
        <v>11657</v>
      </c>
      <c r="C44" s="132">
        <v>2097</v>
      </c>
      <c r="D44" s="131" t="s">
        <v>66</v>
      </c>
      <c r="E44" s="132" t="s">
        <v>65</v>
      </c>
      <c r="F44" s="131">
        <v>153087</v>
      </c>
      <c r="G44" s="131" t="s">
        <v>64</v>
      </c>
      <c r="H44" s="123"/>
      <c r="I44" s="123"/>
      <c r="J44" s="122">
        <v>3200</v>
      </c>
      <c r="K44" s="121">
        <v>0</v>
      </c>
      <c r="L44" s="120">
        <v>0.01</v>
      </c>
      <c r="M44" s="141">
        <f t="shared" si="5"/>
        <v>3200</v>
      </c>
      <c r="N44" s="141">
        <f t="shared" si="6"/>
        <v>0</v>
      </c>
      <c r="O44" s="119">
        <f t="shared" si="7"/>
        <v>-32</v>
      </c>
      <c r="P44" s="119">
        <f>M44</f>
        <v>3200</v>
      </c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>
        <f t="shared" si="8"/>
        <v>-3168</v>
      </c>
      <c r="AJ44" s="118">
        <f t="shared" si="9"/>
        <v>0</v>
      </c>
    </row>
    <row r="45" spans="1:36" s="94" customFormat="1" ht="12.95" customHeight="1" x14ac:dyDescent="0.2">
      <c r="A45" s="134"/>
      <c r="B45" s="132">
        <v>11658</v>
      </c>
      <c r="C45" s="132">
        <v>2098</v>
      </c>
      <c r="D45" s="131" t="s">
        <v>72</v>
      </c>
      <c r="E45" s="132" t="s">
        <v>71</v>
      </c>
      <c r="F45" s="131">
        <v>71026</v>
      </c>
      <c r="G45" s="131" t="s">
        <v>64</v>
      </c>
      <c r="H45" s="123"/>
      <c r="I45" s="123"/>
      <c r="J45" s="142">
        <v>5200</v>
      </c>
      <c r="K45" s="121">
        <v>0</v>
      </c>
      <c r="L45" s="120">
        <v>0.01</v>
      </c>
      <c r="M45" s="141">
        <f t="shared" si="5"/>
        <v>5200</v>
      </c>
      <c r="N45" s="141">
        <f t="shared" si="6"/>
        <v>0</v>
      </c>
      <c r="O45" s="119">
        <f t="shared" si="7"/>
        <v>-52</v>
      </c>
      <c r="P45" s="119">
        <f>M45</f>
        <v>5200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>
        <f t="shared" si="8"/>
        <v>-5148</v>
      </c>
      <c r="AJ45" s="118">
        <f t="shared" si="9"/>
        <v>0</v>
      </c>
    </row>
    <row r="46" spans="1:36" s="94" customFormat="1" ht="12.95" customHeight="1" x14ac:dyDescent="0.2">
      <c r="A46" s="134"/>
      <c r="B46" s="132">
        <v>11659</v>
      </c>
      <c r="C46" s="132">
        <v>2099</v>
      </c>
      <c r="D46" s="131" t="s">
        <v>72</v>
      </c>
      <c r="E46" s="132" t="s">
        <v>71</v>
      </c>
      <c r="F46" s="131">
        <v>71027</v>
      </c>
      <c r="G46" s="131" t="s">
        <v>75</v>
      </c>
      <c r="H46" s="123"/>
      <c r="I46" s="123"/>
      <c r="J46" s="142">
        <v>1967.5</v>
      </c>
      <c r="K46" s="121">
        <v>0</v>
      </c>
      <c r="L46" s="120">
        <v>0.01</v>
      </c>
      <c r="M46" s="141">
        <f t="shared" si="5"/>
        <v>1967.5</v>
      </c>
      <c r="N46" s="141">
        <f t="shared" si="6"/>
        <v>0</v>
      </c>
      <c r="O46" s="119">
        <f t="shared" si="7"/>
        <v>-19.675000000000001</v>
      </c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>
        <f>M46</f>
        <v>1967.5</v>
      </c>
      <c r="AA46" s="119"/>
      <c r="AB46" s="119"/>
      <c r="AC46" s="119"/>
      <c r="AD46" s="119"/>
      <c r="AE46" s="119"/>
      <c r="AF46" s="119"/>
      <c r="AG46" s="119"/>
      <c r="AH46" s="119"/>
      <c r="AI46" s="119">
        <f t="shared" si="8"/>
        <v>-1947.825</v>
      </c>
      <c r="AJ46" s="118">
        <f t="shared" si="9"/>
        <v>-4.6185277824406512E-14</v>
      </c>
    </row>
    <row r="47" spans="1:36" s="94" customFormat="1" ht="12.95" customHeight="1" x14ac:dyDescent="0.2">
      <c r="A47" s="134"/>
      <c r="B47" s="132">
        <v>11660</v>
      </c>
      <c r="C47" s="132">
        <v>2100</v>
      </c>
      <c r="D47" s="131" t="s">
        <v>70</v>
      </c>
      <c r="E47" s="132" t="s">
        <v>69</v>
      </c>
      <c r="F47" s="131">
        <v>16702</v>
      </c>
      <c r="G47" s="131" t="s">
        <v>75</v>
      </c>
      <c r="H47" s="123"/>
      <c r="I47" s="123"/>
      <c r="J47" s="142">
        <v>270</v>
      </c>
      <c r="K47" s="121">
        <v>0</v>
      </c>
      <c r="L47" s="120">
        <v>0.01</v>
      </c>
      <c r="M47" s="141">
        <f t="shared" si="5"/>
        <v>270</v>
      </c>
      <c r="N47" s="141">
        <f t="shared" si="6"/>
        <v>0</v>
      </c>
      <c r="O47" s="119">
        <f t="shared" si="7"/>
        <v>-2.7</v>
      </c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>
        <f>M47</f>
        <v>270</v>
      </c>
      <c r="AA47" s="119"/>
      <c r="AB47" s="119"/>
      <c r="AC47" s="119"/>
      <c r="AD47" s="119"/>
      <c r="AE47" s="119"/>
      <c r="AF47" s="119"/>
      <c r="AG47" s="119"/>
      <c r="AH47" s="119"/>
      <c r="AI47" s="119">
        <f t="shared" si="8"/>
        <v>-267.3</v>
      </c>
      <c r="AJ47" s="118">
        <f t="shared" si="9"/>
        <v>-1.1546319456101628E-14</v>
      </c>
    </row>
    <row r="48" spans="1:36" s="94" customFormat="1" ht="12.95" customHeight="1" x14ac:dyDescent="0.2">
      <c r="A48" s="134"/>
      <c r="B48" s="132">
        <v>11660</v>
      </c>
      <c r="C48" s="132">
        <v>2100</v>
      </c>
      <c r="D48" s="131" t="s">
        <v>70</v>
      </c>
      <c r="E48" s="132" t="s">
        <v>69</v>
      </c>
      <c r="F48" s="131">
        <v>16702</v>
      </c>
      <c r="G48" s="131" t="s">
        <v>64</v>
      </c>
      <c r="H48" s="123"/>
      <c r="I48" s="123"/>
      <c r="J48" s="142">
        <v>2177.6</v>
      </c>
      <c r="K48" s="121">
        <v>0</v>
      </c>
      <c r="L48" s="120">
        <v>0.01</v>
      </c>
      <c r="M48" s="141">
        <f t="shared" si="5"/>
        <v>2177.6</v>
      </c>
      <c r="N48" s="141">
        <f t="shared" si="6"/>
        <v>0</v>
      </c>
      <c r="O48" s="119">
        <f t="shared" si="7"/>
        <v>-21.776</v>
      </c>
      <c r="P48" s="119">
        <f t="shared" ref="P48:P53" si="10">M48</f>
        <v>2177.6</v>
      </c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>
        <f t="shared" si="8"/>
        <v>-2155.8240000000001</v>
      </c>
      <c r="AJ48" s="118">
        <f t="shared" si="9"/>
        <v>-1.5987211554602254E-13</v>
      </c>
    </row>
    <row r="49" spans="1:36" s="94" customFormat="1" ht="12.95" customHeight="1" x14ac:dyDescent="0.2">
      <c r="A49" s="134"/>
      <c r="B49" s="132">
        <v>11662</v>
      </c>
      <c r="C49" s="132">
        <v>2028</v>
      </c>
      <c r="D49" s="131" t="s">
        <v>88</v>
      </c>
      <c r="E49" s="132" t="s">
        <v>87</v>
      </c>
      <c r="F49" s="131">
        <v>38215</v>
      </c>
      <c r="G49" s="131" t="s">
        <v>64</v>
      </c>
      <c r="H49" s="123"/>
      <c r="I49" s="123"/>
      <c r="J49" s="122"/>
      <c r="K49" s="121">
        <v>13841.5</v>
      </c>
      <c r="L49" s="120">
        <v>0.01</v>
      </c>
      <c r="M49" s="141">
        <f t="shared" si="5"/>
        <v>12358.482142857141</v>
      </c>
      <c r="N49" s="141">
        <f t="shared" si="6"/>
        <v>1483.0178571428569</v>
      </c>
      <c r="O49" s="119">
        <f t="shared" si="7"/>
        <v>-123.58482142857142</v>
      </c>
      <c r="P49" s="119">
        <f t="shared" si="10"/>
        <v>12358.482142857141</v>
      </c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>
        <f t="shared" si="8"/>
        <v>-13717.915178571428</v>
      </c>
      <c r="AJ49" s="118">
        <f t="shared" si="9"/>
        <v>1.0516032489249483E-12</v>
      </c>
    </row>
    <row r="50" spans="1:36" s="94" customFormat="1" ht="12.95" customHeight="1" x14ac:dyDescent="0.2">
      <c r="A50" s="134"/>
      <c r="B50" s="132">
        <v>11663</v>
      </c>
      <c r="C50" s="132">
        <v>2112</v>
      </c>
      <c r="D50" s="131" t="s">
        <v>90</v>
      </c>
      <c r="E50" s="132" t="s">
        <v>89</v>
      </c>
      <c r="F50" s="131">
        <v>5115</v>
      </c>
      <c r="G50" s="131" t="s">
        <v>64</v>
      </c>
      <c r="H50" s="123"/>
      <c r="I50" s="123"/>
      <c r="J50" s="142"/>
      <c r="K50" s="121">
        <v>4000</v>
      </c>
      <c r="L50" s="120">
        <v>0.01</v>
      </c>
      <c r="M50" s="141">
        <f t="shared" si="5"/>
        <v>3571.4285714285711</v>
      </c>
      <c r="N50" s="141">
        <f t="shared" si="6"/>
        <v>428.5714285714285</v>
      </c>
      <c r="O50" s="119">
        <f t="shared" si="7"/>
        <v>-35.714285714285715</v>
      </c>
      <c r="P50" s="119">
        <f t="shared" si="10"/>
        <v>3571.4285714285711</v>
      </c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>
        <f t="shared" si="8"/>
        <v>-3964.2857142857138</v>
      </c>
      <c r="AJ50" s="118">
        <f t="shared" si="9"/>
        <v>5.1869619710487314E-13</v>
      </c>
    </row>
    <row r="51" spans="1:36" s="94" customFormat="1" ht="12.95" customHeight="1" x14ac:dyDescent="0.2">
      <c r="A51" s="134">
        <v>43487</v>
      </c>
      <c r="B51" s="132">
        <v>11664</v>
      </c>
      <c r="C51" s="132">
        <v>2114</v>
      </c>
      <c r="D51" s="131" t="s">
        <v>70</v>
      </c>
      <c r="E51" s="132" t="s">
        <v>69</v>
      </c>
      <c r="F51" s="131">
        <v>16736</v>
      </c>
      <c r="G51" s="131" t="s">
        <v>64</v>
      </c>
      <c r="H51" s="123"/>
      <c r="I51" s="123"/>
      <c r="J51" s="142">
        <v>672</v>
      </c>
      <c r="K51" s="121">
        <v>0</v>
      </c>
      <c r="L51" s="120">
        <v>0.01</v>
      </c>
      <c r="M51" s="141">
        <f t="shared" si="5"/>
        <v>672</v>
      </c>
      <c r="N51" s="141">
        <f t="shared" si="6"/>
        <v>0</v>
      </c>
      <c r="O51" s="119">
        <f t="shared" si="7"/>
        <v>-6.72</v>
      </c>
      <c r="P51" s="119">
        <f t="shared" si="10"/>
        <v>672</v>
      </c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>
        <f t="shared" si="8"/>
        <v>-665.28</v>
      </c>
      <c r="AJ51" s="118">
        <f t="shared" si="9"/>
        <v>2.7533531010703882E-14</v>
      </c>
    </row>
    <row r="52" spans="1:36" s="94" customFormat="1" ht="12.95" customHeight="1" x14ac:dyDescent="0.2">
      <c r="A52" s="134"/>
      <c r="B52" s="132">
        <v>11665</v>
      </c>
      <c r="C52" s="132">
        <v>2103</v>
      </c>
      <c r="D52" s="131" t="s">
        <v>88</v>
      </c>
      <c r="E52" s="132" t="s">
        <v>87</v>
      </c>
      <c r="F52" s="131">
        <v>38221</v>
      </c>
      <c r="G52" s="131" t="s">
        <v>64</v>
      </c>
      <c r="H52" s="123"/>
      <c r="I52" s="123"/>
      <c r="J52" s="142"/>
      <c r="K52" s="121">
        <v>4128</v>
      </c>
      <c r="L52" s="120">
        <v>0.01</v>
      </c>
      <c r="M52" s="141">
        <f t="shared" si="5"/>
        <v>3685.7142857142853</v>
      </c>
      <c r="N52" s="141">
        <f t="shared" si="6"/>
        <v>442.28571428571422</v>
      </c>
      <c r="O52" s="119">
        <f t="shared" si="7"/>
        <v>-36.857142857142854</v>
      </c>
      <c r="P52" s="119">
        <f t="shared" si="10"/>
        <v>3685.7142857142853</v>
      </c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>
        <f t="shared" si="8"/>
        <v>-4091.1428571428569</v>
      </c>
      <c r="AJ52" s="118">
        <f t="shared" si="9"/>
        <v>2.6290081223123707E-13</v>
      </c>
    </row>
    <row r="53" spans="1:36" s="94" customFormat="1" ht="12.95" customHeight="1" x14ac:dyDescent="0.2">
      <c r="A53" s="134">
        <v>43489</v>
      </c>
      <c r="B53" s="132">
        <v>11666</v>
      </c>
      <c r="C53" s="132">
        <v>2118</v>
      </c>
      <c r="D53" s="131" t="s">
        <v>86</v>
      </c>
      <c r="E53" s="132" t="s">
        <v>85</v>
      </c>
      <c r="F53" s="131">
        <v>21970</v>
      </c>
      <c r="G53" s="131" t="s">
        <v>64</v>
      </c>
      <c r="H53" s="123"/>
      <c r="I53" s="123"/>
      <c r="J53" s="142"/>
      <c r="K53" s="121">
        <v>14497</v>
      </c>
      <c r="L53" s="120">
        <v>0.01</v>
      </c>
      <c r="M53" s="141">
        <f t="shared" si="5"/>
        <v>12943.749999999998</v>
      </c>
      <c r="N53" s="141">
        <f t="shared" si="6"/>
        <v>1553.2499999999998</v>
      </c>
      <c r="O53" s="119">
        <f t="shared" si="7"/>
        <v>-129.43749999999997</v>
      </c>
      <c r="P53" s="119">
        <f t="shared" si="10"/>
        <v>12943.749999999998</v>
      </c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>
        <f t="shared" si="8"/>
        <v>-14367.562499999998</v>
      </c>
      <c r="AJ53" s="118">
        <f t="shared" si="9"/>
        <v>1.8474111129762605E-12</v>
      </c>
    </row>
    <row r="54" spans="1:36" s="94" customFormat="1" ht="12.95" customHeight="1" x14ac:dyDescent="0.2">
      <c r="A54" s="134"/>
      <c r="B54" s="132">
        <v>11666</v>
      </c>
      <c r="C54" s="132">
        <v>2118</v>
      </c>
      <c r="D54" s="131" t="s">
        <v>86</v>
      </c>
      <c r="E54" s="132" t="s">
        <v>85</v>
      </c>
      <c r="F54" s="131">
        <v>21970</v>
      </c>
      <c r="G54" s="131" t="s">
        <v>79</v>
      </c>
      <c r="H54" s="123"/>
      <c r="I54" s="123"/>
      <c r="J54" s="142"/>
      <c r="K54" s="121">
        <v>6420</v>
      </c>
      <c r="L54" s="120">
        <v>0.01</v>
      </c>
      <c r="M54" s="141">
        <f t="shared" si="5"/>
        <v>5732.1428571428569</v>
      </c>
      <c r="N54" s="141">
        <f t="shared" si="6"/>
        <v>687.85714285714278</v>
      </c>
      <c r="O54" s="119">
        <f t="shared" si="7"/>
        <v>-57.321428571428569</v>
      </c>
      <c r="P54" s="119"/>
      <c r="Q54" s="119"/>
      <c r="R54" s="119"/>
      <c r="S54" s="119"/>
      <c r="T54" s="119"/>
      <c r="U54" s="119"/>
      <c r="V54" s="119"/>
      <c r="W54" s="119">
        <f>M54</f>
        <v>5732.1428571428569</v>
      </c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>
        <f t="shared" si="8"/>
        <v>-6362.6785714285706</v>
      </c>
      <c r="AJ54" s="118">
        <f t="shared" si="9"/>
        <v>7.815970093361102E-13</v>
      </c>
    </row>
    <row r="55" spans="1:36" s="94" customFormat="1" ht="12.95" customHeight="1" x14ac:dyDescent="0.2">
      <c r="A55" s="134"/>
      <c r="B55" s="132">
        <v>11668</v>
      </c>
      <c r="C55" s="132">
        <v>2106</v>
      </c>
      <c r="D55" s="131" t="s">
        <v>84</v>
      </c>
      <c r="E55" s="132" t="s">
        <v>83</v>
      </c>
      <c r="F55" s="131">
        <v>76133</v>
      </c>
      <c r="G55" s="131" t="s">
        <v>82</v>
      </c>
      <c r="H55" s="123"/>
      <c r="I55" s="123"/>
      <c r="J55" s="142"/>
      <c r="K55" s="121">
        <v>215.38</v>
      </c>
      <c r="L55" s="120">
        <v>0.01</v>
      </c>
      <c r="M55" s="141">
        <f t="shared" si="5"/>
        <v>192.30357142857142</v>
      </c>
      <c r="N55" s="141">
        <f t="shared" si="6"/>
        <v>23.076428571428568</v>
      </c>
      <c r="O55" s="119">
        <f t="shared" si="7"/>
        <v>-1.9230357142857142</v>
      </c>
      <c r="P55" s="119"/>
      <c r="Q55" s="119"/>
      <c r="R55" s="119"/>
      <c r="S55" s="119"/>
      <c r="T55" s="119"/>
      <c r="U55" s="119"/>
      <c r="V55" s="119">
        <f>M55</f>
        <v>192.30357142857142</v>
      </c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>
        <f t="shared" si="8"/>
        <v>-213.45696428571426</v>
      </c>
      <c r="AJ55" s="118">
        <f t="shared" si="9"/>
        <v>1.7319479184152442E-14</v>
      </c>
    </row>
    <row r="56" spans="1:36" s="94" customFormat="1" ht="12.95" customHeight="1" x14ac:dyDescent="0.2">
      <c r="A56" s="134"/>
      <c r="B56" s="132">
        <v>11668</v>
      </c>
      <c r="C56" s="132">
        <v>2106</v>
      </c>
      <c r="D56" s="131" t="s">
        <v>84</v>
      </c>
      <c r="E56" s="132" t="s">
        <v>83</v>
      </c>
      <c r="F56" s="131">
        <v>76133</v>
      </c>
      <c r="G56" s="131" t="s">
        <v>82</v>
      </c>
      <c r="H56" s="123"/>
      <c r="I56" s="123"/>
      <c r="J56" s="142"/>
      <c r="K56" s="121">
        <v>981.31</v>
      </c>
      <c r="L56" s="120">
        <v>0.01</v>
      </c>
      <c r="M56" s="141">
        <f t="shared" si="5"/>
        <v>876.16964285714278</v>
      </c>
      <c r="N56" s="141">
        <f t="shared" si="6"/>
        <v>105.14035714285713</v>
      </c>
      <c r="O56" s="119">
        <f t="shared" si="7"/>
        <v>-8.7616964285714278</v>
      </c>
      <c r="P56" s="119"/>
      <c r="Q56" s="119"/>
      <c r="R56" s="119"/>
      <c r="S56" s="119"/>
      <c r="T56" s="119"/>
      <c r="U56" s="119"/>
      <c r="V56" s="119">
        <f>M56</f>
        <v>876.16964285714278</v>
      </c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>
        <f t="shared" si="8"/>
        <v>-972.54830357142851</v>
      </c>
      <c r="AJ56" s="118">
        <f t="shared" si="9"/>
        <v>0</v>
      </c>
    </row>
    <row r="57" spans="1:36" s="94" customFormat="1" ht="12.95" customHeight="1" x14ac:dyDescent="0.2">
      <c r="A57" s="134"/>
      <c r="B57" s="132">
        <v>11669</v>
      </c>
      <c r="C57" s="132">
        <v>2105</v>
      </c>
      <c r="D57" s="131" t="s">
        <v>81</v>
      </c>
      <c r="E57" s="132" t="s">
        <v>80</v>
      </c>
      <c r="F57" s="131">
        <v>31075</v>
      </c>
      <c r="G57" s="131" t="s">
        <v>79</v>
      </c>
      <c r="H57" s="123"/>
      <c r="I57" s="123"/>
      <c r="J57" s="122"/>
      <c r="K57" s="121">
        <v>1590</v>
      </c>
      <c r="L57" s="120">
        <v>0.01</v>
      </c>
      <c r="M57" s="141">
        <f t="shared" si="5"/>
        <v>1419.6428571428571</v>
      </c>
      <c r="N57" s="141">
        <f t="shared" si="6"/>
        <v>170.35714285714283</v>
      </c>
      <c r="O57" s="119">
        <f t="shared" si="7"/>
        <v>-14.196428571428571</v>
      </c>
      <c r="P57" s="119"/>
      <c r="Q57" s="119"/>
      <c r="R57" s="119"/>
      <c r="S57" s="119"/>
      <c r="T57" s="119"/>
      <c r="U57" s="119"/>
      <c r="V57" s="119"/>
      <c r="W57" s="119">
        <f>M57</f>
        <v>1419.6428571428571</v>
      </c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>
        <f t="shared" si="8"/>
        <v>-1575.8035714285713</v>
      </c>
      <c r="AJ57" s="118">
        <f t="shared" si="9"/>
        <v>9.7699626167013776E-14</v>
      </c>
    </row>
    <row r="58" spans="1:36" s="94" customFormat="1" ht="12.95" customHeight="1" x14ac:dyDescent="0.2">
      <c r="A58" s="134"/>
      <c r="B58" s="132">
        <v>11669</v>
      </c>
      <c r="C58" s="132">
        <v>2105</v>
      </c>
      <c r="D58" s="131" t="s">
        <v>81</v>
      </c>
      <c r="E58" s="132" t="s">
        <v>80</v>
      </c>
      <c r="F58" s="131">
        <v>31075</v>
      </c>
      <c r="G58" s="131" t="s">
        <v>79</v>
      </c>
      <c r="H58" s="123"/>
      <c r="I58" s="123"/>
      <c r="J58" s="122">
        <v>0</v>
      </c>
      <c r="K58" s="121">
        <v>660.75</v>
      </c>
      <c r="L58" s="120">
        <v>0.01</v>
      </c>
      <c r="M58" s="141">
        <f t="shared" si="5"/>
        <v>589.95535714285711</v>
      </c>
      <c r="N58" s="141">
        <f t="shared" si="6"/>
        <v>70.794642857142847</v>
      </c>
      <c r="O58" s="119">
        <f t="shared" si="7"/>
        <v>-5.8995535714285712</v>
      </c>
      <c r="P58" s="119"/>
      <c r="Q58" s="119"/>
      <c r="R58" s="119"/>
      <c r="S58" s="119"/>
      <c r="T58" s="119"/>
      <c r="U58" s="119"/>
      <c r="V58" s="119"/>
      <c r="W58" s="119">
        <f>M58</f>
        <v>589.95535714285711</v>
      </c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>
        <f t="shared" si="8"/>
        <v>-654.85044642857133</v>
      </c>
      <c r="AJ58" s="118">
        <f t="shared" si="9"/>
        <v>9.7699626167013776E-14</v>
      </c>
    </row>
    <row r="59" spans="1:36" s="94" customFormat="1" ht="12.95" customHeight="1" x14ac:dyDescent="0.2">
      <c r="A59" s="134">
        <v>43490</v>
      </c>
      <c r="B59" s="132">
        <v>11670</v>
      </c>
      <c r="C59" s="132">
        <v>2110</v>
      </c>
      <c r="D59" s="131" t="s">
        <v>70</v>
      </c>
      <c r="E59" s="132" t="s">
        <v>69</v>
      </c>
      <c r="F59" s="131">
        <v>16823</v>
      </c>
      <c r="G59" s="131" t="s">
        <v>64</v>
      </c>
      <c r="H59" s="123"/>
      <c r="I59" s="123"/>
      <c r="J59" s="122">
        <v>365</v>
      </c>
      <c r="K59" s="121">
        <v>0</v>
      </c>
      <c r="L59" s="120">
        <v>0.01</v>
      </c>
      <c r="M59" s="141">
        <f t="shared" si="5"/>
        <v>365</v>
      </c>
      <c r="N59" s="141">
        <f t="shared" si="6"/>
        <v>0</v>
      </c>
      <c r="O59" s="119">
        <f t="shared" si="7"/>
        <v>-3.65</v>
      </c>
      <c r="P59" s="119">
        <f>M59</f>
        <v>365</v>
      </c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>
        <f t="shared" si="8"/>
        <v>-361.35</v>
      </c>
      <c r="AJ59" s="118">
        <f t="shared" si="9"/>
        <v>-2.2648549702353193E-14</v>
      </c>
    </row>
    <row r="60" spans="1:36" s="94" customFormat="1" ht="12.95" customHeight="1" x14ac:dyDescent="0.2">
      <c r="A60" s="134"/>
      <c r="B60" s="132">
        <v>11671</v>
      </c>
      <c r="C60" s="132">
        <v>2094</v>
      </c>
      <c r="D60" s="131" t="s">
        <v>78</v>
      </c>
      <c r="E60" s="132" t="s">
        <v>77</v>
      </c>
      <c r="F60" s="131">
        <v>94242</v>
      </c>
      <c r="G60" s="131" t="s">
        <v>76</v>
      </c>
      <c r="H60" s="123"/>
      <c r="I60" s="123"/>
      <c r="J60" s="122">
        <v>0</v>
      </c>
      <c r="K60" s="121">
        <v>5029</v>
      </c>
      <c r="L60" s="120">
        <v>0.01</v>
      </c>
      <c r="M60" s="141">
        <f t="shared" si="5"/>
        <v>4490.1785714285706</v>
      </c>
      <c r="N60" s="141">
        <f t="shared" si="6"/>
        <v>538.82142857142844</v>
      </c>
      <c r="O60" s="119">
        <f t="shared" si="7"/>
        <v>-44.901785714285708</v>
      </c>
      <c r="P60" s="119"/>
      <c r="Q60" s="119">
        <f>M60</f>
        <v>4490.1785714285706</v>
      </c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>
        <f t="shared" si="8"/>
        <v>-4984.0982142857138</v>
      </c>
      <c r="AJ60" s="118">
        <f t="shared" si="9"/>
        <v>5.2580162446247414E-13</v>
      </c>
    </row>
    <row r="61" spans="1:36" s="94" customFormat="1" ht="12.95" customHeight="1" x14ac:dyDescent="0.2">
      <c r="A61" s="134">
        <v>43493</v>
      </c>
      <c r="B61" s="132">
        <v>11672</v>
      </c>
      <c r="C61" s="132">
        <v>2112</v>
      </c>
      <c r="D61" s="131" t="s">
        <v>72</v>
      </c>
      <c r="E61" s="132" t="s">
        <v>71</v>
      </c>
      <c r="F61" s="131">
        <v>71035</v>
      </c>
      <c r="G61" s="131" t="s">
        <v>64</v>
      </c>
      <c r="H61" s="123"/>
      <c r="I61" s="123"/>
      <c r="J61" s="122">
        <v>150</v>
      </c>
      <c r="K61" s="121">
        <v>0</v>
      </c>
      <c r="L61" s="120">
        <v>0.01</v>
      </c>
      <c r="M61" s="141">
        <f t="shared" si="5"/>
        <v>150</v>
      </c>
      <c r="N61" s="141">
        <f t="shared" si="6"/>
        <v>0</v>
      </c>
      <c r="O61" s="119">
        <f t="shared" si="7"/>
        <v>-1.5</v>
      </c>
      <c r="P61" s="119">
        <f>M61</f>
        <v>150</v>
      </c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>
        <f t="shared" si="8"/>
        <v>-148.5</v>
      </c>
      <c r="AJ61" s="118">
        <f t="shared" si="9"/>
        <v>0</v>
      </c>
    </row>
    <row r="62" spans="1:36" s="94" customFormat="1" ht="12.95" customHeight="1" x14ac:dyDescent="0.2">
      <c r="A62" s="134"/>
      <c r="B62" s="132">
        <v>11673</v>
      </c>
      <c r="C62" s="132">
        <v>2113</v>
      </c>
      <c r="D62" s="131" t="s">
        <v>72</v>
      </c>
      <c r="E62" s="132" t="s">
        <v>71</v>
      </c>
      <c r="F62" s="131">
        <v>71033</v>
      </c>
      <c r="G62" s="131" t="s">
        <v>64</v>
      </c>
      <c r="H62" s="123"/>
      <c r="I62" s="123"/>
      <c r="J62" s="122">
        <v>5900</v>
      </c>
      <c r="K62" s="121">
        <v>0</v>
      </c>
      <c r="L62" s="120">
        <v>0.01</v>
      </c>
      <c r="M62" s="141">
        <f t="shared" si="5"/>
        <v>5900</v>
      </c>
      <c r="N62" s="141">
        <f t="shared" si="6"/>
        <v>0</v>
      </c>
      <c r="O62" s="119">
        <f t="shared" si="7"/>
        <v>-59</v>
      </c>
      <c r="P62" s="119">
        <f>M62</f>
        <v>5900</v>
      </c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>
        <f t="shared" si="8"/>
        <v>-5841</v>
      </c>
      <c r="AJ62" s="118">
        <f t="shared" si="9"/>
        <v>0</v>
      </c>
    </row>
    <row r="63" spans="1:36" s="94" customFormat="1" ht="12.95" customHeight="1" x14ac:dyDescent="0.2">
      <c r="A63" s="134"/>
      <c r="B63" s="132">
        <v>11674</v>
      </c>
      <c r="C63" s="132">
        <v>2114</v>
      </c>
      <c r="D63" s="131" t="s">
        <v>72</v>
      </c>
      <c r="E63" s="132" t="s">
        <v>71</v>
      </c>
      <c r="F63" s="131">
        <v>71034</v>
      </c>
      <c r="G63" s="131" t="s">
        <v>75</v>
      </c>
      <c r="H63" s="123"/>
      <c r="I63" s="123"/>
      <c r="J63" s="122">
        <v>1590</v>
      </c>
      <c r="K63" s="121">
        <v>0</v>
      </c>
      <c r="L63" s="120">
        <v>0.01</v>
      </c>
      <c r="M63" s="141">
        <f t="shared" si="5"/>
        <v>1590</v>
      </c>
      <c r="N63" s="141">
        <f t="shared" si="6"/>
        <v>0</v>
      </c>
      <c r="O63" s="119">
        <f t="shared" si="7"/>
        <v>-15.9</v>
      </c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>
        <f>M63</f>
        <v>1590</v>
      </c>
      <c r="AA63" s="119"/>
      <c r="AB63" s="119"/>
      <c r="AC63" s="119"/>
      <c r="AD63" s="119"/>
      <c r="AE63" s="119"/>
      <c r="AF63" s="119"/>
      <c r="AG63" s="119"/>
      <c r="AH63" s="119"/>
      <c r="AI63" s="119">
        <f t="shared" si="8"/>
        <v>-1574.1</v>
      </c>
      <c r="AJ63" s="118">
        <f t="shared" si="9"/>
        <v>9.0594198809412774E-14</v>
      </c>
    </row>
    <row r="64" spans="1:36" s="94" customFormat="1" ht="12.95" customHeight="1" x14ac:dyDescent="0.2">
      <c r="A64" s="134"/>
      <c r="B64" s="132">
        <v>11675</v>
      </c>
      <c r="C64" s="132">
        <v>2115</v>
      </c>
      <c r="D64" s="131" t="s">
        <v>70</v>
      </c>
      <c r="E64" s="132" t="s">
        <v>69</v>
      </c>
      <c r="F64" s="131">
        <v>16903</v>
      </c>
      <c r="G64" s="131" t="s">
        <v>75</v>
      </c>
      <c r="H64" s="123"/>
      <c r="I64" s="123"/>
      <c r="J64" s="142">
        <v>272.10000000000002</v>
      </c>
      <c r="K64" s="121">
        <v>0</v>
      </c>
      <c r="L64" s="120">
        <v>0.01</v>
      </c>
      <c r="M64" s="141">
        <f t="shared" si="5"/>
        <v>272.10000000000002</v>
      </c>
      <c r="N64" s="141">
        <f t="shared" si="6"/>
        <v>0</v>
      </c>
      <c r="O64" s="119">
        <f t="shared" si="7"/>
        <v>-2.7210000000000001</v>
      </c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>
        <f>M64</f>
        <v>272.10000000000002</v>
      </c>
      <c r="AA64" s="119"/>
      <c r="AB64" s="119"/>
      <c r="AC64" s="119"/>
      <c r="AD64" s="119"/>
      <c r="AE64" s="119"/>
      <c r="AF64" s="119"/>
      <c r="AG64" s="119"/>
      <c r="AH64" s="119"/>
      <c r="AI64" s="119">
        <f t="shared" si="8"/>
        <v>-269.37900000000002</v>
      </c>
      <c r="AJ64" s="118">
        <f t="shared" si="9"/>
        <v>3.5527136788005009E-15</v>
      </c>
    </row>
    <row r="65" spans="1:36" s="94" customFormat="1" ht="12.95" customHeight="1" x14ac:dyDescent="0.2">
      <c r="A65" s="134"/>
      <c r="B65" s="132">
        <v>11675</v>
      </c>
      <c r="C65" s="132">
        <v>2115</v>
      </c>
      <c r="D65" s="131" t="s">
        <v>70</v>
      </c>
      <c r="E65" s="132" t="s">
        <v>69</v>
      </c>
      <c r="F65" s="131">
        <v>16903</v>
      </c>
      <c r="G65" s="131" t="s">
        <v>64</v>
      </c>
      <c r="H65" s="123"/>
      <c r="I65" s="123"/>
      <c r="J65" s="142">
        <v>3146.1</v>
      </c>
      <c r="K65" s="121">
        <v>0</v>
      </c>
      <c r="L65" s="120">
        <v>0.01</v>
      </c>
      <c r="M65" s="141">
        <f t="shared" si="5"/>
        <v>3146.1</v>
      </c>
      <c r="N65" s="141">
        <f t="shared" si="6"/>
        <v>0</v>
      </c>
      <c r="O65" s="119">
        <f t="shared" si="7"/>
        <v>-31.460999999999999</v>
      </c>
      <c r="P65" s="119">
        <f>M65</f>
        <v>3146.1</v>
      </c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>
        <f t="shared" si="8"/>
        <v>-3114.6390000000001</v>
      </c>
      <c r="AJ65" s="118">
        <f t="shared" si="9"/>
        <v>-2.1316282072803006E-13</v>
      </c>
    </row>
    <row r="66" spans="1:36" s="94" customFormat="1" ht="12.95" customHeight="1" x14ac:dyDescent="0.2">
      <c r="A66" s="134">
        <v>43494</v>
      </c>
      <c r="B66" s="132">
        <v>11677</v>
      </c>
      <c r="C66" s="132">
        <v>2111</v>
      </c>
      <c r="D66" s="131" t="s">
        <v>74</v>
      </c>
      <c r="E66" s="132" t="s">
        <v>73</v>
      </c>
      <c r="F66" s="131">
        <v>69791</v>
      </c>
      <c r="G66" s="131" t="s">
        <v>64</v>
      </c>
      <c r="H66" s="123"/>
      <c r="I66" s="123"/>
      <c r="J66" s="142">
        <v>0</v>
      </c>
      <c r="K66" s="121">
        <v>6662.4</v>
      </c>
      <c r="L66" s="120">
        <v>0.01</v>
      </c>
      <c r="M66" s="141">
        <f t="shared" si="5"/>
        <v>5948.5714285714275</v>
      </c>
      <c r="N66" s="141">
        <f t="shared" si="6"/>
        <v>713.82857142857131</v>
      </c>
      <c r="O66" s="119">
        <f t="shared" si="7"/>
        <v>-59.485714285714273</v>
      </c>
      <c r="P66" s="119">
        <f>M66</f>
        <v>5948.5714285714275</v>
      </c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>
        <f t="shared" si="8"/>
        <v>-6602.9142857142842</v>
      </c>
      <c r="AJ66" s="118">
        <f t="shared" si="9"/>
        <v>1.1297629498585593E-12</v>
      </c>
    </row>
    <row r="67" spans="1:36" s="94" customFormat="1" ht="12.95" customHeight="1" x14ac:dyDescent="0.2">
      <c r="A67" s="134">
        <v>43495</v>
      </c>
      <c r="B67" s="132">
        <v>11678</v>
      </c>
      <c r="C67" s="132">
        <v>2117</v>
      </c>
      <c r="D67" s="131" t="s">
        <v>72</v>
      </c>
      <c r="E67" s="132" t="s">
        <v>71</v>
      </c>
      <c r="F67" s="131">
        <v>71037</v>
      </c>
      <c r="G67" s="131" t="s">
        <v>64</v>
      </c>
      <c r="H67" s="123"/>
      <c r="I67" s="123"/>
      <c r="J67" s="122">
        <v>2392</v>
      </c>
      <c r="K67" s="121">
        <v>0</v>
      </c>
      <c r="L67" s="120">
        <v>0.01</v>
      </c>
      <c r="M67" s="141">
        <f t="shared" si="5"/>
        <v>2392</v>
      </c>
      <c r="N67" s="141">
        <f t="shared" si="6"/>
        <v>0</v>
      </c>
      <c r="O67" s="119">
        <f t="shared" si="7"/>
        <v>-23.92</v>
      </c>
      <c r="P67" s="119">
        <f>M67</f>
        <v>2392</v>
      </c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>
        <f t="shared" si="8"/>
        <v>-2368.08</v>
      </c>
      <c r="AJ67" s="118">
        <f t="shared" si="9"/>
        <v>7.1054273576010019E-14</v>
      </c>
    </row>
    <row r="68" spans="1:36" s="94" customFormat="1" ht="12.95" customHeight="1" x14ac:dyDescent="0.2">
      <c r="A68" s="134"/>
      <c r="B68" s="132">
        <v>11679</v>
      </c>
      <c r="C68" s="132">
        <v>2118</v>
      </c>
      <c r="D68" s="131" t="s">
        <v>66</v>
      </c>
      <c r="E68" s="132" t="s">
        <v>65</v>
      </c>
      <c r="F68" s="131">
        <v>153823</v>
      </c>
      <c r="G68" s="131" t="s">
        <v>64</v>
      </c>
      <c r="H68" s="123"/>
      <c r="I68" s="123"/>
      <c r="J68" s="122">
        <v>2100</v>
      </c>
      <c r="K68" s="121">
        <v>0</v>
      </c>
      <c r="L68" s="120">
        <v>0.01</v>
      </c>
      <c r="M68" s="141">
        <f t="shared" si="5"/>
        <v>2100</v>
      </c>
      <c r="N68" s="141">
        <f t="shared" si="6"/>
        <v>0</v>
      </c>
      <c r="O68" s="119">
        <f t="shared" si="7"/>
        <v>-21</v>
      </c>
      <c r="P68" s="119">
        <f>M68</f>
        <v>2100</v>
      </c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>
        <f t="shared" si="8"/>
        <v>-2079</v>
      </c>
      <c r="AJ68" s="118">
        <f t="shared" si="9"/>
        <v>0</v>
      </c>
    </row>
    <row r="69" spans="1:36" s="94" customFormat="1" ht="12.95" customHeight="1" x14ac:dyDescent="0.2">
      <c r="A69" s="134"/>
      <c r="B69" s="132">
        <v>11680</v>
      </c>
      <c r="C69" s="132">
        <v>2119</v>
      </c>
      <c r="D69" s="131" t="s">
        <v>70</v>
      </c>
      <c r="E69" s="132" t="s">
        <v>69</v>
      </c>
      <c r="F69" s="131">
        <v>17517</v>
      </c>
      <c r="G69" s="131" t="s">
        <v>64</v>
      </c>
      <c r="H69" s="123"/>
      <c r="I69" s="123"/>
      <c r="J69" s="122">
        <v>0</v>
      </c>
      <c r="K69" s="121">
        <v>390</v>
      </c>
      <c r="L69" s="120">
        <v>0.01</v>
      </c>
      <c r="M69" s="141">
        <f t="shared" ref="M69:M96" si="11">SUM(H69:J69,K69/1.12)</f>
        <v>348.21428571428567</v>
      </c>
      <c r="N69" s="141">
        <f t="shared" ref="N69:N96" si="12">K69/1.12*0.12</f>
        <v>41.785714285714278</v>
      </c>
      <c r="O69" s="119">
        <f t="shared" ref="O69:O96" si="13">-SUM(I69:J69,K69/1.12)*L69</f>
        <v>-3.4821428571428568</v>
      </c>
      <c r="P69" s="119">
        <f>M69</f>
        <v>348.21428571428567</v>
      </c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>
        <f t="shared" ref="AI69:AI96" si="14">-SUM(N69:AH69)</f>
        <v>-386.51785714285711</v>
      </c>
      <c r="AJ69" s="118">
        <f t="shared" ref="AJ69:AJ96" si="15">SUM(H69:K69)+AI69+O69</f>
        <v>3.2862601528904634E-14</v>
      </c>
    </row>
    <row r="70" spans="1:36" s="94" customFormat="1" ht="12.95" customHeight="1" x14ac:dyDescent="0.2">
      <c r="A70" s="134">
        <v>43496</v>
      </c>
      <c r="B70" s="132">
        <v>11681</v>
      </c>
      <c r="C70" s="132">
        <v>2120</v>
      </c>
      <c r="D70" s="131" t="s">
        <v>68</v>
      </c>
      <c r="E70" s="132">
        <v>139564</v>
      </c>
      <c r="F70" s="131">
        <v>241351</v>
      </c>
      <c r="G70" s="131" t="s">
        <v>67</v>
      </c>
      <c r="H70" s="123"/>
      <c r="I70" s="123"/>
      <c r="J70" s="122">
        <v>0</v>
      </c>
      <c r="K70" s="121">
        <v>3338.48</v>
      </c>
      <c r="L70" s="120">
        <v>0.01</v>
      </c>
      <c r="M70" s="119">
        <f t="shared" si="11"/>
        <v>2980.7857142857142</v>
      </c>
      <c r="N70" s="119">
        <f t="shared" si="12"/>
        <v>357.69428571428568</v>
      </c>
      <c r="O70" s="119">
        <f t="shared" si="13"/>
        <v>-29.807857142857141</v>
      </c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>
        <f>M70</f>
        <v>2980.7857142857142</v>
      </c>
      <c r="AI70" s="119">
        <f t="shared" si="14"/>
        <v>-3308.6721428571427</v>
      </c>
      <c r="AJ70" s="118">
        <f t="shared" si="15"/>
        <v>1.5987211554602254E-13</v>
      </c>
    </row>
    <row r="71" spans="1:36" s="94" customFormat="1" ht="12.95" customHeight="1" x14ac:dyDescent="0.2">
      <c r="A71" s="134"/>
      <c r="B71" s="132">
        <v>11682</v>
      </c>
      <c r="C71" s="132">
        <v>2121</v>
      </c>
      <c r="D71" s="131" t="s">
        <v>66</v>
      </c>
      <c r="E71" s="132" t="s">
        <v>65</v>
      </c>
      <c r="F71" s="131">
        <v>153951</v>
      </c>
      <c r="G71" s="131" t="s">
        <v>64</v>
      </c>
      <c r="H71" s="123"/>
      <c r="I71" s="123"/>
      <c r="J71" s="122">
        <v>1100</v>
      </c>
      <c r="K71" s="121">
        <v>0</v>
      </c>
      <c r="L71" s="120">
        <v>0.01</v>
      </c>
      <c r="M71" s="119">
        <f t="shared" si="11"/>
        <v>1100</v>
      </c>
      <c r="N71" s="119">
        <f t="shared" si="12"/>
        <v>0</v>
      </c>
      <c r="O71" s="119">
        <f t="shared" si="13"/>
        <v>-11</v>
      </c>
      <c r="P71" s="119">
        <f>M71</f>
        <v>1100</v>
      </c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>
        <f t="shared" si="14"/>
        <v>-1089</v>
      </c>
      <c r="AJ71" s="118">
        <f t="shared" si="15"/>
        <v>0</v>
      </c>
    </row>
    <row r="72" spans="1:36" s="94" customFormat="1" ht="12.95" customHeight="1" x14ac:dyDescent="0.2">
      <c r="A72" s="134"/>
      <c r="B72" s="132"/>
      <c r="C72" s="132"/>
      <c r="D72" s="131"/>
      <c r="E72" s="132"/>
      <c r="F72" s="132"/>
      <c r="G72" s="131"/>
      <c r="H72" s="123"/>
      <c r="I72" s="123"/>
      <c r="J72" s="122">
        <v>0</v>
      </c>
      <c r="K72" s="121">
        <v>0</v>
      </c>
      <c r="L72" s="120">
        <v>0.01</v>
      </c>
      <c r="M72" s="119">
        <f t="shared" si="11"/>
        <v>0</v>
      </c>
      <c r="N72" s="119">
        <f t="shared" si="12"/>
        <v>0</v>
      </c>
      <c r="O72" s="119">
        <f t="shared" si="13"/>
        <v>0</v>
      </c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>
        <f t="shared" si="14"/>
        <v>0</v>
      </c>
      <c r="AJ72" s="118">
        <f t="shared" si="15"/>
        <v>0</v>
      </c>
    </row>
    <row r="73" spans="1:36" s="94" customFormat="1" ht="12.95" customHeight="1" x14ac:dyDescent="0.2">
      <c r="A73" s="134"/>
      <c r="B73" s="132"/>
      <c r="C73" s="132"/>
      <c r="D73" s="131"/>
      <c r="E73" s="132"/>
      <c r="F73" s="132"/>
      <c r="G73" s="131"/>
      <c r="H73" s="123"/>
      <c r="I73" s="123"/>
      <c r="J73" s="122">
        <v>0</v>
      </c>
      <c r="K73" s="121">
        <v>0</v>
      </c>
      <c r="L73" s="120">
        <v>0.01</v>
      </c>
      <c r="M73" s="119">
        <f t="shared" si="11"/>
        <v>0</v>
      </c>
      <c r="N73" s="119">
        <f t="shared" si="12"/>
        <v>0</v>
      </c>
      <c r="O73" s="119">
        <f t="shared" si="13"/>
        <v>0</v>
      </c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>
        <f t="shared" si="14"/>
        <v>0</v>
      </c>
      <c r="AJ73" s="118">
        <f t="shared" si="15"/>
        <v>0</v>
      </c>
    </row>
    <row r="74" spans="1:36" s="94" customFormat="1" ht="12.95" customHeight="1" x14ac:dyDescent="0.2">
      <c r="A74" s="134"/>
      <c r="B74" s="132"/>
      <c r="C74" s="132"/>
      <c r="D74" s="131"/>
      <c r="E74" s="132"/>
      <c r="F74" s="132"/>
      <c r="G74" s="131"/>
      <c r="H74" s="123"/>
      <c r="I74" s="123"/>
      <c r="J74" s="122">
        <v>0</v>
      </c>
      <c r="K74" s="121">
        <v>0</v>
      </c>
      <c r="L74" s="120">
        <v>0.01</v>
      </c>
      <c r="M74" s="119">
        <f t="shared" si="11"/>
        <v>0</v>
      </c>
      <c r="N74" s="119">
        <f t="shared" si="12"/>
        <v>0</v>
      </c>
      <c r="O74" s="119">
        <f t="shared" si="13"/>
        <v>0</v>
      </c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>
        <f t="shared" si="14"/>
        <v>0</v>
      </c>
      <c r="AJ74" s="118">
        <f t="shared" si="15"/>
        <v>0</v>
      </c>
    </row>
    <row r="75" spans="1:36" s="94" customFormat="1" ht="12.95" customHeight="1" x14ac:dyDescent="0.2">
      <c r="A75" s="134"/>
      <c r="B75" s="132"/>
      <c r="C75" s="132"/>
      <c r="D75" s="131"/>
      <c r="E75" s="132"/>
      <c r="F75" s="132"/>
      <c r="G75" s="131"/>
      <c r="H75" s="123"/>
      <c r="I75" s="123"/>
      <c r="J75" s="122">
        <v>0</v>
      </c>
      <c r="K75" s="121">
        <v>0</v>
      </c>
      <c r="L75" s="120">
        <v>0.01</v>
      </c>
      <c r="M75" s="119">
        <f t="shared" si="11"/>
        <v>0</v>
      </c>
      <c r="N75" s="119">
        <f t="shared" si="12"/>
        <v>0</v>
      </c>
      <c r="O75" s="119">
        <f t="shared" si="13"/>
        <v>0</v>
      </c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>
        <f t="shared" si="14"/>
        <v>0</v>
      </c>
      <c r="AJ75" s="118">
        <f t="shared" si="15"/>
        <v>0</v>
      </c>
    </row>
    <row r="76" spans="1:36" s="94" customFormat="1" ht="12.95" customHeight="1" x14ac:dyDescent="0.2">
      <c r="A76" s="134"/>
      <c r="B76" s="132"/>
      <c r="C76" s="132"/>
      <c r="D76" s="131"/>
      <c r="E76" s="132"/>
      <c r="F76" s="132"/>
      <c r="G76" s="131"/>
      <c r="H76" s="123"/>
      <c r="I76" s="123"/>
      <c r="J76" s="122">
        <v>0</v>
      </c>
      <c r="K76" s="121">
        <v>0</v>
      </c>
      <c r="L76" s="120">
        <v>0.01</v>
      </c>
      <c r="M76" s="119">
        <f t="shared" si="11"/>
        <v>0</v>
      </c>
      <c r="N76" s="119">
        <f t="shared" si="12"/>
        <v>0</v>
      </c>
      <c r="O76" s="119">
        <f t="shared" si="13"/>
        <v>0</v>
      </c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>
        <f t="shared" si="14"/>
        <v>0</v>
      </c>
      <c r="AJ76" s="118">
        <f t="shared" si="15"/>
        <v>0</v>
      </c>
    </row>
    <row r="77" spans="1:36" s="94" customFormat="1" ht="12.95" customHeight="1" x14ac:dyDescent="0.2">
      <c r="A77" s="134"/>
      <c r="B77" s="132"/>
      <c r="C77" s="132"/>
      <c r="D77" s="131"/>
      <c r="E77" s="132"/>
      <c r="F77" s="132"/>
      <c r="G77" s="131"/>
      <c r="H77" s="123"/>
      <c r="I77" s="123"/>
      <c r="J77" s="122">
        <v>0</v>
      </c>
      <c r="K77" s="121">
        <v>0</v>
      </c>
      <c r="L77" s="120">
        <v>0.01</v>
      </c>
      <c r="M77" s="119">
        <f t="shared" si="11"/>
        <v>0</v>
      </c>
      <c r="N77" s="119">
        <f t="shared" si="12"/>
        <v>0</v>
      </c>
      <c r="O77" s="119">
        <f t="shared" si="13"/>
        <v>0</v>
      </c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>
        <f t="shared" si="14"/>
        <v>0</v>
      </c>
      <c r="AJ77" s="118">
        <f t="shared" si="15"/>
        <v>0</v>
      </c>
    </row>
    <row r="78" spans="1:36" s="94" customFormat="1" ht="12.95" customHeight="1" x14ac:dyDescent="0.2">
      <c r="A78" s="134"/>
      <c r="B78" s="132"/>
      <c r="C78" s="132"/>
      <c r="D78" s="131"/>
      <c r="E78" s="132"/>
      <c r="F78" s="132"/>
      <c r="G78" s="131"/>
      <c r="H78" s="123"/>
      <c r="I78" s="123"/>
      <c r="J78" s="122">
        <v>0</v>
      </c>
      <c r="K78" s="121">
        <v>0</v>
      </c>
      <c r="L78" s="120">
        <v>0.01</v>
      </c>
      <c r="M78" s="119">
        <f t="shared" si="11"/>
        <v>0</v>
      </c>
      <c r="N78" s="119">
        <f t="shared" si="12"/>
        <v>0</v>
      </c>
      <c r="O78" s="119">
        <f t="shared" si="13"/>
        <v>0</v>
      </c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>
        <f t="shared" si="14"/>
        <v>0</v>
      </c>
      <c r="AJ78" s="118">
        <f t="shared" si="15"/>
        <v>0</v>
      </c>
    </row>
    <row r="79" spans="1:36" s="94" customFormat="1" ht="12.95" customHeight="1" x14ac:dyDescent="0.2">
      <c r="A79" s="134"/>
      <c r="B79" s="132"/>
      <c r="C79" s="132"/>
      <c r="D79" s="131"/>
      <c r="E79" s="132"/>
      <c r="F79" s="132"/>
      <c r="G79" s="131"/>
      <c r="H79" s="123"/>
      <c r="I79" s="123"/>
      <c r="J79" s="122">
        <v>0</v>
      </c>
      <c r="K79" s="121">
        <v>0</v>
      </c>
      <c r="L79" s="120">
        <v>0.01</v>
      </c>
      <c r="M79" s="119">
        <f t="shared" si="11"/>
        <v>0</v>
      </c>
      <c r="N79" s="119">
        <f t="shared" si="12"/>
        <v>0</v>
      </c>
      <c r="O79" s="119">
        <f t="shared" si="13"/>
        <v>0</v>
      </c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>
        <f t="shared" si="14"/>
        <v>0</v>
      </c>
      <c r="AJ79" s="118">
        <f t="shared" si="15"/>
        <v>0</v>
      </c>
    </row>
    <row r="80" spans="1:36" s="94" customFormat="1" ht="12.95" customHeight="1" x14ac:dyDescent="0.2">
      <c r="A80" s="134"/>
      <c r="B80" s="132"/>
      <c r="C80" s="132"/>
      <c r="D80" s="131"/>
      <c r="E80" s="132"/>
      <c r="F80" s="132"/>
      <c r="G80" s="131"/>
      <c r="H80" s="123"/>
      <c r="I80" s="123"/>
      <c r="J80" s="122">
        <v>0</v>
      </c>
      <c r="K80" s="121">
        <v>0</v>
      </c>
      <c r="L80" s="120">
        <v>0.01</v>
      </c>
      <c r="M80" s="119">
        <f t="shared" si="11"/>
        <v>0</v>
      </c>
      <c r="N80" s="119">
        <f t="shared" si="12"/>
        <v>0</v>
      </c>
      <c r="O80" s="119">
        <f t="shared" si="13"/>
        <v>0</v>
      </c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>
        <f t="shared" si="14"/>
        <v>0</v>
      </c>
      <c r="AJ80" s="118">
        <f t="shared" si="15"/>
        <v>0</v>
      </c>
    </row>
    <row r="81" spans="1:36" s="94" customFormat="1" ht="12.95" customHeight="1" x14ac:dyDescent="0.2">
      <c r="A81" s="134"/>
      <c r="B81" s="132"/>
      <c r="C81" s="132"/>
      <c r="D81" s="131"/>
      <c r="E81" s="132"/>
      <c r="F81" s="132"/>
      <c r="G81" s="131"/>
      <c r="H81" s="123"/>
      <c r="I81" s="123"/>
      <c r="J81" s="122">
        <v>0</v>
      </c>
      <c r="K81" s="121">
        <v>0</v>
      </c>
      <c r="L81" s="120">
        <v>0.01</v>
      </c>
      <c r="M81" s="119">
        <f t="shared" si="11"/>
        <v>0</v>
      </c>
      <c r="N81" s="119">
        <f t="shared" si="12"/>
        <v>0</v>
      </c>
      <c r="O81" s="119">
        <f t="shared" si="13"/>
        <v>0</v>
      </c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>
        <f t="shared" si="14"/>
        <v>0</v>
      </c>
      <c r="AJ81" s="118">
        <f t="shared" si="15"/>
        <v>0</v>
      </c>
    </row>
    <row r="82" spans="1:36" s="94" customFormat="1" ht="12.95" customHeight="1" x14ac:dyDescent="0.2">
      <c r="A82" s="134"/>
      <c r="B82" s="132"/>
      <c r="C82" s="132"/>
      <c r="D82" s="131"/>
      <c r="E82" s="132"/>
      <c r="F82" s="132"/>
      <c r="G82" s="131"/>
      <c r="H82" s="123"/>
      <c r="I82" s="123"/>
      <c r="J82" s="122">
        <v>0</v>
      </c>
      <c r="K82" s="121">
        <v>0</v>
      </c>
      <c r="L82" s="120">
        <v>0.01</v>
      </c>
      <c r="M82" s="119">
        <f t="shared" si="11"/>
        <v>0</v>
      </c>
      <c r="N82" s="119">
        <f t="shared" si="12"/>
        <v>0</v>
      </c>
      <c r="O82" s="119">
        <f t="shared" si="13"/>
        <v>0</v>
      </c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>
        <f t="shared" si="14"/>
        <v>0</v>
      </c>
      <c r="AJ82" s="118">
        <f t="shared" si="15"/>
        <v>0</v>
      </c>
    </row>
    <row r="83" spans="1:36" s="94" customFormat="1" ht="12.95" customHeight="1" x14ac:dyDescent="0.2">
      <c r="A83" s="134"/>
      <c r="B83" s="132"/>
      <c r="C83" s="132"/>
      <c r="D83" s="131"/>
      <c r="E83" s="132"/>
      <c r="F83" s="132"/>
      <c r="G83" s="131"/>
      <c r="H83" s="123"/>
      <c r="I83" s="123"/>
      <c r="J83" s="122">
        <v>0</v>
      </c>
      <c r="K83" s="121">
        <v>0</v>
      </c>
      <c r="L83" s="120">
        <v>0.01</v>
      </c>
      <c r="M83" s="119">
        <f t="shared" si="11"/>
        <v>0</v>
      </c>
      <c r="N83" s="119">
        <f t="shared" si="12"/>
        <v>0</v>
      </c>
      <c r="O83" s="119">
        <f t="shared" si="13"/>
        <v>0</v>
      </c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>
        <f t="shared" si="14"/>
        <v>0</v>
      </c>
      <c r="AJ83" s="118">
        <f t="shared" si="15"/>
        <v>0</v>
      </c>
    </row>
    <row r="84" spans="1:36" s="94" customFormat="1" ht="12.95" customHeight="1" x14ac:dyDescent="0.2">
      <c r="A84" s="140"/>
      <c r="B84" s="138"/>
      <c r="C84" s="138"/>
      <c r="D84" s="139"/>
      <c r="E84" s="138"/>
      <c r="F84" s="138"/>
      <c r="G84" s="137"/>
      <c r="H84" s="123"/>
      <c r="I84" s="123"/>
      <c r="J84" s="122">
        <v>0</v>
      </c>
      <c r="K84" s="121">
        <v>0</v>
      </c>
      <c r="L84" s="120">
        <v>0.01</v>
      </c>
      <c r="M84" s="119">
        <f t="shared" si="11"/>
        <v>0</v>
      </c>
      <c r="N84" s="119">
        <f t="shared" si="12"/>
        <v>0</v>
      </c>
      <c r="O84" s="119">
        <f t="shared" si="13"/>
        <v>0</v>
      </c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>
        <f t="shared" si="14"/>
        <v>0</v>
      </c>
      <c r="AJ84" s="118">
        <f t="shared" si="15"/>
        <v>0</v>
      </c>
    </row>
    <row r="85" spans="1:36" s="94" customFormat="1" ht="12.95" customHeight="1" x14ac:dyDescent="0.2">
      <c r="A85" s="134"/>
      <c r="B85" s="132"/>
      <c r="C85" s="132"/>
      <c r="D85" s="133"/>
      <c r="E85" s="132"/>
      <c r="F85" s="132"/>
      <c r="G85" s="131"/>
      <c r="H85" s="123"/>
      <c r="I85" s="123"/>
      <c r="J85" s="122">
        <v>0</v>
      </c>
      <c r="K85" s="121">
        <v>0</v>
      </c>
      <c r="L85" s="120">
        <v>0.01</v>
      </c>
      <c r="M85" s="119">
        <f t="shared" si="11"/>
        <v>0</v>
      </c>
      <c r="N85" s="119">
        <f t="shared" si="12"/>
        <v>0</v>
      </c>
      <c r="O85" s="119">
        <f t="shared" si="13"/>
        <v>0</v>
      </c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>
        <f t="shared" si="14"/>
        <v>0</v>
      </c>
      <c r="AJ85" s="118">
        <f t="shared" si="15"/>
        <v>0</v>
      </c>
    </row>
    <row r="86" spans="1:36" s="94" customFormat="1" ht="12.95" customHeight="1" x14ac:dyDescent="0.2">
      <c r="A86" s="134"/>
      <c r="B86" s="132"/>
      <c r="C86" s="132"/>
      <c r="D86" s="133"/>
      <c r="E86" s="132"/>
      <c r="F86" s="132"/>
      <c r="G86" s="131"/>
      <c r="H86" s="123"/>
      <c r="I86" s="123"/>
      <c r="J86" s="122">
        <v>0</v>
      </c>
      <c r="K86" s="121">
        <v>0</v>
      </c>
      <c r="L86" s="120">
        <v>0.01</v>
      </c>
      <c r="M86" s="119">
        <f t="shared" si="11"/>
        <v>0</v>
      </c>
      <c r="N86" s="119">
        <f t="shared" si="12"/>
        <v>0</v>
      </c>
      <c r="O86" s="119">
        <f t="shared" si="13"/>
        <v>0</v>
      </c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>
        <f t="shared" si="14"/>
        <v>0</v>
      </c>
      <c r="AJ86" s="118">
        <f t="shared" si="15"/>
        <v>0</v>
      </c>
    </row>
    <row r="87" spans="1:36" s="94" customFormat="1" ht="12.95" customHeight="1" x14ac:dyDescent="0.2">
      <c r="A87" s="134"/>
      <c r="B87" s="132"/>
      <c r="C87" s="132"/>
      <c r="D87" s="133"/>
      <c r="E87" s="132"/>
      <c r="F87" s="132"/>
      <c r="G87" s="131"/>
      <c r="H87" s="123"/>
      <c r="I87" s="123"/>
      <c r="J87" s="122">
        <v>0</v>
      </c>
      <c r="K87" s="121">
        <v>0</v>
      </c>
      <c r="L87" s="120">
        <v>0.01</v>
      </c>
      <c r="M87" s="119">
        <f t="shared" si="11"/>
        <v>0</v>
      </c>
      <c r="N87" s="119">
        <f t="shared" si="12"/>
        <v>0</v>
      </c>
      <c r="O87" s="119">
        <f t="shared" si="13"/>
        <v>0</v>
      </c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>
        <f t="shared" si="14"/>
        <v>0</v>
      </c>
      <c r="AJ87" s="118">
        <f t="shared" si="15"/>
        <v>0</v>
      </c>
    </row>
    <row r="88" spans="1:36" s="94" customFormat="1" ht="12.95" customHeight="1" x14ac:dyDescent="0.2">
      <c r="A88" s="134"/>
      <c r="B88" s="132"/>
      <c r="C88" s="132"/>
      <c r="D88" s="133"/>
      <c r="E88" s="132"/>
      <c r="F88" s="132"/>
      <c r="G88" s="131"/>
      <c r="H88" s="123"/>
      <c r="I88" s="123"/>
      <c r="J88" s="122">
        <v>0</v>
      </c>
      <c r="K88" s="121">
        <v>0</v>
      </c>
      <c r="L88" s="120">
        <v>0.01</v>
      </c>
      <c r="M88" s="119">
        <f t="shared" si="11"/>
        <v>0</v>
      </c>
      <c r="N88" s="119">
        <f t="shared" si="12"/>
        <v>0</v>
      </c>
      <c r="O88" s="119">
        <f t="shared" si="13"/>
        <v>0</v>
      </c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>
        <f t="shared" si="14"/>
        <v>0</v>
      </c>
      <c r="AJ88" s="118">
        <f t="shared" si="15"/>
        <v>0</v>
      </c>
    </row>
    <row r="89" spans="1:36" s="94" customFormat="1" ht="12.95" customHeight="1" x14ac:dyDescent="0.2">
      <c r="A89" s="134"/>
      <c r="B89" s="132"/>
      <c r="C89" s="132"/>
      <c r="D89" s="133"/>
      <c r="E89" s="132"/>
      <c r="F89" s="132"/>
      <c r="G89" s="131"/>
      <c r="H89" s="123"/>
      <c r="I89" s="123"/>
      <c r="J89" s="122">
        <v>0</v>
      </c>
      <c r="K89" s="121">
        <v>0</v>
      </c>
      <c r="L89" s="120">
        <v>0.01</v>
      </c>
      <c r="M89" s="119">
        <f t="shared" si="11"/>
        <v>0</v>
      </c>
      <c r="N89" s="119">
        <f t="shared" si="12"/>
        <v>0</v>
      </c>
      <c r="O89" s="119">
        <f t="shared" si="13"/>
        <v>0</v>
      </c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>
        <f t="shared" si="14"/>
        <v>0</v>
      </c>
      <c r="AJ89" s="118">
        <f t="shared" si="15"/>
        <v>0</v>
      </c>
    </row>
    <row r="90" spans="1:36" ht="12.95" customHeight="1" x14ac:dyDescent="0.2">
      <c r="A90" s="134"/>
      <c r="B90" s="132"/>
      <c r="C90" s="132"/>
      <c r="D90" s="133"/>
      <c r="E90" s="132"/>
      <c r="F90" s="132"/>
      <c r="G90" s="131"/>
      <c r="H90" s="135"/>
      <c r="I90" s="135"/>
      <c r="J90" s="122">
        <v>0</v>
      </c>
      <c r="K90" s="121">
        <v>0</v>
      </c>
      <c r="L90" s="120">
        <v>0.01</v>
      </c>
      <c r="M90" s="119">
        <f t="shared" si="11"/>
        <v>0</v>
      </c>
      <c r="N90" s="119">
        <f t="shared" si="12"/>
        <v>0</v>
      </c>
      <c r="O90" s="119">
        <f t="shared" si="13"/>
        <v>0</v>
      </c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>
        <f t="shared" si="14"/>
        <v>0</v>
      </c>
      <c r="AJ90" s="118">
        <f t="shared" si="15"/>
        <v>0</v>
      </c>
    </row>
    <row r="91" spans="1:36" ht="12.95" customHeight="1" x14ac:dyDescent="0.25">
      <c r="A91" s="134"/>
      <c r="B91" s="132"/>
      <c r="C91" s="132"/>
      <c r="D91" s="133"/>
      <c r="E91" s="132"/>
      <c r="F91" s="136"/>
      <c r="G91" s="131"/>
      <c r="H91" s="135"/>
      <c r="I91" s="135"/>
      <c r="J91" s="122">
        <v>0</v>
      </c>
      <c r="K91" s="121">
        <v>0</v>
      </c>
      <c r="L91" s="120">
        <v>0.01</v>
      </c>
      <c r="M91" s="119">
        <f t="shared" si="11"/>
        <v>0</v>
      </c>
      <c r="N91" s="119">
        <f t="shared" si="12"/>
        <v>0</v>
      </c>
      <c r="O91" s="119">
        <f t="shared" si="13"/>
        <v>0</v>
      </c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>
        <f t="shared" si="14"/>
        <v>0</v>
      </c>
      <c r="AJ91" s="118">
        <f t="shared" si="15"/>
        <v>0</v>
      </c>
    </row>
    <row r="92" spans="1:36" ht="12.95" customHeight="1" x14ac:dyDescent="0.2">
      <c r="A92" s="134"/>
      <c r="B92" s="132"/>
      <c r="C92" s="132"/>
      <c r="D92" s="133"/>
      <c r="E92" s="132"/>
      <c r="F92" s="132"/>
      <c r="G92" s="131"/>
      <c r="H92" s="135"/>
      <c r="I92" s="135"/>
      <c r="J92" s="122">
        <v>0</v>
      </c>
      <c r="K92" s="121">
        <v>0</v>
      </c>
      <c r="L92" s="120">
        <v>0.01</v>
      </c>
      <c r="M92" s="119">
        <f t="shared" si="11"/>
        <v>0</v>
      </c>
      <c r="N92" s="119">
        <f t="shared" si="12"/>
        <v>0</v>
      </c>
      <c r="O92" s="119">
        <f t="shared" si="13"/>
        <v>0</v>
      </c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>
        <f t="shared" si="14"/>
        <v>0</v>
      </c>
      <c r="AJ92" s="118">
        <f t="shared" si="15"/>
        <v>0</v>
      </c>
    </row>
    <row r="93" spans="1:36" ht="12.95" customHeight="1" x14ac:dyDescent="0.2">
      <c r="A93" s="134"/>
      <c r="B93" s="132"/>
      <c r="C93" s="132"/>
      <c r="D93" s="133"/>
      <c r="E93" s="132"/>
      <c r="F93" s="132"/>
      <c r="G93" s="131"/>
      <c r="H93" s="123"/>
      <c r="I93" s="123"/>
      <c r="J93" s="122">
        <v>0</v>
      </c>
      <c r="K93" s="121">
        <v>0</v>
      </c>
      <c r="L93" s="120">
        <v>0.01</v>
      </c>
      <c r="M93" s="119">
        <f t="shared" si="11"/>
        <v>0</v>
      </c>
      <c r="N93" s="119">
        <f t="shared" si="12"/>
        <v>0</v>
      </c>
      <c r="O93" s="119">
        <f t="shared" si="13"/>
        <v>0</v>
      </c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>
        <f t="shared" si="14"/>
        <v>0</v>
      </c>
      <c r="AJ93" s="118">
        <f t="shared" si="15"/>
        <v>0</v>
      </c>
    </row>
    <row r="94" spans="1:36" ht="12.95" customHeight="1" x14ac:dyDescent="0.2">
      <c r="A94" s="130"/>
      <c r="B94" s="129"/>
      <c r="C94" s="128"/>
      <c r="D94" s="127"/>
      <c r="E94" s="126"/>
      <c r="F94" s="125"/>
      <c r="G94" s="124"/>
      <c r="H94" s="123"/>
      <c r="I94" s="123"/>
      <c r="J94" s="122">
        <v>0</v>
      </c>
      <c r="K94" s="121">
        <v>0</v>
      </c>
      <c r="L94" s="120">
        <v>0.01</v>
      </c>
      <c r="M94" s="119">
        <f t="shared" si="11"/>
        <v>0</v>
      </c>
      <c r="N94" s="119">
        <f t="shared" si="12"/>
        <v>0</v>
      </c>
      <c r="O94" s="119">
        <f t="shared" si="13"/>
        <v>0</v>
      </c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>
        <f t="shared" si="14"/>
        <v>0</v>
      </c>
      <c r="AJ94" s="118">
        <f t="shared" si="15"/>
        <v>0</v>
      </c>
    </row>
    <row r="95" spans="1:36" ht="12.95" customHeight="1" x14ac:dyDescent="0.2">
      <c r="A95" s="130"/>
      <c r="B95" s="129"/>
      <c r="C95" s="128"/>
      <c r="D95" s="127"/>
      <c r="E95" s="126"/>
      <c r="F95" s="125"/>
      <c r="G95" s="124"/>
      <c r="H95" s="123"/>
      <c r="I95" s="123"/>
      <c r="J95" s="122">
        <v>0</v>
      </c>
      <c r="K95" s="121">
        <v>0</v>
      </c>
      <c r="L95" s="120">
        <v>0.01</v>
      </c>
      <c r="M95" s="119">
        <f t="shared" si="11"/>
        <v>0</v>
      </c>
      <c r="N95" s="119">
        <f t="shared" si="12"/>
        <v>0</v>
      </c>
      <c r="O95" s="119">
        <f t="shared" si="13"/>
        <v>0</v>
      </c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>
        <f t="shared" si="14"/>
        <v>0</v>
      </c>
      <c r="AJ95" s="118">
        <f t="shared" si="15"/>
        <v>0</v>
      </c>
    </row>
    <row r="96" spans="1:36" ht="12.95" customHeight="1" x14ac:dyDescent="0.2">
      <c r="A96" s="130"/>
      <c r="B96" s="129"/>
      <c r="C96" s="128"/>
      <c r="D96" s="127"/>
      <c r="E96" s="126"/>
      <c r="F96" s="125"/>
      <c r="G96" s="124"/>
      <c r="H96" s="123"/>
      <c r="I96" s="123"/>
      <c r="J96" s="122">
        <v>0</v>
      </c>
      <c r="K96" s="121">
        <v>0</v>
      </c>
      <c r="L96" s="120">
        <v>0.01</v>
      </c>
      <c r="M96" s="119">
        <f t="shared" si="11"/>
        <v>0</v>
      </c>
      <c r="N96" s="119">
        <f t="shared" si="12"/>
        <v>0</v>
      </c>
      <c r="O96" s="119">
        <f t="shared" si="13"/>
        <v>0</v>
      </c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>
        <f t="shared" si="14"/>
        <v>0</v>
      </c>
      <c r="AJ96" s="118">
        <f t="shared" si="15"/>
        <v>0</v>
      </c>
    </row>
    <row r="97" spans="1:35" x14ac:dyDescent="0.2">
      <c r="A97" s="117"/>
      <c r="B97" s="116"/>
      <c r="C97" s="115"/>
      <c r="D97" s="113"/>
      <c r="E97" s="114"/>
      <c r="F97" s="114"/>
      <c r="G97" s="113"/>
      <c r="H97" s="110"/>
      <c r="I97" s="110"/>
      <c r="J97" s="112"/>
      <c r="K97" s="110"/>
      <c r="L97" s="111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</row>
    <row r="98" spans="1:35" s="101" customFormat="1" ht="12" thickBot="1" x14ac:dyDescent="0.25">
      <c r="A98" s="109"/>
      <c r="B98" s="108"/>
      <c r="C98" s="107"/>
      <c r="D98" s="105"/>
      <c r="E98" s="106"/>
      <c r="F98" s="106"/>
      <c r="G98" s="105"/>
      <c r="H98" s="104">
        <f>SUM(H6:H96)</f>
        <v>0</v>
      </c>
      <c r="I98" s="104">
        <f>SUM(I6:I96)</f>
        <v>0</v>
      </c>
      <c r="J98" s="102">
        <f>SUM(J5:J96)</f>
        <v>72702.83</v>
      </c>
      <c r="K98" s="102">
        <f>SUM(K5:K96)</f>
        <v>133311.67999999999</v>
      </c>
      <c r="L98" s="103"/>
      <c r="M98" s="102">
        <f t="shared" ref="M98:AI98" si="16">SUM(M5:M96)</f>
        <v>191731.11571428576</v>
      </c>
      <c r="N98" s="102">
        <f t="shared" si="16"/>
        <v>14283.394285714285</v>
      </c>
      <c r="O98" s="102">
        <f t="shared" si="16"/>
        <v>-1917.3111571428576</v>
      </c>
      <c r="P98" s="102">
        <f t="shared" si="16"/>
        <v>136447.79642857146</v>
      </c>
      <c r="Q98" s="102">
        <f t="shared" si="16"/>
        <v>16451.78571428571</v>
      </c>
      <c r="R98" s="102">
        <f t="shared" si="16"/>
        <v>0</v>
      </c>
      <c r="S98" s="102">
        <f t="shared" si="16"/>
        <v>1513.3928571428571</v>
      </c>
      <c r="T98" s="102">
        <f t="shared" si="16"/>
        <v>0</v>
      </c>
      <c r="U98" s="102">
        <f t="shared" si="16"/>
        <v>1607.1428571428569</v>
      </c>
      <c r="V98" s="102">
        <f t="shared" si="16"/>
        <v>2837.0178571428569</v>
      </c>
      <c r="W98" s="102">
        <f t="shared" si="16"/>
        <v>13378.124999999998</v>
      </c>
      <c r="X98" s="102">
        <f t="shared" si="16"/>
        <v>0</v>
      </c>
      <c r="Y98" s="102">
        <f t="shared" si="16"/>
        <v>62.499999999999993</v>
      </c>
      <c r="Z98" s="102">
        <f t="shared" si="16"/>
        <v>9981.7300000000014</v>
      </c>
      <c r="AA98" s="102">
        <f t="shared" si="16"/>
        <v>0</v>
      </c>
      <c r="AB98" s="102">
        <f t="shared" si="16"/>
        <v>0</v>
      </c>
      <c r="AC98" s="102">
        <f t="shared" si="16"/>
        <v>0</v>
      </c>
      <c r="AD98" s="102">
        <f t="shared" si="16"/>
        <v>0</v>
      </c>
      <c r="AE98" s="102">
        <f t="shared" si="16"/>
        <v>0</v>
      </c>
      <c r="AF98" s="102">
        <f t="shared" si="16"/>
        <v>0</v>
      </c>
      <c r="AG98" s="102">
        <f t="shared" si="16"/>
        <v>0</v>
      </c>
      <c r="AH98" s="102">
        <f t="shared" si="16"/>
        <v>9451.625</v>
      </c>
      <c r="AI98" s="102">
        <f t="shared" si="16"/>
        <v>-204097.19884285712</v>
      </c>
    </row>
    <row r="99" spans="1:35" ht="12" thickTop="1" x14ac:dyDescent="0.2">
      <c r="AH99" s="94" t="s">
        <v>63</v>
      </c>
      <c r="AI99" s="94">
        <f>+N100+AI98</f>
        <v>1917.3111571429181</v>
      </c>
    </row>
    <row r="100" spans="1:35" x14ac:dyDescent="0.2">
      <c r="K100" s="94">
        <f>+K98+J98</f>
        <v>206014.51</v>
      </c>
      <c r="N100" s="94">
        <f>+N98+M98</f>
        <v>206014.51000000004</v>
      </c>
      <c r="P100" s="94">
        <f>P98+Q98</f>
        <v>152899.58214285717</v>
      </c>
      <c r="AI100" s="94">
        <f>+AI98-AI99</f>
        <v>-206014.51000000004</v>
      </c>
    </row>
    <row r="102" spans="1:35" x14ac:dyDescent="0.2">
      <c r="A102" s="100"/>
      <c r="B102" s="98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3"/>
  <sheetViews>
    <sheetView workbookViewId="0"/>
  </sheetViews>
  <sheetFormatPr defaultRowHeight="11.25" x14ac:dyDescent="0.2"/>
  <cols>
    <col min="1" max="1" width="8.140625" style="424" customWidth="1"/>
    <col min="2" max="2" width="7.28515625" style="98" hidden="1" customWidth="1"/>
    <col min="3" max="3" width="24" style="93" customWidth="1"/>
    <col min="4" max="4" width="14" style="288" customWidth="1"/>
    <col min="5" max="5" width="28" style="288" customWidth="1"/>
    <col min="6" max="6" width="7.85546875" style="97" customWidth="1"/>
    <col min="7" max="7" width="31.5703125" style="93" customWidth="1"/>
    <col min="8" max="8" width="11" style="94" customWidth="1"/>
    <col min="9" max="9" width="8.42578125" style="94" customWidth="1"/>
    <col min="10" max="10" width="9.7109375" style="94" customWidth="1"/>
    <col min="11" max="11" width="10.42578125" style="94" customWidth="1"/>
    <col min="12" max="12" width="7.85546875" style="95" customWidth="1"/>
    <col min="13" max="13" width="9.7109375" style="94" customWidth="1"/>
    <col min="14" max="14" width="8.5703125" style="94" customWidth="1"/>
    <col min="15" max="15" width="9" style="94" customWidth="1"/>
    <col min="16" max="16" width="9.85546875" style="94" customWidth="1"/>
    <col min="17" max="17" width="7.85546875" style="94" customWidth="1"/>
    <col min="18" max="18" width="10.7109375" style="94" customWidth="1"/>
    <col min="19" max="19" width="8.140625" style="94" customWidth="1"/>
    <col min="20" max="21" width="9.140625" style="94" customWidth="1"/>
    <col min="22" max="22" width="10.5703125" style="94" customWidth="1"/>
    <col min="23" max="23" width="6.85546875" style="94" customWidth="1"/>
    <col min="24" max="24" width="9.85546875" style="94" customWidth="1"/>
    <col min="25" max="25" width="9.28515625" style="94" customWidth="1"/>
    <col min="26" max="26" width="8.28515625" style="94" customWidth="1"/>
    <col min="27" max="27" width="8.7109375" style="94" customWidth="1"/>
    <col min="28" max="28" width="9.5703125" style="94" customWidth="1"/>
    <col min="29" max="30" width="8" style="94" customWidth="1"/>
    <col min="31" max="31" width="10.140625" style="94" customWidth="1"/>
    <col min="32" max="32" width="0.140625" style="94" customWidth="1"/>
    <col min="33" max="33" width="10.7109375" style="94" customWidth="1"/>
    <col min="34" max="34" width="10.7109375" style="93" customWidth="1"/>
    <col min="35" max="16384" width="9.140625" style="93"/>
  </cols>
  <sheetData>
    <row r="1" spans="1:34" ht="12" customHeight="1" x14ac:dyDescent="0.2">
      <c r="A1" s="468" t="s">
        <v>541</v>
      </c>
      <c r="C1" s="467"/>
    </row>
    <row r="2" spans="1:34" ht="12" customHeight="1" x14ac:dyDescent="0.2">
      <c r="A2" s="468" t="s">
        <v>540</v>
      </c>
    </row>
    <row r="3" spans="1:34" ht="12" customHeight="1" x14ac:dyDescent="0.2">
      <c r="A3" s="468" t="s">
        <v>539</v>
      </c>
      <c r="B3" s="467"/>
      <c r="C3" s="152"/>
      <c r="N3" s="151">
        <v>1301</v>
      </c>
      <c r="O3" s="151">
        <v>2402</v>
      </c>
      <c r="P3" s="151">
        <v>5001</v>
      </c>
      <c r="Q3" s="151">
        <v>5002</v>
      </c>
      <c r="R3" s="151">
        <v>6220</v>
      </c>
      <c r="S3" s="151">
        <v>6219</v>
      </c>
      <c r="T3" s="151">
        <v>6212</v>
      </c>
      <c r="U3" s="151"/>
      <c r="V3" s="151"/>
      <c r="W3" s="151"/>
      <c r="X3" s="151"/>
      <c r="Y3" s="151" t="s">
        <v>538</v>
      </c>
      <c r="Z3" s="151"/>
      <c r="AA3" s="151">
        <v>6230</v>
      </c>
      <c r="AB3" s="151" t="s">
        <v>537</v>
      </c>
      <c r="AC3" s="151">
        <v>6202</v>
      </c>
      <c r="AD3" s="151"/>
      <c r="AE3" s="151">
        <v>6109</v>
      </c>
      <c r="AF3" s="151">
        <v>6236</v>
      </c>
      <c r="AG3" s="151">
        <v>1002</v>
      </c>
    </row>
    <row r="4" spans="1:34" s="144" customFormat="1" ht="43.5" customHeight="1" x14ac:dyDescent="0.25">
      <c r="A4" s="466" t="s">
        <v>536</v>
      </c>
      <c r="B4" s="463" t="s">
        <v>535</v>
      </c>
      <c r="C4" s="462" t="s">
        <v>534</v>
      </c>
      <c r="D4" s="462" t="s">
        <v>139</v>
      </c>
      <c r="E4" s="462" t="s">
        <v>533</v>
      </c>
      <c r="F4" s="462" t="s">
        <v>138</v>
      </c>
      <c r="G4" s="462" t="s">
        <v>137</v>
      </c>
      <c r="H4" s="462" t="s">
        <v>136</v>
      </c>
      <c r="I4" s="462" t="s">
        <v>135</v>
      </c>
      <c r="J4" s="462" t="s">
        <v>134</v>
      </c>
      <c r="K4" s="462" t="s">
        <v>133</v>
      </c>
      <c r="L4" s="461" t="s">
        <v>132</v>
      </c>
      <c r="M4" s="462" t="s">
        <v>131</v>
      </c>
      <c r="N4" s="459" t="s">
        <v>130</v>
      </c>
      <c r="O4" s="459" t="s">
        <v>129</v>
      </c>
      <c r="P4" s="459" t="s">
        <v>128</v>
      </c>
      <c r="Q4" s="459" t="s">
        <v>127</v>
      </c>
      <c r="R4" s="459" t="s">
        <v>532</v>
      </c>
      <c r="S4" s="459" t="s">
        <v>79</v>
      </c>
      <c r="T4" s="459" t="s">
        <v>109</v>
      </c>
      <c r="U4" s="459" t="s">
        <v>124</v>
      </c>
      <c r="V4" s="459" t="s">
        <v>531</v>
      </c>
      <c r="W4" s="459" t="s">
        <v>121</v>
      </c>
      <c r="X4" s="459" t="s">
        <v>530</v>
      </c>
      <c r="Y4" s="459" t="s">
        <v>529</v>
      </c>
      <c r="Z4" s="459" t="s">
        <v>528</v>
      </c>
      <c r="AA4" s="459" t="s">
        <v>527</v>
      </c>
      <c r="AB4" s="459" t="s">
        <v>526</v>
      </c>
      <c r="AC4" s="458" t="s">
        <v>525</v>
      </c>
      <c r="AD4" s="459" t="s">
        <v>523</v>
      </c>
      <c r="AE4" s="145" t="s">
        <v>524</v>
      </c>
      <c r="AF4" s="145" t="s">
        <v>523</v>
      </c>
      <c r="AG4" s="465" t="s">
        <v>522</v>
      </c>
    </row>
    <row r="5" spans="1:34" s="259" customFormat="1" ht="21.75" customHeight="1" x14ac:dyDescent="0.2">
      <c r="A5" s="443">
        <v>43467</v>
      </c>
      <c r="B5" s="442"/>
      <c r="C5" s="445" t="s">
        <v>413</v>
      </c>
      <c r="D5" s="445" t="s">
        <v>435</v>
      </c>
      <c r="E5" s="445" t="s">
        <v>434</v>
      </c>
      <c r="F5" s="440">
        <v>33580</v>
      </c>
      <c r="G5" s="439" t="s">
        <v>521</v>
      </c>
      <c r="H5" s="438"/>
      <c r="I5" s="438"/>
      <c r="J5" s="438"/>
      <c r="K5" s="438">
        <v>376</v>
      </c>
      <c r="L5" s="437"/>
      <c r="M5" s="444">
        <f t="shared" ref="M5:M36" si="0">SUM(H5:J5,K5/1.12)</f>
        <v>335.71428571428567</v>
      </c>
      <c r="N5" s="444">
        <f t="shared" ref="N5:N36" si="1">K5/1.12*0.12</f>
        <v>40.285714285714278</v>
      </c>
      <c r="O5" s="444">
        <f t="shared" ref="O5:O32" si="2">-SUM(I5:J5,K5/1.12)*L5</f>
        <v>0</v>
      </c>
      <c r="P5" s="444">
        <v>335.71</v>
      </c>
      <c r="Q5" s="314"/>
      <c r="R5" s="314"/>
      <c r="S5" s="314"/>
      <c r="T5" s="436"/>
      <c r="U5" s="436"/>
      <c r="V5" s="436"/>
      <c r="W5" s="436"/>
      <c r="X5" s="436"/>
      <c r="Y5" s="314"/>
      <c r="Z5" s="314"/>
      <c r="AA5" s="314"/>
      <c r="AB5" s="314"/>
      <c r="AC5" s="436"/>
      <c r="AD5" s="436"/>
      <c r="AE5" s="314"/>
      <c r="AF5" s="314"/>
      <c r="AG5" s="444">
        <f t="shared" ref="AG5:AG36" si="3">-SUM(N5:AF5)</f>
        <v>-375.99571428571426</v>
      </c>
      <c r="AH5" s="433">
        <f t="shared" ref="AH5:AH36" si="4">SUM(H5:K5)+AG5+O5</f>
        <v>4.2857142857428698E-3</v>
      </c>
    </row>
    <row r="6" spans="1:34" s="259" customFormat="1" ht="21.75" customHeight="1" x14ac:dyDescent="0.2">
      <c r="A6" s="443">
        <v>43467</v>
      </c>
      <c r="B6" s="442"/>
      <c r="C6" s="445" t="s">
        <v>384</v>
      </c>
      <c r="D6" s="445" t="s">
        <v>383</v>
      </c>
      <c r="E6" s="445" t="s">
        <v>382</v>
      </c>
      <c r="F6" s="440">
        <v>106464</v>
      </c>
      <c r="G6" s="439" t="s">
        <v>381</v>
      </c>
      <c r="H6" s="438"/>
      <c r="I6" s="438"/>
      <c r="J6" s="438"/>
      <c r="K6" s="438">
        <v>180</v>
      </c>
      <c r="L6" s="437"/>
      <c r="M6" s="444">
        <f t="shared" si="0"/>
        <v>160.71428571428569</v>
      </c>
      <c r="N6" s="444">
        <f t="shared" si="1"/>
        <v>19.285714285714281</v>
      </c>
      <c r="O6" s="444">
        <f t="shared" si="2"/>
        <v>0</v>
      </c>
      <c r="P6" s="444"/>
      <c r="Q6" s="314">
        <v>160.71</v>
      </c>
      <c r="R6" s="314"/>
      <c r="S6" s="314"/>
      <c r="T6" s="436"/>
      <c r="U6" s="436"/>
      <c r="V6" s="436"/>
      <c r="W6" s="436"/>
      <c r="X6" s="436"/>
      <c r="Y6" s="314"/>
      <c r="Z6" s="314"/>
      <c r="AA6" s="314"/>
      <c r="AB6" s="314"/>
      <c r="AC6" s="436"/>
      <c r="AD6" s="436"/>
      <c r="AE6" s="314"/>
      <c r="AF6" s="314"/>
      <c r="AG6" s="444">
        <f t="shared" si="3"/>
        <v>-179.99571428571429</v>
      </c>
      <c r="AH6" s="433">
        <f t="shared" si="4"/>
        <v>4.2857142857144481E-3</v>
      </c>
    </row>
    <row r="7" spans="1:34" s="259" customFormat="1" ht="21.75" customHeight="1" x14ac:dyDescent="0.2">
      <c r="A7" s="443">
        <v>43468</v>
      </c>
      <c r="B7" s="442"/>
      <c r="C7" s="445" t="s">
        <v>375</v>
      </c>
      <c r="D7" s="445" t="s">
        <v>374</v>
      </c>
      <c r="E7" s="445" t="s">
        <v>373</v>
      </c>
      <c r="F7" s="440">
        <v>172996</v>
      </c>
      <c r="G7" s="439" t="s">
        <v>520</v>
      </c>
      <c r="H7" s="438"/>
      <c r="I7" s="438"/>
      <c r="J7" s="438"/>
      <c r="K7" s="438">
        <f>802.1+96.25</f>
        <v>898.35</v>
      </c>
      <c r="L7" s="437"/>
      <c r="M7" s="444">
        <f t="shared" si="0"/>
        <v>802.09821428571422</v>
      </c>
      <c r="N7" s="444">
        <f t="shared" si="1"/>
        <v>96.251785714285703</v>
      </c>
      <c r="O7" s="444">
        <f t="shared" si="2"/>
        <v>0</v>
      </c>
      <c r="P7" s="444">
        <v>802.1</v>
      </c>
      <c r="Q7" s="314"/>
      <c r="R7" s="314"/>
      <c r="S7" s="314"/>
      <c r="T7" s="436"/>
      <c r="U7" s="436"/>
      <c r="V7" s="436"/>
      <c r="W7" s="436"/>
      <c r="X7" s="436"/>
      <c r="Y7" s="314"/>
      <c r="Z7" s="314"/>
      <c r="AA7" s="314"/>
      <c r="AB7" s="314"/>
      <c r="AC7" s="436"/>
      <c r="AD7" s="436"/>
      <c r="AE7" s="314"/>
      <c r="AF7" s="314"/>
      <c r="AG7" s="444">
        <f t="shared" si="3"/>
        <v>-898.35178571428571</v>
      </c>
      <c r="AH7" s="433">
        <f t="shared" si="4"/>
        <v>-1.7857142856883002E-3</v>
      </c>
    </row>
    <row r="8" spans="1:34" s="259" customFormat="1" ht="21.75" customHeight="1" x14ac:dyDescent="0.2">
      <c r="A8" s="443">
        <v>43468</v>
      </c>
      <c r="B8" s="442"/>
      <c r="C8" s="445" t="s">
        <v>375</v>
      </c>
      <c r="D8" s="445" t="s">
        <v>374</v>
      </c>
      <c r="E8" s="445" t="s">
        <v>373</v>
      </c>
      <c r="F8" s="440">
        <v>172996</v>
      </c>
      <c r="G8" s="439" t="s">
        <v>519</v>
      </c>
      <c r="H8" s="438"/>
      <c r="I8" s="438"/>
      <c r="J8" s="438">
        <v>31.95</v>
      </c>
      <c r="K8" s="438"/>
      <c r="L8" s="437"/>
      <c r="M8" s="444">
        <f t="shared" si="0"/>
        <v>31.95</v>
      </c>
      <c r="N8" s="444">
        <f t="shared" si="1"/>
        <v>0</v>
      </c>
      <c r="O8" s="444">
        <f t="shared" si="2"/>
        <v>0</v>
      </c>
      <c r="P8" s="444">
        <v>31.95</v>
      </c>
      <c r="Q8" s="314"/>
      <c r="R8" s="314"/>
      <c r="S8" s="314"/>
      <c r="T8" s="436"/>
      <c r="U8" s="436"/>
      <c r="V8" s="436"/>
      <c r="W8" s="436"/>
      <c r="X8" s="436"/>
      <c r="Y8" s="314"/>
      <c r="Z8" s="314"/>
      <c r="AA8" s="314"/>
      <c r="AB8" s="314"/>
      <c r="AC8" s="436"/>
      <c r="AD8" s="436"/>
      <c r="AE8" s="314"/>
      <c r="AF8" s="314"/>
      <c r="AG8" s="444">
        <f t="shared" si="3"/>
        <v>-31.95</v>
      </c>
      <c r="AH8" s="433">
        <f t="shared" si="4"/>
        <v>0</v>
      </c>
    </row>
    <row r="9" spans="1:34" s="259" customFormat="1" ht="21.75" customHeight="1" x14ac:dyDescent="0.2">
      <c r="A9" s="443">
        <v>43468</v>
      </c>
      <c r="B9" s="442"/>
      <c r="C9" s="445" t="s">
        <v>384</v>
      </c>
      <c r="D9" s="445" t="s">
        <v>383</v>
      </c>
      <c r="E9" s="445" t="s">
        <v>382</v>
      </c>
      <c r="F9" s="440">
        <v>106508</v>
      </c>
      <c r="G9" s="439" t="s">
        <v>381</v>
      </c>
      <c r="H9" s="438"/>
      <c r="I9" s="438"/>
      <c r="J9" s="438"/>
      <c r="K9" s="438">
        <v>180</v>
      </c>
      <c r="L9" s="437"/>
      <c r="M9" s="444">
        <f t="shared" si="0"/>
        <v>160.71428571428569</v>
      </c>
      <c r="N9" s="444">
        <f t="shared" si="1"/>
        <v>19.285714285714281</v>
      </c>
      <c r="O9" s="444">
        <f t="shared" si="2"/>
        <v>0</v>
      </c>
      <c r="P9" s="444"/>
      <c r="Q9" s="314">
        <v>160.71</v>
      </c>
      <c r="R9" s="314"/>
      <c r="S9" s="314"/>
      <c r="T9" s="436"/>
      <c r="U9" s="436"/>
      <c r="V9" s="436"/>
      <c r="W9" s="436"/>
      <c r="X9" s="436"/>
      <c r="Y9" s="314"/>
      <c r="Z9" s="314"/>
      <c r="AA9" s="314"/>
      <c r="AB9" s="314"/>
      <c r="AC9" s="436"/>
      <c r="AD9" s="436"/>
      <c r="AE9" s="314"/>
      <c r="AF9" s="314"/>
      <c r="AG9" s="444">
        <f t="shared" si="3"/>
        <v>-179.99571428571429</v>
      </c>
      <c r="AH9" s="433">
        <f t="shared" si="4"/>
        <v>4.2857142857144481E-3</v>
      </c>
    </row>
    <row r="10" spans="1:34" s="259" customFormat="1" ht="21.75" customHeight="1" x14ac:dyDescent="0.2">
      <c r="A10" s="443">
        <v>43468</v>
      </c>
      <c r="B10" s="442"/>
      <c r="C10" s="445" t="s">
        <v>401</v>
      </c>
      <c r="D10" s="445" t="s">
        <v>400</v>
      </c>
      <c r="E10" s="445" t="s">
        <v>518</v>
      </c>
      <c r="F10" s="440">
        <v>56165</v>
      </c>
      <c r="G10" s="439" t="s">
        <v>517</v>
      </c>
      <c r="H10" s="438"/>
      <c r="I10" s="438"/>
      <c r="J10" s="438"/>
      <c r="K10" s="438">
        <v>1176.54</v>
      </c>
      <c r="L10" s="437"/>
      <c r="M10" s="444">
        <f t="shared" si="0"/>
        <v>1050.4821428571427</v>
      </c>
      <c r="N10" s="444">
        <f t="shared" si="1"/>
        <v>126.05785714285712</v>
      </c>
      <c r="O10" s="444">
        <f t="shared" si="2"/>
        <v>0</v>
      </c>
      <c r="P10" s="444">
        <v>1050.48</v>
      </c>
      <c r="Q10" s="314"/>
      <c r="R10" s="314"/>
      <c r="S10" s="314"/>
      <c r="T10" s="436"/>
      <c r="U10" s="436"/>
      <c r="V10" s="436"/>
      <c r="W10" s="436"/>
      <c r="X10" s="436"/>
      <c r="Y10" s="314"/>
      <c r="Z10" s="314"/>
      <c r="AA10" s="314"/>
      <c r="AB10" s="314"/>
      <c r="AC10" s="436"/>
      <c r="AD10" s="436"/>
      <c r="AE10" s="314"/>
      <c r="AF10" s="314"/>
      <c r="AG10" s="444">
        <f t="shared" si="3"/>
        <v>-1176.5378571428571</v>
      </c>
      <c r="AH10" s="433">
        <f t="shared" si="4"/>
        <v>2.1428571428714349E-3</v>
      </c>
    </row>
    <row r="11" spans="1:34" s="259" customFormat="1" ht="21.75" customHeight="1" x14ac:dyDescent="0.2">
      <c r="A11" s="443">
        <v>43469</v>
      </c>
      <c r="B11" s="442"/>
      <c r="C11" s="445" t="s">
        <v>452</v>
      </c>
      <c r="D11" s="445" t="s">
        <v>451</v>
      </c>
      <c r="E11" s="445" t="s">
        <v>490</v>
      </c>
      <c r="F11" s="440">
        <v>2845</v>
      </c>
      <c r="G11" s="439" t="s">
        <v>516</v>
      </c>
      <c r="H11" s="438"/>
      <c r="I11" s="438"/>
      <c r="J11" s="438">
        <v>2240</v>
      </c>
      <c r="K11" s="438"/>
      <c r="L11" s="437"/>
      <c r="M11" s="444">
        <f t="shared" si="0"/>
        <v>2240</v>
      </c>
      <c r="N11" s="444">
        <f t="shared" si="1"/>
        <v>0</v>
      </c>
      <c r="O11" s="444">
        <f t="shared" si="2"/>
        <v>0</v>
      </c>
      <c r="P11" s="444">
        <v>2240</v>
      </c>
      <c r="Q11" s="314"/>
      <c r="R11" s="314"/>
      <c r="S11" s="314"/>
      <c r="T11" s="436"/>
      <c r="U11" s="436"/>
      <c r="V11" s="436"/>
      <c r="W11" s="436"/>
      <c r="X11" s="436"/>
      <c r="Y11" s="314"/>
      <c r="Z11" s="314"/>
      <c r="AA11" s="314"/>
      <c r="AB11" s="314"/>
      <c r="AC11" s="436"/>
      <c r="AD11" s="436"/>
      <c r="AE11" s="314"/>
      <c r="AF11" s="314"/>
      <c r="AG11" s="444">
        <f t="shared" si="3"/>
        <v>-2240</v>
      </c>
      <c r="AH11" s="433">
        <f t="shared" si="4"/>
        <v>0</v>
      </c>
    </row>
    <row r="12" spans="1:34" s="259" customFormat="1" ht="21.75" customHeight="1" x14ac:dyDescent="0.2">
      <c r="A12" s="443">
        <v>43469</v>
      </c>
      <c r="B12" s="442"/>
      <c r="C12" s="445" t="s">
        <v>167</v>
      </c>
      <c r="D12" s="445"/>
      <c r="E12" s="445"/>
      <c r="F12" s="440"/>
      <c r="G12" s="439" t="s">
        <v>515</v>
      </c>
      <c r="H12" s="438">
        <v>100</v>
      </c>
      <c r="I12" s="438"/>
      <c r="J12" s="438"/>
      <c r="K12" s="438"/>
      <c r="L12" s="437"/>
      <c r="M12" s="444">
        <f t="shared" si="0"/>
        <v>100</v>
      </c>
      <c r="N12" s="444">
        <f t="shared" si="1"/>
        <v>0</v>
      </c>
      <c r="O12" s="444">
        <f t="shared" si="2"/>
        <v>0</v>
      </c>
      <c r="P12" s="444"/>
      <c r="Q12" s="314"/>
      <c r="R12" s="314"/>
      <c r="S12" s="314"/>
      <c r="T12" s="436"/>
      <c r="U12" s="436"/>
      <c r="V12" s="436"/>
      <c r="W12" s="436"/>
      <c r="X12" s="436"/>
      <c r="Y12" s="314"/>
      <c r="Z12" s="314"/>
      <c r="AA12" s="314">
        <v>100</v>
      </c>
      <c r="AB12" s="314"/>
      <c r="AC12" s="436"/>
      <c r="AD12" s="436"/>
      <c r="AE12" s="314"/>
      <c r="AF12" s="314"/>
      <c r="AG12" s="444">
        <f t="shared" si="3"/>
        <v>-100</v>
      </c>
      <c r="AH12" s="433">
        <f t="shared" si="4"/>
        <v>0</v>
      </c>
    </row>
    <row r="13" spans="1:34" s="259" customFormat="1" ht="21.75" customHeight="1" x14ac:dyDescent="0.2">
      <c r="A13" s="443">
        <v>43469</v>
      </c>
      <c r="B13" s="442"/>
      <c r="C13" s="445" t="s">
        <v>514</v>
      </c>
      <c r="D13" s="445"/>
      <c r="E13" s="445"/>
      <c r="F13" s="440"/>
      <c r="G13" s="439" t="s">
        <v>256</v>
      </c>
      <c r="H13" s="438"/>
      <c r="I13" s="438"/>
      <c r="J13" s="438">
        <v>1150</v>
      </c>
      <c r="K13" s="438"/>
      <c r="L13" s="437"/>
      <c r="M13" s="444">
        <f t="shared" si="0"/>
        <v>1150</v>
      </c>
      <c r="N13" s="444">
        <f t="shared" si="1"/>
        <v>0</v>
      </c>
      <c r="O13" s="444">
        <f t="shared" si="2"/>
        <v>0</v>
      </c>
      <c r="P13" s="444">
        <v>1150</v>
      </c>
      <c r="Q13" s="314"/>
      <c r="R13" s="314"/>
      <c r="S13" s="314"/>
      <c r="T13" s="436"/>
      <c r="U13" s="436"/>
      <c r="V13" s="436"/>
      <c r="W13" s="436"/>
      <c r="X13" s="436"/>
      <c r="Y13" s="314"/>
      <c r="Z13" s="314"/>
      <c r="AA13" s="314"/>
      <c r="AB13" s="314"/>
      <c r="AC13" s="436"/>
      <c r="AD13" s="436"/>
      <c r="AE13" s="314"/>
      <c r="AF13" s="314"/>
      <c r="AG13" s="444">
        <f t="shared" si="3"/>
        <v>-1150</v>
      </c>
      <c r="AH13" s="433">
        <f t="shared" si="4"/>
        <v>0</v>
      </c>
    </row>
    <row r="14" spans="1:34" s="259" customFormat="1" ht="21.75" customHeight="1" x14ac:dyDescent="0.2">
      <c r="A14" s="443">
        <v>43469</v>
      </c>
      <c r="B14" s="442"/>
      <c r="C14" s="445" t="s">
        <v>384</v>
      </c>
      <c r="D14" s="445" t="s">
        <v>383</v>
      </c>
      <c r="E14" s="445" t="s">
        <v>382</v>
      </c>
      <c r="F14" s="440">
        <v>111202</v>
      </c>
      <c r="G14" s="439" t="s">
        <v>381</v>
      </c>
      <c r="H14" s="438"/>
      <c r="I14" s="438"/>
      <c r="J14" s="438"/>
      <c r="K14" s="438">
        <v>180</v>
      </c>
      <c r="L14" s="437"/>
      <c r="M14" s="444">
        <f t="shared" si="0"/>
        <v>160.71428571428569</v>
      </c>
      <c r="N14" s="444">
        <f t="shared" si="1"/>
        <v>19.285714285714281</v>
      </c>
      <c r="O14" s="444">
        <f t="shared" si="2"/>
        <v>0</v>
      </c>
      <c r="P14" s="444"/>
      <c r="Q14" s="314">
        <v>160.71</v>
      </c>
      <c r="R14" s="314"/>
      <c r="S14" s="314"/>
      <c r="T14" s="436"/>
      <c r="U14" s="436"/>
      <c r="V14" s="436"/>
      <c r="W14" s="436"/>
      <c r="X14" s="436"/>
      <c r="Y14" s="314"/>
      <c r="Z14" s="314"/>
      <c r="AA14" s="314"/>
      <c r="AB14" s="314"/>
      <c r="AC14" s="436"/>
      <c r="AD14" s="436"/>
      <c r="AE14" s="314"/>
      <c r="AF14" s="314"/>
      <c r="AG14" s="444">
        <f t="shared" si="3"/>
        <v>-179.99571428571429</v>
      </c>
      <c r="AH14" s="433">
        <f t="shared" si="4"/>
        <v>4.2857142857144481E-3</v>
      </c>
    </row>
    <row r="15" spans="1:34" s="259" customFormat="1" ht="21.75" customHeight="1" x14ac:dyDescent="0.2">
      <c r="A15" s="443">
        <v>43469</v>
      </c>
      <c r="B15" s="442"/>
      <c r="C15" s="445" t="s">
        <v>440</v>
      </c>
      <c r="D15" s="445"/>
      <c r="E15" s="445"/>
      <c r="F15" s="440"/>
      <c r="G15" s="439" t="s">
        <v>513</v>
      </c>
      <c r="H15" s="438">
        <v>60</v>
      </c>
      <c r="I15" s="438"/>
      <c r="J15" s="438"/>
      <c r="K15" s="438"/>
      <c r="L15" s="437"/>
      <c r="M15" s="444">
        <f t="shared" si="0"/>
        <v>60</v>
      </c>
      <c r="N15" s="444">
        <f t="shared" si="1"/>
        <v>0</v>
      </c>
      <c r="O15" s="444">
        <f t="shared" si="2"/>
        <v>0</v>
      </c>
      <c r="P15" s="444"/>
      <c r="Q15" s="314"/>
      <c r="R15" s="314"/>
      <c r="S15" s="314"/>
      <c r="T15" s="436"/>
      <c r="U15" s="436"/>
      <c r="V15" s="436"/>
      <c r="W15" s="436"/>
      <c r="X15" s="436"/>
      <c r="Y15" s="314"/>
      <c r="Z15" s="314"/>
      <c r="AA15" s="314">
        <v>60</v>
      </c>
      <c r="AB15" s="314"/>
      <c r="AC15" s="436"/>
      <c r="AD15" s="436"/>
      <c r="AE15" s="314"/>
      <c r="AF15" s="314"/>
      <c r="AG15" s="444">
        <f t="shared" si="3"/>
        <v>-60</v>
      </c>
      <c r="AH15" s="433">
        <f t="shared" si="4"/>
        <v>0</v>
      </c>
    </row>
    <row r="16" spans="1:34" s="259" customFormat="1" ht="21.75" customHeight="1" x14ac:dyDescent="0.2">
      <c r="A16" s="443">
        <v>43469</v>
      </c>
      <c r="B16" s="442"/>
      <c r="C16" s="445" t="s">
        <v>413</v>
      </c>
      <c r="D16" s="445" t="s">
        <v>435</v>
      </c>
      <c r="E16" s="445" t="s">
        <v>434</v>
      </c>
      <c r="F16" s="440">
        <v>33573</v>
      </c>
      <c r="G16" s="439" t="s">
        <v>512</v>
      </c>
      <c r="H16" s="438"/>
      <c r="I16" s="438"/>
      <c r="J16" s="438"/>
      <c r="K16" s="438">
        <v>532.89</v>
      </c>
      <c r="L16" s="437"/>
      <c r="M16" s="444">
        <f t="shared" si="0"/>
        <v>475.79464285714278</v>
      </c>
      <c r="N16" s="444">
        <f t="shared" si="1"/>
        <v>57.095357142857132</v>
      </c>
      <c r="O16" s="444">
        <f t="shared" si="2"/>
        <v>0</v>
      </c>
      <c r="P16" s="444">
        <v>475.79</v>
      </c>
      <c r="Q16" s="314"/>
      <c r="R16" s="314"/>
      <c r="S16" s="314"/>
      <c r="T16" s="436"/>
      <c r="U16" s="436"/>
      <c r="V16" s="436"/>
      <c r="W16" s="436"/>
      <c r="X16" s="436"/>
      <c r="Y16" s="314"/>
      <c r="Z16" s="314"/>
      <c r="AA16" s="314"/>
      <c r="AB16" s="314"/>
      <c r="AC16" s="436"/>
      <c r="AD16" s="436"/>
      <c r="AE16" s="314"/>
      <c r="AF16" s="314"/>
      <c r="AG16" s="444">
        <f t="shared" si="3"/>
        <v>-532.88535714285717</v>
      </c>
      <c r="AH16" s="433">
        <f t="shared" si="4"/>
        <v>4.6428571428123178E-3</v>
      </c>
    </row>
    <row r="17" spans="1:34" s="259" customFormat="1" ht="21.75" customHeight="1" x14ac:dyDescent="0.2">
      <c r="A17" s="443">
        <v>43469</v>
      </c>
      <c r="B17" s="442"/>
      <c r="C17" s="445" t="s">
        <v>511</v>
      </c>
      <c r="D17" s="445" t="s">
        <v>510</v>
      </c>
      <c r="E17" s="445" t="s">
        <v>509</v>
      </c>
      <c r="F17" s="440">
        <v>2023</v>
      </c>
      <c r="G17" s="439" t="s">
        <v>508</v>
      </c>
      <c r="H17" s="438"/>
      <c r="I17" s="438"/>
      <c r="J17" s="438"/>
      <c r="K17" s="438">
        <v>1320</v>
      </c>
      <c r="L17" s="437">
        <v>0.01</v>
      </c>
      <c r="M17" s="444">
        <f t="shared" si="0"/>
        <v>1178.5714285714284</v>
      </c>
      <c r="N17" s="444">
        <f t="shared" si="1"/>
        <v>141.42857142857142</v>
      </c>
      <c r="O17" s="444">
        <f t="shared" si="2"/>
        <v>-11.785714285714285</v>
      </c>
      <c r="P17" s="444">
        <v>1178.57</v>
      </c>
      <c r="Q17" s="314"/>
      <c r="R17" s="314"/>
      <c r="S17" s="314"/>
      <c r="T17" s="436"/>
      <c r="U17" s="436"/>
      <c r="V17" s="436"/>
      <c r="W17" s="436"/>
      <c r="X17" s="436"/>
      <c r="Y17" s="314"/>
      <c r="Z17" s="314"/>
      <c r="AA17" s="314"/>
      <c r="AB17" s="314"/>
      <c r="AC17" s="436"/>
      <c r="AD17" s="436"/>
      <c r="AE17" s="314"/>
      <c r="AF17" s="314"/>
      <c r="AG17" s="444">
        <f t="shared" si="3"/>
        <v>-1308.212857142857</v>
      </c>
      <c r="AH17" s="433">
        <f t="shared" si="4"/>
        <v>1.4285714286685902E-3</v>
      </c>
    </row>
    <row r="18" spans="1:34" s="259" customFormat="1" ht="21.75" customHeight="1" x14ac:dyDescent="0.2">
      <c r="A18" s="443">
        <v>43470</v>
      </c>
      <c r="B18" s="442"/>
      <c r="C18" s="445" t="s">
        <v>384</v>
      </c>
      <c r="D18" s="445" t="s">
        <v>383</v>
      </c>
      <c r="E18" s="445" t="s">
        <v>382</v>
      </c>
      <c r="F18" s="440">
        <v>113867</v>
      </c>
      <c r="G18" s="439" t="s">
        <v>381</v>
      </c>
      <c r="H18" s="438"/>
      <c r="I18" s="438"/>
      <c r="J18" s="438"/>
      <c r="K18" s="438">
        <v>90</v>
      </c>
      <c r="L18" s="437"/>
      <c r="M18" s="444">
        <f t="shared" si="0"/>
        <v>80.357142857142847</v>
      </c>
      <c r="N18" s="444">
        <f t="shared" si="1"/>
        <v>9.6428571428571406</v>
      </c>
      <c r="O18" s="444">
        <f t="shared" si="2"/>
        <v>0</v>
      </c>
      <c r="P18" s="444"/>
      <c r="Q18" s="314">
        <v>80.36</v>
      </c>
      <c r="R18" s="314"/>
      <c r="S18" s="314"/>
      <c r="T18" s="436"/>
      <c r="U18" s="436"/>
      <c r="V18" s="436"/>
      <c r="W18" s="436"/>
      <c r="X18" s="436"/>
      <c r="Y18" s="314"/>
      <c r="Z18" s="314"/>
      <c r="AA18" s="314"/>
      <c r="AB18" s="314"/>
      <c r="AC18" s="436"/>
      <c r="AD18" s="436"/>
      <c r="AE18" s="314"/>
      <c r="AF18" s="314"/>
      <c r="AG18" s="444">
        <f t="shared" si="3"/>
        <v>-90.002857142857138</v>
      </c>
      <c r="AH18" s="433">
        <f t="shared" si="4"/>
        <v>-2.8571428571382285E-3</v>
      </c>
    </row>
    <row r="19" spans="1:34" s="259" customFormat="1" ht="21.75" customHeight="1" x14ac:dyDescent="0.2">
      <c r="A19" s="443">
        <v>43470</v>
      </c>
      <c r="B19" s="442"/>
      <c r="C19" s="445" t="s">
        <v>375</v>
      </c>
      <c r="D19" s="445" t="s">
        <v>374</v>
      </c>
      <c r="E19" s="445" t="s">
        <v>373</v>
      </c>
      <c r="F19" s="440">
        <v>167302</v>
      </c>
      <c r="G19" s="439" t="s">
        <v>398</v>
      </c>
      <c r="H19" s="438"/>
      <c r="I19" s="438"/>
      <c r="J19" s="438">
        <v>143.75</v>
      </c>
      <c r="K19" s="438"/>
      <c r="L19" s="437"/>
      <c r="M19" s="444">
        <f t="shared" si="0"/>
        <v>143.75</v>
      </c>
      <c r="N19" s="444">
        <f t="shared" si="1"/>
        <v>0</v>
      </c>
      <c r="O19" s="444">
        <f t="shared" si="2"/>
        <v>0</v>
      </c>
      <c r="P19" s="444">
        <v>143.75</v>
      </c>
      <c r="Q19" s="314"/>
      <c r="R19" s="314"/>
      <c r="S19" s="314"/>
      <c r="T19" s="436"/>
      <c r="U19" s="436"/>
      <c r="V19" s="436"/>
      <c r="W19" s="436"/>
      <c r="X19" s="436"/>
      <c r="Y19" s="314"/>
      <c r="Z19" s="314"/>
      <c r="AA19" s="314"/>
      <c r="AB19" s="314"/>
      <c r="AC19" s="436"/>
      <c r="AD19" s="436"/>
      <c r="AE19" s="314"/>
      <c r="AF19" s="314"/>
      <c r="AG19" s="444">
        <f t="shared" si="3"/>
        <v>-143.75</v>
      </c>
      <c r="AH19" s="433">
        <f t="shared" si="4"/>
        <v>0</v>
      </c>
    </row>
    <row r="20" spans="1:34" s="259" customFormat="1" ht="21.75" customHeight="1" x14ac:dyDescent="0.2">
      <c r="A20" s="443">
        <v>43470</v>
      </c>
      <c r="B20" s="442"/>
      <c r="C20" s="445" t="s">
        <v>375</v>
      </c>
      <c r="D20" s="445" t="s">
        <v>374</v>
      </c>
      <c r="E20" s="445" t="s">
        <v>373</v>
      </c>
      <c r="F20" s="440">
        <v>167302</v>
      </c>
      <c r="G20" s="439" t="s">
        <v>507</v>
      </c>
      <c r="H20" s="438"/>
      <c r="I20" s="438"/>
      <c r="J20" s="438"/>
      <c r="K20" s="438">
        <f>472.01+56.64</f>
        <v>528.65</v>
      </c>
      <c r="L20" s="437"/>
      <c r="M20" s="444">
        <f t="shared" si="0"/>
        <v>472.0089285714285</v>
      </c>
      <c r="N20" s="444">
        <f t="shared" si="1"/>
        <v>56.641071428571415</v>
      </c>
      <c r="O20" s="444">
        <f t="shared" si="2"/>
        <v>0</v>
      </c>
      <c r="P20" s="444">
        <v>472.01</v>
      </c>
      <c r="Q20" s="314"/>
      <c r="R20" s="314"/>
      <c r="S20" s="314"/>
      <c r="T20" s="436"/>
      <c r="U20" s="436"/>
      <c r="V20" s="436"/>
      <c r="W20" s="436"/>
      <c r="X20" s="436"/>
      <c r="Y20" s="314"/>
      <c r="Z20" s="314"/>
      <c r="AA20" s="314"/>
      <c r="AB20" s="314"/>
      <c r="AC20" s="436"/>
      <c r="AD20" s="436"/>
      <c r="AE20" s="314"/>
      <c r="AF20" s="314"/>
      <c r="AG20" s="444">
        <f t="shared" si="3"/>
        <v>-528.65107142857141</v>
      </c>
      <c r="AH20" s="433">
        <f t="shared" si="4"/>
        <v>-1.0714285714357175E-3</v>
      </c>
    </row>
    <row r="21" spans="1:34" s="259" customFormat="1" ht="21.75" customHeight="1" x14ac:dyDescent="0.2">
      <c r="A21" s="443">
        <v>43470</v>
      </c>
      <c r="B21" s="442"/>
      <c r="C21" s="445" t="s">
        <v>413</v>
      </c>
      <c r="D21" s="445" t="s">
        <v>435</v>
      </c>
      <c r="E21" s="445" t="s">
        <v>434</v>
      </c>
      <c r="F21" s="440">
        <v>1033652</v>
      </c>
      <c r="G21" s="439" t="s">
        <v>506</v>
      </c>
      <c r="H21" s="438"/>
      <c r="I21" s="438"/>
      <c r="J21" s="438"/>
      <c r="K21" s="438">
        <v>74.66</v>
      </c>
      <c r="L21" s="437"/>
      <c r="M21" s="444">
        <f t="shared" si="0"/>
        <v>66.660714285714278</v>
      </c>
      <c r="N21" s="444">
        <f t="shared" si="1"/>
        <v>7.9992857142857128</v>
      </c>
      <c r="O21" s="444">
        <f t="shared" si="2"/>
        <v>0</v>
      </c>
      <c r="P21" s="444">
        <v>66.66</v>
      </c>
      <c r="Q21" s="314"/>
      <c r="R21" s="314"/>
      <c r="S21" s="314"/>
      <c r="T21" s="436"/>
      <c r="U21" s="436"/>
      <c r="V21" s="436"/>
      <c r="W21" s="436"/>
      <c r="X21" s="436"/>
      <c r="Y21" s="314"/>
      <c r="Z21" s="314"/>
      <c r="AA21" s="314"/>
      <c r="AB21" s="314"/>
      <c r="AC21" s="436"/>
      <c r="AD21" s="436"/>
      <c r="AE21" s="314"/>
      <c r="AF21" s="314"/>
      <c r="AG21" s="444">
        <f t="shared" si="3"/>
        <v>-74.659285714285716</v>
      </c>
      <c r="AH21" s="433">
        <f t="shared" si="4"/>
        <v>7.142857142810044E-4</v>
      </c>
    </row>
    <row r="22" spans="1:34" s="259" customFormat="1" ht="21.75" customHeight="1" x14ac:dyDescent="0.2">
      <c r="A22" s="443">
        <v>43472</v>
      </c>
      <c r="B22" s="442"/>
      <c r="C22" s="445" t="s">
        <v>384</v>
      </c>
      <c r="D22" s="445" t="s">
        <v>383</v>
      </c>
      <c r="E22" s="445" t="s">
        <v>382</v>
      </c>
      <c r="F22" s="440">
        <v>111286</v>
      </c>
      <c r="G22" s="439" t="s">
        <v>381</v>
      </c>
      <c r="H22" s="438"/>
      <c r="I22" s="438"/>
      <c r="J22" s="438"/>
      <c r="K22" s="438">
        <v>180</v>
      </c>
      <c r="L22" s="437"/>
      <c r="M22" s="444">
        <f t="shared" si="0"/>
        <v>160.71428571428569</v>
      </c>
      <c r="N22" s="444">
        <f t="shared" si="1"/>
        <v>19.285714285714281</v>
      </c>
      <c r="O22" s="444">
        <f t="shared" si="2"/>
        <v>0</v>
      </c>
      <c r="P22" s="444">
        <v>160.71</v>
      </c>
      <c r="Q22" s="314"/>
      <c r="R22" s="314"/>
      <c r="S22" s="314"/>
      <c r="T22" s="436"/>
      <c r="U22" s="436"/>
      <c r="V22" s="436"/>
      <c r="W22" s="436"/>
      <c r="X22" s="436"/>
      <c r="Y22" s="314"/>
      <c r="Z22" s="314"/>
      <c r="AA22" s="314"/>
      <c r="AB22" s="314"/>
      <c r="AC22" s="436"/>
      <c r="AD22" s="436"/>
      <c r="AE22" s="314"/>
      <c r="AF22" s="314"/>
      <c r="AG22" s="444">
        <f t="shared" si="3"/>
        <v>-179.99571428571429</v>
      </c>
      <c r="AH22" s="433">
        <f t="shared" si="4"/>
        <v>4.2857142857144481E-3</v>
      </c>
    </row>
    <row r="23" spans="1:34" s="259" customFormat="1" ht="21.75" customHeight="1" x14ac:dyDescent="0.2">
      <c r="A23" s="443">
        <v>43472</v>
      </c>
      <c r="B23" s="442"/>
      <c r="C23" s="445" t="s">
        <v>375</v>
      </c>
      <c r="D23" s="445" t="s">
        <v>374</v>
      </c>
      <c r="E23" s="445" t="s">
        <v>373</v>
      </c>
      <c r="F23" s="440">
        <v>142794</v>
      </c>
      <c r="G23" s="439" t="s">
        <v>505</v>
      </c>
      <c r="H23" s="438"/>
      <c r="I23" s="438"/>
      <c r="J23" s="438"/>
      <c r="K23" s="438">
        <f>1591.79+191.01</f>
        <v>1782.8</v>
      </c>
      <c r="L23" s="437"/>
      <c r="M23" s="444">
        <f t="shared" si="0"/>
        <v>1591.785714285714</v>
      </c>
      <c r="N23" s="444">
        <f t="shared" si="1"/>
        <v>191.01428571428568</v>
      </c>
      <c r="O23" s="444">
        <f t="shared" si="2"/>
        <v>0</v>
      </c>
      <c r="P23" s="444">
        <v>1591.79</v>
      </c>
      <c r="Q23" s="314"/>
      <c r="R23" s="314"/>
      <c r="S23" s="314"/>
      <c r="T23" s="436"/>
      <c r="U23" s="436"/>
      <c r="V23" s="436"/>
      <c r="W23" s="436"/>
      <c r="X23" s="436"/>
      <c r="Y23" s="314"/>
      <c r="Z23" s="314"/>
      <c r="AA23" s="314"/>
      <c r="AB23" s="314"/>
      <c r="AC23" s="436"/>
      <c r="AD23" s="436"/>
      <c r="AE23" s="314"/>
      <c r="AF23" s="314"/>
      <c r="AG23" s="444">
        <f t="shared" si="3"/>
        <v>-1782.8042857142857</v>
      </c>
      <c r="AH23" s="433">
        <f t="shared" si="4"/>
        <v>-4.2857142857428698E-3</v>
      </c>
    </row>
    <row r="24" spans="1:34" s="259" customFormat="1" ht="21.75" customHeight="1" x14ac:dyDescent="0.2">
      <c r="A24" s="443">
        <v>43472</v>
      </c>
      <c r="B24" s="442"/>
      <c r="C24" s="445" t="s">
        <v>375</v>
      </c>
      <c r="D24" s="445" t="s">
        <v>374</v>
      </c>
      <c r="E24" s="445" t="s">
        <v>373</v>
      </c>
      <c r="F24" s="440">
        <v>142794</v>
      </c>
      <c r="G24" s="439" t="s">
        <v>504</v>
      </c>
      <c r="H24" s="438"/>
      <c r="I24" s="438"/>
      <c r="J24" s="438">
        <v>176.1</v>
      </c>
      <c r="K24" s="438"/>
      <c r="L24" s="437"/>
      <c r="M24" s="444">
        <f t="shared" si="0"/>
        <v>176.1</v>
      </c>
      <c r="N24" s="444">
        <f t="shared" si="1"/>
        <v>0</v>
      </c>
      <c r="O24" s="444">
        <f t="shared" si="2"/>
        <v>0</v>
      </c>
      <c r="P24" s="444">
        <v>176.1</v>
      </c>
      <c r="Q24" s="314"/>
      <c r="R24" s="314"/>
      <c r="S24" s="314"/>
      <c r="T24" s="436"/>
      <c r="U24" s="436"/>
      <c r="V24" s="436"/>
      <c r="W24" s="436"/>
      <c r="X24" s="436"/>
      <c r="Y24" s="314"/>
      <c r="Z24" s="314"/>
      <c r="AA24" s="314"/>
      <c r="AB24" s="314"/>
      <c r="AC24" s="436"/>
      <c r="AD24" s="436"/>
      <c r="AE24" s="314"/>
      <c r="AF24" s="314"/>
      <c r="AG24" s="444">
        <f t="shared" si="3"/>
        <v>-176.1</v>
      </c>
      <c r="AH24" s="433">
        <f t="shared" si="4"/>
        <v>0</v>
      </c>
    </row>
    <row r="25" spans="1:34" s="259" customFormat="1" ht="21.75" customHeight="1" x14ac:dyDescent="0.2">
      <c r="A25" s="443">
        <v>43473</v>
      </c>
      <c r="B25" s="442"/>
      <c r="C25" s="445" t="s">
        <v>503</v>
      </c>
      <c r="D25" s="445"/>
      <c r="E25" s="445"/>
      <c r="F25" s="440"/>
      <c r="G25" s="439" t="s">
        <v>395</v>
      </c>
      <c r="H25" s="438"/>
      <c r="I25" s="438"/>
      <c r="J25" s="438">
        <v>1123</v>
      </c>
      <c r="K25" s="438"/>
      <c r="L25" s="437"/>
      <c r="M25" s="444">
        <f t="shared" si="0"/>
        <v>1123</v>
      </c>
      <c r="N25" s="444">
        <f t="shared" si="1"/>
        <v>0</v>
      </c>
      <c r="O25" s="444">
        <f t="shared" si="2"/>
        <v>0</v>
      </c>
      <c r="P25" s="444">
        <v>1123</v>
      </c>
      <c r="Q25" s="314"/>
      <c r="R25" s="314"/>
      <c r="S25" s="314"/>
      <c r="T25" s="436"/>
      <c r="U25" s="436"/>
      <c r="V25" s="436"/>
      <c r="W25" s="436"/>
      <c r="X25" s="436"/>
      <c r="Y25" s="314"/>
      <c r="Z25" s="314"/>
      <c r="AA25" s="314"/>
      <c r="AB25" s="314"/>
      <c r="AC25" s="436"/>
      <c r="AD25" s="436"/>
      <c r="AE25" s="314"/>
      <c r="AF25" s="314"/>
      <c r="AG25" s="444">
        <f t="shared" si="3"/>
        <v>-1123</v>
      </c>
      <c r="AH25" s="433">
        <f t="shared" si="4"/>
        <v>0</v>
      </c>
    </row>
    <row r="26" spans="1:34" s="259" customFormat="1" ht="21.75" customHeight="1" x14ac:dyDescent="0.2">
      <c r="A26" s="443">
        <v>43473</v>
      </c>
      <c r="B26" s="442"/>
      <c r="C26" s="445" t="s">
        <v>167</v>
      </c>
      <c r="D26" s="445"/>
      <c r="E26" s="445"/>
      <c r="F26" s="440"/>
      <c r="G26" s="439" t="s">
        <v>502</v>
      </c>
      <c r="H26" s="438">
        <v>50</v>
      </c>
      <c r="I26" s="438"/>
      <c r="J26" s="438"/>
      <c r="K26" s="438"/>
      <c r="L26" s="437"/>
      <c r="M26" s="444">
        <f t="shared" si="0"/>
        <v>50</v>
      </c>
      <c r="N26" s="444">
        <f t="shared" si="1"/>
        <v>0</v>
      </c>
      <c r="O26" s="444">
        <f t="shared" si="2"/>
        <v>0</v>
      </c>
      <c r="P26" s="444"/>
      <c r="Q26" s="314"/>
      <c r="R26" s="314"/>
      <c r="S26" s="314"/>
      <c r="T26" s="436"/>
      <c r="U26" s="436"/>
      <c r="V26" s="436"/>
      <c r="W26" s="436"/>
      <c r="X26" s="436"/>
      <c r="Y26" s="314"/>
      <c r="Z26" s="314"/>
      <c r="AA26" s="314">
        <v>50</v>
      </c>
      <c r="AB26" s="314"/>
      <c r="AC26" s="436"/>
      <c r="AD26" s="436"/>
      <c r="AE26" s="314"/>
      <c r="AF26" s="314"/>
      <c r="AG26" s="444">
        <f t="shared" si="3"/>
        <v>-50</v>
      </c>
      <c r="AH26" s="433">
        <f t="shared" si="4"/>
        <v>0</v>
      </c>
    </row>
    <row r="27" spans="1:34" s="259" customFormat="1" ht="21.75" customHeight="1" x14ac:dyDescent="0.2">
      <c r="A27" s="443">
        <v>43473</v>
      </c>
      <c r="B27" s="442"/>
      <c r="C27" s="445" t="s">
        <v>384</v>
      </c>
      <c r="D27" s="445" t="s">
        <v>383</v>
      </c>
      <c r="E27" s="445" t="s">
        <v>382</v>
      </c>
      <c r="F27" s="440">
        <v>123531</v>
      </c>
      <c r="G27" s="439" t="s">
        <v>381</v>
      </c>
      <c r="H27" s="438"/>
      <c r="I27" s="438"/>
      <c r="J27" s="438"/>
      <c r="K27" s="438">
        <v>180</v>
      </c>
      <c r="L27" s="437"/>
      <c r="M27" s="444">
        <f t="shared" si="0"/>
        <v>160.71428571428569</v>
      </c>
      <c r="N27" s="444">
        <f t="shared" si="1"/>
        <v>19.285714285714281</v>
      </c>
      <c r="O27" s="444">
        <f t="shared" si="2"/>
        <v>0</v>
      </c>
      <c r="P27" s="444"/>
      <c r="Q27" s="314">
        <v>160.71</v>
      </c>
      <c r="R27" s="314"/>
      <c r="S27" s="314"/>
      <c r="T27" s="436"/>
      <c r="U27" s="436"/>
      <c r="V27" s="436"/>
      <c r="W27" s="436"/>
      <c r="X27" s="436"/>
      <c r="Y27" s="314"/>
      <c r="Z27" s="314"/>
      <c r="AA27" s="314"/>
      <c r="AB27" s="314"/>
      <c r="AC27" s="436"/>
      <c r="AD27" s="436"/>
      <c r="AE27" s="314"/>
      <c r="AF27" s="314"/>
      <c r="AG27" s="444">
        <f t="shared" si="3"/>
        <v>-179.99571428571429</v>
      </c>
      <c r="AH27" s="433">
        <f t="shared" si="4"/>
        <v>4.2857142857144481E-3</v>
      </c>
    </row>
    <row r="28" spans="1:34" s="259" customFormat="1" ht="21.75" customHeight="1" x14ac:dyDescent="0.2">
      <c r="A28" s="443">
        <v>43474</v>
      </c>
      <c r="B28" s="442"/>
      <c r="C28" s="445" t="s">
        <v>375</v>
      </c>
      <c r="D28" s="445" t="s">
        <v>374</v>
      </c>
      <c r="E28" s="445" t="s">
        <v>373</v>
      </c>
      <c r="F28" s="440">
        <v>125974</v>
      </c>
      <c r="G28" s="439" t="s">
        <v>501</v>
      </c>
      <c r="H28" s="438"/>
      <c r="I28" s="438"/>
      <c r="J28" s="438"/>
      <c r="K28" s="438">
        <f>858.21+102.99</f>
        <v>961.2</v>
      </c>
      <c r="L28" s="437"/>
      <c r="M28" s="444">
        <f t="shared" si="0"/>
        <v>858.21428571428567</v>
      </c>
      <c r="N28" s="444">
        <f t="shared" si="1"/>
        <v>102.98571428571428</v>
      </c>
      <c r="O28" s="444">
        <f t="shared" si="2"/>
        <v>0</v>
      </c>
      <c r="P28" s="444">
        <v>858.21</v>
      </c>
      <c r="Q28" s="314"/>
      <c r="R28" s="314"/>
      <c r="S28" s="314"/>
      <c r="T28" s="436"/>
      <c r="U28" s="436"/>
      <c r="V28" s="436"/>
      <c r="W28" s="436"/>
      <c r="X28" s="436"/>
      <c r="Y28" s="314"/>
      <c r="Z28" s="314"/>
      <c r="AA28" s="314"/>
      <c r="AB28" s="314"/>
      <c r="AC28" s="436"/>
      <c r="AD28" s="436"/>
      <c r="AE28" s="314"/>
      <c r="AF28" s="314"/>
      <c r="AG28" s="444">
        <f t="shared" si="3"/>
        <v>-961.1957142857143</v>
      </c>
      <c r="AH28" s="433">
        <f t="shared" si="4"/>
        <v>4.2857142857428698E-3</v>
      </c>
    </row>
    <row r="29" spans="1:34" s="259" customFormat="1" ht="21.75" customHeight="1" x14ac:dyDescent="0.2">
      <c r="A29" s="443">
        <v>43474</v>
      </c>
      <c r="B29" s="442"/>
      <c r="C29" s="445" t="s">
        <v>375</v>
      </c>
      <c r="D29" s="445" t="s">
        <v>374</v>
      </c>
      <c r="E29" s="445" t="s">
        <v>373</v>
      </c>
      <c r="F29" s="440">
        <v>125974</v>
      </c>
      <c r="G29" s="439" t="s">
        <v>500</v>
      </c>
      <c r="H29" s="438"/>
      <c r="I29" s="438"/>
      <c r="J29" s="438">
        <v>399.9</v>
      </c>
      <c r="K29" s="438"/>
      <c r="L29" s="437"/>
      <c r="M29" s="444">
        <f t="shared" si="0"/>
        <v>399.9</v>
      </c>
      <c r="N29" s="444">
        <f t="shared" si="1"/>
        <v>0</v>
      </c>
      <c r="O29" s="444">
        <f t="shared" si="2"/>
        <v>0</v>
      </c>
      <c r="P29" s="444">
        <v>399.9</v>
      </c>
      <c r="Q29" s="314"/>
      <c r="R29" s="314"/>
      <c r="S29" s="314"/>
      <c r="T29" s="436"/>
      <c r="U29" s="436"/>
      <c r="V29" s="436"/>
      <c r="W29" s="436"/>
      <c r="X29" s="436"/>
      <c r="Y29" s="314"/>
      <c r="Z29" s="314"/>
      <c r="AA29" s="314"/>
      <c r="AB29" s="314"/>
      <c r="AC29" s="436"/>
      <c r="AD29" s="436"/>
      <c r="AE29" s="314"/>
      <c r="AF29" s="314"/>
      <c r="AG29" s="444">
        <f t="shared" si="3"/>
        <v>-399.9</v>
      </c>
      <c r="AH29" s="433">
        <f t="shared" si="4"/>
        <v>0</v>
      </c>
    </row>
    <row r="30" spans="1:34" s="259" customFormat="1" ht="21.75" customHeight="1" x14ac:dyDescent="0.2">
      <c r="A30" s="443">
        <v>43474</v>
      </c>
      <c r="B30" s="442"/>
      <c r="C30" s="445" t="s">
        <v>384</v>
      </c>
      <c r="D30" s="445" t="s">
        <v>383</v>
      </c>
      <c r="E30" s="445" t="s">
        <v>382</v>
      </c>
      <c r="F30" s="440">
        <v>111327</v>
      </c>
      <c r="G30" s="439" t="s">
        <v>381</v>
      </c>
      <c r="H30" s="438"/>
      <c r="I30" s="438"/>
      <c r="J30" s="438"/>
      <c r="K30" s="438">
        <v>180</v>
      </c>
      <c r="L30" s="437"/>
      <c r="M30" s="444">
        <f t="shared" si="0"/>
        <v>160.71428571428569</v>
      </c>
      <c r="N30" s="444">
        <f t="shared" si="1"/>
        <v>19.285714285714281</v>
      </c>
      <c r="O30" s="444">
        <f t="shared" si="2"/>
        <v>0</v>
      </c>
      <c r="P30" s="444"/>
      <c r="Q30" s="314">
        <v>160.71</v>
      </c>
      <c r="R30" s="314"/>
      <c r="S30" s="314"/>
      <c r="T30" s="436"/>
      <c r="U30" s="436"/>
      <c r="V30" s="436"/>
      <c r="W30" s="436"/>
      <c r="X30" s="436"/>
      <c r="Y30" s="314"/>
      <c r="Z30" s="314"/>
      <c r="AA30" s="314"/>
      <c r="AB30" s="314"/>
      <c r="AC30" s="436"/>
      <c r="AD30" s="436"/>
      <c r="AE30" s="314"/>
      <c r="AF30" s="314"/>
      <c r="AG30" s="444">
        <f t="shared" si="3"/>
        <v>-179.99571428571429</v>
      </c>
      <c r="AH30" s="433">
        <f t="shared" si="4"/>
        <v>4.2857142857144481E-3</v>
      </c>
    </row>
    <row r="31" spans="1:34" s="259" customFormat="1" ht="21.75" customHeight="1" x14ac:dyDescent="0.2">
      <c r="A31" s="443">
        <v>43474</v>
      </c>
      <c r="B31" s="442"/>
      <c r="C31" s="445" t="s">
        <v>413</v>
      </c>
      <c r="D31" s="445" t="s">
        <v>435</v>
      </c>
      <c r="E31" s="445" t="s">
        <v>434</v>
      </c>
      <c r="F31" s="440">
        <v>28772</v>
      </c>
      <c r="G31" s="439" t="s">
        <v>499</v>
      </c>
      <c r="H31" s="438"/>
      <c r="I31" s="438"/>
      <c r="J31" s="438"/>
      <c r="K31" s="438">
        <v>30</v>
      </c>
      <c r="L31" s="437"/>
      <c r="M31" s="444">
        <f t="shared" si="0"/>
        <v>26.785714285714285</v>
      </c>
      <c r="N31" s="444">
        <f t="shared" si="1"/>
        <v>3.214285714285714</v>
      </c>
      <c r="O31" s="444">
        <f t="shared" si="2"/>
        <v>0</v>
      </c>
      <c r="P31" s="444"/>
      <c r="Q31" s="314"/>
      <c r="R31" s="314"/>
      <c r="S31" s="314">
        <v>26.79</v>
      </c>
      <c r="T31" s="436"/>
      <c r="U31" s="436"/>
      <c r="V31" s="436"/>
      <c r="W31" s="436"/>
      <c r="X31" s="436"/>
      <c r="Y31" s="314"/>
      <c r="Z31" s="314"/>
      <c r="AA31" s="314"/>
      <c r="AB31" s="314"/>
      <c r="AC31" s="436"/>
      <c r="AD31" s="436"/>
      <c r="AE31" s="314"/>
      <c r="AF31" s="314"/>
      <c r="AG31" s="444">
        <f t="shared" si="3"/>
        <v>-30.004285714285714</v>
      </c>
      <c r="AH31" s="433">
        <f t="shared" si="4"/>
        <v>-4.2857142857144481E-3</v>
      </c>
    </row>
    <row r="32" spans="1:34" s="447" customFormat="1" ht="21.75" customHeight="1" x14ac:dyDescent="0.2">
      <c r="A32" s="457">
        <v>43475</v>
      </c>
      <c r="B32" s="456"/>
      <c r="C32" s="455" t="s">
        <v>384</v>
      </c>
      <c r="D32" s="455" t="s">
        <v>383</v>
      </c>
      <c r="E32" s="455" t="s">
        <v>382</v>
      </c>
      <c r="F32" s="454">
        <v>111372</v>
      </c>
      <c r="G32" s="453" t="s">
        <v>381</v>
      </c>
      <c r="H32" s="452"/>
      <c r="I32" s="452"/>
      <c r="J32" s="452"/>
      <c r="K32" s="452">
        <v>180</v>
      </c>
      <c r="L32" s="451"/>
      <c r="M32" s="449">
        <f t="shared" si="0"/>
        <v>160.71428571428569</v>
      </c>
      <c r="N32" s="449">
        <f t="shared" si="1"/>
        <v>19.285714285714281</v>
      </c>
      <c r="O32" s="449">
        <f t="shared" si="2"/>
        <v>0</v>
      </c>
      <c r="P32" s="449"/>
      <c r="Q32" s="317">
        <v>160.71</v>
      </c>
      <c r="R32" s="317"/>
      <c r="S32" s="317"/>
      <c r="T32" s="450"/>
      <c r="U32" s="450"/>
      <c r="V32" s="450"/>
      <c r="W32" s="450"/>
      <c r="X32" s="450"/>
      <c r="Y32" s="317"/>
      <c r="Z32" s="317"/>
      <c r="AA32" s="317"/>
      <c r="AB32" s="317"/>
      <c r="AC32" s="450"/>
      <c r="AD32" s="450"/>
      <c r="AE32" s="317"/>
      <c r="AF32" s="317"/>
      <c r="AG32" s="449">
        <f t="shared" si="3"/>
        <v>-179.99571428571429</v>
      </c>
      <c r="AH32" s="448">
        <f t="shared" si="4"/>
        <v>4.2857142857144481E-3</v>
      </c>
    </row>
    <row r="33" spans="1:34" s="144" customFormat="1" ht="21.75" customHeight="1" x14ac:dyDescent="0.2">
      <c r="A33" s="443">
        <v>43475</v>
      </c>
      <c r="B33" s="463"/>
      <c r="C33" s="445" t="s">
        <v>215</v>
      </c>
      <c r="D33" s="445" t="s">
        <v>498</v>
      </c>
      <c r="E33" s="445" t="s">
        <v>391</v>
      </c>
      <c r="F33" s="440">
        <v>21845</v>
      </c>
      <c r="G33" s="439" t="s">
        <v>497</v>
      </c>
      <c r="H33" s="438"/>
      <c r="I33" s="438"/>
      <c r="J33" s="438"/>
      <c r="K33" s="438">
        <v>178.39</v>
      </c>
      <c r="L33" s="437"/>
      <c r="M33" s="444">
        <f t="shared" si="0"/>
        <v>159.27678571428569</v>
      </c>
      <c r="N33" s="444">
        <f t="shared" si="1"/>
        <v>19.113214285714282</v>
      </c>
      <c r="O33" s="444"/>
      <c r="P33" s="444">
        <v>159.28</v>
      </c>
      <c r="Q33" s="314"/>
      <c r="R33" s="314"/>
      <c r="S33" s="314"/>
      <c r="T33" s="436"/>
      <c r="U33" s="436"/>
      <c r="V33" s="436"/>
      <c r="W33" s="436"/>
      <c r="X33" s="436"/>
      <c r="Y33" s="314"/>
      <c r="Z33" s="314"/>
      <c r="AA33" s="314"/>
      <c r="AB33" s="314"/>
      <c r="AC33" s="458"/>
      <c r="AD33" s="458"/>
      <c r="AE33" s="145"/>
      <c r="AF33" s="145"/>
      <c r="AG33" s="444">
        <f t="shared" si="3"/>
        <v>-178.39321428571429</v>
      </c>
      <c r="AH33" s="433">
        <f t="shared" si="4"/>
        <v>-3.2142857143071524E-3</v>
      </c>
    </row>
    <row r="34" spans="1:34" s="144" customFormat="1" ht="21.75" customHeight="1" x14ac:dyDescent="0.2">
      <c r="A34" s="443">
        <v>43475</v>
      </c>
      <c r="B34" s="463"/>
      <c r="C34" s="445" t="s">
        <v>375</v>
      </c>
      <c r="D34" s="445" t="s">
        <v>374</v>
      </c>
      <c r="E34" s="445" t="s">
        <v>373</v>
      </c>
      <c r="F34" s="440">
        <v>108541</v>
      </c>
      <c r="G34" s="439" t="s">
        <v>496</v>
      </c>
      <c r="H34" s="462"/>
      <c r="I34" s="462"/>
      <c r="J34" s="438"/>
      <c r="K34" s="438">
        <v>1709.8</v>
      </c>
      <c r="L34" s="461"/>
      <c r="M34" s="444">
        <f t="shared" si="0"/>
        <v>1526.6071428571427</v>
      </c>
      <c r="N34" s="444">
        <f t="shared" si="1"/>
        <v>183.19285714285712</v>
      </c>
      <c r="O34" s="459"/>
      <c r="P34" s="444">
        <v>1526.61</v>
      </c>
      <c r="Q34" s="460"/>
      <c r="R34" s="459"/>
      <c r="S34" s="459"/>
      <c r="T34" s="458"/>
      <c r="U34" s="458"/>
      <c r="V34" s="458"/>
      <c r="W34" s="458"/>
      <c r="X34" s="458"/>
      <c r="Y34" s="459"/>
      <c r="Z34" s="459"/>
      <c r="AA34" s="459"/>
      <c r="AB34" s="459"/>
      <c r="AC34" s="458"/>
      <c r="AD34" s="458"/>
      <c r="AE34" s="145"/>
      <c r="AF34" s="145"/>
      <c r="AG34" s="444">
        <f t="shared" si="3"/>
        <v>-1709.802857142857</v>
      </c>
      <c r="AH34" s="433">
        <f t="shared" si="4"/>
        <v>-2.8571428570103308E-3</v>
      </c>
    </row>
    <row r="35" spans="1:34" s="144" customFormat="1" ht="21.75" customHeight="1" x14ac:dyDescent="0.2">
      <c r="A35" s="443">
        <v>43475</v>
      </c>
      <c r="B35" s="463"/>
      <c r="C35" s="445" t="s">
        <v>375</v>
      </c>
      <c r="D35" s="445" t="s">
        <v>374</v>
      </c>
      <c r="E35" s="445" t="s">
        <v>373</v>
      </c>
      <c r="F35" s="440">
        <v>108541</v>
      </c>
      <c r="G35" s="439" t="s">
        <v>495</v>
      </c>
      <c r="H35" s="462"/>
      <c r="I35" s="462"/>
      <c r="J35" s="438">
        <f>31.75+65.3+65.65</f>
        <v>162.69999999999999</v>
      </c>
      <c r="K35" s="438"/>
      <c r="L35" s="461"/>
      <c r="M35" s="444">
        <f t="shared" si="0"/>
        <v>162.69999999999999</v>
      </c>
      <c r="N35" s="444">
        <f t="shared" si="1"/>
        <v>0</v>
      </c>
      <c r="O35" s="459"/>
      <c r="P35" s="444">
        <v>162.69999999999999</v>
      </c>
      <c r="Q35" s="460"/>
      <c r="R35" s="459"/>
      <c r="S35" s="459"/>
      <c r="T35" s="458"/>
      <c r="U35" s="458"/>
      <c r="V35" s="458"/>
      <c r="W35" s="458"/>
      <c r="X35" s="458"/>
      <c r="Y35" s="459"/>
      <c r="Z35" s="459"/>
      <c r="AA35" s="459"/>
      <c r="AB35" s="459"/>
      <c r="AC35" s="458"/>
      <c r="AD35" s="458"/>
      <c r="AE35" s="145"/>
      <c r="AF35" s="145"/>
      <c r="AG35" s="444">
        <f t="shared" si="3"/>
        <v>-162.69999999999999</v>
      </c>
      <c r="AH35" s="433">
        <f t="shared" si="4"/>
        <v>0</v>
      </c>
    </row>
    <row r="36" spans="1:34" s="144" customFormat="1" ht="21.75" customHeight="1" x14ac:dyDescent="0.2">
      <c r="A36" s="443">
        <v>43476</v>
      </c>
      <c r="B36" s="463"/>
      <c r="C36" s="445" t="s">
        <v>384</v>
      </c>
      <c r="D36" s="445" t="s">
        <v>383</v>
      </c>
      <c r="E36" s="445" t="s">
        <v>382</v>
      </c>
      <c r="F36" s="440">
        <v>113917</v>
      </c>
      <c r="G36" s="439" t="s">
        <v>381</v>
      </c>
      <c r="H36" s="462"/>
      <c r="I36" s="462"/>
      <c r="J36" s="438"/>
      <c r="K36" s="438">
        <v>180</v>
      </c>
      <c r="L36" s="461"/>
      <c r="M36" s="444">
        <f t="shared" si="0"/>
        <v>160.71428571428569</v>
      </c>
      <c r="N36" s="444">
        <f t="shared" si="1"/>
        <v>19.285714285714281</v>
      </c>
      <c r="O36" s="459"/>
      <c r="P36" s="444"/>
      <c r="Q36" s="460">
        <v>160.71</v>
      </c>
      <c r="R36" s="459"/>
      <c r="S36" s="459"/>
      <c r="T36" s="458"/>
      <c r="U36" s="458"/>
      <c r="V36" s="458"/>
      <c r="W36" s="458"/>
      <c r="X36" s="458"/>
      <c r="Y36" s="459"/>
      <c r="Z36" s="459"/>
      <c r="AA36" s="459"/>
      <c r="AB36" s="459"/>
      <c r="AC36" s="458"/>
      <c r="AD36" s="458"/>
      <c r="AE36" s="145"/>
      <c r="AF36" s="145"/>
      <c r="AG36" s="444">
        <f t="shared" si="3"/>
        <v>-179.99571428571429</v>
      </c>
      <c r="AH36" s="433">
        <f t="shared" si="4"/>
        <v>4.2857142857144481E-3</v>
      </c>
    </row>
    <row r="37" spans="1:34" s="144" customFormat="1" ht="21.75" customHeight="1" x14ac:dyDescent="0.2">
      <c r="A37" s="443">
        <v>43476</v>
      </c>
      <c r="B37" s="463"/>
      <c r="C37" s="445" t="s">
        <v>413</v>
      </c>
      <c r="D37" s="445" t="s">
        <v>435</v>
      </c>
      <c r="E37" s="445" t="s">
        <v>434</v>
      </c>
      <c r="F37" s="440">
        <v>33765</v>
      </c>
      <c r="G37" s="439" t="s">
        <v>494</v>
      </c>
      <c r="H37" s="462"/>
      <c r="I37" s="462"/>
      <c r="J37" s="438">
        <v>79</v>
      </c>
      <c r="K37" s="438"/>
      <c r="L37" s="461"/>
      <c r="M37" s="444">
        <f t="shared" ref="M37:M68" si="5">SUM(H37:J37,K37/1.12)</f>
        <v>79</v>
      </c>
      <c r="N37" s="444">
        <f t="shared" ref="N37:N68" si="6">K37/1.12*0.12</f>
        <v>0</v>
      </c>
      <c r="O37" s="459"/>
      <c r="P37" s="444">
        <v>79</v>
      </c>
      <c r="Q37" s="460"/>
      <c r="R37" s="459"/>
      <c r="S37" s="459"/>
      <c r="T37" s="458"/>
      <c r="U37" s="458"/>
      <c r="V37" s="458"/>
      <c r="W37" s="458"/>
      <c r="X37" s="458"/>
      <c r="Y37" s="459"/>
      <c r="Z37" s="459"/>
      <c r="AA37" s="459"/>
      <c r="AB37" s="459"/>
      <c r="AC37" s="458"/>
      <c r="AD37" s="458"/>
      <c r="AE37" s="145"/>
      <c r="AF37" s="145"/>
      <c r="AG37" s="444">
        <f t="shared" ref="AG37:AG68" si="7">-SUM(N37:AF37)</f>
        <v>-79</v>
      </c>
      <c r="AH37" s="433">
        <f t="shared" ref="AH37:AH68" si="8">SUM(H37:K37)+AG37+O37</f>
        <v>0</v>
      </c>
    </row>
    <row r="38" spans="1:34" s="144" customFormat="1" ht="21.75" customHeight="1" x14ac:dyDescent="0.2">
      <c r="A38" s="443">
        <v>43476</v>
      </c>
      <c r="B38" s="463"/>
      <c r="C38" s="445" t="s">
        <v>384</v>
      </c>
      <c r="D38" s="445" t="s">
        <v>383</v>
      </c>
      <c r="E38" s="445" t="s">
        <v>382</v>
      </c>
      <c r="F38" s="440">
        <v>113981</v>
      </c>
      <c r="G38" s="439" t="s">
        <v>381</v>
      </c>
      <c r="H38" s="462"/>
      <c r="I38" s="462"/>
      <c r="J38" s="438"/>
      <c r="K38" s="438">
        <v>90</v>
      </c>
      <c r="L38" s="461"/>
      <c r="M38" s="444">
        <f t="shared" si="5"/>
        <v>80.357142857142847</v>
      </c>
      <c r="N38" s="444">
        <f t="shared" si="6"/>
        <v>9.6428571428571406</v>
      </c>
      <c r="O38" s="459"/>
      <c r="P38" s="444"/>
      <c r="Q38" s="460">
        <v>80.36</v>
      </c>
      <c r="R38" s="459"/>
      <c r="S38" s="459"/>
      <c r="T38" s="458"/>
      <c r="U38" s="458"/>
      <c r="V38" s="458"/>
      <c r="W38" s="458"/>
      <c r="X38" s="458"/>
      <c r="Y38" s="459"/>
      <c r="Z38" s="459"/>
      <c r="AA38" s="459"/>
      <c r="AB38" s="459"/>
      <c r="AC38" s="458"/>
      <c r="AD38" s="458"/>
      <c r="AE38" s="145"/>
      <c r="AF38" s="145"/>
      <c r="AG38" s="444">
        <f t="shared" si="7"/>
        <v>-90.002857142857138</v>
      </c>
      <c r="AH38" s="433">
        <f t="shared" si="8"/>
        <v>-2.8571428571382285E-3</v>
      </c>
    </row>
    <row r="39" spans="1:34" s="144" customFormat="1" ht="21.75" customHeight="1" x14ac:dyDescent="0.2">
      <c r="A39" s="443">
        <v>43477</v>
      </c>
      <c r="B39" s="463"/>
      <c r="C39" s="445" t="s">
        <v>375</v>
      </c>
      <c r="D39" s="445" t="s">
        <v>374</v>
      </c>
      <c r="E39" s="445" t="s">
        <v>373</v>
      </c>
      <c r="F39" s="440">
        <v>129711</v>
      </c>
      <c r="G39" s="439" t="s">
        <v>493</v>
      </c>
      <c r="H39" s="462"/>
      <c r="I39" s="462"/>
      <c r="J39" s="438">
        <f>44.2+34.3</f>
        <v>78.5</v>
      </c>
      <c r="K39" s="438"/>
      <c r="L39" s="461"/>
      <c r="M39" s="444">
        <f t="shared" si="5"/>
        <v>78.5</v>
      </c>
      <c r="N39" s="444">
        <f t="shared" si="6"/>
        <v>0</v>
      </c>
      <c r="O39" s="459"/>
      <c r="P39" s="444">
        <v>78.5</v>
      </c>
      <c r="Q39" s="460"/>
      <c r="R39" s="459"/>
      <c r="S39" s="459"/>
      <c r="T39" s="458"/>
      <c r="U39" s="458"/>
      <c r="V39" s="458"/>
      <c r="W39" s="458"/>
      <c r="X39" s="458"/>
      <c r="Y39" s="459"/>
      <c r="Z39" s="459"/>
      <c r="AA39" s="459"/>
      <c r="AB39" s="459"/>
      <c r="AC39" s="458"/>
      <c r="AD39" s="458"/>
      <c r="AE39" s="145"/>
      <c r="AF39" s="145"/>
      <c r="AG39" s="444">
        <f t="shared" si="7"/>
        <v>-78.5</v>
      </c>
      <c r="AH39" s="433">
        <f t="shared" si="8"/>
        <v>0</v>
      </c>
    </row>
    <row r="40" spans="1:34" s="144" customFormat="1" ht="21.75" customHeight="1" x14ac:dyDescent="0.2">
      <c r="A40" s="443">
        <v>43477</v>
      </c>
      <c r="B40" s="463"/>
      <c r="C40" s="445" t="s">
        <v>375</v>
      </c>
      <c r="D40" s="445" t="s">
        <v>374</v>
      </c>
      <c r="E40" s="445" t="s">
        <v>373</v>
      </c>
      <c r="F40" s="440">
        <v>129711</v>
      </c>
      <c r="G40" s="439" t="s">
        <v>492</v>
      </c>
      <c r="H40" s="462"/>
      <c r="I40" s="462"/>
      <c r="J40" s="438"/>
      <c r="K40" s="438">
        <v>1730.1</v>
      </c>
      <c r="L40" s="461"/>
      <c r="M40" s="444">
        <f t="shared" si="5"/>
        <v>1544.7321428571427</v>
      </c>
      <c r="N40" s="444">
        <f t="shared" si="6"/>
        <v>185.3678571428571</v>
      </c>
      <c r="O40" s="459"/>
      <c r="P40" s="444">
        <v>1544.73</v>
      </c>
      <c r="Q40" s="460"/>
      <c r="R40" s="459"/>
      <c r="S40" s="459"/>
      <c r="T40" s="458"/>
      <c r="U40" s="458"/>
      <c r="V40" s="458"/>
      <c r="W40" s="458"/>
      <c r="X40" s="458"/>
      <c r="Y40" s="459"/>
      <c r="Z40" s="459"/>
      <c r="AA40" s="459"/>
      <c r="AB40" s="459"/>
      <c r="AC40" s="458"/>
      <c r="AD40" s="458"/>
      <c r="AE40" s="145"/>
      <c r="AF40" s="145"/>
      <c r="AG40" s="444">
        <f t="shared" si="7"/>
        <v>-1730.097857142857</v>
      </c>
      <c r="AH40" s="433">
        <f t="shared" si="8"/>
        <v>2.1428571428714349E-3</v>
      </c>
    </row>
    <row r="41" spans="1:34" s="144" customFormat="1" ht="21.75" customHeight="1" x14ac:dyDescent="0.2">
      <c r="A41" s="443">
        <v>43477</v>
      </c>
      <c r="B41" s="463"/>
      <c r="C41" s="445" t="s">
        <v>413</v>
      </c>
      <c r="D41" s="445" t="s">
        <v>435</v>
      </c>
      <c r="E41" s="445" t="s">
        <v>434</v>
      </c>
      <c r="F41" s="440">
        <v>33776</v>
      </c>
      <c r="G41" s="439" t="s">
        <v>491</v>
      </c>
      <c r="H41" s="462"/>
      <c r="I41" s="462"/>
      <c r="J41" s="438"/>
      <c r="K41" s="438">
        <v>312.25</v>
      </c>
      <c r="L41" s="461"/>
      <c r="M41" s="444">
        <f t="shared" si="5"/>
        <v>278.79464285714283</v>
      </c>
      <c r="N41" s="444">
        <f t="shared" si="6"/>
        <v>33.455357142857139</v>
      </c>
      <c r="O41" s="459"/>
      <c r="P41" s="444"/>
      <c r="Q41" s="460">
        <v>278.79000000000002</v>
      </c>
      <c r="R41" s="459"/>
      <c r="S41" s="459"/>
      <c r="T41" s="458"/>
      <c r="U41" s="458"/>
      <c r="V41" s="458"/>
      <c r="W41" s="458"/>
      <c r="X41" s="458"/>
      <c r="Y41" s="459"/>
      <c r="Z41" s="459"/>
      <c r="AA41" s="459"/>
      <c r="AB41" s="459"/>
      <c r="AC41" s="458"/>
      <c r="AD41" s="458"/>
      <c r="AE41" s="145"/>
      <c r="AF41" s="145"/>
      <c r="AG41" s="444">
        <f t="shared" si="7"/>
        <v>-312.24535714285719</v>
      </c>
      <c r="AH41" s="433">
        <f t="shared" si="8"/>
        <v>4.6428571428123178E-3</v>
      </c>
    </row>
    <row r="42" spans="1:34" s="144" customFormat="1" ht="21.75" customHeight="1" x14ac:dyDescent="0.2">
      <c r="A42" s="443">
        <v>43479</v>
      </c>
      <c r="B42" s="463"/>
      <c r="C42" s="445" t="s">
        <v>452</v>
      </c>
      <c r="D42" s="445" t="s">
        <v>451</v>
      </c>
      <c r="E42" s="445" t="s">
        <v>490</v>
      </c>
      <c r="F42" s="440">
        <v>2868</v>
      </c>
      <c r="G42" s="439" t="s">
        <v>489</v>
      </c>
      <c r="H42" s="462"/>
      <c r="I42" s="462"/>
      <c r="J42" s="438">
        <v>1730</v>
      </c>
      <c r="K42" s="438"/>
      <c r="L42" s="461"/>
      <c r="M42" s="444">
        <f t="shared" si="5"/>
        <v>1730</v>
      </c>
      <c r="N42" s="444">
        <f t="shared" si="6"/>
        <v>0</v>
      </c>
      <c r="O42" s="459"/>
      <c r="P42" s="444">
        <v>1730</v>
      </c>
      <c r="Q42" s="460"/>
      <c r="R42" s="459"/>
      <c r="S42" s="459"/>
      <c r="T42" s="458"/>
      <c r="U42" s="458"/>
      <c r="V42" s="458"/>
      <c r="W42" s="458"/>
      <c r="X42" s="458"/>
      <c r="Y42" s="459"/>
      <c r="Z42" s="459"/>
      <c r="AA42" s="459"/>
      <c r="AB42" s="459"/>
      <c r="AC42" s="458"/>
      <c r="AD42" s="458"/>
      <c r="AE42" s="145"/>
      <c r="AF42" s="145"/>
      <c r="AG42" s="444">
        <f t="shared" si="7"/>
        <v>-1730</v>
      </c>
      <c r="AH42" s="433">
        <f t="shared" si="8"/>
        <v>0</v>
      </c>
    </row>
    <row r="43" spans="1:34" s="144" customFormat="1" ht="21.75" customHeight="1" x14ac:dyDescent="0.2">
      <c r="A43" s="443">
        <v>43479</v>
      </c>
      <c r="B43" s="463"/>
      <c r="C43" s="445" t="s">
        <v>384</v>
      </c>
      <c r="D43" s="445" t="s">
        <v>383</v>
      </c>
      <c r="E43" s="445" t="s">
        <v>382</v>
      </c>
      <c r="F43" s="440">
        <v>114049</v>
      </c>
      <c r="G43" s="439" t="s">
        <v>381</v>
      </c>
      <c r="H43" s="462"/>
      <c r="I43" s="462"/>
      <c r="J43" s="438"/>
      <c r="K43" s="438">
        <v>180</v>
      </c>
      <c r="L43" s="461"/>
      <c r="M43" s="444">
        <f t="shared" si="5"/>
        <v>160.71428571428569</v>
      </c>
      <c r="N43" s="444">
        <f t="shared" si="6"/>
        <v>19.285714285714281</v>
      </c>
      <c r="O43" s="459"/>
      <c r="P43" s="444"/>
      <c r="Q43" s="460">
        <v>160.71</v>
      </c>
      <c r="R43" s="459"/>
      <c r="S43" s="459"/>
      <c r="T43" s="458"/>
      <c r="U43" s="458"/>
      <c r="V43" s="458"/>
      <c r="W43" s="458"/>
      <c r="X43" s="458"/>
      <c r="Y43" s="459"/>
      <c r="Z43" s="459"/>
      <c r="AA43" s="459"/>
      <c r="AB43" s="459"/>
      <c r="AC43" s="458"/>
      <c r="AD43" s="458"/>
      <c r="AE43" s="145"/>
      <c r="AF43" s="145"/>
      <c r="AG43" s="444">
        <f t="shared" si="7"/>
        <v>-179.99571428571429</v>
      </c>
      <c r="AH43" s="433">
        <f t="shared" si="8"/>
        <v>4.2857142857144481E-3</v>
      </c>
    </row>
    <row r="44" spans="1:34" s="144" customFormat="1" ht="21.75" customHeight="1" x14ac:dyDescent="0.2">
      <c r="A44" s="443">
        <v>43479</v>
      </c>
      <c r="B44" s="463"/>
      <c r="C44" s="445" t="s">
        <v>413</v>
      </c>
      <c r="D44" s="445" t="s">
        <v>435</v>
      </c>
      <c r="E44" s="445" t="s">
        <v>434</v>
      </c>
      <c r="F44" s="440">
        <v>33777</v>
      </c>
      <c r="G44" s="439" t="s">
        <v>488</v>
      </c>
      <c r="H44" s="462"/>
      <c r="I44" s="462"/>
      <c r="J44" s="438"/>
      <c r="K44" s="438">
        <v>207</v>
      </c>
      <c r="L44" s="461"/>
      <c r="M44" s="444">
        <f t="shared" si="5"/>
        <v>184.82142857142856</v>
      </c>
      <c r="N44" s="444">
        <f t="shared" si="6"/>
        <v>22.178571428571427</v>
      </c>
      <c r="O44" s="459"/>
      <c r="P44" s="444"/>
      <c r="Q44" s="460">
        <v>184.82</v>
      </c>
      <c r="R44" s="459"/>
      <c r="S44" s="459"/>
      <c r="T44" s="458"/>
      <c r="U44" s="458"/>
      <c r="V44" s="458"/>
      <c r="W44" s="458"/>
      <c r="X44" s="458"/>
      <c r="Y44" s="459"/>
      <c r="Z44" s="459"/>
      <c r="AA44" s="459"/>
      <c r="AB44" s="459"/>
      <c r="AC44" s="458"/>
      <c r="AD44" s="458"/>
      <c r="AE44" s="145"/>
      <c r="AF44" s="145"/>
      <c r="AG44" s="444">
        <f t="shared" si="7"/>
        <v>-206.99857142857141</v>
      </c>
      <c r="AH44" s="433">
        <f t="shared" si="8"/>
        <v>1.4285714285904305E-3</v>
      </c>
    </row>
    <row r="45" spans="1:34" s="144" customFormat="1" ht="21.75" customHeight="1" x14ac:dyDescent="0.2">
      <c r="A45" s="443">
        <v>43479</v>
      </c>
      <c r="B45" s="463"/>
      <c r="C45" s="445" t="s">
        <v>375</v>
      </c>
      <c r="D45" s="445" t="s">
        <v>374</v>
      </c>
      <c r="E45" s="445" t="s">
        <v>373</v>
      </c>
      <c r="F45" s="440">
        <v>159133</v>
      </c>
      <c r="G45" s="439" t="s">
        <v>487</v>
      </c>
      <c r="H45" s="462"/>
      <c r="I45" s="462"/>
      <c r="J45" s="438"/>
      <c r="K45" s="438">
        <v>822.55</v>
      </c>
      <c r="L45" s="461"/>
      <c r="M45" s="444">
        <f t="shared" si="5"/>
        <v>734.41964285714278</v>
      </c>
      <c r="N45" s="444">
        <f t="shared" si="6"/>
        <v>88.130357142857136</v>
      </c>
      <c r="O45" s="459"/>
      <c r="P45" s="444">
        <v>734.42</v>
      </c>
      <c r="Q45" s="460"/>
      <c r="R45" s="459"/>
      <c r="S45" s="459"/>
      <c r="T45" s="458"/>
      <c r="U45" s="458"/>
      <c r="V45" s="458"/>
      <c r="W45" s="458"/>
      <c r="X45" s="458"/>
      <c r="Y45" s="459"/>
      <c r="Z45" s="459"/>
      <c r="AA45" s="459"/>
      <c r="AB45" s="459"/>
      <c r="AC45" s="458"/>
      <c r="AD45" s="458"/>
      <c r="AE45" s="145"/>
      <c r="AF45" s="145"/>
      <c r="AG45" s="444">
        <f t="shared" si="7"/>
        <v>-822.55035714285714</v>
      </c>
      <c r="AH45" s="433">
        <f t="shared" si="8"/>
        <v>-3.5714285718313477E-4</v>
      </c>
    </row>
    <row r="46" spans="1:34" s="144" customFormat="1" ht="21.75" customHeight="1" x14ac:dyDescent="0.2">
      <c r="A46" s="443">
        <v>43479</v>
      </c>
      <c r="B46" s="463"/>
      <c r="C46" s="445" t="s">
        <v>413</v>
      </c>
      <c r="D46" s="445" t="s">
        <v>435</v>
      </c>
      <c r="E46" s="445" t="s">
        <v>434</v>
      </c>
      <c r="F46" s="440">
        <v>33794</v>
      </c>
      <c r="G46" s="439" t="s">
        <v>486</v>
      </c>
      <c r="H46" s="462"/>
      <c r="I46" s="462"/>
      <c r="J46" s="438"/>
      <c r="K46" s="438">
        <v>911.25</v>
      </c>
      <c r="L46" s="461"/>
      <c r="M46" s="444">
        <f t="shared" si="5"/>
        <v>813.61607142857133</v>
      </c>
      <c r="N46" s="444">
        <f t="shared" si="6"/>
        <v>97.633928571428555</v>
      </c>
      <c r="O46" s="459"/>
      <c r="P46" s="444">
        <v>813.62</v>
      </c>
      <c r="Q46" s="460"/>
      <c r="R46" s="459"/>
      <c r="S46" s="459"/>
      <c r="T46" s="458"/>
      <c r="U46" s="458"/>
      <c r="V46" s="458"/>
      <c r="W46" s="458"/>
      <c r="X46" s="458"/>
      <c r="Y46" s="459"/>
      <c r="Z46" s="459"/>
      <c r="AA46" s="459"/>
      <c r="AB46" s="459"/>
      <c r="AC46" s="458"/>
      <c r="AD46" s="458"/>
      <c r="AE46" s="145"/>
      <c r="AF46" s="145"/>
      <c r="AG46" s="444">
        <f t="shared" si="7"/>
        <v>-911.25392857142856</v>
      </c>
      <c r="AH46" s="433">
        <f t="shared" si="8"/>
        <v>-3.9285714285597351E-3</v>
      </c>
    </row>
    <row r="47" spans="1:34" s="144" customFormat="1" ht="21.75" customHeight="1" x14ac:dyDescent="0.2">
      <c r="A47" s="443">
        <v>43480</v>
      </c>
      <c r="B47" s="463"/>
      <c r="C47" s="445" t="s">
        <v>384</v>
      </c>
      <c r="D47" s="445" t="s">
        <v>383</v>
      </c>
      <c r="E47" s="445" t="s">
        <v>382</v>
      </c>
      <c r="F47" s="440">
        <v>115696</v>
      </c>
      <c r="G47" s="439" t="s">
        <v>381</v>
      </c>
      <c r="H47" s="462"/>
      <c r="I47" s="462"/>
      <c r="J47" s="438"/>
      <c r="K47" s="438">
        <v>180</v>
      </c>
      <c r="L47" s="461"/>
      <c r="M47" s="444">
        <f t="shared" si="5"/>
        <v>160.71428571428569</v>
      </c>
      <c r="N47" s="444">
        <f t="shared" si="6"/>
        <v>19.285714285714281</v>
      </c>
      <c r="O47" s="459"/>
      <c r="P47" s="444"/>
      <c r="Q47" s="460">
        <v>160.71</v>
      </c>
      <c r="R47" s="459"/>
      <c r="S47" s="459"/>
      <c r="T47" s="458"/>
      <c r="U47" s="458"/>
      <c r="V47" s="458"/>
      <c r="W47" s="458"/>
      <c r="X47" s="458"/>
      <c r="Y47" s="459"/>
      <c r="Z47" s="459"/>
      <c r="AA47" s="459"/>
      <c r="AB47" s="459"/>
      <c r="AC47" s="458"/>
      <c r="AD47" s="458"/>
      <c r="AE47" s="145"/>
      <c r="AF47" s="145"/>
      <c r="AG47" s="444">
        <f t="shared" si="7"/>
        <v>-179.99571428571429</v>
      </c>
      <c r="AH47" s="433">
        <f t="shared" si="8"/>
        <v>4.2857142857144481E-3</v>
      </c>
    </row>
    <row r="48" spans="1:34" s="144" customFormat="1" ht="21.75" customHeight="1" x14ac:dyDescent="0.2">
      <c r="A48" s="443">
        <v>43481</v>
      </c>
      <c r="B48" s="463"/>
      <c r="C48" s="445" t="s">
        <v>384</v>
      </c>
      <c r="D48" s="445" t="s">
        <v>383</v>
      </c>
      <c r="E48" s="445" t="s">
        <v>382</v>
      </c>
      <c r="F48" s="440">
        <v>115739</v>
      </c>
      <c r="G48" s="439" t="s">
        <v>381</v>
      </c>
      <c r="H48" s="462"/>
      <c r="I48" s="462"/>
      <c r="J48" s="438"/>
      <c r="K48" s="438">
        <v>180</v>
      </c>
      <c r="L48" s="461"/>
      <c r="M48" s="444">
        <f t="shared" si="5"/>
        <v>160.71428571428569</v>
      </c>
      <c r="N48" s="444">
        <f t="shared" si="6"/>
        <v>19.285714285714281</v>
      </c>
      <c r="O48" s="459"/>
      <c r="P48" s="444"/>
      <c r="Q48" s="460">
        <v>160.71</v>
      </c>
      <c r="R48" s="459"/>
      <c r="S48" s="459"/>
      <c r="T48" s="458"/>
      <c r="U48" s="458"/>
      <c r="V48" s="458"/>
      <c r="W48" s="458"/>
      <c r="X48" s="458"/>
      <c r="Y48" s="459"/>
      <c r="Z48" s="459"/>
      <c r="AA48" s="459"/>
      <c r="AB48" s="459"/>
      <c r="AC48" s="458"/>
      <c r="AD48" s="458"/>
      <c r="AE48" s="145"/>
      <c r="AF48" s="145"/>
      <c r="AG48" s="444">
        <f t="shared" si="7"/>
        <v>-179.99571428571429</v>
      </c>
      <c r="AH48" s="433">
        <f t="shared" si="8"/>
        <v>4.2857142857144481E-3</v>
      </c>
    </row>
    <row r="49" spans="1:34" s="144" customFormat="1" ht="21.75" customHeight="1" x14ac:dyDescent="0.2">
      <c r="A49" s="443">
        <v>43481</v>
      </c>
      <c r="B49" s="463"/>
      <c r="C49" s="445" t="s">
        <v>375</v>
      </c>
      <c r="D49" s="445" t="s">
        <v>374</v>
      </c>
      <c r="E49" s="445" t="s">
        <v>373</v>
      </c>
      <c r="F49" s="440">
        <v>152492</v>
      </c>
      <c r="G49" s="439" t="s">
        <v>485</v>
      </c>
      <c r="H49" s="462"/>
      <c r="I49" s="462"/>
      <c r="J49" s="438">
        <f>54.45+57.95+56.25+45+45</f>
        <v>258.64999999999998</v>
      </c>
      <c r="K49" s="438"/>
      <c r="L49" s="461"/>
      <c r="M49" s="444">
        <f t="shared" si="5"/>
        <v>258.64999999999998</v>
      </c>
      <c r="N49" s="444">
        <f t="shared" si="6"/>
        <v>0</v>
      </c>
      <c r="O49" s="459"/>
      <c r="P49" s="444">
        <v>258.64999999999998</v>
      </c>
      <c r="Q49" s="460"/>
      <c r="R49" s="459"/>
      <c r="S49" s="459"/>
      <c r="T49" s="458"/>
      <c r="U49" s="458"/>
      <c r="V49" s="458"/>
      <c r="W49" s="458"/>
      <c r="X49" s="458"/>
      <c r="Y49" s="459"/>
      <c r="Z49" s="459"/>
      <c r="AA49" s="459"/>
      <c r="AB49" s="459"/>
      <c r="AC49" s="458"/>
      <c r="AD49" s="458"/>
      <c r="AE49" s="145"/>
      <c r="AF49" s="145"/>
      <c r="AG49" s="444">
        <f t="shared" si="7"/>
        <v>-258.64999999999998</v>
      </c>
      <c r="AH49" s="433">
        <f t="shared" si="8"/>
        <v>0</v>
      </c>
    </row>
    <row r="50" spans="1:34" s="144" customFormat="1" ht="21.75" customHeight="1" x14ac:dyDescent="0.2">
      <c r="A50" s="443">
        <v>43481</v>
      </c>
      <c r="B50" s="463"/>
      <c r="C50" s="445" t="s">
        <v>375</v>
      </c>
      <c r="D50" s="445" t="s">
        <v>374</v>
      </c>
      <c r="E50" s="445" t="s">
        <v>373</v>
      </c>
      <c r="F50" s="440">
        <v>152492</v>
      </c>
      <c r="G50" s="439" t="s">
        <v>484</v>
      </c>
      <c r="H50" s="462"/>
      <c r="I50" s="462"/>
      <c r="J50" s="438"/>
      <c r="K50" s="438">
        <f>2076.85-258.65</f>
        <v>1818.1999999999998</v>
      </c>
      <c r="L50" s="461"/>
      <c r="M50" s="444">
        <f t="shared" si="5"/>
        <v>1623.3928571428569</v>
      </c>
      <c r="N50" s="444">
        <f t="shared" si="6"/>
        <v>194.80714285714282</v>
      </c>
      <c r="O50" s="459"/>
      <c r="P50" s="444">
        <v>1623.39</v>
      </c>
      <c r="Q50" s="460"/>
      <c r="R50" s="459"/>
      <c r="S50" s="459"/>
      <c r="T50" s="458"/>
      <c r="U50" s="458"/>
      <c r="V50" s="458"/>
      <c r="W50" s="458"/>
      <c r="X50" s="458"/>
      <c r="Y50" s="459"/>
      <c r="Z50" s="459"/>
      <c r="AA50" s="459"/>
      <c r="AB50" s="459"/>
      <c r="AC50" s="458"/>
      <c r="AD50" s="458"/>
      <c r="AE50" s="145"/>
      <c r="AF50" s="145"/>
      <c r="AG50" s="444">
        <f t="shared" si="7"/>
        <v>-1818.1971428571428</v>
      </c>
      <c r="AH50" s="433">
        <f t="shared" si="8"/>
        <v>2.8571428570103308E-3</v>
      </c>
    </row>
    <row r="51" spans="1:34" s="144" customFormat="1" ht="21.75" customHeight="1" x14ac:dyDescent="0.2">
      <c r="A51" s="443">
        <v>43481</v>
      </c>
      <c r="B51" s="463"/>
      <c r="C51" s="445" t="s">
        <v>413</v>
      </c>
      <c r="D51" s="445" t="s">
        <v>435</v>
      </c>
      <c r="E51" s="445" t="s">
        <v>434</v>
      </c>
      <c r="F51" s="440">
        <v>33688</v>
      </c>
      <c r="G51" s="439" t="s">
        <v>483</v>
      </c>
      <c r="H51" s="462"/>
      <c r="I51" s="462"/>
      <c r="J51" s="438"/>
      <c r="K51" s="438">
        <v>132</v>
      </c>
      <c r="L51" s="461"/>
      <c r="M51" s="444">
        <f t="shared" si="5"/>
        <v>117.85714285714285</v>
      </c>
      <c r="N51" s="444">
        <f t="shared" si="6"/>
        <v>14.142857142857141</v>
      </c>
      <c r="O51" s="459"/>
      <c r="P51" s="444">
        <v>117.86</v>
      </c>
      <c r="Q51" s="460"/>
      <c r="R51" s="459"/>
      <c r="S51" s="459"/>
      <c r="T51" s="458"/>
      <c r="U51" s="458"/>
      <c r="V51" s="458"/>
      <c r="W51" s="458"/>
      <c r="X51" s="458"/>
      <c r="Y51" s="459"/>
      <c r="Z51" s="459"/>
      <c r="AA51" s="459"/>
      <c r="AB51" s="459"/>
      <c r="AC51" s="458"/>
      <c r="AD51" s="458"/>
      <c r="AE51" s="145"/>
      <c r="AF51" s="145"/>
      <c r="AG51" s="444">
        <f t="shared" si="7"/>
        <v>-132.00285714285715</v>
      </c>
      <c r="AH51" s="433">
        <f t="shared" si="8"/>
        <v>-2.8571428571524393E-3</v>
      </c>
    </row>
    <row r="52" spans="1:34" s="144" customFormat="1" ht="21.75" customHeight="1" x14ac:dyDescent="0.2">
      <c r="A52" s="443">
        <v>43481</v>
      </c>
      <c r="B52" s="463"/>
      <c r="C52" s="464" t="s">
        <v>482</v>
      </c>
      <c r="D52" s="464" t="s">
        <v>481</v>
      </c>
      <c r="E52" s="464" t="s">
        <v>415</v>
      </c>
      <c r="F52" s="440">
        <v>218785</v>
      </c>
      <c r="G52" s="439" t="s">
        <v>480</v>
      </c>
      <c r="H52" s="462"/>
      <c r="I52" s="462"/>
      <c r="J52" s="438"/>
      <c r="K52" s="438">
        <v>1329.54</v>
      </c>
      <c r="L52" s="461"/>
      <c r="M52" s="444">
        <f t="shared" si="5"/>
        <v>1187.0892857142856</v>
      </c>
      <c r="N52" s="444">
        <f t="shared" si="6"/>
        <v>142.45071428571427</v>
      </c>
      <c r="O52" s="459"/>
      <c r="P52" s="444">
        <v>1187.0899999999999</v>
      </c>
      <c r="Q52" s="460"/>
      <c r="R52" s="459"/>
      <c r="S52" s="459"/>
      <c r="T52" s="458"/>
      <c r="U52" s="458"/>
      <c r="V52" s="458"/>
      <c r="W52" s="458"/>
      <c r="X52" s="458"/>
      <c r="Y52" s="459"/>
      <c r="Z52" s="459"/>
      <c r="AA52" s="459"/>
      <c r="AB52" s="459"/>
      <c r="AC52" s="458"/>
      <c r="AD52" s="458"/>
      <c r="AE52" s="145"/>
      <c r="AF52" s="145"/>
      <c r="AG52" s="444">
        <f t="shared" si="7"/>
        <v>-1329.5407142857141</v>
      </c>
      <c r="AH52" s="433">
        <f t="shared" si="8"/>
        <v>-7.1428571413889586E-4</v>
      </c>
    </row>
    <row r="53" spans="1:34" s="144" customFormat="1" ht="21.75" customHeight="1" x14ac:dyDescent="0.2">
      <c r="A53" s="443">
        <v>43481</v>
      </c>
      <c r="B53" s="463"/>
      <c r="C53" s="445" t="s">
        <v>413</v>
      </c>
      <c r="D53" s="445" t="s">
        <v>435</v>
      </c>
      <c r="E53" s="445" t="s">
        <v>434</v>
      </c>
      <c r="F53" s="440">
        <v>33671</v>
      </c>
      <c r="G53" s="439" t="s">
        <v>479</v>
      </c>
      <c r="H53" s="462"/>
      <c r="I53" s="462"/>
      <c r="J53" s="438"/>
      <c r="K53" s="438">
        <v>828.75</v>
      </c>
      <c r="L53" s="461"/>
      <c r="M53" s="444">
        <f t="shared" si="5"/>
        <v>739.95535714285711</v>
      </c>
      <c r="N53" s="444">
        <f t="shared" si="6"/>
        <v>88.794642857142847</v>
      </c>
      <c r="O53" s="459"/>
      <c r="P53" s="444">
        <v>739.96</v>
      </c>
      <c r="Q53" s="460"/>
      <c r="R53" s="459"/>
      <c r="S53" s="459"/>
      <c r="T53" s="458"/>
      <c r="U53" s="458"/>
      <c r="V53" s="458"/>
      <c r="W53" s="458"/>
      <c r="X53" s="458"/>
      <c r="Y53" s="459"/>
      <c r="Z53" s="459"/>
      <c r="AA53" s="459"/>
      <c r="AB53" s="459"/>
      <c r="AC53" s="458"/>
      <c r="AD53" s="458"/>
      <c r="AE53" s="145"/>
      <c r="AF53" s="145"/>
      <c r="AG53" s="444">
        <f t="shared" si="7"/>
        <v>-828.75464285714293</v>
      </c>
      <c r="AH53" s="433">
        <f t="shared" si="8"/>
        <v>-4.6428571429260046E-3</v>
      </c>
    </row>
    <row r="54" spans="1:34" s="447" customFormat="1" ht="21.75" customHeight="1" x14ac:dyDescent="0.2">
      <c r="A54" s="457">
        <v>43481</v>
      </c>
      <c r="B54" s="456"/>
      <c r="C54" s="455" t="s">
        <v>478</v>
      </c>
      <c r="D54" s="455"/>
      <c r="E54" s="455" t="s">
        <v>477</v>
      </c>
      <c r="F54" s="454"/>
      <c r="G54" s="453" t="s">
        <v>476</v>
      </c>
      <c r="H54" s="452">
        <v>1123</v>
      </c>
      <c r="I54" s="452"/>
      <c r="J54" s="452"/>
      <c r="K54" s="452"/>
      <c r="L54" s="451"/>
      <c r="M54" s="449">
        <f t="shared" si="5"/>
        <v>1123</v>
      </c>
      <c r="N54" s="449">
        <f t="shared" si="6"/>
        <v>0</v>
      </c>
      <c r="O54" s="449">
        <f t="shared" ref="O54:O85" si="9">-SUM(I54:J54,K54/1.12)*L54</f>
        <v>0</v>
      </c>
      <c r="P54" s="449">
        <v>1123</v>
      </c>
      <c r="Q54" s="317"/>
      <c r="R54" s="317"/>
      <c r="S54" s="317"/>
      <c r="T54" s="450"/>
      <c r="U54" s="450"/>
      <c r="V54" s="450"/>
      <c r="W54" s="450"/>
      <c r="X54" s="450"/>
      <c r="Y54" s="317"/>
      <c r="Z54" s="317"/>
      <c r="AA54" s="317"/>
      <c r="AB54" s="317"/>
      <c r="AC54" s="450"/>
      <c r="AD54" s="450"/>
      <c r="AE54" s="317"/>
      <c r="AF54" s="317"/>
      <c r="AG54" s="444">
        <f t="shared" si="7"/>
        <v>-1123</v>
      </c>
      <c r="AH54" s="433">
        <f t="shared" si="8"/>
        <v>0</v>
      </c>
    </row>
    <row r="55" spans="1:34" s="259" customFormat="1" ht="21.75" customHeight="1" x14ac:dyDescent="0.2">
      <c r="A55" s="443">
        <v>43476</v>
      </c>
      <c r="B55" s="442"/>
      <c r="C55" s="445" t="s">
        <v>458</v>
      </c>
      <c r="D55" s="445" t="s">
        <v>387</v>
      </c>
      <c r="E55" s="445" t="s">
        <v>474</v>
      </c>
      <c r="F55" s="440"/>
      <c r="G55" s="446" t="s">
        <v>475</v>
      </c>
      <c r="H55" s="438"/>
      <c r="I55" s="438"/>
      <c r="J55" s="438"/>
      <c r="K55" s="438">
        <f>34+33+135.5</f>
        <v>202.5</v>
      </c>
      <c r="L55" s="437"/>
      <c r="M55" s="444">
        <f t="shared" si="5"/>
        <v>180.80357142857142</v>
      </c>
      <c r="N55" s="444">
        <f t="shared" si="6"/>
        <v>21.696428571428569</v>
      </c>
      <c r="O55" s="444">
        <f t="shared" si="9"/>
        <v>0</v>
      </c>
      <c r="P55" s="444"/>
      <c r="Q55" s="314"/>
      <c r="R55" s="314"/>
      <c r="S55" s="314"/>
      <c r="T55" s="436">
        <v>180.8</v>
      </c>
      <c r="U55" s="436"/>
      <c r="V55" s="436"/>
      <c r="W55" s="436"/>
      <c r="X55" s="436"/>
      <c r="Y55" s="314"/>
      <c r="Z55" s="314"/>
      <c r="AA55" s="314"/>
      <c r="AB55" s="314"/>
      <c r="AC55" s="436"/>
      <c r="AD55" s="436"/>
      <c r="AE55" s="314"/>
      <c r="AF55" s="314"/>
      <c r="AG55" s="444">
        <f t="shared" si="7"/>
        <v>-202.49642857142857</v>
      </c>
      <c r="AH55" s="433">
        <f t="shared" si="8"/>
        <v>3.5714285714334437E-3</v>
      </c>
    </row>
    <row r="56" spans="1:34" s="259" customFormat="1" ht="21.75" customHeight="1" x14ac:dyDescent="0.2">
      <c r="A56" s="443">
        <v>43476</v>
      </c>
      <c r="B56" s="442"/>
      <c r="C56" s="445" t="s">
        <v>458</v>
      </c>
      <c r="D56" s="445" t="s">
        <v>387</v>
      </c>
      <c r="E56" s="445" t="s">
        <v>474</v>
      </c>
      <c r="F56" s="440"/>
      <c r="G56" s="446" t="s">
        <v>473</v>
      </c>
      <c r="H56" s="438"/>
      <c r="I56" s="438"/>
      <c r="J56" s="438"/>
      <c r="K56" s="438">
        <f>19.25+42</f>
        <v>61.25</v>
      </c>
      <c r="L56" s="437"/>
      <c r="M56" s="444">
        <f t="shared" si="5"/>
        <v>54.687499999999993</v>
      </c>
      <c r="N56" s="444">
        <f t="shared" si="6"/>
        <v>6.5624999999999991</v>
      </c>
      <c r="O56" s="444">
        <f t="shared" si="9"/>
        <v>0</v>
      </c>
      <c r="P56" s="444"/>
      <c r="Q56" s="314"/>
      <c r="R56" s="314">
        <v>54.69</v>
      </c>
      <c r="S56" s="314"/>
      <c r="T56" s="436"/>
      <c r="U56" s="436"/>
      <c r="V56" s="436"/>
      <c r="W56" s="436"/>
      <c r="X56" s="436"/>
      <c r="Y56" s="314"/>
      <c r="Z56" s="314"/>
      <c r="AA56" s="314"/>
      <c r="AB56" s="314"/>
      <c r="AC56" s="436"/>
      <c r="AD56" s="436"/>
      <c r="AE56" s="314"/>
      <c r="AF56" s="314"/>
      <c r="AG56" s="444">
        <f t="shared" si="7"/>
        <v>-61.252499999999998</v>
      </c>
      <c r="AH56" s="433">
        <f t="shared" si="8"/>
        <v>-2.4999999999977263E-3</v>
      </c>
    </row>
    <row r="57" spans="1:34" s="259" customFormat="1" ht="21.75" customHeight="1" x14ac:dyDescent="0.2">
      <c r="A57" s="443">
        <v>43477</v>
      </c>
      <c r="B57" s="442"/>
      <c r="C57" s="445" t="s">
        <v>217</v>
      </c>
      <c r="D57" s="445"/>
      <c r="E57" s="445"/>
      <c r="F57" s="440"/>
      <c r="G57" s="446" t="s">
        <v>472</v>
      </c>
      <c r="H57" s="438">
        <v>200</v>
      </c>
      <c r="I57" s="438"/>
      <c r="J57" s="438"/>
      <c r="K57" s="438"/>
      <c r="L57" s="437"/>
      <c r="M57" s="444">
        <f t="shared" si="5"/>
        <v>200</v>
      </c>
      <c r="N57" s="444">
        <f t="shared" si="6"/>
        <v>0</v>
      </c>
      <c r="O57" s="444">
        <f t="shared" si="9"/>
        <v>0</v>
      </c>
      <c r="P57" s="444"/>
      <c r="Q57" s="314"/>
      <c r="R57" s="314"/>
      <c r="S57" s="314"/>
      <c r="T57" s="436"/>
      <c r="U57" s="436"/>
      <c r="V57" s="436"/>
      <c r="W57" s="436"/>
      <c r="X57" s="436"/>
      <c r="Y57" s="314"/>
      <c r="Z57" s="314"/>
      <c r="AA57" s="314">
        <v>200</v>
      </c>
      <c r="AB57" s="314"/>
      <c r="AC57" s="436"/>
      <c r="AD57" s="436"/>
      <c r="AE57" s="314"/>
      <c r="AF57" s="314"/>
      <c r="AG57" s="444">
        <f t="shared" si="7"/>
        <v>-200</v>
      </c>
      <c r="AH57" s="433">
        <f t="shared" si="8"/>
        <v>0</v>
      </c>
    </row>
    <row r="58" spans="1:34" s="259" customFormat="1" ht="21.75" customHeight="1" x14ac:dyDescent="0.2">
      <c r="A58" s="443">
        <v>43479</v>
      </c>
      <c r="B58" s="442"/>
      <c r="C58" s="445" t="s">
        <v>440</v>
      </c>
      <c r="D58" s="445"/>
      <c r="E58" s="445"/>
      <c r="F58" s="440"/>
      <c r="G58" s="446" t="s">
        <v>471</v>
      </c>
      <c r="H58" s="438">
        <v>40</v>
      </c>
      <c r="I58" s="438"/>
      <c r="J58" s="438"/>
      <c r="K58" s="438"/>
      <c r="L58" s="437"/>
      <c r="M58" s="444">
        <f t="shared" si="5"/>
        <v>40</v>
      </c>
      <c r="N58" s="444">
        <f t="shared" si="6"/>
        <v>0</v>
      </c>
      <c r="O58" s="444">
        <f t="shared" si="9"/>
        <v>0</v>
      </c>
      <c r="P58" s="444"/>
      <c r="Q58" s="314"/>
      <c r="R58" s="314"/>
      <c r="S58" s="314"/>
      <c r="T58" s="436"/>
      <c r="U58" s="436"/>
      <c r="V58" s="436"/>
      <c r="W58" s="436"/>
      <c r="X58" s="436"/>
      <c r="Y58" s="314"/>
      <c r="Z58" s="314"/>
      <c r="AA58" s="314">
        <v>40</v>
      </c>
      <c r="AB58" s="314"/>
      <c r="AC58" s="436"/>
      <c r="AD58" s="436"/>
      <c r="AE58" s="314"/>
      <c r="AF58" s="314"/>
      <c r="AG58" s="444">
        <f t="shared" si="7"/>
        <v>-40</v>
      </c>
      <c r="AH58" s="433">
        <f t="shared" si="8"/>
        <v>0</v>
      </c>
    </row>
    <row r="59" spans="1:34" s="259" customFormat="1" ht="21.75" customHeight="1" x14ac:dyDescent="0.2">
      <c r="A59" s="443">
        <v>43479</v>
      </c>
      <c r="B59" s="442"/>
      <c r="C59" s="445" t="s">
        <v>167</v>
      </c>
      <c r="D59" s="445"/>
      <c r="E59" s="445"/>
      <c r="F59" s="440"/>
      <c r="G59" s="446" t="s">
        <v>470</v>
      </c>
      <c r="H59" s="438">
        <v>100</v>
      </c>
      <c r="I59" s="438"/>
      <c r="J59" s="438"/>
      <c r="K59" s="438"/>
      <c r="L59" s="437"/>
      <c r="M59" s="444">
        <f t="shared" si="5"/>
        <v>100</v>
      </c>
      <c r="N59" s="444">
        <f t="shared" si="6"/>
        <v>0</v>
      </c>
      <c r="O59" s="444">
        <f t="shared" si="9"/>
        <v>0</v>
      </c>
      <c r="P59" s="444"/>
      <c r="Q59" s="314"/>
      <c r="R59" s="314"/>
      <c r="S59" s="314"/>
      <c r="T59" s="436"/>
      <c r="U59" s="436"/>
      <c r="V59" s="436"/>
      <c r="W59" s="436"/>
      <c r="X59" s="436"/>
      <c r="Y59" s="314"/>
      <c r="Z59" s="314"/>
      <c r="AA59" s="314">
        <v>100</v>
      </c>
      <c r="AB59" s="314"/>
      <c r="AC59" s="436"/>
      <c r="AD59" s="436"/>
      <c r="AE59" s="314"/>
      <c r="AF59" s="314"/>
      <c r="AG59" s="444">
        <f t="shared" si="7"/>
        <v>-100</v>
      </c>
      <c r="AH59" s="433">
        <f t="shared" si="8"/>
        <v>0</v>
      </c>
    </row>
    <row r="60" spans="1:34" s="259" customFormat="1" ht="21.75" customHeight="1" x14ac:dyDescent="0.2">
      <c r="A60" s="443">
        <v>43481</v>
      </c>
      <c r="B60" s="442"/>
      <c r="C60" s="445" t="s">
        <v>468</v>
      </c>
      <c r="D60" s="445" t="s">
        <v>467</v>
      </c>
      <c r="E60" s="445" t="s">
        <v>466</v>
      </c>
      <c r="F60" s="440"/>
      <c r="G60" s="446" t="s">
        <v>465</v>
      </c>
      <c r="H60" s="438"/>
      <c r="I60" s="438"/>
      <c r="J60" s="438"/>
      <c r="K60" s="438">
        <v>163</v>
      </c>
      <c r="L60" s="437"/>
      <c r="M60" s="444">
        <f t="shared" si="5"/>
        <v>145.53571428571428</v>
      </c>
      <c r="N60" s="444">
        <f t="shared" si="6"/>
        <v>17.464285714285712</v>
      </c>
      <c r="O60" s="444">
        <f t="shared" si="9"/>
        <v>0</v>
      </c>
      <c r="P60" s="444"/>
      <c r="Q60" s="314"/>
      <c r="R60" s="314"/>
      <c r="S60" s="314">
        <v>145.54</v>
      </c>
      <c r="T60" s="436"/>
      <c r="U60" s="436"/>
      <c r="V60" s="436"/>
      <c r="W60" s="436"/>
      <c r="X60" s="436"/>
      <c r="Y60" s="314"/>
      <c r="Z60" s="314"/>
      <c r="AA60" s="314"/>
      <c r="AB60" s="314"/>
      <c r="AC60" s="436"/>
      <c r="AD60" s="436"/>
      <c r="AE60" s="314"/>
      <c r="AF60" s="314"/>
      <c r="AG60" s="444">
        <f t="shared" si="7"/>
        <v>-163.00428571428571</v>
      </c>
      <c r="AH60" s="433">
        <f t="shared" si="8"/>
        <v>-4.2857142857144481E-3</v>
      </c>
    </row>
    <row r="61" spans="1:34" s="259" customFormat="1" ht="21.75" customHeight="1" x14ac:dyDescent="0.2">
      <c r="A61" s="443">
        <v>43481</v>
      </c>
      <c r="B61" s="442"/>
      <c r="C61" s="445" t="s">
        <v>167</v>
      </c>
      <c r="D61" s="445"/>
      <c r="E61" s="445"/>
      <c r="F61" s="440"/>
      <c r="G61" s="446" t="s">
        <v>469</v>
      </c>
      <c r="H61" s="438">
        <v>50</v>
      </c>
      <c r="I61" s="438"/>
      <c r="J61" s="438"/>
      <c r="K61" s="438"/>
      <c r="L61" s="437"/>
      <c r="M61" s="444">
        <f t="shared" si="5"/>
        <v>50</v>
      </c>
      <c r="N61" s="444">
        <f t="shared" si="6"/>
        <v>0</v>
      </c>
      <c r="O61" s="444">
        <f t="shared" si="9"/>
        <v>0</v>
      </c>
      <c r="P61" s="444"/>
      <c r="Q61" s="314"/>
      <c r="R61" s="314"/>
      <c r="S61" s="314"/>
      <c r="T61" s="436"/>
      <c r="U61" s="436"/>
      <c r="V61" s="436"/>
      <c r="W61" s="436"/>
      <c r="X61" s="436"/>
      <c r="Y61" s="314"/>
      <c r="Z61" s="314"/>
      <c r="AA61" s="314">
        <v>50</v>
      </c>
      <c r="AB61" s="314"/>
      <c r="AC61" s="436"/>
      <c r="AD61" s="436"/>
      <c r="AE61" s="314"/>
      <c r="AF61" s="314"/>
      <c r="AG61" s="444">
        <f t="shared" si="7"/>
        <v>-50</v>
      </c>
      <c r="AH61" s="433">
        <f t="shared" si="8"/>
        <v>0</v>
      </c>
    </row>
    <row r="62" spans="1:34" s="259" customFormat="1" ht="21.75" customHeight="1" x14ac:dyDescent="0.2">
      <c r="A62" s="443">
        <v>43481</v>
      </c>
      <c r="B62" s="442"/>
      <c r="C62" s="445" t="s">
        <v>468</v>
      </c>
      <c r="D62" s="445" t="s">
        <v>467</v>
      </c>
      <c r="E62" s="445" t="s">
        <v>466</v>
      </c>
      <c r="F62" s="440"/>
      <c r="G62" s="446" t="s">
        <v>465</v>
      </c>
      <c r="H62" s="438"/>
      <c r="I62" s="438"/>
      <c r="J62" s="438"/>
      <c r="K62" s="438">
        <v>372.25</v>
      </c>
      <c r="L62" s="437"/>
      <c r="M62" s="444">
        <f t="shared" si="5"/>
        <v>332.36607142857139</v>
      </c>
      <c r="N62" s="444">
        <f t="shared" si="6"/>
        <v>39.883928571428562</v>
      </c>
      <c r="O62" s="444">
        <f t="shared" si="9"/>
        <v>0</v>
      </c>
      <c r="P62" s="444"/>
      <c r="Q62" s="314"/>
      <c r="R62" s="314"/>
      <c r="S62" s="314">
        <v>332.37</v>
      </c>
      <c r="T62" s="436"/>
      <c r="U62" s="436"/>
      <c r="V62" s="436"/>
      <c r="W62" s="436"/>
      <c r="X62" s="436"/>
      <c r="Y62" s="314"/>
      <c r="Z62" s="314"/>
      <c r="AA62" s="314"/>
      <c r="AB62" s="314"/>
      <c r="AC62" s="436"/>
      <c r="AD62" s="436"/>
      <c r="AE62" s="314"/>
      <c r="AF62" s="314"/>
      <c r="AG62" s="444">
        <f t="shared" si="7"/>
        <v>-372.25392857142856</v>
      </c>
      <c r="AH62" s="433">
        <f t="shared" si="8"/>
        <v>-3.9285714285597351E-3</v>
      </c>
    </row>
    <row r="63" spans="1:34" s="259" customFormat="1" ht="21.75" customHeight="1" x14ac:dyDescent="0.2">
      <c r="A63" s="443">
        <v>43482</v>
      </c>
      <c r="B63" s="442"/>
      <c r="C63" s="445" t="s">
        <v>384</v>
      </c>
      <c r="D63" s="445" t="s">
        <v>383</v>
      </c>
      <c r="E63" s="445" t="s">
        <v>382</v>
      </c>
      <c r="F63" s="440">
        <v>115790</v>
      </c>
      <c r="G63" s="446" t="s">
        <v>381</v>
      </c>
      <c r="H63" s="438"/>
      <c r="I63" s="438"/>
      <c r="J63" s="438"/>
      <c r="K63" s="438">
        <v>180</v>
      </c>
      <c r="L63" s="437"/>
      <c r="M63" s="444">
        <f t="shared" si="5"/>
        <v>160.71428571428569</v>
      </c>
      <c r="N63" s="444">
        <f t="shared" si="6"/>
        <v>19.285714285714281</v>
      </c>
      <c r="O63" s="444">
        <f t="shared" si="9"/>
        <v>0</v>
      </c>
      <c r="P63" s="444"/>
      <c r="Q63" s="314">
        <v>160.71</v>
      </c>
      <c r="R63" s="314"/>
      <c r="S63" s="314"/>
      <c r="T63" s="436"/>
      <c r="U63" s="436"/>
      <c r="V63" s="436"/>
      <c r="W63" s="436"/>
      <c r="X63" s="436"/>
      <c r="Y63" s="314"/>
      <c r="Z63" s="314"/>
      <c r="AA63" s="314"/>
      <c r="AB63" s="314"/>
      <c r="AC63" s="436"/>
      <c r="AD63" s="436"/>
      <c r="AE63" s="314"/>
      <c r="AF63" s="314"/>
      <c r="AG63" s="444">
        <f t="shared" si="7"/>
        <v>-179.99571428571429</v>
      </c>
      <c r="AH63" s="433">
        <f t="shared" si="8"/>
        <v>4.2857142857144481E-3</v>
      </c>
    </row>
    <row r="64" spans="1:34" s="259" customFormat="1" ht="21.75" customHeight="1" x14ac:dyDescent="0.2">
      <c r="A64" s="443">
        <v>43482</v>
      </c>
      <c r="B64" s="442"/>
      <c r="C64" s="445" t="s">
        <v>375</v>
      </c>
      <c r="D64" s="445" t="s">
        <v>374</v>
      </c>
      <c r="E64" s="445" t="s">
        <v>373</v>
      </c>
      <c r="F64" s="440">
        <v>200911</v>
      </c>
      <c r="G64" s="446" t="s">
        <v>464</v>
      </c>
      <c r="H64" s="438"/>
      <c r="I64" s="438"/>
      <c r="J64" s="438"/>
      <c r="K64" s="438">
        <f>1094.6+131.35</f>
        <v>1225.9499999999998</v>
      </c>
      <c r="L64" s="437"/>
      <c r="M64" s="444">
        <f t="shared" si="5"/>
        <v>1094.598214285714</v>
      </c>
      <c r="N64" s="444">
        <f t="shared" si="6"/>
        <v>131.35178571428568</v>
      </c>
      <c r="O64" s="444">
        <f t="shared" si="9"/>
        <v>0</v>
      </c>
      <c r="P64" s="444">
        <v>1094.5999999999999</v>
      </c>
      <c r="Q64" s="314"/>
      <c r="R64" s="314"/>
      <c r="S64" s="314"/>
      <c r="T64" s="436"/>
      <c r="U64" s="436"/>
      <c r="V64" s="436"/>
      <c r="W64" s="436"/>
      <c r="X64" s="436"/>
      <c r="Y64" s="314"/>
      <c r="Z64" s="314"/>
      <c r="AA64" s="314"/>
      <c r="AB64" s="314"/>
      <c r="AC64" s="436"/>
      <c r="AD64" s="436"/>
      <c r="AE64" s="314"/>
      <c r="AF64" s="314"/>
      <c r="AG64" s="444">
        <f t="shared" si="7"/>
        <v>-1225.9517857142855</v>
      </c>
      <c r="AH64" s="433">
        <f t="shared" si="8"/>
        <v>-1.7857142856883002E-3</v>
      </c>
    </row>
    <row r="65" spans="1:34" s="259" customFormat="1" ht="21.75" customHeight="1" x14ac:dyDescent="0.2">
      <c r="A65" s="443">
        <v>43482</v>
      </c>
      <c r="B65" s="442"/>
      <c r="C65" s="445" t="s">
        <v>375</v>
      </c>
      <c r="D65" s="445" t="s">
        <v>374</v>
      </c>
      <c r="E65" s="445" t="s">
        <v>373</v>
      </c>
      <c r="F65" s="440">
        <v>200911</v>
      </c>
      <c r="G65" s="446" t="s">
        <v>463</v>
      </c>
      <c r="H65" s="438"/>
      <c r="I65" s="438"/>
      <c r="J65" s="438">
        <v>1555.7</v>
      </c>
      <c r="K65" s="438"/>
      <c r="L65" s="437"/>
      <c r="M65" s="444">
        <f t="shared" si="5"/>
        <v>1555.7</v>
      </c>
      <c r="N65" s="444">
        <f t="shared" si="6"/>
        <v>0</v>
      </c>
      <c r="O65" s="444">
        <f t="shared" si="9"/>
        <v>0</v>
      </c>
      <c r="P65" s="444">
        <v>1555.7</v>
      </c>
      <c r="Q65" s="314"/>
      <c r="R65" s="314"/>
      <c r="S65" s="314"/>
      <c r="T65" s="436"/>
      <c r="U65" s="436"/>
      <c r="V65" s="436"/>
      <c r="W65" s="436"/>
      <c r="X65" s="436"/>
      <c r="Y65" s="314"/>
      <c r="Z65" s="314"/>
      <c r="AA65" s="314"/>
      <c r="AB65" s="314"/>
      <c r="AC65" s="436"/>
      <c r="AD65" s="436"/>
      <c r="AE65" s="314"/>
      <c r="AF65" s="314"/>
      <c r="AG65" s="444">
        <f t="shared" si="7"/>
        <v>-1555.7</v>
      </c>
      <c r="AH65" s="433">
        <f t="shared" si="8"/>
        <v>0</v>
      </c>
    </row>
    <row r="66" spans="1:34" s="259" customFormat="1" ht="21.75" customHeight="1" x14ac:dyDescent="0.2">
      <c r="A66" s="443">
        <v>43482</v>
      </c>
      <c r="B66" s="442"/>
      <c r="C66" s="445" t="s">
        <v>462</v>
      </c>
      <c r="D66" s="445"/>
      <c r="E66" s="445"/>
      <c r="F66" s="440"/>
      <c r="G66" s="446" t="s">
        <v>461</v>
      </c>
      <c r="H66" s="438">
        <v>2000</v>
      </c>
      <c r="I66" s="438"/>
      <c r="J66" s="438"/>
      <c r="K66" s="438"/>
      <c r="L66" s="437"/>
      <c r="M66" s="444">
        <f t="shared" si="5"/>
        <v>2000</v>
      </c>
      <c r="N66" s="444">
        <f t="shared" si="6"/>
        <v>0</v>
      </c>
      <c r="O66" s="444">
        <f t="shared" si="9"/>
        <v>0</v>
      </c>
      <c r="P66" s="444"/>
      <c r="Q66" s="314"/>
      <c r="R66" s="314"/>
      <c r="S66" s="314"/>
      <c r="T66" s="436"/>
      <c r="U66" s="436"/>
      <c r="V66" s="436"/>
      <c r="W66" s="436"/>
      <c r="X66" s="436"/>
      <c r="Y66" s="314"/>
      <c r="Z66" s="314"/>
      <c r="AA66" s="314"/>
      <c r="AB66" s="314"/>
      <c r="AC66" s="436"/>
      <c r="AD66" s="436">
        <v>2000</v>
      </c>
      <c r="AE66" s="314"/>
      <c r="AF66" s="314"/>
      <c r="AG66" s="444">
        <f t="shared" si="7"/>
        <v>-2000</v>
      </c>
      <c r="AH66" s="433">
        <f t="shared" si="8"/>
        <v>0</v>
      </c>
    </row>
    <row r="67" spans="1:34" s="259" customFormat="1" ht="21.75" customHeight="1" x14ac:dyDescent="0.2">
      <c r="A67" s="443">
        <v>43482</v>
      </c>
      <c r="B67" s="442"/>
      <c r="C67" s="445" t="s">
        <v>401</v>
      </c>
      <c r="D67" s="445" t="s">
        <v>400</v>
      </c>
      <c r="E67" s="445" t="s">
        <v>373</v>
      </c>
      <c r="F67" s="440">
        <v>11876</v>
      </c>
      <c r="G67" s="446" t="s">
        <v>399</v>
      </c>
      <c r="H67" s="438"/>
      <c r="I67" s="438"/>
      <c r="J67" s="438"/>
      <c r="K67" s="438">
        <v>414.84</v>
      </c>
      <c r="L67" s="437"/>
      <c r="M67" s="444">
        <f t="shared" si="5"/>
        <v>370.39285714285711</v>
      </c>
      <c r="N67" s="444">
        <f t="shared" si="6"/>
        <v>44.44714285714285</v>
      </c>
      <c r="O67" s="444">
        <f t="shared" si="9"/>
        <v>0</v>
      </c>
      <c r="P67" s="444">
        <v>370.39</v>
      </c>
      <c r="Q67" s="314"/>
      <c r="R67" s="314"/>
      <c r="S67" s="314"/>
      <c r="T67" s="436"/>
      <c r="U67" s="436"/>
      <c r="V67" s="436"/>
      <c r="W67" s="436"/>
      <c r="X67" s="436"/>
      <c r="Y67" s="314"/>
      <c r="Z67" s="314"/>
      <c r="AA67" s="314"/>
      <c r="AB67" s="314"/>
      <c r="AC67" s="436"/>
      <c r="AD67" s="436"/>
      <c r="AE67" s="314"/>
      <c r="AF67" s="314"/>
      <c r="AG67" s="444">
        <f t="shared" si="7"/>
        <v>-414.83714285714285</v>
      </c>
      <c r="AH67" s="433">
        <f t="shared" si="8"/>
        <v>2.8571428571240176E-3</v>
      </c>
    </row>
    <row r="68" spans="1:34" s="259" customFormat="1" ht="21.75" customHeight="1" x14ac:dyDescent="0.2">
      <c r="A68" s="443">
        <v>43483</v>
      </c>
      <c r="B68" s="442"/>
      <c r="C68" s="445" t="s">
        <v>460</v>
      </c>
      <c r="D68" s="445"/>
      <c r="E68" s="445"/>
      <c r="F68" s="440"/>
      <c r="G68" s="446" t="s">
        <v>459</v>
      </c>
      <c r="H68" s="438">
        <v>537</v>
      </c>
      <c r="I68" s="438"/>
      <c r="J68" s="438"/>
      <c r="K68" s="438"/>
      <c r="L68" s="437"/>
      <c r="M68" s="444">
        <f t="shared" si="5"/>
        <v>537</v>
      </c>
      <c r="N68" s="444">
        <f t="shared" si="6"/>
        <v>0</v>
      </c>
      <c r="O68" s="444">
        <f t="shared" si="9"/>
        <v>0</v>
      </c>
      <c r="P68" s="444"/>
      <c r="Q68" s="314"/>
      <c r="R68" s="314"/>
      <c r="S68" s="314"/>
      <c r="T68" s="436"/>
      <c r="U68" s="436"/>
      <c r="V68" s="436"/>
      <c r="W68" s="436"/>
      <c r="X68" s="436"/>
      <c r="Y68" s="314"/>
      <c r="Z68" s="314"/>
      <c r="AA68" s="314">
        <v>537</v>
      </c>
      <c r="AB68" s="314"/>
      <c r="AC68" s="436"/>
      <c r="AD68" s="436"/>
      <c r="AE68" s="314"/>
      <c r="AF68" s="314"/>
      <c r="AG68" s="444">
        <f t="shared" si="7"/>
        <v>-537</v>
      </c>
      <c r="AH68" s="433">
        <f t="shared" si="8"/>
        <v>0</v>
      </c>
    </row>
    <row r="69" spans="1:34" s="259" customFormat="1" ht="21.75" customHeight="1" x14ac:dyDescent="0.2">
      <c r="A69" s="443">
        <v>43484</v>
      </c>
      <c r="B69" s="442"/>
      <c r="C69" s="445" t="s">
        <v>458</v>
      </c>
      <c r="D69" s="445" t="s">
        <v>387</v>
      </c>
      <c r="E69" s="445" t="s">
        <v>373</v>
      </c>
      <c r="F69" s="440">
        <v>725850</v>
      </c>
      <c r="G69" s="446" t="s">
        <v>457</v>
      </c>
      <c r="H69" s="438"/>
      <c r="I69" s="438"/>
      <c r="J69" s="438"/>
      <c r="K69" s="438">
        <v>49.75</v>
      </c>
      <c r="L69" s="437"/>
      <c r="M69" s="444">
        <f t="shared" ref="M69:M100" si="10">SUM(H69:J69,K69/1.12)</f>
        <v>44.419642857142854</v>
      </c>
      <c r="N69" s="444">
        <f t="shared" ref="N69:N100" si="11">K69/1.12*0.12</f>
        <v>5.3303571428571423</v>
      </c>
      <c r="O69" s="444">
        <f t="shared" si="9"/>
        <v>0</v>
      </c>
      <c r="P69" s="444"/>
      <c r="Q69" s="314"/>
      <c r="R69" s="314"/>
      <c r="S69" s="314"/>
      <c r="T69" s="436">
        <v>44.42</v>
      </c>
      <c r="U69" s="436"/>
      <c r="V69" s="436"/>
      <c r="W69" s="436"/>
      <c r="X69" s="436"/>
      <c r="Y69" s="314"/>
      <c r="Z69" s="314"/>
      <c r="AA69" s="314"/>
      <c r="AB69" s="314"/>
      <c r="AC69" s="436"/>
      <c r="AD69" s="436"/>
      <c r="AE69" s="314"/>
      <c r="AF69" s="314"/>
      <c r="AG69" s="444">
        <f t="shared" ref="AG69:AG100" si="12">-SUM(N69:AF69)</f>
        <v>-49.750357142857141</v>
      </c>
      <c r="AH69" s="433">
        <f t="shared" ref="AH69:AH100" si="13">SUM(H69:K69)+AG69+O69</f>
        <v>-3.571428571405022E-4</v>
      </c>
    </row>
    <row r="70" spans="1:34" s="259" customFormat="1" ht="21.75" customHeight="1" x14ac:dyDescent="0.2">
      <c r="A70" s="443">
        <v>43483</v>
      </c>
      <c r="B70" s="442"/>
      <c r="C70" s="445" t="s">
        <v>384</v>
      </c>
      <c r="D70" s="445" t="s">
        <v>383</v>
      </c>
      <c r="E70" s="445" t="s">
        <v>382</v>
      </c>
      <c r="F70" s="440">
        <v>136633</v>
      </c>
      <c r="G70" s="446" t="s">
        <v>381</v>
      </c>
      <c r="H70" s="438"/>
      <c r="I70" s="438"/>
      <c r="J70" s="438"/>
      <c r="K70" s="438">
        <v>180</v>
      </c>
      <c r="L70" s="437"/>
      <c r="M70" s="444">
        <f t="shared" si="10"/>
        <v>160.71428571428569</v>
      </c>
      <c r="N70" s="444">
        <f t="shared" si="11"/>
        <v>19.285714285714281</v>
      </c>
      <c r="O70" s="444">
        <f t="shared" si="9"/>
        <v>0</v>
      </c>
      <c r="P70" s="444"/>
      <c r="Q70" s="314">
        <v>160.71</v>
      </c>
      <c r="R70" s="314"/>
      <c r="S70" s="314"/>
      <c r="T70" s="436"/>
      <c r="U70" s="436"/>
      <c r="V70" s="436"/>
      <c r="W70" s="436"/>
      <c r="X70" s="436"/>
      <c r="Y70" s="314"/>
      <c r="Z70" s="314"/>
      <c r="AA70" s="314"/>
      <c r="AB70" s="314"/>
      <c r="AC70" s="436"/>
      <c r="AD70" s="436"/>
      <c r="AE70" s="314"/>
      <c r="AF70" s="314"/>
      <c r="AG70" s="444">
        <f t="shared" si="12"/>
        <v>-179.99571428571429</v>
      </c>
      <c r="AH70" s="433">
        <f t="shared" si="13"/>
        <v>4.2857142857144481E-3</v>
      </c>
    </row>
    <row r="71" spans="1:34" s="259" customFormat="1" ht="21.75" customHeight="1" x14ac:dyDescent="0.2">
      <c r="A71" s="443">
        <v>43484</v>
      </c>
      <c r="B71" s="442"/>
      <c r="C71" s="445" t="s">
        <v>413</v>
      </c>
      <c r="D71" s="445" t="s">
        <v>435</v>
      </c>
      <c r="E71" s="445" t="s">
        <v>434</v>
      </c>
      <c r="F71" s="440">
        <v>33826</v>
      </c>
      <c r="G71" s="446" t="s">
        <v>456</v>
      </c>
      <c r="H71" s="438"/>
      <c r="I71" s="438"/>
      <c r="J71" s="438"/>
      <c r="K71" s="438">
        <v>238</v>
      </c>
      <c r="L71" s="437"/>
      <c r="M71" s="444">
        <f t="shared" si="10"/>
        <v>212.49999999999997</v>
      </c>
      <c r="N71" s="444">
        <f t="shared" si="11"/>
        <v>25.499999999999996</v>
      </c>
      <c r="O71" s="444">
        <f t="shared" si="9"/>
        <v>0</v>
      </c>
      <c r="P71" s="444">
        <v>212.5</v>
      </c>
      <c r="Q71" s="314"/>
      <c r="R71" s="314"/>
      <c r="S71" s="314"/>
      <c r="T71" s="436"/>
      <c r="U71" s="436"/>
      <c r="V71" s="436"/>
      <c r="W71" s="436"/>
      <c r="X71" s="436"/>
      <c r="Y71" s="314"/>
      <c r="Z71" s="314"/>
      <c r="AA71" s="314"/>
      <c r="AB71" s="314"/>
      <c r="AC71" s="436"/>
      <c r="AD71" s="436"/>
      <c r="AE71" s="314"/>
      <c r="AF71" s="314"/>
      <c r="AG71" s="444">
        <f t="shared" si="12"/>
        <v>-238</v>
      </c>
      <c r="AH71" s="433">
        <f t="shared" si="13"/>
        <v>0</v>
      </c>
    </row>
    <row r="72" spans="1:34" s="259" customFormat="1" ht="21.75" customHeight="1" x14ac:dyDescent="0.2">
      <c r="A72" s="443">
        <v>43484</v>
      </c>
      <c r="B72" s="442"/>
      <c r="C72" s="445" t="s">
        <v>413</v>
      </c>
      <c r="D72" s="445" t="s">
        <v>435</v>
      </c>
      <c r="E72" s="445" t="s">
        <v>434</v>
      </c>
      <c r="F72" s="440">
        <v>33827</v>
      </c>
      <c r="G72" s="446" t="s">
        <v>455</v>
      </c>
      <c r="H72" s="438"/>
      <c r="I72" s="438"/>
      <c r="J72" s="438"/>
      <c r="K72" s="438">
        <f>9.95+480</f>
        <v>489.95</v>
      </c>
      <c r="L72" s="437"/>
      <c r="M72" s="444">
        <f t="shared" si="10"/>
        <v>437.45535714285711</v>
      </c>
      <c r="N72" s="444">
        <f t="shared" si="11"/>
        <v>52.49464285714285</v>
      </c>
      <c r="O72" s="444">
        <f t="shared" si="9"/>
        <v>0</v>
      </c>
      <c r="P72" s="444">
        <v>437.46</v>
      </c>
      <c r="Q72" s="314"/>
      <c r="R72" s="314"/>
      <c r="S72" s="314"/>
      <c r="T72" s="436"/>
      <c r="U72" s="436"/>
      <c r="V72" s="436"/>
      <c r="W72" s="436"/>
      <c r="X72" s="436"/>
      <c r="Y72" s="314"/>
      <c r="Z72" s="314"/>
      <c r="AA72" s="314"/>
      <c r="AB72" s="314"/>
      <c r="AC72" s="436"/>
      <c r="AD72" s="436"/>
      <c r="AE72" s="314"/>
      <c r="AF72" s="314"/>
      <c r="AG72" s="444">
        <f t="shared" si="12"/>
        <v>-489.95464285714286</v>
      </c>
      <c r="AH72" s="433">
        <f t="shared" si="13"/>
        <v>-4.6428571428691612E-3</v>
      </c>
    </row>
    <row r="73" spans="1:34" s="259" customFormat="1" ht="21.75" customHeight="1" x14ac:dyDescent="0.2">
      <c r="A73" s="443">
        <v>43484</v>
      </c>
      <c r="B73" s="442"/>
      <c r="C73" s="445" t="s">
        <v>413</v>
      </c>
      <c r="D73" s="445" t="s">
        <v>435</v>
      </c>
      <c r="E73" s="445" t="s">
        <v>434</v>
      </c>
      <c r="F73" s="440">
        <v>33827</v>
      </c>
      <c r="G73" s="446" t="s">
        <v>454</v>
      </c>
      <c r="H73" s="438"/>
      <c r="I73" s="438"/>
      <c r="J73" s="438"/>
      <c r="K73" s="438">
        <v>69</v>
      </c>
      <c r="L73" s="437"/>
      <c r="M73" s="444">
        <f t="shared" si="10"/>
        <v>61.607142857142854</v>
      </c>
      <c r="N73" s="444">
        <f t="shared" si="11"/>
        <v>7.3928571428571423</v>
      </c>
      <c r="O73" s="444">
        <f t="shared" si="9"/>
        <v>0</v>
      </c>
      <c r="P73" s="444"/>
      <c r="Q73" s="314"/>
      <c r="R73" s="314"/>
      <c r="S73" s="314"/>
      <c r="T73" s="436"/>
      <c r="U73" s="436">
        <v>61.61</v>
      </c>
      <c r="V73" s="436"/>
      <c r="W73" s="436"/>
      <c r="X73" s="436"/>
      <c r="Y73" s="314"/>
      <c r="Z73" s="314"/>
      <c r="AA73" s="314"/>
      <c r="AB73" s="314"/>
      <c r="AC73" s="436"/>
      <c r="AD73" s="436"/>
      <c r="AE73" s="314"/>
      <c r="AF73" s="314"/>
      <c r="AG73" s="444">
        <f t="shared" si="12"/>
        <v>-69.002857142857138</v>
      </c>
      <c r="AH73" s="433">
        <f t="shared" si="13"/>
        <v>-2.8571428571382285E-3</v>
      </c>
    </row>
    <row r="74" spans="1:34" s="259" customFormat="1" ht="21.75" customHeight="1" x14ac:dyDescent="0.2">
      <c r="A74" s="443">
        <v>43486</v>
      </c>
      <c r="B74" s="442"/>
      <c r="C74" s="445" t="s">
        <v>384</v>
      </c>
      <c r="D74" s="445" t="s">
        <v>383</v>
      </c>
      <c r="E74" s="445" t="s">
        <v>382</v>
      </c>
      <c r="F74" s="440">
        <v>123567</v>
      </c>
      <c r="G74" s="446" t="s">
        <v>381</v>
      </c>
      <c r="H74" s="438"/>
      <c r="I74" s="438"/>
      <c r="J74" s="438"/>
      <c r="K74" s="438">
        <v>180</v>
      </c>
      <c r="L74" s="437"/>
      <c r="M74" s="444">
        <f t="shared" si="10"/>
        <v>160.71428571428569</v>
      </c>
      <c r="N74" s="444">
        <f t="shared" si="11"/>
        <v>19.285714285714281</v>
      </c>
      <c r="O74" s="444">
        <f t="shared" si="9"/>
        <v>0</v>
      </c>
      <c r="P74" s="444"/>
      <c r="Q74" s="314">
        <v>160.71</v>
      </c>
      <c r="R74" s="314"/>
      <c r="S74" s="314"/>
      <c r="T74" s="436"/>
      <c r="U74" s="436"/>
      <c r="V74" s="436"/>
      <c r="W74" s="436"/>
      <c r="X74" s="436"/>
      <c r="Y74" s="314"/>
      <c r="Z74" s="314"/>
      <c r="AA74" s="314"/>
      <c r="AB74" s="314"/>
      <c r="AC74" s="436"/>
      <c r="AD74" s="436"/>
      <c r="AE74" s="314"/>
      <c r="AF74" s="314"/>
      <c r="AG74" s="444">
        <f t="shared" si="12"/>
        <v>-179.99571428571429</v>
      </c>
      <c r="AH74" s="433">
        <f t="shared" si="13"/>
        <v>4.2857142857144481E-3</v>
      </c>
    </row>
    <row r="75" spans="1:34" s="259" customFormat="1" ht="21.75" customHeight="1" x14ac:dyDescent="0.2">
      <c r="A75" s="443">
        <v>43486</v>
      </c>
      <c r="B75" s="442"/>
      <c r="C75" s="445" t="s">
        <v>167</v>
      </c>
      <c r="D75" s="445"/>
      <c r="E75" s="445"/>
      <c r="F75" s="440"/>
      <c r="G75" s="446" t="s">
        <v>453</v>
      </c>
      <c r="H75" s="438">
        <v>100</v>
      </c>
      <c r="I75" s="438"/>
      <c r="J75" s="438"/>
      <c r="K75" s="438"/>
      <c r="L75" s="437"/>
      <c r="M75" s="444">
        <f t="shared" si="10"/>
        <v>100</v>
      </c>
      <c r="N75" s="444">
        <f t="shared" si="11"/>
        <v>0</v>
      </c>
      <c r="O75" s="444">
        <f t="shared" si="9"/>
        <v>0</v>
      </c>
      <c r="P75" s="444"/>
      <c r="Q75" s="314"/>
      <c r="R75" s="314"/>
      <c r="S75" s="314"/>
      <c r="T75" s="436"/>
      <c r="U75" s="436"/>
      <c r="V75" s="436"/>
      <c r="W75" s="436"/>
      <c r="X75" s="436"/>
      <c r="Y75" s="314"/>
      <c r="Z75" s="314"/>
      <c r="AA75" s="314">
        <v>100</v>
      </c>
      <c r="AB75" s="314"/>
      <c r="AC75" s="436"/>
      <c r="AD75" s="436"/>
      <c r="AE75" s="314"/>
      <c r="AF75" s="314"/>
      <c r="AG75" s="444">
        <f t="shared" si="12"/>
        <v>-100</v>
      </c>
      <c r="AH75" s="433">
        <f t="shared" si="13"/>
        <v>0</v>
      </c>
    </row>
    <row r="76" spans="1:34" s="259" customFormat="1" ht="21.75" customHeight="1" x14ac:dyDescent="0.2">
      <c r="A76" s="443">
        <v>43486</v>
      </c>
      <c r="B76" s="442"/>
      <c r="C76" s="445" t="s">
        <v>452</v>
      </c>
      <c r="D76" s="445" t="s">
        <v>451</v>
      </c>
      <c r="E76" s="445" t="s">
        <v>373</v>
      </c>
      <c r="F76" s="440">
        <v>2886</v>
      </c>
      <c r="G76" s="446" t="s">
        <v>450</v>
      </c>
      <c r="H76" s="438"/>
      <c r="I76" s="438"/>
      <c r="J76" s="438">
        <v>1750</v>
      </c>
      <c r="K76" s="438"/>
      <c r="L76" s="437"/>
      <c r="M76" s="444">
        <f t="shared" si="10"/>
        <v>1750</v>
      </c>
      <c r="N76" s="444">
        <f t="shared" si="11"/>
        <v>0</v>
      </c>
      <c r="O76" s="444">
        <f t="shared" si="9"/>
        <v>0</v>
      </c>
      <c r="P76" s="444">
        <v>1750</v>
      </c>
      <c r="Q76" s="314"/>
      <c r="R76" s="314"/>
      <c r="S76" s="314"/>
      <c r="T76" s="436"/>
      <c r="U76" s="436"/>
      <c r="V76" s="436"/>
      <c r="W76" s="436"/>
      <c r="X76" s="436"/>
      <c r="Y76" s="314"/>
      <c r="Z76" s="314"/>
      <c r="AA76" s="314"/>
      <c r="AB76" s="314"/>
      <c r="AC76" s="436"/>
      <c r="AD76" s="436"/>
      <c r="AE76" s="314"/>
      <c r="AF76" s="314"/>
      <c r="AG76" s="444">
        <f t="shared" si="12"/>
        <v>-1750</v>
      </c>
      <c r="AH76" s="433">
        <f t="shared" si="13"/>
        <v>0</v>
      </c>
    </row>
    <row r="77" spans="1:34" s="259" customFormat="1" ht="21.75" customHeight="1" x14ac:dyDescent="0.2">
      <c r="A77" s="443">
        <v>43486</v>
      </c>
      <c r="B77" s="442"/>
      <c r="C77" s="445" t="s">
        <v>375</v>
      </c>
      <c r="D77" s="445" t="s">
        <v>374</v>
      </c>
      <c r="E77" s="445" t="s">
        <v>373</v>
      </c>
      <c r="F77" s="440">
        <v>153225</v>
      </c>
      <c r="G77" s="446" t="s">
        <v>449</v>
      </c>
      <c r="H77" s="438"/>
      <c r="I77" s="438"/>
      <c r="J77" s="438"/>
      <c r="K77" s="438">
        <f>2436.92+292.43</f>
        <v>2729.35</v>
      </c>
      <c r="L77" s="437"/>
      <c r="M77" s="444">
        <f t="shared" si="10"/>
        <v>2436.9196428571427</v>
      </c>
      <c r="N77" s="444">
        <f t="shared" si="11"/>
        <v>292.43035714285713</v>
      </c>
      <c r="O77" s="444">
        <f t="shared" si="9"/>
        <v>0</v>
      </c>
      <c r="P77" s="444">
        <v>2436.92</v>
      </c>
      <c r="Q77" s="314"/>
      <c r="R77" s="314"/>
      <c r="S77" s="314"/>
      <c r="T77" s="436"/>
      <c r="U77" s="436"/>
      <c r="V77" s="436"/>
      <c r="W77" s="436"/>
      <c r="X77" s="436"/>
      <c r="Y77" s="314"/>
      <c r="Z77" s="314"/>
      <c r="AA77" s="314"/>
      <c r="AB77" s="314"/>
      <c r="AC77" s="436"/>
      <c r="AD77" s="436"/>
      <c r="AE77" s="314"/>
      <c r="AF77" s="314"/>
      <c r="AG77" s="444">
        <f t="shared" si="12"/>
        <v>-2729.3503571428573</v>
      </c>
      <c r="AH77" s="433">
        <f t="shared" si="13"/>
        <v>-3.5714285741050844E-4</v>
      </c>
    </row>
    <row r="78" spans="1:34" s="259" customFormat="1" ht="21.75" customHeight="1" x14ac:dyDescent="0.2">
      <c r="A78" s="443">
        <v>43486</v>
      </c>
      <c r="B78" s="442"/>
      <c r="C78" s="445" t="s">
        <v>375</v>
      </c>
      <c r="D78" s="445" t="s">
        <v>374</v>
      </c>
      <c r="E78" s="445" t="s">
        <v>373</v>
      </c>
      <c r="F78" s="440">
        <v>153225</v>
      </c>
      <c r="G78" s="446" t="s">
        <v>448</v>
      </c>
      <c r="H78" s="438"/>
      <c r="I78" s="438"/>
      <c r="J78" s="438">
        <v>268.95</v>
      </c>
      <c r="K78" s="438"/>
      <c r="L78" s="437"/>
      <c r="M78" s="444">
        <f t="shared" si="10"/>
        <v>268.95</v>
      </c>
      <c r="N78" s="444">
        <f t="shared" si="11"/>
        <v>0</v>
      </c>
      <c r="O78" s="444">
        <f t="shared" si="9"/>
        <v>0</v>
      </c>
      <c r="P78" s="444">
        <v>268.95</v>
      </c>
      <c r="Q78" s="314"/>
      <c r="R78" s="314"/>
      <c r="S78" s="314"/>
      <c r="T78" s="436"/>
      <c r="U78" s="436"/>
      <c r="V78" s="436"/>
      <c r="W78" s="436"/>
      <c r="X78" s="436"/>
      <c r="Y78" s="314"/>
      <c r="Z78" s="314"/>
      <c r="AA78" s="314"/>
      <c r="AB78" s="314"/>
      <c r="AC78" s="436"/>
      <c r="AD78" s="436"/>
      <c r="AE78" s="314"/>
      <c r="AF78" s="314"/>
      <c r="AG78" s="444">
        <f t="shared" si="12"/>
        <v>-268.95</v>
      </c>
      <c r="AH78" s="433">
        <f t="shared" si="13"/>
        <v>0</v>
      </c>
    </row>
    <row r="79" spans="1:34" s="259" customFormat="1" ht="21.75" customHeight="1" x14ac:dyDescent="0.2">
      <c r="A79" s="443">
        <v>43486</v>
      </c>
      <c r="B79" s="442"/>
      <c r="C79" s="445" t="s">
        <v>447</v>
      </c>
      <c r="D79" s="445" t="s">
        <v>446</v>
      </c>
      <c r="E79" s="445" t="s">
        <v>445</v>
      </c>
      <c r="F79" s="440">
        <v>163609</v>
      </c>
      <c r="G79" s="446" t="s">
        <v>444</v>
      </c>
      <c r="H79" s="438"/>
      <c r="I79" s="438"/>
      <c r="J79" s="438"/>
      <c r="K79" s="438">
        <v>150</v>
      </c>
      <c r="L79" s="437"/>
      <c r="M79" s="444">
        <f t="shared" si="10"/>
        <v>133.92857142857142</v>
      </c>
      <c r="N79" s="444">
        <f t="shared" si="11"/>
        <v>16.071428571428569</v>
      </c>
      <c r="O79" s="444">
        <f t="shared" si="9"/>
        <v>0</v>
      </c>
      <c r="P79" s="444"/>
      <c r="Q79" s="314"/>
      <c r="R79" s="314">
        <v>133.93</v>
      </c>
      <c r="S79" s="314"/>
      <c r="T79" s="436"/>
      <c r="U79" s="436"/>
      <c r="V79" s="436"/>
      <c r="W79" s="436"/>
      <c r="X79" s="436"/>
      <c r="Y79" s="314"/>
      <c r="Z79" s="314"/>
      <c r="AA79" s="314"/>
      <c r="AB79" s="314"/>
      <c r="AC79" s="436"/>
      <c r="AD79" s="436"/>
      <c r="AE79" s="314"/>
      <c r="AF79" s="314"/>
      <c r="AG79" s="444">
        <f t="shared" si="12"/>
        <v>-150.00142857142856</v>
      </c>
      <c r="AH79" s="433">
        <f t="shared" si="13"/>
        <v>-1.4285714285620088E-3</v>
      </c>
    </row>
    <row r="80" spans="1:34" s="259" customFormat="1" ht="21.75" customHeight="1" x14ac:dyDescent="0.2">
      <c r="A80" s="443">
        <v>43487</v>
      </c>
      <c r="B80" s="442"/>
      <c r="C80" s="445" t="s">
        <v>384</v>
      </c>
      <c r="D80" s="445" t="s">
        <v>383</v>
      </c>
      <c r="E80" s="445" t="s">
        <v>382</v>
      </c>
      <c r="F80" s="440">
        <v>123615</v>
      </c>
      <c r="G80" s="446" t="s">
        <v>381</v>
      </c>
      <c r="H80" s="438"/>
      <c r="I80" s="438"/>
      <c r="J80" s="438"/>
      <c r="K80" s="438">
        <v>180</v>
      </c>
      <c r="L80" s="437"/>
      <c r="M80" s="444">
        <f t="shared" si="10"/>
        <v>160.71428571428569</v>
      </c>
      <c r="N80" s="444">
        <f t="shared" si="11"/>
        <v>19.285714285714281</v>
      </c>
      <c r="O80" s="444">
        <f t="shared" si="9"/>
        <v>0</v>
      </c>
      <c r="P80" s="444"/>
      <c r="Q80" s="314">
        <v>160.71</v>
      </c>
      <c r="R80" s="314"/>
      <c r="S80" s="314"/>
      <c r="T80" s="436"/>
      <c r="U80" s="436"/>
      <c r="V80" s="436"/>
      <c r="W80" s="436"/>
      <c r="X80" s="436"/>
      <c r="Y80" s="314"/>
      <c r="Z80" s="314"/>
      <c r="AA80" s="314"/>
      <c r="AB80" s="314"/>
      <c r="AC80" s="436"/>
      <c r="AD80" s="436"/>
      <c r="AE80" s="314"/>
      <c r="AF80" s="314"/>
      <c r="AG80" s="444">
        <f t="shared" si="12"/>
        <v>-179.99571428571429</v>
      </c>
      <c r="AH80" s="433">
        <f t="shared" si="13"/>
        <v>4.2857142857144481E-3</v>
      </c>
    </row>
    <row r="81" spans="1:34" s="259" customFormat="1" ht="21.75" customHeight="1" x14ac:dyDescent="0.2">
      <c r="A81" s="443">
        <v>43488</v>
      </c>
      <c r="B81" s="442"/>
      <c r="C81" s="445" t="s">
        <v>375</v>
      </c>
      <c r="D81" s="445" t="s">
        <v>374</v>
      </c>
      <c r="E81" s="445" t="s">
        <v>373</v>
      </c>
      <c r="F81" s="440">
        <v>128758</v>
      </c>
      <c r="G81" s="446" t="s">
        <v>443</v>
      </c>
      <c r="H81" s="438"/>
      <c r="I81" s="438"/>
      <c r="J81" s="438"/>
      <c r="K81" s="438">
        <f>1057.59+126.91</f>
        <v>1184.5</v>
      </c>
      <c r="L81" s="437"/>
      <c r="M81" s="444">
        <f t="shared" si="10"/>
        <v>1057.5892857142856</v>
      </c>
      <c r="N81" s="444">
        <f t="shared" si="11"/>
        <v>126.91071428571426</v>
      </c>
      <c r="O81" s="444">
        <f t="shared" si="9"/>
        <v>0</v>
      </c>
      <c r="P81" s="444">
        <v>1057.5899999999999</v>
      </c>
      <c r="Q81" s="314"/>
      <c r="R81" s="314"/>
      <c r="S81" s="314"/>
      <c r="T81" s="436"/>
      <c r="U81" s="436"/>
      <c r="V81" s="436"/>
      <c r="W81" s="436"/>
      <c r="X81" s="436"/>
      <c r="Y81" s="314"/>
      <c r="Z81" s="314"/>
      <c r="AA81" s="314"/>
      <c r="AB81" s="314"/>
      <c r="AC81" s="436"/>
      <c r="AD81" s="436"/>
      <c r="AE81" s="314"/>
      <c r="AF81" s="314"/>
      <c r="AG81" s="444">
        <f t="shared" si="12"/>
        <v>-1184.5007142857141</v>
      </c>
      <c r="AH81" s="433">
        <f t="shared" si="13"/>
        <v>-7.1428571413889586E-4</v>
      </c>
    </row>
    <row r="82" spans="1:34" s="259" customFormat="1" ht="21.75" customHeight="1" x14ac:dyDescent="0.2">
      <c r="A82" s="443">
        <v>43488</v>
      </c>
      <c r="B82" s="442"/>
      <c r="C82" s="445" t="s">
        <v>375</v>
      </c>
      <c r="D82" s="445" t="s">
        <v>374</v>
      </c>
      <c r="E82" s="445" t="s">
        <v>373</v>
      </c>
      <c r="F82" s="440">
        <v>128758</v>
      </c>
      <c r="G82" s="446" t="s">
        <v>442</v>
      </c>
      <c r="H82" s="438"/>
      <c r="I82" s="438"/>
      <c r="J82" s="438">
        <v>98.55</v>
      </c>
      <c r="K82" s="438"/>
      <c r="L82" s="437"/>
      <c r="M82" s="444">
        <f t="shared" si="10"/>
        <v>98.55</v>
      </c>
      <c r="N82" s="444">
        <f t="shared" si="11"/>
        <v>0</v>
      </c>
      <c r="O82" s="444">
        <f t="shared" si="9"/>
        <v>0</v>
      </c>
      <c r="P82" s="444">
        <v>98.55</v>
      </c>
      <c r="Q82" s="314"/>
      <c r="R82" s="314"/>
      <c r="S82" s="314"/>
      <c r="T82" s="436"/>
      <c r="U82" s="436"/>
      <c r="V82" s="436"/>
      <c r="W82" s="436"/>
      <c r="X82" s="436"/>
      <c r="Y82" s="314"/>
      <c r="Z82" s="314"/>
      <c r="AA82" s="314"/>
      <c r="AB82" s="314"/>
      <c r="AC82" s="436"/>
      <c r="AD82" s="436"/>
      <c r="AE82" s="314"/>
      <c r="AF82" s="314"/>
      <c r="AG82" s="444">
        <f t="shared" si="12"/>
        <v>-98.55</v>
      </c>
      <c r="AH82" s="433">
        <f t="shared" si="13"/>
        <v>0</v>
      </c>
    </row>
    <row r="83" spans="1:34" s="259" customFormat="1" ht="21.75" customHeight="1" x14ac:dyDescent="0.2">
      <c r="A83" s="443">
        <v>43488</v>
      </c>
      <c r="B83" s="442"/>
      <c r="C83" s="445" t="s">
        <v>413</v>
      </c>
      <c r="D83" s="445" t="s">
        <v>435</v>
      </c>
      <c r="E83" s="445" t="s">
        <v>434</v>
      </c>
      <c r="F83" s="440">
        <v>36196</v>
      </c>
      <c r="G83" s="446" t="s">
        <v>441</v>
      </c>
      <c r="H83" s="438"/>
      <c r="I83" s="438"/>
      <c r="J83" s="438"/>
      <c r="K83" s="438">
        <v>175</v>
      </c>
      <c r="L83" s="437"/>
      <c r="M83" s="444">
        <f t="shared" si="10"/>
        <v>156.24999999999997</v>
      </c>
      <c r="N83" s="444">
        <f t="shared" si="11"/>
        <v>18.749999999999996</v>
      </c>
      <c r="O83" s="444">
        <f t="shared" si="9"/>
        <v>0</v>
      </c>
      <c r="P83" s="444"/>
      <c r="Q83" s="314">
        <v>156.25</v>
      </c>
      <c r="R83" s="314"/>
      <c r="S83" s="314"/>
      <c r="T83" s="436"/>
      <c r="U83" s="436"/>
      <c r="V83" s="436"/>
      <c r="W83" s="436"/>
      <c r="X83" s="436"/>
      <c r="Y83" s="314"/>
      <c r="Z83" s="314"/>
      <c r="AA83" s="314"/>
      <c r="AB83" s="314"/>
      <c r="AC83" s="436"/>
      <c r="AD83" s="436"/>
      <c r="AE83" s="314"/>
      <c r="AF83" s="314"/>
      <c r="AG83" s="444">
        <f t="shared" si="12"/>
        <v>-175</v>
      </c>
      <c r="AH83" s="433">
        <f t="shared" si="13"/>
        <v>0</v>
      </c>
    </row>
    <row r="84" spans="1:34" s="259" customFormat="1" ht="21.75" customHeight="1" x14ac:dyDescent="0.2">
      <c r="A84" s="443">
        <v>43488</v>
      </c>
      <c r="B84" s="442"/>
      <c r="C84" s="445" t="s">
        <v>413</v>
      </c>
      <c r="D84" s="445" t="s">
        <v>435</v>
      </c>
      <c r="E84" s="445" t="s">
        <v>434</v>
      </c>
      <c r="F84" s="440">
        <v>35324</v>
      </c>
      <c r="G84" s="446" t="s">
        <v>441</v>
      </c>
      <c r="H84" s="438"/>
      <c r="I84" s="438"/>
      <c r="J84" s="438"/>
      <c r="K84" s="438">
        <v>394</v>
      </c>
      <c r="L84" s="437"/>
      <c r="M84" s="444">
        <f t="shared" si="10"/>
        <v>351.78571428571428</v>
      </c>
      <c r="N84" s="444">
        <f t="shared" si="11"/>
        <v>42.214285714285708</v>
      </c>
      <c r="O84" s="444">
        <f t="shared" si="9"/>
        <v>0</v>
      </c>
      <c r="P84" s="444"/>
      <c r="Q84" s="314">
        <v>351.79</v>
      </c>
      <c r="R84" s="314"/>
      <c r="S84" s="314"/>
      <c r="T84" s="436"/>
      <c r="U84" s="436"/>
      <c r="V84" s="436"/>
      <c r="W84" s="436"/>
      <c r="X84" s="436"/>
      <c r="Y84" s="314"/>
      <c r="Z84" s="314"/>
      <c r="AA84" s="314"/>
      <c r="AB84" s="314"/>
      <c r="AC84" s="436"/>
      <c r="AD84" s="436"/>
      <c r="AE84" s="314"/>
      <c r="AF84" s="314"/>
      <c r="AG84" s="444">
        <f t="shared" si="12"/>
        <v>-394.00428571428574</v>
      </c>
      <c r="AH84" s="433">
        <f t="shared" si="13"/>
        <v>-4.2857142857428698E-3</v>
      </c>
    </row>
    <row r="85" spans="1:34" s="259" customFormat="1" ht="21.75" customHeight="1" x14ac:dyDescent="0.2">
      <c r="A85" s="443">
        <v>43488</v>
      </c>
      <c r="B85" s="442"/>
      <c r="C85" s="445" t="s">
        <v>384</v>
      </c>
      <c r="D85" s="445" t="s">
        <v>383</v>
      </c>
      <c r="E85" s="445" t="s">
        <v>382</v>
      </c>
      <c r="F85" s="440">
        <v>131857</v>
      </c>
      <c r="G85" s="446" t="s">
        <v>381</v>
      </c>
      <c r="H85" s="438"/>
      <c r="I85" s="438"/>
      <c r="J85" s="438"/>
      <c r="K85" s="438">
        <v>180</v>
      </c>
      <c r="L85" s="437"/>
      <c r="M85" s="444">
        <f t="shared" si="10"/>
        <v>160.71428571428569</v>
      </c>
      <c r="N85" s="444">
        <f t="shared" si="11"/>
        <v>19.285714285714281</v>
      </c>
      <c r="O85" s="444">
        <f t="shared" si="9"/>
        <v>0</v>
      </c>
      <c r="P85" s="444"/>
      <c r="Q85" s="314">
        <v>160.71</v>
      </c>
      <c r="R85" s="314"/>
      <c r="S85" s="314"/>
      <c r="T85" s="436"/>
      <c r="U85" s="436"/>
      <c r="V85" s="436"/>
      <c r="W85" s="436"/>
      <c r="X85" s="436"/>
      <c r="Y85" s="314"/>
      <c r="Z85" s="314"/>
      <c r="AA85" s="314"/>
      <c r="AB85" s="314"/>
      <c r="AC85" s="436"/>
      <c r="AD85" s="436"/>
      <c r="AE85" s="314"/>
      <c r="AF85" s="314"/>
      <c r="AG85" s="444">
        <f t="shared" si="12"/>
        <v>-179.99571428571429</v>
      </c>
      <c r="AH85" s="433">
        <f t="shared" si="13"/>
        <v>4.2857142857144481E-3</v>
      </c>
    </row>
    <row r="86" spans="1:34" s="259" customFormat="1" ht="21.75" customHeight="1" x14ac:dyDescent="0.2">
      <c r="A86" s="443">
        <v>43488</v>
      </c>
      <c r="B86" s="442"/>
      <c r="C86" s="445" t="s">
        <v>440</v>
      </c>
      <c r="D86" s="445"/>
      <c r="E86" s="445"/>
      <c r="F86" s="440"/>
      <c r="G86" s="446" t="s">
        <v>439</v>
      </c>
      <c r="H86" s="438">
        <v>55</v>
      </c>
      <c r="I86" s="438"/>
      <c r="J86" s="438"/>
      <c r="K86" s="438"/>
      <c r="L86" s="437"/>
      <c r="M86" s="444">
        <f t="shared" si="10"/>
        <v>55</v>
      </c>
      <c r="N86" s="444">
        <f t="shared" si="11"/>
        <v>0</v>
      </c>
      <c r="O86" s="444">
        <f t="shared" ref="O86:O115" si="14">-SUM(I86:J86,K86/1.12)*L86</f>
        <v>0</v>
      </c>
      <c r="P86" s="444"/>
      <c r="Q86" s="314"/>
      <c r="R86" s="314"/>
      <c r="S86" s="314"/>
      <c r="T86" s="436"/>
      <c r="U86" s="436"/>
      <c r="V86" s="436"/>
      <c r="W86" s="436"/>
      <c r="X86" s="436"/>
      <c r="Y86" s="314"/>
      <c r="Z86" s="314"/>
      <c r="AA86" s="314">
        <v>55</v>
      </c>
      <c r="AB86" s="314"/>
      <c r="AC86" s="436"/>
      <c r="AD86" s="436"/>
      <c r="AE86" s="314"/>
      <c r="AF86" s="314"/>
      <c r="AG86" s="444">
        <f t="shared" si="12"/>
        <v>-55</v>
      </c>
      <c r="AH86" s="433">
        <f t="shared" si="13"/>
        <v>0</v>
      </c>
    </row>
    <row r="87" spans="1:34" s="259" customFormat="1" ht="21.75" customHeight="1" x14ac:dyDescent="0.2">
      <c r="A87" s="443">
        <v>43488</v>
      </c>
      <c r="B87" s="442"/>
      <c r="C87" s="445" t="s">
        <v>438</v>
      </c>
      <c r="D87" s="445" t="s">
        <v>437</v>
      </c>
      <c r="E87" s="445" t="s">
        <v>373</v>
      </c>
      <c r="F87" s="440">
        <v>168514</v>
      </c>
      <c r="G87" s="446" t="s">
        <v>436</v>
      </c>
      <c r="H87" s="438"/>
      <c r="I87" s="438"/>
      <c r="J87" s="438"/>
      <c r="K87" s="438">
        <v>1610</v>
      </c>
      <c r="L87" s="437"/>
      <c r="M87" s="444">
        <f t="shared" si="10"/>
        <v>1437.4999999999998</v>
      </c>
      <c r="N87" s="444">
        <f t="shared" si="11"/>
        <v>172.49999999999997</v>
      </c>
      <c r="O87" s="444">
        <f t="shared" si="14"/>
        <v>0</v>
      </c>
      <c r="P87" s="444"/>
      <c r="Q87" s="314"/>
      <c r="R87" s="314"/>
      <c r="S87" s="314">
        <v>1437.5</v>
      </c>
      <c r="T87" s="436"/>
      <c r="U87" s="436"/>
      <c r="V87" s="436"/>
      <c r="W87" s="436"/>
      <c r="X87" s="436"/>
      <c r="Y87" s="314"/>
      <c r="Z87" s="314"/>
      <c r="AA87" s="314"/>
      <c r="AB87" s="314"/>
      <c r="AC87" s="436"/>
      <c r="AD87" s="436"/>
      <c r="AE87" s="314"/>
      <c r="AF87" s="314"/>
      <c r="AG87" s="444">
        <f t="shared" si="12"/>
        <v>-1610</v>
      </c>
      <c r="AH87" s="433">
        <f t="shared" si="13"/>
        <v>0</v>
      </c>
    </row>
    <row r="88" spans="1:34" s="259" customFormat="1" ht="21.75" customHeight="1" x14ac:dyDescent="0.2">
      <c r="A88" s="443">
        <v>43488</v>
      </c>
      <c r="B88" s="442"/>
      <c r="C88" s="445" t="s">
        <v>413</v>
      </c>
      <c r="D88" s="445" t="s">
        <v>435</v>
      </c>
      <c r="E88" s="445" t="s">
        <v>434</v>
      </c>
      <c r="F88" s="440">
        <v>33839</v>
      </c>
      <c r="G88" s="446" t="s">
        <v>433</v>
      </c>
      <c r="H88" s="438"/>
      <c r="I88" s="438"/>
      <c r="J88" s="438"/>
      <c r="K88" s="438">
        <v>425</v>
      </c>
      <c r="L88" s="437"/>
      <c r="M88" s="444">
        <f t="shared" si="10"/>
        <v>379.46428571428567</v>
      </c>
      <c r="N88" s="444">
        <f t="shared" si="11"/>
        <v>45.535714285714278</v>
      </c>
      <c r="O88" s="444">
        <f t="shared" si="14"/>
        <v>0</v>
      </c>
      <c r="P88" s="444"/>
      <c r="Q88" s="314">
        <v>379.46</v>
      </c>
      <c r="R88" s="314"/>
      <c r="S88" s="314"/>
      <c r="T88" s="436"/>
      <c r="U88" s="436"/>
      <c r="V88" s="436"/>
      <c r="W88" s="436"/>
      <c r="X88" s="436"/>
      <c r="Y88" s="314"/>
      <c r="Z88" s="314"/>
      <c r="AA88" s="314"/>
      <c r="AB88" s="314"/>
      <c r="AC88" s="436"/>
      <c r="AD88" s="436"/>
      <c r="AE88" s="314"/>
      <c r="AF88" s="314"/>
      <c r="AG88" s="444">
        <f t="shared" si="12"/>
        <v>-424.99571428571426</v>
      </c>
      <c r="AH88" s="433">
        <f t="shared" si="13"/>
        <v>4.2857142857428698E-3</v>
      </c>
    </row>
    <row r="89" spans="1:34" s="259" customFormat="1" ht="21.75" customHeight="1" x14ac:dyDescent="0.2">
      <c r="A89" s="443">
        <v>43488</v>
      </c>
      <c r="B89" s="442"/>
      <c r="C89" s="445" t="s">
        <v>432</v>
      </c>
      <c r="D89" s="445" t="s">
        <v>431</v>
      </c>
      <c r="E89" s="445" t="s">
        <v>373</v>
      </c>
      <c r="F89" s="440">
        <v>2212462</v>
      </c>
      <c r="G89" s="446" t="s">
        <v>430</v>
      </c>
      <c r="H89" s="438"/>
      <c r="I89" s="438"/>
      <c r="J89" s="438"/>
      <c r="K89" s="438">
        <v>610</v>
      </c>
      <c r="L89" s="437"/>
      <c r="M89" s="444">
        <f t="shared" si="10"/>
        <v>544.64285714285711</v>
      </c>
      <c r="N89" s="444">
        <f t="shared" si="11"/>
        <v>65.357142857142847</v>
      </c>
      <c r="O89" s="444">
        <f t="shared" si="14"/>
        <v>0</v>
      </c>
      <c r="P89" s="444"/>
      <c r="Q89" s="314"/>
      <c r="R89" s="314"/>
      <c r="S89" s="314"/>
      <c r="T89" s="436">
        <v>544.64</v>
      </c>
      <c r="U89" s="436"/>
      <c r="V89" s="436"/>
      <c r="W89" s="436"/>
      <c r="X89" s="436"/>
      <c r="Y89" s="314"/>
      <c r="Z89" s="314"/>
      <c r="AA89" s="314"/>
      <c r="AB89" s="314"/>
      <c r="AC89" s="436"/>
      <c r="AD89" s="436"/>
      <c r="AE89" s="314"/>
      <c r="AF89" s="314"/>
      <c r="AG89" s="444">
        <f t="shared" si="12"/>
        <v>-609.99714285714288</v>
      </c>
      <c r="AH89" s="433">
        <f t="shared" si="13"/>
        <v>2.8571428571240176E-3</v>
      </c>
    </row>
    <row r="90" spans="1:34" s="259" customFormat="1" ht="21.75" customHeight="1" x14ac:dyDescent="0.2">
      <c r="A90" s="443">
        <v>43488</v>
      </c>
      <c r="B90" s="442"/>
      <c r="C90" s="445" t="s">
        <v>429</v>
      </c>
      <c r="D90" s="445"/>
      <c r="E90" s="445"/>
      <c r="F90" s="440"/>
      <c r="G90" s="446" t="s">
        <v>428</v>
      </c>
      <c r="H90" s="438">
        <v>100</v>
      </c>
      <c r="I90" s="438"/>
      <c r="J90" s="438"/>
      <c r="K90" s="438"/>
      <c r="L90" s="437"/>
      <c r="M90" s="444">
        <f t="shared" si="10"/>
        <v>100</v>
      </c>
      <c r="N90" s="444">
        <f t="shared" si="11"/>
        <v>0</v>
      </c>
      <c r="O90" s="444">
        <f t="shared" si="14"/>
        <v>0</v>
      </c>
      <c r="P90" s="444"/>
      <c r="Q90" s="314"/>
      <c r="R90" s="314"/>
      <c r="S90" s="314"/>
      <c r="T90" s="436"/>
      <c r="U90" s="436"/>
      <c r="V90" s="436"/>
      <c r="W90" s="436"/>
      <c r="X90" s="436"/>
      <c r="Y90" s="314"/>
      <c r="Z90" s="314"/>
      <c r="AA90" s="314">
        <v>100</v>
      </c>
      <c r="AB90" s="314"/>
      <c r="AC90" s="436"/>
      <c r="AD90" s="436"/>
      <c r="AE90" s="314"/>
      <c r="AF90" s="314"/>
      <c r="AG90" s="444">
        <f t="shared" si="12"/>
        <v>-100</v>
      </c>
      <c r="AH90" s="433">
        <f t="shared" si="13"/>
        <v>0</v>
      </c>
    </row>
    <row r="91" spans="1:34" s="259" customFormat="1" ht="21.75" customHeight="1" x14ac:dyDescent="0.2">
      <c r="A91" s="443">
        <v>43489</v>
      </c>
      <c r="B91" s="442"/>
      <c r="C91" s="445" t="s">
        <v>375</v>
      </c>
      <c r="D91" s="445" t="s">
        <v>374</v>
      </c>
      <c r="E91" s="445" t="s">
        <v>373</v>
      </c>
      <c r="F91" s="440">
        <v>138054</v>
      </c>
      <c r="G91" s="446" t="s">
        <v>427</v>
      </c>
      <c r="H91" s="438"/>
      <c r="I91" s="438"/>
      <c r="J91" s="438"/>
      <c r="K91" s="438">
        <v>160.5</v>
      </c>
      <c r="L91" s="437"/>
      <c r="M91" s="444">
        <f t="shared" si="10"/>
        <v>143.30357142857142</v>
      </c>
      <c r="N91" s="444">
        <f t="shared" si="11"/>
        <v>17.196428571428569</v>
      </c>
      <c r="O91" s="444">
        <f t="shared" si="14"/>
        <v>0</v>
      </c>
      <c r="P91" s="444">
        <v>143.30000000000001</v>
      </c>
      <c r="Q91" s="314"/>
      <c r="R91" s="314"/>
      <c r="S91" s="314"/>
      <c r="T91" s="436"/>
      <c r="U91" s="436"/>
      <c r="V91" s="436"/>
      <c r="W91" s="436"/>
      <c r="X91" s="436"/>
      <c r="Y91" s="314"/>
      <c r="Z91" s="314"/>
      <c r="AA91" s="314"/>
      <c r="AB91" s="314"/>
      <c r="AC91" s="436"/>
      <c r="AD91" s="436"/>
      <c r="AE91" s="314"/>
      <c r="AF91" s="314"/>
      <c r="AG91" s="444">
        <f t="shared" si="12"/>
        <v>-160.49642857142857</v>
      </c>
      <c r="AH91" s="433">
        <f t="shared" si="13"/>
        <v>3.5714285714334437E-3</v>
      </c>
    </row>
    <row r="92" spans="1:34" s="259" customFormat="1" ht="21.75" customHeight="1" x14ac:dyDescent="0.2">
      <c r="A92" s="443">
        <v>43489</v>
      </c>
      <c r="B92" s="442"/>
      <c r="C92" s="445" t="s">
        <v>21</v>
      </c>
      <c r="D92" s="445"/>
      <c r="E92" s="445"/>
      <c r="F92" s="440"/>
      <c r="G92" s="446" t="s">
        <v>426</v>
      </c>
      <c r="H92" s="438">
        <v>37.270000000000003</v>
      </c>
      <c r="I92" s="438"/>
      <c r="J92" s="438"/>
      <c r="K92" s="438"/>
      <c r="L92" s="437"/>
      <c r="M92" s="444">
        <f t="shared" si="10"/>
        <v>37.270000000000003</v>
      </c>
      <c r="N92" s="444">
        <f t="shared" si="11"/>
        <v>0</v>
      </c>
      <c r="O92" s="444">
        <f t="shared" si="14"/>
        <v>0</v>
      </c>
      <c r="P92" s="444"/>
      <c r="Q92" s="314"/>
      <c r="R92" s="314"/>
      <c r="S92" s="314"/>
      <c r="T92" s="436"/>
      <c r="U92" s="436"/>
      <c r="V92" s="436"/>
      <c r="W92" s="436"/>
      <c r="X92" s="436"/>
      <c r="Y92" s="314"/>
      <c r="Z92" s="314"/>
      <c r="AA92" s="314"/>
      <c r="AB92" s="314"/>
      <c r="AC92" s="436"/>
      <c r="AD92" s="436">
        <v>37.270000000000003</v>
      </c>
      <c r="AE92" s="314"/>
      <c r="AF92" s="314"/>
      <c r="AG92" s="444">
        <f t="shared" si="12"/>
        <v>-37.270000000000003</v>
      </c>
      <c r="AH92" s="433">
        <f t="shared" si="13"/>
        <v>0</v>
      </c>
    </row>
    <row r="93" spans="1:34" s="447" customFormat="1" ht="21.75" customHeight="1" x14ac:dyDescent="0.2">
      <c r="A93" s="457">
        <v>43489</v>
      </c>
      <c r="B93" s="456"/>
      <c r="C93" s="455" t="s">
        <v>425</v>
      </c>
      <c r="D93" s="455"/>
      <c r="E93" s="455"/>
      <c r="F93" s="454"/>
      <c r="G93" s="453" t="s">
        <v>424</v>
      </c>
      <c r="H93" s="452">
        <v>9</v>
      </c>
      <c r="I93" s="452"/>
      <c r="J93" s="452"/>
      <c r="K93" s="452"/>
      <c r="L93" s="451"/>
      <c r="M93" s="449">
        <f t="shared" si="10"/>
        <v>9</v>
      </c>
      <c r="N93" s="449">
        <f t="shared" si="11"/>
        <v>0</v>
      </c>
      <c r="O93" s="449">
        <f t="shared" si="14"/>
        <v>0</v>
      </c>
      <c r="P93" s="449"/>
      <c r="Q93" s="317"/>
      <c r="R93" s="317"/>
      <c r="S93" s="317"/>
      <c r="T93" s="450"/>
      <c r="U93" s="450"/>
      <c r="V93" s="450"/>
      <c r="W93" s="450"/>
      <c r="X93" s="450"/>
      <c r="Y93" s="317"/>
      <c r="Z93" s="317"/>
      <c r="AA93" s="317">
        <v>9</v>
      </c>
      <c r="AB93" s="317"/>
      <c r="AC93" s="450"/>
      <c r="AD93" s="450"/>
      <c r="AE93" s="317"/>
      <c r="AF93" s="317"/>
      <c r="AG93" s="449">
        <f t="shared" si="12"/>
        <v>-9</v>
      </c>
      <c r="AH93" s="448">
        <f t="shared" si="13"/>
        <v>0</v>
      </c>
    </row>
    <row r="94" spans="1:34" s="259" customFormat="1" ht="21.75" customHeight="1" x14ac:dyDescent="0.2">
      <c r="A94" s="443">
        <v>43489</v>
      </c>
      <c r="B94" s="442"/>
      <c r="C94" s="445" t="s">
        <v>384</v>
      </c>
      <c r="D94" s="445" t="s">
        <v>383</v>
      </c>
      <c r="E94" s="445" t="s">
        <v>382</v>
      </c>
      <c r="F94" s="440">
        <v>131804</v>
      </c>
      <c r="G94" s="446" t="s">
        <v>381</v>
      </c>
      <c r="H94" s="438"/>
      <c r="I94" s="438"/>
      <c r="J94" s="438"/>
      <c r="K94" s="438">
        <v>180</v>
      </c>
      <c r="L94" s="437"/>
      <c r="M94" s="444">
        <f t="shared" si="10"/>
        <v>160.71428571428569</v>
      </c>
      <c r="N94" s="444">
        <f t="shared" si="11"/>
        <v>19.285714285714281</v>
      </c>
      <c r="O94" s="444">
        <f t="shared" si="14"/>
        <v>0</v>
      </c>
      <c r="P94" s="444"/>
      <c r="Q94" s="314">
        <v>160.71</v>
      </c>
      <c r="R94" s="314"/>
      <c r="S94" s="314"/>
      <c r="T94" s="436"/>
      <c r="U94" s="436"/>
      <c r="V94" s="436"/>
      <c r="W94" s="436"/>
      <c r="X94" s="436"/>
      <c r="Y94" s="314"/>
      <c r="Z94" s="314"/>
      <c r="AA94" s="314"/>
      <c r="AB94" s="314"/>
      <c r="AC94" s="436"/>
      <c r="AD94" s="436"/>
      <c r="AE94" s="314"/>
      <c r="AF94" s="314"/>
      <c r="AG94" s="444">
        <f t="shared" si="12"/>
        <v>-179.99571428571429</v>
      </c>
      <c r="AH94" s="433">
        <f t="shared" si="13"/>
        <v>4.2857142857144481E-3</v>
      </c>
    </row>
    <row r="95" spans="1:34" s="259" customFormat="1" ht="21.75" customHeight="1" x14ac:dyDescent="0.2">
      <c r="A95" s="443">
        <v>43490</v>
      </c>
      <c r="B95" s="442"/>
      <c r="C95" s="445" t="s">
        <v>384</v>
      </c>
      <c r="D95" s="445" t="s">
        <v>383</v>
      </c>
      <c r="E95" s="445" t="s">
        <v>382</v>
      </c>
      <c r="F95" s="440">
        <v>131850</v>
      </c>
      <c r="G95" s="446" t="s">
        <v>381</v>
      </c>
      <c r="H95" s="438"/>
      <c r="I95" s="438"/>
      <c r="J95" s="438"/>
      <c r="K95" s="438">
        <v>180</v>
      </c>
      <c r="L95" s="437"/>
      <c r="M95" s="444">
        <f t="shared" si="10"/>
        <v>160.71428571428569</v>
      </c>
      <c r="N95" s="444">
        <f t="shared" si="11"/>
        <v>19.285714285714281</v>
      </c>
      <c r="O95" s="444">
        <f t="shared" si="14"/>
        <v>0</v>
      </c>
      <c r="P95" s="444"/>
      <c r="Q95" s="314">
        <v>160.71</v>
      </c>
      <c r="R95" s="314"/>
      <c r="S95" s="314"/>
      <c r="T95" s="436"/>
      <c r="U95" s="436"/>
      <c r="V95" s="436"/>
      <c r="W95" s="436"/>
      <c r="X95" s="436"/>
      <c r="Y95" s="314"/>
      <c r="Z95" s="314"/>
      <c r="AA95" s="314"/>
      <c r="AB95" s="314"/>
      <c r="AC95" s="436"/>
      <c r="AD95" s="436"/>
      <c r="AE95" s="314"/>
      <c r="AF95" s="314"/>
      <c r="AG95" s="444">
        <f t="shared" si="12"/>
        <v>-179.99571428571429</v>
      </c>
      <c r="AH95" s="433">
        <f t="shared" si="13"/>
        <v>4.2857142857144481E-3</v>
      </c>
    </row>
    <row r="96" spans="1:34" s="259" customFormat="1" ht="21.75" customHeight="1" x14ac:dyDescent="0.2">
      <c r="A96" s="443">
        <v>43490</v>
      </c>
      <c r="B96" s="442"/>
      <c r="C96" s="445" t="s">
        <v>375</v>
      </c>
      <c r="D96" s="445" t="s">
        <v>374</v>
      </c>
      <c r="E96" s="445" t="s">
        <v>373</v>
      </c>
      <c r="F96" s="440">
        <v>125976</v>
      </c>
      <c r="G96" s="446" t="s">
        <v>423</v>
      </c>
      <c r="H96" s="438"/>
      <c r="I96" s="438"/>
      <c r="J96" s="438"/>
      <c r="K96" s="438">
        <v>1014.7</v>
      </c>
      <c r="L96" s="437"/>
      <c r="M96" s="444">
        <f t="shared" si="10"/>
        <v>905.98214285714278</v>
      </c>
      <c r="N96" s="444">
        <f t="shared" si="11"/>
        <v>108.71785714285713</v>
      </c>
      <c r="O96" s="444">
        <f t="shared" si="14"/>
        <v>0</v>
      </c>
      <c r="P96" s="444">
        <v>905.98</v>
      </c>
      <c r="Q96" s="314"/>
      <c r="R96" s="314"/>
      <c r="S96" s="314"/>
      <c r="T96" s="436"/>
      <c r="U96" s="436"/>
      <c r="V96" s="436"/>
      <c r="W96" s="436"/>
      <c r="X96" s="436"/>
      <c r="Y96" s="314"/>
      <c r="Z96" s="314"/>
      <c r="AA96" s="314"/>
      <c r="AB96" s="314"/>
      <c r="AC96" s="436"/>
      <c r="AD96" s="436"/>
      <c r="AE96" s="314"/>
      <c r="AF96" s="314"/>
      <c r="AG96" s="444">
        <f t="shared" si="12"/>
        <v>-1014.6978571428572</v>
      </c>
      <c r="AH96" s="433">
        <f t="shared" si="13"/>
        <v>2.1428571428714349E-3</v>
      </c>
    </row>
    <row r="97" spans="1:34" s="259" customFormat="1" ht="21.75" customHeight="1" x14ac:dyDescent="0.2">
      <c r="A97" s="443">
        <v>43491</v>
      </c>
      <c r="B97" s="442"/>
      <c r="C97" s="445" t="s">
        <v>384</v>
      </c>
      <c r="D97" s="445" t="s">
        <v>383</v>
      </c>
      <c r="E97" s="445" t="s">
        <v>382</v>
      </c>
      <c r="F97" s="440">
        <v>145675</v>
      </c>
      <c r="G97" s="446" t="s">
        <v>381</v>
      </c>
      <c r="H97" s="438"/>
      <c r="I97" s="438"/>
      <c r="J97" s="438"/>
      <c r="K97" s="438">
        <v>90</v>
      </c>
      <c r="L97" s="437"/>
      <c r="M97" s="444">
        <f t="shared" si="10"/>
        <v>80.357142857142847</v>
      </c>
      <c r="N97" s="444">
        <f t="shared" si="11"/>
        <v>9.6428571428571406</v>
      </c>
      <c r="O97" s="444">
        <f t="shared" si="14"/>
        <v>0</v>
      </c>
      <c r="P97" s="444"/>
      <c r="Q97" s="314">
        <v>80.36</v>
      </c>
      <c r="R97" s="314"/>
      <c r="S97" s="314"/>
      <c r="T97" s="436"/>
      <c r="U97" s="436"/>
      <c r="V97" s="436"/>
      <c r="W97" s="436"/>
      <c r="X97" s="436"/>
      <c r="Y97" s="314"/>
      <c r="Z97" s="314"/>
      <c r="AA97" s="314"/>
      <c r="AB97" s="314"/>
      <c r="AC97" s="436"/>
      <c r="AD97" s="436"/>
      <c r="AE97" s="314"/>
      <c r="AF97" s="314"/>
      <c r="AG97" s="444">
        <f t="shared" si="12"/>
        <v>-90.002857142857138</v>
      </c>
      <c r="AH97" s="433">
        <f t="shared" si="13"/>
        <v>-2.8571428571382285E-3</v>
      </c>
    </row>
    <row r="98" spans="1:34" s="259" customFormat="1" ht="21.75" customHeight="1" x14ac:dyDescent="0.2">
      <c r="A98" s="443">
        <v>43491</v>
      </c>
      <c r="B98" s="442"/>
      <c r="C98" s="445" t="s">
        <v>169</v>
      </c>
      <c r="D98" s="445"/>
      <c r="E98" s="445"/>
      <c r="F98" s="440"/>
      <c r="G98" s="446" t="s">
        <v>422</v>
      </c>
      <c r="H98" s="438">
        <v>159</v>
      </c>
      <c r="I98" s="438"/>
      <c r="J98" s="438"/>
      <c r="K98" s="438"/>
      <c r="L98" s="437"/>
      <c r="M98" s="444">
        <f t="shared" si="10"/>
        <v>159</v>
      </c>
      <c r="N98" s="444">
        <f t="shared" si="11"/>
        <v>0</v>
      </c>
      <c r="O98" s="444">
        <f t="shared" si="14"/>
        <v>0</v>
      </c>
      <c r="P98" s="444"/>
      <c r="Q98" s="314"/>
      <c r="R98" s="314"/>
      <c r="S98" s="314"/>
      <c r="T98" s="436"/>
      <c r="U98" s="436"/>
      <c r="V98" s="436"/>
      <c r="W98" s="436"/>
      <c r="X98" s="436"/>
      <c r="Y98" s="314"/>
      <c r="Z98" s="314"/>
      <c r="AA98" s="314">
        <v>159</v>
      </c>
      <c r="AB98" s="314"/>
      <c r="AC98" s="436"/>
      <c r="AD98" s="436"/>
      <c r="AE98" s="314"/>
      <c r="AF98" s="314"/>
      <c r="AG98" s="444">
        <f t="shared" si="12"/>
        <v>-159</v>
      </c>
      <c r="AH98" s="433">
        <f t="shared" si="13"/>
        <v>0</v>
      </c>
    </row>
    <row r="99" spans="1:34" s="259" customFormat="1" ht="21.75" customHeight="1" x14ac:dyDescent="0.2">
      <c r="A99" s="443">
        <v>43491</v>
      </c>
      <c r="B99" s="442"/>
      <c r="C99" s="445" t="s">
        <v>421</v>
      </c>
      <c r="D99" s="445" t="s">
        <v>420</v>
      </c>
      <c r="E99" s="445" t="s">
        <v>419</v>
      </c>
      <c r="F99" s="440">
        <v>17024</v>
      </c>
      <c r="G99" s="446" t="s">
        <v>418</v>
      </c>
      <c r="H99" s="438"/>
      <c r="I99" s="438"/>
      <c r="J99" s="438"/>
      <c r="K99" s="438">
        <v>1075</v>
      </c>
      <c r="L99" s="437"/>
      <c r="M99" s="444">
        <f t="shared" si="10"/>
        <v>959.82142857142844</v>
      </c>
      <c r="N99" s="444">
        <f t="shared" si="11"/>
        <v>115.1785714285714</v>
      </c>
      <c r="O99" s="444">
        <f t="shared" si="14"/>
        <v>0</v>
      </c>
      <c r="P99" s="444"/>
      <c r="Q99" s="314"/>
      <c r="R99" s="314"/>
      <c r="S99" s="314">
        <v>959.82</v>
      </c>
      <c r="T99" s="436"/>
      <c r="U99" s="436"/>
      <c r="V99" s="436"/>
      <c r="W99" s="436"/>
      <c r="X99" s="436"/>
      <c r="Y99" s="314"/>
      <c r="Z99" s="314"/>
      <c r="AA99" s="314"/>
      <c r="AB99" s="314"/>
      <c r="AC99" s="436"/>
      <c r="AD99" s="436"/>
      <c r="AE99" s="314"/>
      <c r="AF99" s="314"/>
      <c r="AG99" s="444">
        <f t="shared" si="12"/>
        <v>-1074.9985714285715</v>
      </c>
      <c r="AH99" s="433">
        <f t="shared" si="13"/>
        <v>1.4285714285051654E-3</v>
      </c>
    </row>
    <row r="100" spans="1:34" s="259" customFormat="1" ht="21.75" customHeight="1" x14ac:dyDescent="0.2">
      <c r="A100" s="443">
        <v>43493</v>
      </c>
      <c r="B100" s="442"/>
      <c r="C100" s="445" t="s">
        <v>417</v>
      </c>
      <c r="D100" s="445" t="s">
        <v>416</v>
      </c>
      <c r="E100" s="445" t="s">
        <v>415</v>
      </c>
      <c r="F100" s="440">
        <v>219507</v>
      </c>
      <c r="G100" s="446" t="s">
        <v>414</v>
      </c>
      <c r="H100" s="438"/>
      <c r="I100" s="438"/>
      <c r="J100" s="438"/>
      <c r="K100" s="438">
        <v>1329.54</v>
      </c>
      <c r="L100" s="437"/>
      <c r="M100" s="444">
        <f t="shared" si="10"/>
        <v>1187.0892857142856</v>
      </c>
      <c r="N100" s="444">
        <f t="shared" si="11"/>
        <v>142.45071428571427</v>
      </c>
      <c r="O100" s="444">
        <f t="shared" si="14"/>
        <v>0</v>
      </c>
      <c r="P100" s="444">
        <v>1187.0899999999999</v>
      </c>
      <c r="Q100" s="314"/>
      <c r="R100" s="314"/>
      <c r="S100" s="314"/>
      <c r="T100" s="436"/>
      <c r="U100" s="436"/>
      <c r="V100" s="436"/>
      <c r="W100" s="436"/>
      <c r="X100" s="436"/>
      <c r="Y100" s="314"/>
      <c r="Z100" s="314"/>
      <c r="AA100" s="314"/>
      <c r="AB100" s="314"/>
      <c r="AC100" s="436"/>
      <c r="AD100" s="436"/>
      <c r="AE100" s="314"/>
      <c r="AF100" s="314"/>
      <c r="AG100" s="444">
        <f t="shared" si="12"/>
        <v>-1329.5407142857141</v>
      </c>
      <c r="AH100" s="433">
        <f t="shared" si="13"/>
        <v>-7.1428571413889586E-4</v>
      </c>
    </row>
    <row r="101" spans="1:34" s="259" customFormat="1" ht="21.75" customHeight="1" x14ac:dyDescent="0.2">
      <c r="A101" s="443">
        <v>43493</v>
      </c>
      <c r="B101" s="442"/>
      <c r="C101" s="445" t="s">
        <v>413</v>
      </c>
      <c r="D101" s="445" t="s">
        <v>412</v>
      </c>
      <c r="E101" s="445" t="s">
        <v>373</v>
      </c>
      <c r="F101" s="440">
        <v>3447</v>
      </c>
      <c r="G101" s="446" t="s">
        <v>411</v>
      </c>
      <c r="H101" s="438"/>
      <c r="I101" s="438"/>
      <c r="J101" s="438"/>
      <c r="K101" s="438">
        <v>324</v>
      </c>
      <c r="L101" s="437"/>
      <c r="M101" s="444">
        <f t="shared" ref="M101:M127" si="15">SUM(H101:J101,K101/1.12)</f>
        <v>289.28571428571428</v>
      </c>
      <c r="N101" s="444">
        <f t="shared" ref="N101:N127" si="16">K101/1.12*0.12</f>
        <v>34.714285714285715</v>
      </c>
      <c r="O101" s="444">
        <f t="shared" si="14"/>
        <v>0</v>
      </c>
      <c r="P101" s="444">
        <v>289.29000000000002</v>
      </c>
      <c r="Q101" s="314"/>
      <c r="R101" s="314"/>
      <c r="S101" s="314"/>
      <c r="T101" s="436"/>
      <c r="U101" s="436"/>
      <c r="V101" s="436"/>
      <c r="W101" s="436"/>
      <c r="X101" s="436"/>
      <c r="Y101" s="314"/>
      <c r="Z101" s="314"/>
      <c r="AA101" s="314"/>
      <c r="AB101" s="314"/>
      <c r="AC101" s="436"/>
      <c r="AD101" s="436"/>
      <c r="AE101" s="314"/>
      <c r="AF101" s="314"/>
      <c r="AG101" s="444">
        <f t="shared" ref="AG101:AG127" si="17">-SUM(N101:AF101)</f>
        <v>-324.00428571428574</v>
      </c>
      <c r="AH101" s="433">
        <f t="shared" ref="AH101:AH127" si="18">SUM(H101:K101)+AG101+O101</f>
        <v>-4.2857142857428698E-3</v>
      </c>
    </row>
    <row r="102" spans="1:34" s="259" customFormat="1" ht="21.75" customHeight="1" x14ac:dyDescent="0.2">
      <c r="A102" s="443">
        <v>43493</v>
      </c>
      <c r="B102" s="442"/>
      <c r="C102" s="445" t="s">
        <v>384</v>
      </c>
      <c r="D102" s="445" t="s">
        <v>383</v>
      </c>
      <c r="E102" s="445" t="s">
        <v>382</v>
      </c>
      <c r="F102" s="440">
        <v>123696</v>
      </c>
      <c r="G102" s="446" t="s">
        <v>381</v>
      </c>
      <c r="H102" s="438"/>
      <c r="I102" s="438"/>
      <c r="J102" s="438"/>
      <c r="K102" s="438">
        <v>180</v>
      </c>
      <c r="L102" s="437"/>
      <c r="M102" s="444">
        <f t="shared" si="15"/>
        <v>160.71428571428569</v>
      </c>
      <c r="N102" s="444">
        <f t="shared" si="16"/>
        <v>19.285714285714281</v>
      </c>
      <c r="O102" s="444">
        <f t="shared" si="14"/>
        <v>0</v>
      </c>
      <c r="P102" s="444"/>
      <c r="Q102" s="314">
        <v>160.71</v>
      </c>
      <c r="R102" s="314"/>
      <c r="S102" s="314"/>
      <c r="T102" s="436"/>
      <c r="U102" s="436"/>
      <c r="V102" s="436"/>
      <c r="W102" s="436"/>
      <c r="X102" s="436"/>
      <c r="Y102" s="314"/>
      <c r="Z102" s="314"/>
      <c r="AA102" s="314"/>
      <c r="AB102" s="314"/>
      <c r="AC102" s="436"/>
      <c r="AD102" s="436"/>
      <c r="AE102" s="314"/>
      <c r="AF102" s="314"/>
      <c r="AG102" s="444">
        <f t="shared" si="17"/>
        <v>-179.99571428571429</v>
      </c>
      <c r="AH102" s="433">
        <f t="shared" si="18"/>
        <v>4.2857142857144481E-3</v>
      </c>
    </row>
    <row r="103" spans="1:34" s="259" customFormat="1" ht="21.75" customHeight="1" x14ac:dyDescent="0.2">
      <c r="A103" s="443">
        <v>43493</v>
      </c>
      <c r="B103" s="442"/>
      <c r="C103" s="445" t="s">
        <v>169</v>
      </c>
      <c r="D103" s="445"/>
      <c r="E103" s="445"/>
      <c r="F103" s="440"/>
      <c r="G103" s="446" t="s">
        <v>410</v>
      </c>
      <c r="H103" s="438">
        <v>153</v>
      </c>
      <c r="I103" s="438"/>
      <c r="J103" s="438"/>
      <c r="K103" s="438"/>
      <c r="L103" s="437"/>
      <c r="M103" s="444">
        <f t="shared" si="15"/>
        <v>153</v>
      </c>
      <c r="N103" s="444">
        <f t="shared" si="16"/>
        <v>0</v>
      </c>
      <c r="O103" s="444">
        <f t="shared" si="14"/>
        <v>0</v>
      </c>
      <c r="P103" s="444"/>
      <c r="Q103" s="314"/>
      <c r="R103" s="314"/>
      <c r="S103" s="314"/>
      <c r="T103" s="436"/>
      <c r="U103" s="436"/>
      <c r="V103" s="436"/>
      <c r="W103" s="436"/>
      <c r="X103" s="436"/>
      <c r="Y103" s="314"/>
      <c r="Z103" s="314"/>
      <c r="AA103" s="314">
        <v>153</v>
      </c>
      <c r="AB103" s="314"/>
      <c r="AC103" s="436"/>
      <c r="AD103" s="436"/>
      <c r="AE103" s="314"/>
      <c r="AF103" s="314"/>
      <c r="AG103" s="444">
        <f t="shared" si="17"/>
        <v>-153</v>
      </c>
      <c r="AH103" s="433">
        <f t="shared" si="18"/>
        <v>0</v>
      </c>
    </row>
    <row r="104" spans="1:34" s="259" customFormat="1" ht="21.75" customHeight="1" x14ac:dyDescent="0.2">
      <c r="A104" s="443">
        <v>43493</v>
      </c>
      <c r="B104" s="442"/>
      <c r="C104" s="445" t="s">
        <v>409</v>
      </c>
      <c r="D104" s="445" t="s">
        <v>408</v>
      </c>
      <c r="E104" s="445" t="s">
        <v>373</v>
      </c>
      <c r="F104" s="440">
        <v>5900</v>
      </c>
      <c r="G104" s="446" t="s">
        <v>407</v>
      </c>
      <c r="H104" s="438"/>
      <c r="I104" s="438"/>
      <c r="J104" s="438"/>
      <c r="K104" s="438">
        <v>300</v>
      </c>
      <c r="L104" s="437"/>
      <c r="M104" s="444">
        <f t="shared" si="15"/>
        <v>267.85714285714283</v>
      </c>
      <c r="N104" s="444">
        <f t="shared" si="16"/>
        <v>32.142857142857139</v>
      </c>
      <c r="O104" s="444">
        <f t="shared" si="14"/>
        <v>0</v>
      </c>
      <c r="P104" s="444">
        <v>267.86</v>
      </c>
      <c r="Q104" s="314"/>
      <c r="R104" s="314"/>
      <c r="S104" s="314"/>
      <c r="T104" s="436"/>
      <c r="U104" s="436"/>
      <c r="V104" s="436"/>
      <c r="W104" s="436"/>
      <c r="X104" s="436"/>
      <c r="Y104" s="314"/>
      <c r="Z104" s="314"/>
      <c r="AA104" s="314"/>
      <c r="AB104" s="314"/>
      <c r="AC104" s="436"/>
      <c r="AD104" s="436"/>
      <c r="AE104" s="314"/>
      <c r="AF104" s="314"/>
      <c r="AG104" s="444">
        <f t="shared" si="17"/>
        <v>-300.00285714285712</v>
      </c>
      <c r="AH104" s="433">
        <f t="shared" si="18"/>
        <v>-2.8571428571240176E-3</v>
      </c>
    </row>
    <row r="105" spans="1:34" s="259" customFormat="1" ht="21.75" customHeight="1" x14ac:dyDescent="0.2">
      <c r="A105" s="443">
        <v>43493</v>
      </c>
      <c r="B105" s="442"/>
      <c r="C105" s="445" t="s">
        <v>375</v>
      </c>
      <c r="D105" s="445" t="s">
        <v>374</v>
      </c>
      <c r="E105" s="445" t="s">
        <v>373</v>
      </c>
      <c r="F105" s="440">
        <v>177140</v>
      </c>
      <c r="G105" s="446" t="s">
        <v>406</v>
      </c>
      <c r="H105" s="438"/>
      <c r="I105" s="438"/>
      <c r="J105" s="438"/>
      <c r="K105" s="438">
        <f>162.23+19.47</f>
        <v>181.7</v>
      </c>
      <c r="L105" s="437"/>
      <c r="M105" s="444">
        <f t="shared" si="15"/>
        <v>162.23214285714283</v>
      </c>
      <c r="N105" s="444">
        <f t="shared" si="16"/>
        <v>19.467857142857138</v>
      </c>
      <c r="O105" s="444">
        <f t="shared" si="14"/>
        <v>0</v>
      </c>
      <c r="P105" s="444">
        <v>162.22999999999999</v>
      </c>
      <c r="Q105" s="314"/>
      <c r="R105" s="314"/>
      <c r="S105" s="314"/>
      <c r="T105" s="436"/>
      <c r="U105" s="436"/>
      <c r="V105" s="436"/>
      <c r="W105" s="436"/>
      <c r="X105" s="436"/>
      <c r="Y105" s="314"/>
      <c r="Z105" s="314"/>
      <c r="AA105" s="314"/>
      <c r="AB105" s="314"/>
      <c r="AC105" s="436"/>
      <c r="AD105" s="436"/>
      <c r="AE105" s="314"/>
      <c r="AF105" s="314"/>
      <c r="AG105" s="444">
        <f t="shared" si="17"/>
        <v>-181.69785714285712</v>
      </c>
      <c r="AH105" s="433">
        <f t="shared" si="18"/>
        <v>2.1428571428714349E-3</v>
      </c>
    </row>
    <row r="106" spans="1:34" s="259" customFormat="1" ht="21.75" customHeight="1" x14ac:dyDescent="0.2">
      <c r="A106" s="443">
        <v>43493</v>
      </c>
      <c r="B106" s="442"/>
      <c r="C106" s="445" t="s">
        <v>375</v>
      </c>
      <c r="D106" s="445" t="s">
        <v>374</v>
      </c>
      <c r="E106" s="445" t="s">
        <v>373</v>
      </c>
      <c r="F106" s="440">
        <v>177140</v>
      </c>
      <c r="G106" s="446" t="s">
        <v>230</v>
      </c>
      <c r="H106" s="438"/>
      <c r="I106" s="438"/>
      <c r="J106" s="438">
        <v>1135.55</v>
      </c>
      <c r="K106" s="438"/>
      <c r="L106" s="437"/>
      <c r="M106" s="444">
        <f t="shared" si="15"/>
        <v>1135.55</v>
      </c>
      <c r="N106" s="444">
        <f t="shared" si="16"/>
        <v>0</v>
      </c>
      <c r="O106" s="444">
        <f t="shared" si="14"/>
        <v>0</v>
      </c>
      <c r="P106" s="444">
        <v>1135.55</v>
      </c>
      <c r="Q106" s="314"/>
      <c r="R106" s="314"/>
      <c r="S106" s="314"/>
      <c r="T106" s="436"/>
      <c r="U106" s="436"/>
      <c r="V106" s="436"/>
      <c r="W106" s="436"/>
      <c r="X106" s="436"/>
      <c r="Y106" s="314"/>
      <c r="Z106" s="314"/>
      <c r="AA106" s="314"/>
      <c r="AB106" s="314"/>
      <c r="AC106" s="436"/>
      <c r="AD106" s="436"/>
      <c r="AE106" s="314"/>
      <c r="AF106" s="314"/>
      <c r="AG106" s="444">
        <f t="shared" si="17"/>
        <v>-1135.55</v>
      </c>
      <c r="AH106" s="433">
        <f t="shared" si="18"/>
        <v>0</v>
      </c>
    </row>
    <row r="107" spans="1:34" s="259" customFormat="1" ht="21.75" customHeight="1" x14ac:dyDescent="0.2">
      <c r="A107" s="443">
        <v>43493</v>
      </c>
      <c r="B107" s="442"/>
      <c r="C107" s="445" t="s">
        <v>405</v>
      </c>
      <c r="D107" s="445" t="s">
        <v>404</v>
      </c>
      <c r="E107" s="445" t="s">
        <v>373</v>
      </c>
      <c r="F107" s="440">
        <v>117924</v>
      </c>
      <c r="G107" s="446" t="s">
        <v>230</v>
      </c>
      <c r="H107" s="438"/>
      <c r="I107" s="438"/>
      <c r="J107" s="438">
        <v>495.99</v>
      </c>
      <c r="K107" s="438"/>
      <c r="L107" s="437"/>
      <c r="M107" s="444">
        <f t="shared" si="15"/>
        <v>495.99</v>
      </c>
      <c r="N107" s="444">
        <f t="shared" si="16"/>
        <v>0</v>
      </c>
      <c r="O107" s="444">
        <f t="shared" si="14"/>
        <v>0</v>
      </c>
      <c r="P107" s="444">
        <v>495.99</v>
      </c>
      <c r="Q107" s="314"/>
      <c r="R107" s="314"/>
      <c r="S107" s="314"/>
      <c r="T107" s="436"/>
      <c r="U107" s="436"/>
      <c r="V107" s="436"/>
      <c r="W107" s="436"/>
      <c r="X107" s="436"/>
      <c r="Y107" s="314"/>
      <c r="Z107" s="314"/>
      <c r="AA107" s="314"/>
      <c r="AB107" s="314"/>
      <c r="AC107" s="436"/>
      <c r="AD107" s="436"/>
      <c r="AE107" s="314"/>
      <c r="AF107" s="314"/>
      <c r="AG107" s="444">
        <f t="shared" si="17"/>
        <v>-495.99</v>
      </c>
      <c r="AH107" s="433">
        <f t="shared" si="18"/>
        <v>0</v>
      </c>
    </row>
    <row r="108" spans="1:34" s="259" customFormat="1" ht="21.75" customHeight="1" x14ac:dyDescent="0.2">
      <c r="A108" s="443">
        <v>43494</v>
      </c>
      <c r="B108" s="442"/>
      <c r="C108" s="445" t="s">
        <v>384</v>
      </c>
      <c r="D108" s="445" t="s">
        <v>383</v>
      </c>
      <c r="E108" s="445" t="s">
        <v>382</v>
      </c>
      <c r="F108" s="440">
        <v>145747</v>
      </c>
      <c r="G108" s="446" t="s">
        <v>381</v>
      </c>
      <c r="H108" s="438"/>
      <c r="I108" s="438"/>
      <c r="J108" s="438"/>
      <c r="K108" s="438">
        <v>180</v>
      </c>
      <c r="L108" s="437"/>
      <c r="M108" s="444">
        <f t="shared" si="15"/>
        <v>160.71428571428569</v>
      </c>
      <c r="N108" s="444">
        <f t="shared" si="16"/>
        <v>19.285714285714281</v>
      </c>
      <c r="O108" s="444">
        <f t="shared" si="14"/>
        <v>0</v>
      </c>
      <c r="P108" s="444"/>
      <c r="Q108" s="314">
        <v>160.71</v>
      </c>
      <c r="R108" s="314"/>
      <c r="S108" s="314"/>
      <c r="T108" s="436"/>
      <c r="U108" s="436"/>
      <c r="V108" s="436"/>
      <c r="W108" s="436"/>
      <c r="X108" s="436"/>
      <c r="Y108" s="314"/>
      <c r="Z108" s="314"/>
      <c r="AA108" s="314"/>
      <c r="AB108" s="314"/>
      <c r="AC108" s="436"/>
      <c r="AD108" s="436"/>
      <c r="AE108" s="314"/>
      <c r="AF108" s="314"/>
      <c r="AG108" s="444">
        <f t="shared" si="17"/>
        <v>-179.99571428571429</v>
      </c>
      <c r="AH108" s="433">
        <f t="shared" si="18"/>
        <v>4.2857142857144481E-3</v>
      </c>
    </row>
    <row r="109" spans="1:34" s="259" customFormat="1" ht="21.75" customHeight="1" x14ac:dyDescent="0.2">
      <c r="A109" s="443">
        <v>43494</v>
      </c>
      <c r="B109" s="442"/>
      <c r="C109" s="445" t="s">
        <v>403</v>
      </c>
      <c r="D109" s="445"/>
      <c r="E109" s="445"/>
      <c r="F109" s="440"/>
      <c r="G109" s="446" t="s">
        <v>402</v>
      </c>
      <c r="H109" s="438">
        <v>537</v>
      </c>
      <c r="I109" s="438"/>
      <c r="J109" s="438"/>
      <c r="K109" s="438"/>
      <c r="L109" s="437"/>
      <c r="M109" s="444">
        <f t="shared" si="15"/>
        <v>537</v>
      </c>
      <c r="N109" s="444">
        <f t="shared" si="16"/>
        <v>0</v>
      </c>
      <c r="O109" s="444">
        <f t="shared" si="14"/>
        <v>0</v>
      </c>
      <c r="P109" s="444"/>
      <c r="Q109" s="314"/>
      <c r="R109" s="314"/>
      <c r="S109" s="314"/>
      <c r="T109" s="436"/>
      <c r="U109" s="436"/>
      <c r="V109" s="436"/>
      <c r="W109" s="436"/>
      <c r="X109" s="436"/>
      <c r="Y109" s="314"/>
      <c r="Z109" s="314"/>
      <c r="AA109" s="314"/>
      <c r="AB109" s="314">
        <v>537</v>
      </c>
      <c r="AC109" s="436"/>
      <c r="AD109" s="436"/>
      <c r="AE109" s="314"/>
      <c r="AF109" s="314"/>
      <c r="AG109" s="444">
        <f t="shared" si="17"/>
        <v>-537</v>
      </c>
      <c r="AH109" s="433">
        <f t="shared" si="18"/>
        <v>0</v>
      </c>
    </row>
    <row r="110" spans="1:34" s="259" customFormat="1" ht="21.75" customHeight="1" x14ac:dyDescent="0.2">
      <c r="A110" s="443">
        <v>43494</v>
      </c>
      <c r="B110" s="442"/>
      <c r="C110" s="445" t="s">
        <v>401</v>
      </c>
      <c r="D110" s="445" t="s">
        <v>400</v>
      </c>
      <c r="E110" s="445" t="s">
        <v>373</v>
      </c>
      <c r="F110" s="440">
        <v>12383</v>
      </c>
      <c r="G110" s="446" t="s">
        <v>399</v>
      </c>
      <c r="H110" s="438"/>
      <c r="I110" s="438"/>
      <c r="J110" s="438"/>
      <c r="K110" s="438">
        <v>414.84</v>
      </c>
      <c r="L110" s="437"/>
      <c r="M110" s="444">
        <f t="shared" si="15"/>
        <v>370.39285714285711</v>
      </c>
      <c r="N110" s="444">
        <f t="shared" si="16"/>
        <v>44.44714285714285</v>
      </c>
      <c r="O110" s="444">
        <f t="shared" si="14"/>
        <v>0</v>
      </c>
      <c r="P110" s="444">
        <v>370.39</v>
      </c>
      <c r="Q110" s="314"/>
      <c r="R110" s="314"/>
      <c r="S110" s="314"/>
      <c r="T110" s="436"/>
      <c r="U110" s="436"/>
      <c r="V110" s="436"/>
      <c r="W110" s="436"/>
      <c r="X110" s="436"/>
      <c r="Y110" s="314"/>
      <c r="Z110" s="314"/>
      <c r="AA110" s="314"/>
      <c r="AB110" s="314"/>
      <c r="AC110" s="436"/>
      <c r="AD110" s="436"/>
      <c r="AE110" s="314"/>
      <c r="AF110" s="314"/>
      <c r="AG110" s="444">
        <f t="shared" si="17"/>
        <v>-414.83714285714285</v>
      </c>
      <c r="AH110" s="433">
        <f t="shared" si="18"/>
        <v>2.8571428571240176E-3</v>
      </c>
    </row>
    <row r="111" spans="1:34" s="259" customFormat="1" ht="21.75" customHeight="1" x14ac:dyDescent="0.2">
      <c r="A111" s="443">
        <v>43494</v>
      </c>
      <c r="B111" s="442"/>
      <c r="C111" s="445" t="s">
        <v>375</v>
      </c>
      <c r="D111" s="445" t="s">
        <v>374</v>
      </c>
      <c r="E111" s="445" t="s">
        <v>373</v>
      </c>
      <c r="F111" s="440">
        <v>126674</v>
      </c>
      <c r="G111" s="446" t="s">
        <v>398</v>
      </c>
      <c r="H111" s="438"/>
      <c r="I111" s="438"/>
      <c r="J111" s="438">
        <v>260.10000000000002</v>
      </c>
      <c r="K111" s="438"/>
      <c r="L111" s="437"/>
      <c r="M111" s="444">
        <f t="shared" si="15"/>
        <v>260.10000000000002</v>
      </c>
      <c r="N111" s="444">
        <f t="shared" si="16"/>
        <v>0</v>
      </c>
      <c r="O111" s="444">
        <f t="shared" si="14"/>
        <v>0</v>
      </c>
      <c r="P111" s="444">
        <v>260.10000000000002</v>
      </c>
      <c r="Q111" s="314"/>
      <c r="R111" s="314"/>
      <c r="S111" s="314"/>
      <c r="T111" s="436"/>
      <c r="U111" s="436"/>
      <c r="V111" s="436"/>
      <c r="W111" s="436"/>
      <c r="X111" s="436"/>
      <c r="Y111" s="314"/>
      <c r="Z111" s="314"/>
      <c r="AA111" s="314"/>
      <c r="AB111" s="314"/>
      <c r="AC111" s="436"/>
      <c r="AD111" s="436"/>
      <c r="AE111" s="314"/>
      <c r="AF111" s="314"/>
      <c r="AG111" s="444">
        <f t="shared" si="17"/>
        <v>-260.10000000000002</v>
      </c>
      <c r="AH111" s="433">
        <f t="shared" si="18"/>
        <v>0</v>
      </c>
    </row>
    <row r="112" spans="1:34" s="447" customFormat="1" ht="21.75" customHeight="1" x14ac:dyDescent="0.2">
      <c r="A112" s="457">
        <v>43494</v>
      </c>
      <c r="B112" s="456"/>
      <c r="C112" s="455" t="s">
        <v>375</v>
      </c>
      <c r="D112" s="455" t="s">
        <v>374</v>
      </c>
      <c r="E112" s="455" t="s">
        <v>373</v>
      </c>
      <c r="F112" s="454">
        <v>126674</v>
      </c>
      <c r="G112" s="453" t="s">
        <v>397</v>
      </c>
      <c r="H112" s="452"/>
      <c r="I112" s="452"/>
      <c r="J112" s="452"/>
      <c r="K112" s="452">
        <f>1104.46+132.54</f>
        <v>1237</v>
      </c>
      <c r="L112" s="451"/>
      <c r="M112" s="449">
        <f t="shared" si="15"/>
        <v>1104.4642857142856</v>
      </c>
      <c r="N112" s="449">
        <f t="shared" si="16"/>
        <v>132.53571428571425</v>
      </c>
      <c r="O112" s="449">
        <f t="shared" si="14"/>
        <v>0</v>
      </c>
      <c r="P112" s="449">
        <v>1104.46</v>
      </c>
      <c r="Q112" s="317"/>
      <c r="R112" s="317"/>
      <c r="S112" s="317"/>
      <c r="T112" s="450"/>
      <c r="U112" s="450"/>
      <c r="V112" s="450"/>
      <c r="W112" s="450"/>
      <c r="X112" s="450"/>
      <c r="Y112" s="317"/>
      <c r="Z112" s="317"/>
      <c r="AA112" s="317"/>
      <c r="AB112" s="317"/>
      <c r="AC112" s="450"/>
      <c r="AD112" s="450"/>
      <c r="AE112" s="317"/>
      <c r="AF112" s="317"/>
      <c r="AG112" s="449">
        <f t="shared" si="17"/>
        <v>-1236.9957142857143</v>
      </c>
      <c r="AH112" s="448">
        <f t="shared" si="18"/>
        <v>4.2857142857428698E-3</v>
      </c>
    </row>
    <row r="113" spans="1:34" s="259" customFormat="1" ht="21.75" customHeight="1" x14ac:dyDescent="0.2">
      <c r="A113" s="443">
        <v>43495</v>
      </c>
      <c r="B113" s="442"/>
      <c r="C113" s="445" t="s">
        <v>396</v>
      </c>
      <c r="D113" s="445"/>
      <c r="E113" s="445"/>
      <c r="F113" s="440"/>
      <c r="G113" s="446" t="s">
        <v>395</v>
      </c>
      <c r="H113" s="438"/>
      <c r="I113" s="438"/>
      <c r="J113" s="438">
        <v>1123</v>
      </c>
      <c r="K113" s="438"/>
      <c r="L113" s="437"/>
      <c r="M113" s="444">
        <f t="shared" si="15"/>
        <v>1123</v>
      </c>
      <c r="N113" s="444">
        <f t="shared" si="16"/>
        <v>0</v>
      </c>
      <c r="O113" s="444">
        <f t="shared" si="14"/>
        <v>0</v>
      </c>
      <c r="P113" s="444">
        <v>1123</v>
      </c>
      <c r="Q113" s="314"/>
      <c r="R113" s="314"/>
      <c r="S113" s="314"/>
      <c r="T113" s="436"/>
      <c r="U113" s="436"/>
      <c r="V113" s="436"/>
      <c r="W113" s="436"/>
      <c r="X113" s="436"/>
      <c r="Y113" s="314"/>
      <c r="Z113" s="314"/>
      <c r="AA113" s="314"/>
      <c r="AB113" s="314"/>
      <c r="AC113" s="436"/>
      <c r="AD113" s="436"/>
      <c r="AE113" s="314"/>
      <c r="AF113" s="314"/>
      <c r="AG113" s="444">
        <f t="shared" si="17"/>
        <v>-1123</v>
      </c>
      <c r="AH113" s="433">
        <f t="shared" si="18"/>
        <v>0</v>
      </c>
    </row>
    <row r="114" spans="1:34" s="259" customFormat="1" ht="21.75" customHeight="1" x14ac:dyDescent="0.2">
      <c r="A114" s="443">
        <v>43495</v>
      </c>
      <c r="B114" s="442"/>
      <c r="C114" s="445" t="s">
        <v>167</v>
      </c>
      <c r="D114" s="445"/>
      <c r="E114" s="445"/>
      <c r="F114" s="440"/>
      <c r="G114" s="446" t="s">
        <v>394</v>
      </c>
      <c r="H114" s="438">
        <v>50</v>
      </c>
      <c r="I114" s="438"/>
      <c r="J114" s="438"/>
      <c r="K114" s="438"/>
      <c r="L114" s="437"/>
      <c r="M114" s="444">
        <f t="shared" si="15"/>
        <v>50</v>
      </c>
      <c r="N114" s="444">
        <f t="shared" si="16"/>
        <v>0</v>
      </c>
      <c r="O114" s="444">
        <f t="shared" si="14"/>
        <v>0</v>
      </c>
      <c r="P114" s="444"/>
      <c r="Q114" s="314"/>
      <c r="R114" s="314"/>
      <c r="S114" s="314"/>
      <c r="T114" s="436"/>
      <c r="U114" s="436"/>
      <c r="V114" s="436"/>
      <c r="W114" s="436"/>
      <c r="X114" s="436"/>
      <c r="Y114" s="314"/>
      <c r="Z114" s="314"/>
      <c r="AA114" s="314">
        <v>50</v>
      </c>
      <c r="AB114" s="314"/>
      <c r="AC114" s="436"/>
      <c r="AD114" s="436"/>
      <c r="AE114" s="314"/>
      <c r="AF114" s="314"/>
      <c r="AG114" s="444">
        <f t="shared" si="17"/>
        <v>-50</v>
      </c>
      <c r="AH114" s="433">
        <f t="shared" si="18"/>
        <v>0</v>
      </c>
    </row>
    <row r="115" spans="1:34" s="259" customFormat="1" ht="21.75" customHeight="1" x14ac:dyDescent="0.2">
      <c r="A115" s="443">
        <v>43495</v>
      </c>
      <c r="B115" s="442"/>
      <c r="C115" s="445" t="s">
        <v>384</v>
      </c>
      <c r="D115" s="445" t="s">
        <v>383</v>
      </c>
      <c r="E115" s="445" t="s">
        <v>382</v>
      </c>
      <c r="F115" s="440">
        <v>131795</v>
      </c>
      <c r="G115" s="446" t="s">
        <v>381</v>
      </c>
      <c r="H115" s="438"/>
      <c r="I115" s="438"/>
      <c r="J115" s="438"/>
      <c r="K115" s="438">
        <v>180</v>
      </c>
      <c r="L115" s="437"/>
      <c r="M115" s="444">
        <f t="shared" si="15"/>
        <v>160.71428571428569</v>
      </c>
      <c r="N115" s="444">
        <f t="shared" si="16"/>
        <v>19.285714285714281</v>
      </c>
      <c r="O115" s="444">
        <f t="shared" si="14"/>
        <v>0</v>
      </c>
      <c r="P115" s="444"/>
      <c r="Q115" s="314">
        <v>160.71</v>
      </c>
      <c r="R115" s="314"/>
      <c r="S115" s="314"/>
      <c r="T115" s="436"/>
      <c r="U115" s="436"/>
      <c r="V115" s="436"/>
      <c r="W115" s="436"/>
      <c r="X115" s="436"/>
      <c r="Y115" s="314"/>
      <c r="Z115" s="314"/>
      <c r="AA115" s="314"/>
      <c r="AB115" s="314"/>
      <c r="AC115" s="436"/>
      <c r="AD115" s="436"/>
      <c r="AE115" s="314"/>
      <c r="AF115" s="314"/>
      <c r="AG115" s="444">
        <f t="shared" si="17"/>
        <v>-179.99571428571429</v>
      </c>
      <c r="AH115" s="433">
        <f t="shared" si="18"/>
        <v>4.2857142857144481E-3</v>
      </c>
    </row>
    <row r="116" spans="1:34" s="259" customFormat="1" ht="35.25" customHeight="1" x14ac:dyDescent="0.2">
      <c r="A116" s="443">
        <v>43496</v>
      </c>
      <c r="B116" s="442"/>
      <c r="C116" s="445" t="s">
        <v>215</v>
      </c>
      <c r="D116" s="445" t="s">
        <v>392</v>
      </c>
      <c r="E116" s="445" t="s">
        <v>391</v>
      </c>
      <c r="F116" s="440">
        <v>1726</v>
      </c>
      <c r="G116" s="446" t="s">
        <v>393</v>
      </c>
      <c r="H116" s="438"/>
      <c r="I116" s="438"/>
      <c r="J116" s="438"/>
      <c r="K116" s="438">
        <v>6652</v>
      </c>
      <c r="L116" s="437">
        <v>0.01</v>
      </c>
      <c r="M116" s="444">
        <f t="shared" si="15"/>
        <v>5939.2857142857138</v>
      </c>
      <c r="N116" s="444">
        <f t="shared" si="16"/>
        <v>712.71428571428567</v>
      </c>
      <c r="O116" s="444"/>
      <c r="P116" s="444">
        <v>5939.29</v>
      </c>
      <c r="Q116" s="314"/>
      <c r="R116" s="314"/>
      <c r="S116" s="314"/>
      <c r="T116" s="436"/>
      <c r="U116" s="436"/>
      <c r="V116" s="436"/>
      <c r="W116" s="436"/>
      <c r="X116" s="436"/>
      <c r="Y116" s="314"/>
      <c r="Z116" s="314"/>
      <c r="AA116" s="314"/>
      <c r="AB116" s="314"/>
      <c r="AC116" s="436"/>
      <c r="AD116" s="436"/>
      <c r="AE116" s="314"/>
      <c r="AF116" s="314"/>
      <c r="AG116" s="444">
        <f t="shared" si="17"/>
        <v>-6652.0042857142853</v>
      </c>
      <c r="AH116" s="433">
        <f t="shared" si="18"/>
        <v>-4.2857142852881225E-3</v>
      </c>
    </row>
    <row r="117" spans="1:34" s="259" customFormat="1" ht="23.25" customHeight="1" x14ac:dyDescent="0.2">
      <c r="A117" s="443">
        <v>43496</v>
      </c>
      <c r="B117" s="442"/>
      <c r="C117" s="445" t="s">
        <v>215</v>
      </c>
      <c r="D117" s="445" t="s">
        <v>392</v>
      </c>
      <c r="E117" s="445" t="s">
        <v>391</v>
      </c>
      <c r="F117" s="440">
        <v>1725</v>
      </c>
      <c r="G117" s="446" t="s">
        <v>390</v>
      </c>
      <c r="H117" s="438"/>
      <c r="I117" s="438"/>
      <c r="J117" s="438"/>
      <c r="K117" s="438">
        <v>390</v>
      </c>
      <c r="L117" s="437">
        <v>0.01</v>
      </c>
      <c r="M117" s="444">
        <f t="shared" si="15"/>
        <v>348.21428571428567</v>
      </c>
      <c r="N117" s="444">
        <f t="shared" si="16"/>
        <v>41.785714285714278</v>
      </c>
      <c r="O117" s="444"/>
      <c r="P117" s="444">
        <v>348.21</v>
      </c>
      <c r="Q117" s="314"/>
      <c r="R117" s="314"/>
      <c r="S117" s="314"/>
      <c r="T117" s="436"/>
      <c r="U117" s="436"/>
      <c r="V117" s="436"/>
      <c r="W117" s="436"/>
      <c r="X117" s="436"/>
      <c r="Y117" s="314"/>
      <c r="Z117" s="314"/>
      <c r="AA117" s="314"/>
      <c r="AB117" s="314"/>
      <c r="AC117" s="436"/>
      <c r="AD117" s="436"/>
      <c r="AE117" s="314"/>
      <c r="AF117" s="314"/>
      <c r="AG117" s="444">
        <f t="shared" si="17"/>
        <v>-389.99571428571426</v>
      </c>
      <c r="AH117" s="433">
        <f t="shared" si="18"/>
        <v>4.2857142857428698E-3</v>
      </c>
    </row>
    <row r="118" spans="1:34" s="259" customFormat="1" ht="21.75" customHeight="1" x14ac:dyDescent="0.2">
      <c r="A118" s="443">
        <v>43496</v>
      </c>
      <c r="B118" s="442"/>
      <c r="C118" s="445" t="s">
        <v>167</v>
      </c>
      <c r="D118" s="445"/>
      <c r="E118" s="445"/>
      <c r="F118" s="440"/>
      <c r="G118" s="446" t="s">
        <v>389</v>
      </c>
      <c r="H118" s="438">
        <v>50</v>
      </c>
      <c r="I118" s="438"/>
      <c r="J118" s="438"/>
      <c r="K118" s="438"/>
      <c r="L118" s="437"/>
      <c r="M118" s="444">
        <f t="shared" si="15"/>
        <v>50</v>
      </c>
      <c r="N118" s="444">
        <f t="shared" si="16"/>
        <v>0</v>
      </c>
      <c r="O118" s="444">
        <f>-SUM(I118:J118,K118/1.12)*L118</f>
        <v>0</v>
      </c>
      <c r="P118" s="444"/>
      <c r="Q118" s="314"/>
      <c r="R118" s="314"/>
      <c r="S118" s="314"/>
      <c r="T118" s="436"/>
      <c r="U118" s="436"/>
      <c r="V118" s="436"/>
      <c r="W118" s="436"/>
      <c r="X118" s="436"/>
      <c r="Y118" s="314"/>
      <c r="Z118" s="314"/>
      <c r="AA118" s="314">
        <v>50</v>
      </c>
      <c r="AB118" s="314"/>
      <c r="AC118" s="436"/>
      <c r="AD118" s="436"/>
      <c r="AE118" s="314"/>
      <c r="AF118" s="314"/>
      <c r="AG118" s="444">
        <f t="shared" si="17"/>
        <v>-50</v>
      </c>
      <c r="AH118" s="433">
        <f t="shared" si="18"/>
        <v>0</v>
      </c>
    </row>
    <row r="119" spans="1:34" s="259" customFormat="1" ht="21.75" customHeight="1" x14ac:dyDescent="0.2">
      <c r="A119" s="443">
        <v>43496</v>
      </c>
      <c r="B119" s="442"/>
      <c r="C119" s="445" t="s">
        <v>388</v>
      </c>
      <c r="D119" s="445" t="s">
        <v>387</v>
      </c>
      <c r="E119" s="445" t="s">
        <v>386</v>
      </c>
      <c r="F119" s="440">
        <v>728377</v>
      </c>
      <c r="G119" s="446" t="s">
        <v>385</v>
      </c>
      <c r="H119" s="438"/>
      <c r="I119" s="438"/>
      <c r="J119" s="438"/>
      <c r="K119" s="438">
        <v>679.26</v>
      </c>
      <c r="L119" s="437"/>
      <c r="M119" s="444">
        <f t="shared" si="15"/>
        <v>606.48214285714278</v>
      </c>
      <c r="N119" s="444">
        <f t="shared" si="16"/>
        <v>72.77785714285713</v>
      </c>
      <c r="O119" s="444">
        <f>-SUM(I119:J119,K119/1.12)*L119</f>
        <v>0</v>
      </c>
      <c r="P119" s="444"/>
      <c r="Q119" s="314"/>
      <c r="R119" s="314"/>
      <c r="S119" s="314"/>
      <c r="T119" s="436">
        <v>606.48</v>
      </c>
      <c r="U119" s="436"/>
      <c r="V119" s="436"/>
      <c r="W119" s="436"/>
      <c r="X119" s="436"/>
      <c r="Y119" s="314"/>
      <c r="Z119" s="314"/>
      <c r="AA119" s="314"/>
      <c r="AB119" s="314"/>
      <c r="AC119" s="436"/>
      <c r="AD119" s="436"/>
      <c r="AE119" s="314"/>
      <c r="AF119" s="314"/>
      <c r="AG119" s="444">
        <f t="shared" si="17"/>
        <v>-679.25785714285712</v>
      </c>
      <c r="AH119" s="433">
        <f t="shared" si="18"/>
        <v>2.1428571428714349E-3</v>
      </c>
    </row>
    <row r="120" spans="1:34" s="259" customFormat="1" ht="21.75" customHeight="1" x14ac:dyDescent="0.2">
      <c r="A120" s="443">
        <v>43496</v>
      </c>
      <c r="B120" s="442"/>
      <c r="C120" s="445" t="s">
        <v>384</v>
      </c>
      <c r="D120" s="445" t="s">
        <v>383</v>
      </c>
      <c r="E120" s="445" t="s">
        <v>382</v>
      </c>
      <c r="F120" s="440">
        <v>139793</v>
      </c>
      <c r="G120" s="446" t="s">
        <v>381</v>
      </c>
      <c r="H120" s="438"/>
      <c r="I120" s="438"/>
      <c r="J120" s="438"/>
      <c r="K120" s="438">
        <v>180</v>
      </c>
      <c r="L120" s="437"/>
      <c r="M120" s="444">
        <f t="shared" si="15"/>
        <v>160.71428571428569</v>
      </c>
      <c r="N120" s="444">
        <f t="shared" si="16"/>
        <v>19.285714285714281</v>
      </c>
      <c r="O120" s="444">
        <f>-SUM(I120:J120,K120/1.12)*L120</f>
        <v>0</v>
      </c>
      <c r="P120" s="444"/>
      <c r="Q120" s="314">
        <v>160.71</v>
      </c>
      <c r="R120" s="314"/>
      <c r="S120" s="314"/>
      <c r="T120" s="436"/>
      <c r="U120" s="436"/>
      <c r="V120" s="436"/>
      <c r="W120" s="436"/>
      <c r="X120" s="436"/>
      <c r="Y120" s="314"/>
      <c r="Z120" s="314"/>
      <c r="AA120" s="314"/>
      <c r="AB120" s="314"/>
      <c r="AC120" s="436"/>
      <c r="AD120" s="436"/>
      <c r="AE120" s="314"/>
      <c r="AF120" s="314"/>
      <c r="AG120" s="444">
        <f t="shared" si="17"/>
        <v>-179.99571428571429</v>
      </c>
      <c r="AH120" s="433">
        <f t="shared" si="18"/>
        <v>4.2857142857144481E-3</v>
      </c>
    </row>
    <row r="121" spans="1:34" s="259" customFormat="1" ht="21.75" customHeight="1" x14ac:dyDescent="0.2">
      <c r="A121" s="443">
        <v>43496</v>
      </c>
      <c r="B121" s="442"/>
      <c r="C121" s="445" t="s">
        <v>380</v>
      </c>
      <c r="D121" s="445" t="s">
        <v>379</v>
      </c>
      <c r="E121" s="445" t="s">
        <v>373</v>
      </c>
      <c r="F121" s="440">
        <v>32628</v>
      </c>
      <c r="G121" s="446" t="s">
        <v>378</v>
      </c>
      <c r="H121" s="438"/>
      <c r="I121" s="438"/>
      <c r="J121" s="438"/>
      <c r="K121" s="438">
        <v>450</v>
      </c>
      <c r="L121" s="437"/>
      <c r="M121" s="444">
        <f t="shared" si="15"/>
        <v>401.78571428571422</v>
      </c>
      <c r="N121" s="444">
        <f t="shared" si="16"/>
        <v>48.214285714285708</v>
      </c>
      <c r="O121" s="444"/>
      <c r="P121" s="444"/>
      <c r="Q121" s="314"/>
      <c r="R121" s="314">
        <v>401.79</v>
      </c>
      <c r="S121" s="314"/>
      <c r="T121" s="436"/>
      <c r="U121" s="436"/>
      <c r="V121" s="436"/>
      <c r="W121" s="436"/>
      <c r="X121" s="436"/>
      <c r="Y121" s="314"/>
      <c r="Z121" s="314"/>
      <c r="AA121" s="314"/>
      <c r="AB121" s="314"/>
      <c r="AC121" s="436"/>
      <c r="AD121" s="436"/>
      <c r="AE121" s="314"/>
      <c r="AF121" s="314"/>
      <c r="AG121" s="444">
        <f t="shared" si="17"/>
        <v>-450.00428571428574</v>
      </c>
      <c r="AH121" s="433">
        <f t="shared" si="18"/>
        <v>-4.2857142857428698E-3</v>
      </c>
    </row>
    <row r="122" spans="1:34" s="259" customFormat="1" ht="21.75" customHeight="1" x14ac:dyDescent="0.2">
      <c r="A122" s="443">
        <v>43496</v>
      </c>
      <c r="B122" s="442"/>
      <c r="C122" s="445" t="s">
        <v>169</v>
      </c>
      <c r="D122" s="445"/>
      <c r="E122" s="445"/>
      <c r="F122" s="440"/>
      <c r="G122" s="446" t="s">
        <v>377</v>
      </c>
      <c r="H122" s="438">
        <v>25</v>
      </c>
      <c r="I122" s="438"/>
      <c r="J122" s="438"/>
      <c r="K122" s="438"/>
      <c r="L122" s="437"/>
      <c r="M122" s="444">
        <f t="shared" si="15"/>
        <v>25</v>
      </c>
      <c r="N122" s="444">
        <f t="shared" si="16"/>
        <v>0</v>
      </c>
      <c r="O122" s="444"/>
      <c r="P122" s="444"/>
      <c r="Q122" s="314"/>
      <c r="R122" s="314"/>
      <c r="S122" s="314"/>
      <c r="T122" s="436"/>
      <c r="U122" s="436"/>
      <c r="V122" s="436"/>
      <c r="W122" s="436"/>
      <c r="X122" s="436"/>
      <c r="Y122" s="314"/>
      <c r="Z122" s="314"/>
      <c r="AA122" s="314">
        <v>25</v>
      </c>
      <c r="AB122" s="314"/>
      <c r="AC122" s="436"/>
      <c r="AD122" s="436"/>
      <c r="AE122" s="314"/>
      <c r="AF122" s="314"/>
      <c r="AG122" s="444">
        <f t="shared" si="17"/>
        <v>-25</v>
      </c>
      <c r="AH122" s="433">
        <f t="shared" si="18"/>
        <v>0</v>
      </c>
    </row>
    <row r="123" spans="1:34" s="259" customFormat="1" ht="21.75" customHeight="1" x14ac:dyDescent="0.2">
      <c r="A123" s="443">
        <v>43496</v>
      </c>
      <c r="B123" s="442"/>
      <c r="C123" s="445" t="s">
        <v>375</v>
      </c>
      <c r="D123" s="445" t="s">
        <v>374</v>
      </c>
      <c r="E123" s="445" t="s">
        <v>373</v>
      </c>
      <c r="F123" s="440">
        <v>130240</v>
      </c>
      <c r="G123" s="446" t="s">
        <v>376</v>
      </c>
      <c r="H123" s="438"/>
      <c r="I123" s="438"/>
      <c r="J123" s="438"/>
      <c r="K123" s="438">
        <f>1581.52+189.78</f>
        <v>1771.3</v>
      </c>
      <c r="L123" s="437"/>
      <c r="M123" s="444">
        <f t="shared" si="15"/>
        <v>1581.5178571428569</v>
      </c>
      <c r="N123" s="444">
        <f t="shared" si="16"/>
        <v>189.78214285714282</v>
      </c>
      <c r="O123" s="444">
        <f>-SUM(I123:J123,K123/1.12)*L123</f>
        <v>0</v>
      </c>
      <c r="P123" s="444">
        <v>1581.52</v>
      </c>
      <c r="Q123" s="314"/>
      <c r="R123" s="314"/>
      <c r="S123" s="314"/>
      <c r="T123" s="436"/>
      <c r="U123" s="436"/>
      <c r="V123" s="436"/>
      <c r="W123" s="436"/>
      <c r="X123" s="436"/>
      <c r="Y123" s="314"/>
      <c r="Z123" s="314"/>
      <c r="AA123" s="314"/>
      <c r="AB123" s="314"/>
      <c r="AC123" s="436"/>
      <c r="AD123" s="436"/>
      <c r="AE123" s="314"/>
      <c r="AF123" s="314"/>
      <c r="AG123" s="444">
        <f t="shared" si="17"/>
        <v>-1771.3021428571428</v>
      </c>
      <c r="AH123" s="433">
        <f t="shared" si="18"/>
        <v>-2.1428571428714349E-3</v>
      </c>
    </row>
    <row r="124" spans="1:34" s="259" customFormat="1" ht="21.75" customHeight="1" x14ac:dyDescent="0.2">
      <c r="A124" s="443">
        <v>43496</v>
      </c>
      <c r="B124" s="442"/>
      <c r="C124" s="445" t="s">
        <v>375</v>
      </c>
      <c r="D124" s="445" t="s">
        <v>374</v>
      </c>
      <c r="E124" s="445" t="s">
        <v>373</v>
      </c>
      <c r="F124" s="440">
        <v>130240</v>
      </c>
      <c r="G124" s="446" t="s">
        <v>372</v>
      </c>
      <c r="H124" s="438"/>
      <c r="I124" s="438"/>
      <c r="J124" s="438">
        <v>98.7</v>
      </c>
      <c r="K124" s="438"/>
      <c r="L124" s="437"/>
      <c r="M124" s="444">
        <f t="shared" si="15"/>
        <v>98.7</v>
      </c>
      <c r="N124" s="444">
        <f t="shared" si="16"/>
        <v>0</v>
      </c>
      <c r="O124" s="444">
        <f>-SUM(I124:J124,K124/1.12)*L124</f>
        <v>0</v>
      </c>
      <c r="P124" s="444">
        <v>98.7</v>
      </c>
      <c r="Q124" s="314"/>
      <c r="R124" s="314"/>
      <c r="S124" s="314"/>
      <c r="T124" s="436"/>
      <c r="U124" s="436"/>
      <c r="V124" s="436"/>
      <c r="W124" s="436"/>
      <c r="X124" s="436"/>
      <c r="Y124" s="314"/>
      <c r="Z124" s="314"/>
      <c r="AA124" s="314"/>
      <c r="AB124" s="314"/>
      <c r="AC124" s="436"/>
      <c r="AD124" s="436"/>
      <c r="AE124" s="314"/>
      <c r="AF124" s="314"/>
      <c r="AG124" s="444">
        <f t="shared" si="17"/>
        <v>-98.7</v>
      </c>
      <c r="AH124" s="433">
        <f t="shared" si="18"/>
        <v>0</v>
      </c>
    </row>
    <row r="125" spans="1:34" s="259" customFormat="1" ht="21.75" customHeight="1" x14ac:dyDescent="0.2">
      <c r="A125" s="443"/>
      <c r="B125" s="442"/>
      <c r="C125" s="445"/>
      <c r="D125" s="445"/>
      <c r="E125" s="445"/>
      <c r="F125" s="440"/>
      <c r="G125" s="439"/>
      <c r="H125" s="438"/>
      <c r="I125" s="438"/>
      <c r="J125" s="438"/>
      <c r="K125" s="438"/>
      <c r="L125" s="437"/>
      <c r="M125" s="444">
        <f t="shared" si="15"/>
        <v>0</v>
      </c>
      <c r="N125" s="444">
        <f t="shared" si="16"/>
        <v>0</v>
      </c>
      <c r="O125" s="444">
        <f>-SUM(I125:J125,K125/1.12)*L125</f>
        <v>0</v>
      </c>
      <c r="P125" s="444"/>
      <c r="Q125" s="314"/>
      <c r="R125" s="314"/>
      <c r="S125" s="314"/>
      <c r="T125" s="436"/>
      <c r="U125" s="436"/>
      <c r="V125" s="436"/>
      <c r="W125" s="436"/>
      <c r="X125" s="436"/>
      <c r="Y125" s="314"/>
      <c r="Z125" s="314"/>
      <c r="AA125" s="314"/>
      <c r="AB125" s="314"/>
      <c r="AC125" s="436"/>
      <c r="AD125" s="436"/>
      <c r="AE125" s="314"/>
      <c r="AF125" s="314"/>
      <c r="AG125" s="444">
        <f t="shared" si="17"/>
        <v>0</v>
      </c>
      <c r="AH125" s="433">
        <f t="shared" si="18"/>
        <v>0</v>
      </c>
    </row>
    <row r="126" spans="1:34" s="259" customFormat="1" ht="21.75" customHeight="1" x14ac:dyDescent="0.2">
      <c r="A126" s="443"/>
      <c r="B126" s="442"/>
      <c r="C126" s="445"/>
      <c r="D126" s="445"/>
      <c r="E126" s="445"/>
      <c r="F126" s="440"/>
      <c r="G126" s="439"/>
      <c r="H126" s="438"/>
      <c r="I126" s="438"/>
      <c r="J126" s="438"/>
      <c r="K126" s="438"/>
      <c r="L126" s="437"/>
      <c r="M126" s="444">
        <f t="shared" si="15"/>
        <v>0</v>
      </c>
      <c r="N126" s="444">
        <f t="shared" si="16"/>
        <v>0</v>
      </c>
      <c r="O126" s="444">
        <f>-SUM(I126:J126,K126/1.12)*L126</f>
        <v>0</v>
      </c>
      <c r="P126" s="444"/>
      <c r="Q126" s="314"/>
      <c r="R126" s="314"/>
      <c r="S126" s="314"/>
      <c r="T126" s="436"/>
      <c r="U126" s="436"/>
      <c r="V126" s="436"/>
      <c r="W126" s="436"/>
      <c r="X126" s="436"/>
      <c r="Y126" s="314"/>
      <c r="Z126" s="314"/>
      <c r="AA126" s="314"/>
      <c r="AB126" s="314"/>
      <c r="AC126" s="436"/>
      <c r="AD126" s="436"/>
      <c r="AE126" s="314"/>
      <c r="AF126" s="314"/>
      <c r="AG126" s="444">
        <f t="shared" si="17"/>
        <v>0</v>
      </c>
      <c r="AH126" s="433">
        <f t="shared" si="18"/>
        <v>0</v>
      </c>
    </row>
    <row r="127" spans="1:34" s="259" customFormat="1" ht="19.5" customHeight="1" x14ac:dyDescent="0.2">
      <c r="A127" s="443"/>
      <c r="B127" s="442"/>
      <c r="C127" s="441"/>
      <c r="D127" s="441"/>
      <c r="E127" s="441"/>
      <c r="F127" s="440"/>
      <c r="G127" s="439"/>
      <c r="H127" s="438"/>
      <c r="I127" s="438"/>
      <c r="J127" s="438"/>
      <c r="K127" s="438"/>
      <c r="L127" s="437"/>
      <c r="M127" s="314">
        <f t="shared" si="15"/>
        <v>0</v>
      </c>
      <c r="N127" s="314">
        <f t="shared" si="16"/>
        <v>0</v>
      </c>
      <c r="O127" s="314">
        <f>-SUM(I127:J127,K127/1.12)*L127</f>
        <v>0</v>
      </c>
      <c r="P127" s="314"/>
      <c r="Q127" s="314"/>
      <c r="R127" s="314"/>
      <c r="S127" s="314"/>
      <c r="T127" s="436"/>
      <c r="U127" s="436"/>
      <c r="V127" s="436"/>
      <c r="W127" s="436"/>
      <c r="X127" s="436"/>
      <c r="Y127" s="119"/>
      <c r="Z127" s="314"/>
      <c r="AA127" s="314"/>
      <c r="AB127" s="314"/>
      <c r="AC127" s="436"/>
      <c r="AD127" s="436"/>
      <c r="AE127" s="435"/>
      <c r="AF127" s="435"/>
      <c r="AG127" s="434">
        <f t="shared" si="17"/>
        <v>0</v>
      </c>
      <c r="AH127" s="433">
        <f t="shared" si="18"/>
        <v>0</v>
      </c>
    </row>
    <row r="128" spans="1:34" s="101" customFormat="1" ht="12" customHeight="1" thickBot="1" x14ac:dyDescent="0.25">
      <c r="A128" s="432"/>
      <c r="B128" s="108"/>
      <c r="C128" s="105"/>
      <c r="D128" s="431"/>
      <c r="E128" s="431"/>
      <c r="F128" s="106"/>
      <c r="G128" s="105"/>
      <c r="H128" s="102">
        <f t="shared" ref="H128:AH128" si="19">SUM(H5:H127)</f>
        <v>5535.27</v>
      </c>
      <c r="I128" s="102">
        <f t="shared" si="19"/>
        <v>0</v>
      </c>
      <c r="J128" s="102">
        <f t="shared" si="19"/>
        <v>14360.089999999998</v>
      </c>
      <c r="K128" s="102">
        <f t="shared" si="19"/>
        <v>48435.1</v>
      </c>
      <c r="L128" s="102">
        <f t="shared" si="19"/>
        <v>0.03</v>
      </c>
      <c r="M128" s="102">
        <f t="shared" si="19"/>
        <v>63140.984999999979</v>
      </c>
      <c r="N128" s="102">
        <f t="shared" si="19"/>
        <v>5189.4749999999985</v>
      </c>
      <c r="O128" s="102">
        <f t="shared" si="19"/>
        <v>-11.785714285714285</v>
      </c>
      <c r="P128" s="102">
        <f t="shared" si="19"/>
        <v>48831.16</v>
      </c>
      <c r="Q128" s="102">
        <f t="shared" si="19"/>
        <v>4967.0999999999995</v>
      </c>
      <c r="R128" s="102">
        <f t="shared" si="19"/>
        <v>590.41000000000008</v>
      </c>
      <c r="S128" s="102">
        <f t="shared" si="19"/>
        <v>2902.02</v>
      </c>
      <c r="T128" s="102">
        <f t="shared" si="19"/>
        <v>1376.3400000000001</v>
      </c>
      <c r="U128" s="102">
        <f t="shared" si="19"/>
        <v>61.61</v>
      </c>
      <c r="V128" s="102">
        <f t="shared" si="19"/>
        <v>0</v>
      </c>
      <c r="W128" s="102">
        <f t="shared" si="19"/>
        <v>0</v>
      </c>
      <c r="X128" s="102">
        <f t="shared" si="19"/>
        <v>0</v>
      </c>
      <c r="Y128" s="102">
        <f t="shared" si="19"/>
        <v>0</v>
      </c>
      <c r="Z128" s="102">
        <f t="shared" si="19"/>
        <v>0</v>
      </c>
      <c r="AA128" s="102">
        <f t="shared" si="19"/>
        <v>1838</v>
      </c>
      <c r="AB128" s="102">
        <f t="shared" si="19"/>
        <v>537</v>
      </c>
      <c r="AC128" s="102">
        <f t="shared" si="19"/>
        <v>0</v>
      </c>
      <c r="AD128" s="102">
        <f t="shared" si="19"/>
        <v>2037.27</v>
      </c>
      <c r="AE128" s="102">
        <f t="shared" si="19"/>
        <v>0</v>
      </c>
      <c r="AF128" s="430">
        <f t="shared" si="19"/>
        <v>0</v>
      </c>
      <c r="AG128" s="102">
        <f t="shared" si="19"/>
        <v>-68318.599285714285</v>
      </c>
      <c r="AH128" s="102">
        <f t="shared" si="19"/>
        <v>7.5000000000564171E-2</v>
      </c>
    </row>
    <row r="129" spans="1:33" ht="12" customHeight="1" thickTop="1" x14ac:dyDescent="0.2"/>
    <row r="130" spans="1:33" ht="12" x14ac:dyDescent="0.2">
      <c r="K130" s="429">
        <f>H128+I128+J128+K128</f>
        <v>68330.459999999992</v>
      </c>
      <c r="L130" s="426"/>
      <c r="M130" s="425"/>
      <c r="AG130" s="428">
        <f>+AG128</f>
        <v>-68318.599285714285</v>
      </c>
    </row>
    <row r="131" spans="1:33" x14ac:dyDescent="0.2">
      <c r="K131" s="425"/>
      <c r="L131" s="426"/>
      <c r="M131" s="425"/>
    </row>
    <row r="132" spans="1:33" ht="12" x14ac:dyDescent="0.2">
      <c r="C132" s="427" t="s">
        <v>371</v>
      </c>
      <c r="G132" s="101"/>
      <c r="K132" s="708"/>
      <c r="L132" s="708"/>
      <c r="M132" s="708"/>
    </row>
    <row r="133" spans="1:33" x14ac:dyDescent="0.2">
      <c r="K133" s="425"/>
      <c r="L133" s="426"/>
      <c r="M133" s="425"/>
    </row>
    <row r="134" spans="1:33" x14ac:dyDescent="0.2">
      <c r="K134" s="425"/>
      <c r="L134" s="426"/>
      <c r="M134" s="425"/>
    </row>
    <row r="135" spans="1:33" x14ac:dyDescent="0.2">
      <c r="A135" s="93"/>
      <c r="B135" s="93"/>
      <c r="D135" s="93"/>
      <c r="E135" s="93"/>
      <c r="F135" s="93"/>
      <c r="H135" s="93"/>
      <c r="I135" s="93"/>
      <c r="J135" s="93"/>
      <c r="K135" s="425"/>
      <c r="L135" s="426"/>
      <c r="M135" s="425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Z135" s="93"/>
      <c r="AA135" s="93"/>
      <c r="AB135" s="93"/>
      <c r="AC135" s="93"/>
      <c r="AD135" s="93"/>
      <c r="AE135" s="93"/>
      <c r="AF135" s="93"/>
      <c r="AG135" s="93"/>
    </row>
    <row r="142" spans="1:33" x14ac:dyDescent="0.2">
      <c r="Q142" s="94">
        <v>0</v>
      </c>
    </row>
    <row r="143" spans="1:33" x14ac:dyDescent="0.2">
      <c r="A143" s="93"/>
      <c r="B143" s="93"/>
      <c r="D143" s="93"/>
      <c r="E143" s="93"/>
      <c r="F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Z143" s="93"/>
      <c r="AA143" s="93"/>
      <c r="AB143" s="93"/>
      <c r="AC143" s="93"/>
      <c r="AD143" s="93"/>
      <c r="AE143" s="93"/>
      <c r="AF143" s="93"/>
      <c r="AG143" s="93"/>
    </row>
  </sheetData>
  <mergeCells count="1">
    <mergeCell ref="K132:M132"/>
  </mergeCells>
  <pageMargins left="0.7" right="0.7" top="0.75" bottom="0.75" header="0.3" footer="0.3"/>
  <pageSetup paperSize="5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defaultRowHeight="12.75" x14ac:dyDescent="0.2"/>
  <cols>
    <col min="1" max="1" width="46.140625" style="387" customWidth="1"/>
    <col min="2" max="2" width="17.85546875" style="387" customWidth="1"/>
    <col min="3" max="3" width="43.5703125" style="387" customWidth="1"/>
    <col min="4" max="4" width="18.42578125" style="387" customWidth="1"/>
    <col min="5" max="5" width="14" style="387" customWidth="1"/>
    <col min="6" max="6" width="13.42578125" style="387" customWidth="1"/>
    <col min="7" max="7" width="16" style="387" customWidth="1"/>
    <col min="8" max="8" width="12.85546875" style="387" customWidth="1"/>
    <col min="9" max="9" width="16.85546875" style="387" customWidth="1"/>
    <col min="10" max="16384" width="9.140625" style="387"/>
  </cols>
  <sheetData>
    <row r="1" spans="1:9" ht="18" x14ac:dyDescent="0.25">
      <c r="A1" s="423" t="s">
        <v>370</v>
      </c>
    </row>
    <row r="2" spans="1:9" ht="18" x14ac:dyDescent="0.25">
      <c r="A2" s="423" t="s">
        <v>369</v>
      </c>
    </row>
    <row r="3" spans="1:9" ht="18" x14ac:dyDescent="0.25">
      <c r="A3" s="423" t="s">
        <v>368</v>
      </c>
    </row>
    <row r="4" spans="1:9" x14ac:dyDescent="0.2">
      <c r="A4" s="422"/>
      <c r="I4" s="421"/>
    </row>
    <row r="5" spans="1:9" x14ac:dyDescent="0.2">
      <c r="A5" s="406" t="s">
        <v>367</v>
      </c>
      <c r="B5" s="406" t="s">
        <v>366</v>
      </c>
      <c r="C5" s="406" t="s">
        <v>365</v>
      </c>
      <c r="D5" s="420" t="s">
        <v>364</v>
      </c>
      <c r="E5" s="420" t="s">
        <v>63</v>
      </c>
      <c r="F5" s="420" t="s">
        <v>6</v>
      </c>
    </row>
    <row r="6" spans="1:9" x14ac:dyDescent="0.2">
      <c r="A6" s="406" t="s">
        <v>363</v>
      </c>
      <c r="B6" s="401" t="s">
        <v>362</v>
      </c>
      <c r="C6" s="401" t="s">
        <v>361</v>
      </c>
      <c r="D6" s="417"/>
      <c r="E6" s="417"/>
      <c r="F6" s="417"/>
    </row>
    <row r="7" spans="1:9" x14ac:dyDescent="0.2">
      <c r="A7" s="401"/>
      <c r="B7" s="417"/>
      <c r="C7" s="401" t="s">
        <v>360</v>
      </c>
      <c r="D7" s="419">
        <v>188721.2</v>
      </c>
      <c r="E7" s="402">
        <f>D7/1.12*0.05</f>
        <v>8425.0535714285706</v>
      </c>
      <c r="F7" s="402">
        <f>D7-E7</f>
        <v>180296.14642857143</v>
      </c>
      <c r="G7" s="387" t="s">
        <v>359</v>
      </c>
    </row>
    <row r="8" spans="1:9" x14ac:dyDescent="0.2">
      <c r="A8" s="401"/>
      <c r="B8" s="417"/>
      <c r="C8" s="401"/>
      <c r="D8" s="401"/>
      <c r="E8" s="417"/>
      <c r="F8" s="417"/>
    </row>
    <row r="9" spans="1:9" x14ac:dyDescent="0.2">
      <c r="A9" s="401"/>
      <c r="B9" s="401"/>
      <c r="C9" s="401" t="s">
        <v>358</v>
      </c>
      <c r="D9" s="418"/>
      <c r="E9" s="417"/>
      <c r="F9" s="417"/>
      <c r="G9" s="412"/>
      <c r="H9" s="412"/>
    </row>
    <row r="10" spans="1:9" x14ac:dyDescent="0.2">
      <c r="A10" s="416" t="s">
        <v>357</v>
      </c>
      <c r="B10" s="415"/>
      <c r="C10" s="415"/>
      <c r="D10" s="414"/>
      <c r="E10" s="413"/>
      <c r="F10" s="413"/>
      <c r="G10" s="412"/>
      <c r="H10" s="412"/>
    </row>
    <row r="11" spans="1:9" ht="15" x14ac:dyDescent="0.25">
      <c r="A11" s="401" t="s">
        <v>356</v>
      </c>
      <c r="B11" s="401" t="s">
        <v>355</v>
      </c>
      <c r="C11" s="401" t="s">
        <v>354</v>
      </c>
      <c r="D11" s="409">
        <v>3360</v>
      </c>
      <c r="E11" s="407">
        <f>D11/1.12*0.05</f>
        <v>149.99999999999997</v>
      </c>
      <c r="F11" s="402">
        <f>D11-E11</f>
        <v>3210</v>
      </c>
      <c r="G11" s="393"/>
      <c r="H11" s="411"/>
    </row>
    <row r="12" spans="1:9" ht="15" x14ac:dyDescent="0.25">
      <c r="A12" s="401"/>
      <c r="B12" s="401"/>
      <c r="C12" s="401" t="s">
        <v>353</v>
      </c>
      <c r="D12" s="409"/>
      <c r="E12" s="407"/>
      <c r="F12" s="402"/>
      <c r="G12" s="393"/>
      <c r="H12" s="393"/>
    </row>
    <row r="13" spans="1:9" ht="15" x14ac:dyDescent="0.25">
      <c r="A13" s="401"/>
      <c r="B13" s="401"/>
      <c r="C13" s="401"/>
      <c r="D13" s="409"/>
      <c r="E13" s="407"/>
      <c r="F13" s="402"/>
      <c r="G13" s="393"/>
      <c r="H13" s="393"/>
    </row>
    <row r="14" spans="1:9" ht="26.25" x14ac:dyDescent="0.25">
      <c r="A14" s="406" t="s">
        <v>266</v>
      </c>
      <c r="B14" s="405" t="s">
        <v>352</v>
      </c>
      <c r="C14" s="410" t="s">
        <v>351</v>
      </c>
      <c r="D14" s="409">
        <v>16800</v>
      </c>
      <c r="E14" s="407">
        <f>D14/1.12*5%</f>
        <v>750</v>
      </c>
      <c r="F14" s="402">
        <f>D14-E14</f>
        <v>16050</v>
      </c>
      <c r="G14" s="393" t="s">
        <v>350</v>
      </c>
      <c r="H14" s="393"/>
    </row>
    <row r="15" spans="1:9" ht="15" x14ac:dyDescent="0.25">
      <c r="A15" s="406"/>
      <c r="B15" s="405"/>
      <c r="C15" s="410"/>
      <c r="D15" s="409"/>
      <c r="E15" s="407"/>
      <c r="F15" s="402"/>
      <c r="G15" s="393"/>
      <c r="H15" s="393"/>
    </row>
    <row r="16" spans="1:9" ht="15" hidden="1" x14ac:dyDescent="0.25">
      <c r="A16" s="401"/>
      <c r="B16" s="401"/>
      <c r="C16" s="401"/>
      <c r="D16" s="409"/>
      <c r="E16" s="407"/>
      <c r="F16" s="402"/>
      <c r="G16" s="393"/>
      <c r="H16" s="393"/>
    </row>
    <row r="17" spans="1:11" ht="15" x14ac:dyDescent="0.25">
      <c r="A17" s="401"/>
      <c r="B17" s="401"/>
      <c r="C17" s="401"/>
      <c r="D17" s="409"/>
      <c r="E17" s="407"/>
      <c r="F17" s="402"/>
      <c r="G17" s="393"/>
      <c r="H17" s="393"/>
    </row>
    <row r="18" spans="1:11" ht="15" x14ac:dyDescent="0.25">
      <c r="A18" s="406" t="s">
        <v>349</v>
      </c>
      <c r="B18" s="401"/>
      <c r="C18" s="401"/>
      <c r="D18" s="409"/>
      <c r="E18" s="407"/>
      <c r="F18" s="402"/>
      <c r="G18" s="393"/>
      <c r="H18" s="393"/>
    </row>
    <row r="19" spans="1:11" ht="15" x14ac:dyDescent="0.25">
      <c r="A19" s="405" t="s">
        <v>348</v>
      </c>
      <c r="B19" s="405" t="s">
        <v>347</v>
      </c>
      <c r="C19" s="405" t="s">
        <v>346</v>
      </c>
      <c r="D19" s="409">
        <f>26556.46+3186.77</f>
        <v>29743.23</v>
      </c>
      <c r="E19" s="407">
        <f>D19/1.12*10%</f>
        <v>2655.6455357142859</v>
      </c>
      <c r="F19" s="402">
        <f>D19-E19</f>
        <v>27087.584464285712</v>
      </c>
      <c r="G19" s="393" t="s">
        <v>345</v>
      </c>
      <c r="H19" s="393"/>
    </row>
    <row r="20" spans="1:11" ht="15" x14ac:dyDescent="0.25">
      <c r="A20" s="405"/>
      <c r="B20" s="405"/>
      <c r="C20" s="405"/>
      <c r="D20" s="409">
        <v>0</v>
      </c>
      <c r="E20" s="407">
        <f>D20/1.12*0.05</f>
        <v>0</v>
      </c>
      <c r="F20" s="402">
        <f>D20-E20</f>
        <v>0</v>
      </c>
      <c r="G20" s="393"/>
      <c r="H20" s="393"/>
    </row>
    <row r="21" spans="1:11" ht="15" hidden="1" x14ac:dyDescent="0.25">
      <c r="A21" s="406"/>
      <c r="B21" s="401"/>
      <c r="C21" s="401"/>
      <c r="D21" s="408"/>
      <c r="E21" s="407"/>
      <c r="F21" s="402"/>
      <c r="G21" s="393"/>
      <c r="H21" s="393"/>
    </row>
    <row r="22" spans="1:11" ht="16.5" hidden="1" customHeight="1" x14ac:dyDescent="0.25">
      <c r="A22" s="406"/>
      <c r="B22" s="401"/>
      <c r="C22" s="401"/>
      <c r="D22" s="408"/>
      <c r="E22" s="407"/>
      <c r="F22" s="402"/>
      <c r="G22" s="393"/>
      <c r="H22" s="393"/>
    </row>
    <row r="23" spans="1:11" ht="15" hidden="1" x14ac:dyDescent="0.25">
      <c r="A23" s="406"/>
      <c r="B23" s="401"/>
      <c r="C23" s="401"/>
      <c r="D23" s="408"/>
      <c r="E23" s="407"/>
      <c r="F23" s="402"/>
      <c r="G23" s="393"/>
      <c r="H23" s="393"/>
    </row>
    <row r="24" spans="1:11" ht="15" hidden="1" x14ac:dyDescent="0.25">
      <c r="A24" s="406"/>
      <c r="B24" s="401"/>
      <c r="C24" s="401"/>
      <c r="D24" s="408"/>
      <c r="E24" s="407"/>
      <c r="F24" s="402"/>
      <c r="G24" s="393"/>
      <c r="H24" s="393"/>
    </row>
    <row r="25" spans="1:11" ht="15" hidden="1" x14ac:dyDescent="0.25">
      <c r="A25" s="401"/>
      <c r="B25" s="401"/>
      <c r="C25" s="401"/>
      <c r="D25" s="408"/>
      <c r="E25" s="407"/>
      <c r="F25" s="402"/>
      <c r="G25" s="393"/>
      <c r="H25" s="393"/>
    </row>
    <row r="26" spans="1:11" ht="15" hidden="1" x14ac:dyDescent="0.25">
      <c r="A26" s="401"/>
      <c r="B26" s="401"/>
      <c r="C26" s="401"/>
      <c r="D26" s="408"/>
      <c r="E26" s="407"/>
      <c r="F26" s="402"/>
      <c r="G26" s="393"/>
      <c r="H26" s="393"/>
    </row>
    <row r="27" spans="1:11" ht="15" hidden="1" x14ac:dyDescent="0.25">
      <c r="A27" s="401"/>
      <c r="B27" s="401"/>
      <c r="C27" s="401"/>
      <c r="D27" s="408"/>
      <c r="E27" s="407"/>
      <c r="F27" s="402"/>
      <c r="G27" s="393"/>
      <c r="H27" s="393"/>
    </row>
    <row r="28" spans="1:11" ht="15" hidden="1" x14ac:dyDescent="0.25">
      <c r="A28" s="401"/>
      <c r="B28" s="401"/>
      <c r="C28" s="401"/>
      <c r="D28" s="408"/>
      <c r="E28" s="407"/>
      <c r="F28" s="402"/>
      <c r="G28" s="393"/>
      <c r="H28" s="393"/>
    </row>
    <row r="29" spans="1:11" ht="15" hidden="1" x14ac:dyDescent="0.25">
      <c r="A29" s="401"/>
      <c r="B29" s="401"/>
      <c r="C29" s="401"/>
      <c r="D29" s="408"/>
      <c r="E29" s="407"/>
      <c r="F29" s="402"/>
      <c r="G29" s="393"/>
      <c r="H29" s="393"/>
    </row>
    <row r="30" spans="1:11" ht="15" x14ac:dyDescent="0.25">
      <c r="A30" s="401"/>
      <c r="B30" s="401"/>
      <c r="C30" s="401"/>
      <c r="D30" s="399"/>
      <c r="E30" s="407"/>
      <c r="F30" s="402"/>
      <c r="I30" s="397"/>
      <c r="J30" s="393"/>
      <c r="K30" s="393"/>
    </row>
    <row r="31" spans="1:11" ht="15" x14ac:dyDescent="0.25">
      <c r="A31" s="401"/>
      <c r="B31" s="401"/>
      <c r="C31" s="405"/>
      <c r="D31" s="404"/>
      <c r="E31" s="403"/>
      <c r="F31" s="402"/>
      <c r="I31" s="397"/>
      <c r="J31" s="393"/>
      <c r="K31" s="393"/>
    </row>
    <row r="32" spans="1:11" ht="15" x14ac:dyDescent="0.25">
      <c r="A32" s="406" t="s">
        <v>344</v>
      </c>
      <c r="B32" s="401"/>
      <c r="C32" s="405" t="s">
        <v>343</v>
      </c>
      <c r="D32" s="400">
        <v>16279.05</v>
      </c>
      <c r="E32" s="403">
        <f>D32*0.02</f>
        <v>325.58100000000002</v>
      </c>
      <c r="F32" s="402">
        <f>D32-E32</f>
        <v>15953.468999999999</v>
      </c>
      <c r="G32" s="393" t="s">
        <v>342</v>
      </c>
      <c r="I32" s="397"/>
      <c r="J32" s="393"/>
      <c r="K32" s="393"/>
    </row>
    <row r="33" spans="1:11" ht="15" x14ac:dyDescent="0.25">
      <c r="A33" s="401"/>
      <c r="B33" s="401"/>
      <c r="C33" s="405" t="s">
        <v>341</v>
      </c>
      <c r="D33" s="404">
        <v>13602.05</v>
      </c>
      <c r="E33" s="403">
        <f>D33*0.02</f>
        <v>272.041</v>
      </c>
      <c r="F33" s="402">
        <f>D33-E33</f>
        <v>13330.009</v>
      </c>
      <c r="G33" s="393" t="s">
        <v>322</v>
      </c>
      <c r="I33" s="397"/>
      <c r="J33" s="393"/>
      <c r="K33" s="393"/>
    </row>
    <row r="34" spans="1:11" ht="15" hidden="1" x14ac:dyDescent="0.25">
      <c r="A34" s="401"/>
      <c r="B34" s="401"/>
      <c r="C34" s="401"/>
      <c r="D34" s="400"/>
      <c r="E34" s="399"/>
      <c r="F34" s="398"/>
      <c r="I34" s="397"/>
      <c r="J34" s="393"/>
      <c r="K34" s="393"/>
    </row>
    <row r="35" spans="1:11" ht="15" x14ac:dyDescent="0.25">
      <c r="A35" s="389"/>
      <c r="B35" s="389"/>
      <c r="C35" s="389"/>
      <c r="D35" s="396"/>
      <c r="E35" s="395"/>
      <c r="F35" s="394"/>
      <c r="I35" s="393"/>
      <c r="J35" s="393"/>
      <c r="K35" s="393"/>
    </row>
    <row r="36" spans="1:11" ht="13.5" thickBot="1" x14ac:dyDescent="0.25">
      <c r="D36" s="392" t="s">
        <v>340</v>
      </c>
      <c r="E36" s="391">
        <f>SUM(E7:E35)</f>
        <v>12578.321107142856</v>
      </c>
      <c r="G36" s="390"/>
    </row>
    <row r="37" spans="1:11" ht="13.5" thickTop="1" x14ac:dyDescent="0.2"/>
    <row r="41" spans="1:11" x14ac:dyDescent="0.2">
      <c r="A41" s="389"/>
      <c r="B41" s="389"/>
      <c r="C41" s="389"/>
      <c r="D41" s="389"/>
    </row>
    <row r="42" spans="1:11" x14ac:dyDescent="0.2">
      <c r="A42" s="389"/>
      <c r="B42" s="389"/>
      <c r="C42" s="389"/>
      <c r="D42" s="389"/>
    </row>
    <row r="43" spans="1:11" x14ac:dyDescent="0.2">
      <c r="A43" s="388"/>
      <c r="B43" s="388"/>
      <c r="C43" s="388"/>
      <c r="D43" s="389"/>
    </row>
    <row r="44" spans="1:11" x14ac:dyDescent="0.2">
      <c r="A44" s="388"/>
      <c r="B44" s="388"/>
      <c r="C44" s="388"/>
      <c r="D44" s="389"/>
    </row>
    <row r="45" spans="1:11" x14ac:dyDescent="0.2">
      <c r="A45" s="388"/>
      <c r="B45" s="388"/>
      <c r="C45" s="388"/>
      <c r="D45" s="389"/>
    </row>
    <row r="46" spans="1:11" x14ac:dyDescent="0.2">
      <c r="A46" s="388"/>
      <c r="B46" s="388"/>
      <c r="C46" s="388"/>
      <c r="D46" s="389"/>
    </row>
    <row r="47" spans="1:11" x14ac:dyDescent="0.2">
      <c r="A47" s="388"/>
      <c r="B47" s="388"/>
      <c r="C47" s="388"/>
      <c r="D47" s="389"/>
    </row>
    <row r="48" spans="1:11" x14ac:dyDescent="0.2">
      <c r="A48" s="388"/>
      <c r="B48" s="388"/>
      <c r="C48" s="388"/>
      <c r="D48" s="389"/>
    </row>
    <row r="49" spans="1:4" x14ac:dyDescent="0.2">
      <c r="A49" s="388"/>
      <c r="B49" s="388"/>
      <c r="C49" s="388"/>
      <c r="D49" s="389"/>
    </row>
    <row r="50" spans="1:4" x14ac:dyDescent="0.2">
      <c r="A50" s="388"/>
      <c r="B50" s="388"/>
      <c r="C50" s="388"/>
      <c r="D50" s="388"/>
    </row>
    <row r="51" spans="1:4" x14ac:dyDescent="0.2">
      <c r="B51" s="388"/>
    </row>
    <row r="52" spans="1:4" x14ac:dyDescent="0.2">
      <c r="B52" s="388"/>
    </row>
  </sheetData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/>
  </sheetViews>
  <sheetFormatPr defaultRowHeight="15" x14ac:dyDescent="0.25"/>
  <cols>
    <col min="1" max="1" width="10.5703125" style="579" customWidth="1"/>
    <col min="2" max="2" width="24.5703125" style="387" customWidth="1"/>
    <col min="3" max="3" width="8.7109375" style="387" customWidth="1"/>
    <col min="4" max="4" width="6.28515625" style="387" customWidth="1"/>
    <col min="5" max="5" width="9.140625" style="387" hidden="1" customWidth="1"/>
    <col min="6" max="6" width="9.85546875" style="578" customWidth="1"/>
    <col min="7" max="7" width="10.5703125" style="578" bestFit="1" customWidth="1"/>
    <col min="8" max="8" width="9.140625" style="387"/>
    <col min="9" max="9" width="15.28515625" style="387" customWidth="1"/>
    <col min="10" max="16384" width="9.140625" style="387"/>
  </cols>
  <sheetData>
    <row r="1" spans="1:16" ht="20.25" x14ac:dyDescent="0.3">
      <c r="A1" s="621"/>
      <c r="B1" s="627"/>
      <c r="C1" s="629" t="s">
        <v>673</v>
      </c>
      <c r="D1" s="628"/>
      <c r="E1" s="627"/>
      <c r="F1" s="626"/>
      <c r="G1" s="617"/>
    </row>
    <row r="2" spans="1:16" ht="20.25" x14ac:dyDescent="0.3">
      <c r="A2" s="621"/>
      <c r="B2" s="623"/>
      <c r="C2" s="625" t="s">
        <v>672</v>
      </c>
      <c r="D2" s="624"/>
      <c r="E2" s="623"/>
      <c r="F2" s="622"/>
      <c r="G2" s="617"/>
    </row>
    <row r="3" spans="1:16" x14ac:dyDescent="0.25">
      <c r="A3" s="621"/>
      <c r="B3" s="392" t="s">
        <v>671</v>
      </c>
      <c r="C3" s="620">
        <v>2019</v>
      </c>
      <c r="D3" s="609"/>
      <c r="E3" s="619"/>
      <c r="F3" s="618"/>
      <c r="G3" s="617"/>
    </row>
    <row r="4" spans="1:16" ht="15.75" thickBot="1" x14ac:dyDescent="0.3"/>
    <row r="5" spans="1:16" s="421" customFormat="1" ht="14.25" thickBot="1" x14ac:dyDescent="0.3">
      <c r="A5" s="616" t="s">
        <v>544</v>
      </c>
      <c r="B5" s="615" t="s">
        <v>670</v>
      </c>
      <c r="C5" s="614" t="s">
        <v>669</v>
      </c>
      <c r="D5" s="614" t="s">
        <v>668</v>
      </c>
      <c r="E5" s="614"/>
      <c r="F5" s="613" t="s">
        <v>667</v>
      </c>
      <c r="G5" s="612" t="s">
        <v>26</v>
      </c>
    </row>
    <row r="6" spans="1:16" ht="12.75" x14ac:dyDescent="0.2">
      <c r="A6" s="594">
        <v>43467</v>
      </c>
      <c r="B6" s="593" t="s">
        <v>398</v>
      </c>
      <c r="C6" s="592" t="s">
        <v>636</v>
      </c>
      <c r="D6" s="590">
        <v>0.16500000000000001</v>
      </c>
      <c r="E6" s="590"/>
      <c r="F6" s="595">
        <v>125</v>
      </c>
      <c r="G6" s="588">
        <f>F6*D6</f>
        <v>20.625</v>
      </c>
    </row>
    <row r="7" spans="1:16" ht="12.75" x14ac:dyDescent="0.2">
      <c r="A7" s="594"/>
      <c r="B7" s="593" t="s">
        <v>666</v>
      </c>
      <c r="C7" s="592" t="s">
        <v>665</v>
      </c>
      <c r="D7" s="590">
        <v>3</v>
      </c>
      <c r="E7" s="590"/>
      <c r="F7" s="595">
        <v>30</v>
      </c>
      <c r="G7" s="588">
        <f>F7*D7</f>
        <v>90</v>
      </c>
      <c r="I7" s="389"/>
      <c r="J7" s="389"/>
      <c r="K7" s="389"/>
      <c r="L7" s="389"/>
      <c r="M7" s="389"/>
      <c r="N7" s="389"/>
      <c r="O7" s="421"/>
      <c r="P7" s="421"/>
    </row>
    <row r="8" spans="1:16" ht="12.75" x14ac:dyDescent="0.2">
      <c r="A8" s="594"/>
      <c r="B8" s="593" t="s">
        <v>646</v>
      </c>
      <c r="C8" s="592" t="s">
        <v>645</v>
      </c>
      <c r="D8" s="591">
        <v>2.5000000000000001E-2</v>
      </c>
      <c r="E8" s="590"/>
      <c r="F8" s="589">
        <v>25</v>
      </c>
      <c r="G8" s="588">
        <f>F8*D8</f>
        <v>0.625</v>
      </c>
      <c r="I8" s="610"/>
      <c r="J8" s="609"/>
      <c r="K8" s="609"/>
      <c r="L8" s="609"/>
      <c r="M8" s="607"/>
      <c r="N8" s="388"/>
    </row>
    <row r="9" spans="1:16" ht="12.75" x14ac:dyDescent="0.2">
      <c r="A9" s="594"/>
      <c r="B9" s="596" t="s">
        <v>647</v>
      </c>
      <c r="C9" s="592" t="s">
        <v>637</v>
      </c>
      <c r="D9" s="590">
        <v>2.5000000000000001E-2</v>
      </c>
      <c r="E9" s="590"/>
      <c r="F9" s="597">
        <v>9.08</v>
      </c>
      <c r="G9" s="588">
        <f>D9*F9</f>
        <v>0.22700000000000001</v>
      </c>
      <c r="I9" s="610"/>
      <c r="J9" s="609"/>
      <c r="K9" s="609"/>
      <c r="L9" s="609"/>
      <c r="M9" s="607"/>
      <c r="N9" s="388"/>
    </row>
    <row r="10" spans="1:16" ht="12.75" x14ac:dyDescent="0.2">
      <c r="A10" s="594"/>
      <c r="B10" s="596" t="s">
        <v>638</v>
      </c>
      <c r="C10" s="592" t="s">
        <v>637</v>
      </c>
      <c r="D10" s="590">
        <v>3</v>
      </c>
      <c r="E10" s="590"/>
      <c r="F10" s="595">
        <v>4</v>
      </c>
      <c r="G10" s="588">
        <f>D10*F10</f>
        <v>12</v>
      </c>
      <c r="I10" s="610"/>
      <c r="J10" s="609"/>
      <c r="K10" s="609"/>
      <c r="L10" s="611"/>
      <c r="M10" s="425"/>
      <c r="N10" s="607"/>
    </row>
    <row r="11" spans="1:16" ht="12.75" x14ac:dyDescent="0.2">
      <c r="A11" s="594">
        <v>43468</v>
      </c>
      <c r="B11" s="593" t="s">
        <v>398</v>
      </c>
      <c r="C11" s="592" t="s">
        <v>636</v>
      </c>
      <c r="D11" s="590">
        <v>0.192</v>
      </c>
      <c r="E11" s="590"/>
      <c r="F11" s="595">
        <v>125</v>
      </c>
      <c r="G11" s="588">
        <f>F11*D11</f>
        <v>24</v>
      </c>
      <c r="I11" s="610"/>
      <c r="J11" s="609"/>
      <c r="K11" s="609"/>
      <c r="L11" s="611"/>
      <c r="M11" s="425"/>
      <c r="N11" s="607"/>
    </row>
    <row r="12" spans="1:16" ht="12.75" x14ac:dyDescent="0.2">
      <c r="A12" s="594"/>
      <c r="B12" s="596" t="s">
        <v>638</v>
      </c>
      <c r="C12" s="592" t="s">
        <v>637</v>
      </c>
      <c r="D12" s="590">
        <v>3</v>
      </c>
      <c r="E12" s="590"/>
      <c r="F12" s="595">
        <v>4</v>
      </c>
      <c r="G12" s="588">
        <f>D12*F12</f>
        <v>12</v>
      </c>
      <c r="I12" s="610"/>
      <c r="J12" s="609"/>
      <c r="K12" s="609"/>
      <c r="L12" s="608"/>
      <c r="M12" s="425"/>
      <c r="N12" s="607"/>
    </row>
    <row r="13" spans="1:16" ht="12.75" x14ac:dyDescent="0.2">
      <c r="A13" s="594">
        <v>43469</v>
      </c>
      <c r="B13" s="596" t="s">
        <v>638</v>
      </c>
      <c r="C13" s="592" t="s">
        <v>637</v>
      </c>
      <c r="D13" s="590">
        <v>3</v>
      </c>
      <c r="E13" s="590"/>
      <c r="F13" s="595">
        <v>4</v>
      </c>
      <c r="G13" s="588">
        <f>D13*F13</f>
        <v>12</v>
      </c>
      <c r="I13" s="610"/>
      <c r="J13" s="609"/>
      <c r="K13" s="609"/>
      <c r="L13" s="608"/>
      <c r="M13" s="425"/>
      <c r="N13" s="607"/>
    </row>
    <row r="14" spans="1:16" ht="12.75" x14ac:dyDescent="0.2">
      <c r="A14" s="594"/>
      <c r="B14" s="593" t="s">
        <v>646</v>
      </c>
      <c r="C14" s="592" t="s">
        <v>645</v>
      </c>
      <c r="D14" s="591">
        <v>2.5000000000000001E-2</v>
      </c>
      <c r="E14" s="590"/>
      <c r="F14" s="589">
        <v>25</v>
      </c>
      <c r="G14" s="588">
        <f>F14*D14</f>
        <v>0.625</v>
      </c>
      <c r="I14" s="388"/>
      <c r="J14" s="388"/>
      <c r="K14" s="388"/>
      <c r="L14" s="388"/>
      <c r="M14" s="388"/>
      <c r="N14" s="388"/>
    </row>
    <row r="15" spans="1:16" ht="12.75" x14ac:dyDescent="0.2">
      <c r="A15" s="594"/>
      <c r="B15" s="596" t="s">
        <v>647</v>
      </c>
      <c r="C15" s="592" t="s">
        <v>637</v>
      </c>
      <c r="D15" s="590">
        <v>2.5000000000000001E-3</v>
      </c>
      <c r="E15" s="590"/>
      <c r="F15" s="597">
        <v>9.08</v>
      </c>
      <c r="G15" s="588">
        <f>D15*F15</f>
        <v>2.2700000000000001E-2</v>
      </c>
      <c r="I15" s="602"/>
      <c r="J15" s="601"/>
      <c r="K15" s="601"/>
      <c r="L15" s="600"/>
      <c r="M15" s="388"/>
      <c r="N15" s="388"/>
    </row>
    <row r="16" spans="1:16" ht="12.75" x14ac:dyDescent="0.2">
      <c r="A16" s="594"/>
      <c r="B16" s="593" t="s">
        <v>398</v>
      </c>
      <c r="C16" s="592" t="s">
        <v>636</v>
      </c>
      <c r="D16" s="590">
        <v>0.31</v>
      </c>
      <c r="E16" s="590"/>
      <c r="F16" s="595">
        <v>125</v>
      </c>
      <c r="G16" s="588">
        <f>F16*D16</f>
        <v>38.75</v>
      </c>
      <c r="I16" s="602"/>
      <c r="J16" s="601"/>
      <c r="K16" s="601"/>
      <c r="L16" s="600"/>
      <c r="M16" s="388"/>
      <c r="N16" s="388"/>
    </row>
    <row r="17" spans="1:15" ht="12.75" x14ac:dyDescent="0.2">
      <c r="A17" s="594"/>
      <c r="B17" s="596" t="s">
        <v>649</v>
      </c>
      <c r="C17" s="592" t="s">
        <v>662</v>
      </c>
      <c r="D17" s="590">
        <v>55.7</v>
      </c>
      <c r="E17" s="590"/>
      <c r="F17" s="595">
        <v>1</v>
      </c>
      <c r="G17" s="588">
        <f>D17*F17</f>
        <v>55.7</v>
      </c>
      <c r="I17" s="602"/>
      <c r="J17" s="601"/>
      <c r="K17" s="601"/>
      <c r="L17" s="600"/>
      <c r="M17" s="388"/>
      <c r="N17" s="388"/>
    </row>
    <row r="18" spans="1:15" ht="12.75" x14ac:dyDescent="0.2">
      <c r="A18" s="594"/>
      <c r="B18" s="596" t="s">
        <v>664</v>
      </c>
      <c r="C18" s="590" t="s">
        <v>648</v>
      </c>
      <c r="D18" s="590">
        <v>56.6</v>
      </c>
      <c r="E18" s="591"/>
      <c r="F18" s="597">
        <v>3</v>
      </c>
      <c r="G18" s="588">
        <f>D18*F18</f>
        <v>169.8</v>
      </c>
      <c r="I18" s="606"/>
      <c r="J18" s="601"/>
      <c r="K18" s="601"/>
      <c r="L18" s="600"/>
      <c r="M18" s="388"/>
      <c r="N18" s="388"/>
    </row>
    <row r="19" spans="1:15" ht="12.75" x14ac:dyDescent="0.2">
      <c r="A19" s="594"/>
      <c r="B19" s="596" t="s">
        <v>661</v>
      </c>
      <c r="C19" s="592" t="s">
        <v>636</v>
      </c>
      <c r="D19" s="590">
        <v>1.47E-2</v>
      </c>
      <c r="E19" s="590"/>
      <c r="F19" s="597">
        <v>80</v>
      </c>
      <c r="G19" s="588">
        <f>D19*F19</f>
        <v>1.1759999999999999</v>
      </c>
      <c r="I19" s="602"/>
      <c r="J19" s="601"/>
      <c r="K19" s="601"/>
      <c r="L19" s="600"/>
      <c r="M19" s="388"/>
      <c r="N19" s="388"/>
    </row>
    <row r="20" spans="1:15" ht="12.75" x14ac:dyDescent="0.2">
      <c r="A20" s="594">
        <v>43470</v>
      </c>
      <c r="B20" s="593" t="s">
        <v>398</v>
      </c>
      <c r="C20" s="592" t="s">
        <v>636</v>
      </c>
      <c r="D20" s="590">
        <v>0.16500000000000001</v>
      </c>
      <c r="E20" s="590"/>
      <c r="F20" s="595">
        <v>125</v>
      </c>
      <c r="G20" s="588">
        <f>F20*D20</f>
        <v>20.625</v>
      </c>
      <c r="I20" s="602"/>
      <c r="J20" s="601"/>
      <c r="K20" s="601"/>
      <c r="L20" s="600"/>
      <c r="M20" s="388"/>
      <c r="N20" s="388"/>
    </row>
    <row r="21" spans="1:15" ht="12.75" x14ac:dyDescent="0.2">
      <c r="A21" s="594"/>
      <c r="B21" s="596" t="s">
        <v>638</v>
      </c>
      <c r="C21" s="592" t="s">
        <v>637</v>
      </c>
      <c r="D21" s="590">
        <v>1.5</v>
      </c>
      <c r="E21" s="590"/>
      <c r="F21" s="595">
        <v>4</v>
      </c>
      <c r="G21" s="588">
        <f>D21*F21</f>
        <v>6</v>
      </c>
      <c r="I21" s="602"/>
      <c r="J21" s="601"/>
      <c r="K21" s="601"/>
      <c r="L21" s="600"/>
      <c r="M21" s="388"/>
      <c r="N21" s="388"/>
    </row>
    <row r="22" spans="1:15" ht="12.75" x14ac:dyDescent="0.2">
      <c r="A22" s="594"/>
      <c r="B22" s="596" t="s">
        <v>661</v>
      </c>
      <c r="C22" s="592" t="s">
        <v>636</v>
      </c>
      <c r="D22" s="590">
        <v>9.1999999999999998E-2</v>
      </c>
      <c r="E22" s="590"/>
      <c r="F22" s="597">
        <v>80</v>
      </c>
      <c r="G22" s="588">
        <f>D22*F22</f>
        <v>7.3599999999999994</v>
      </c>
      <c r="I22" s="606"/>
      <c r="J22" s="601"/>
      <c r="K22" s="601"/>
      <c r="L22" s="600"/>
      <c r="M22" s="388"/>
      <c r="N22" s="388"/>
    </row>
    <row r="23" spans="1:15" ht="12.75" x14ac:dyDescent="0.2">
      <c r="A23" s="594"/>
      <c r="B23" s="593" t="s">
        <v>646</v>
      </c>
      <c r="C23" s="592" t="s">
        <v>645</v>
      </c>
      <c r="D23" s="591">
        <v>0.107</v>
      </c>
      <c r="E23" s="590"/>
      <c r="F23" s="589">
        <v>25</v>
      </c>
      <c r="G23" s="588">
        <f>F23*D23</f>
        <v>2.6749999999999998</v>
      </c>
      <c r="I23" s="605"/>
      <c r="J23" s="604"/>
      <c r="K23" s="604"/>
      <c r="L23" s="604"/>
      <c r="M23" s="429"/>
      <c r="N23" s="603"/>
      <c r="O23" s="388"/>
    </row>
    <row r="24" spans="1:15" ht="12.75" x14ac:dyDescent="0.2">
      <c r="A24" s="594"/>
      <c r="B24" s="596" t="s">
        <v>647</v>
      </c>
      <c r="C24" s="592" t="s">
        <v>637</v>
      </c>
      <c r="D24" s="590">
        <v>2.5000000000000001E-2</v>
      </c>
      <c r="E24" s="590"/>
      <c r="F24" s="597">
        <v>9.08</v>
      </c>
      <c r="G24" s="588">
        <f>D24*F24</f>
        <v>0.22700000000000001</v>
      </c>
      <c r="I24" s="602"/>
      <c r="J24" s="601"/>
      <c r="K24" s="601"/>
      <c r="L24" s="600"/>
      <c r="M24" s="388"/>
      <c r="N24" s="388"/>
    </row>
    <row r="25" spans="1:15" ht="12.75" x14ac:dyDescent="0.2">
      <c r="A25" s="594"/>
      <c r="B25" s="596" t="s">
        <v>638</v>
      </c>
      <c r="C25" s="592" t="s">
        <v>637</v>
      </c>
      <c r="D25" s="590">
        <v>3</v>
      </c>
      <c r="E25" s="590"/>
      <c r="F25" s="595">
        <v>4</v>
      </c>
      <c r="G25" s="588">
        <f>D25*F25</f>
        <v>12</v>
      </c>
      <c r="I25" s="602"/>
      <c r="J25" s="601"/>
      <c r="K25" s="601"/>
      <c r="L25" s="600"/>
      <c r="M25" s="388"/>
      <c r="N25" s="388"/>
    </row>
    <row r="26" spans="1:15" ht="12.75" x14ac:dyDescent="0.2">
      <c r="A26" s="594">
        <v>43472</v>
      </c>
      <c r="B26" s="593" t="s">
        <v>646</v>
      </c>
      <c r="C26" s="592" t="s">
        <v>645</v>
      </c>
      <c r="D26" s="591">
        <v>6.9000000000000006E-2</v>
      </c>
      <c r="E26" s="590"/>
      <c r="F26" s="589">
        <v>25</v>
      </c>
      <c r="G26" s="588">
        <f>F26*D26</f>
        <v>1.7250000000000001</v>
      </c>
      <c r="I26" s="602"/>
      <c r="J26" s="601"/>
      <c r="K26" s="601"/>
      <c r="L26" s="600"/>
      <c r="M26" s="388"/>
      <c r="N26" s="388"/>
    </row>
    <row r="27" spans="1:15" ht="12.75" x14ac:dyDescent="0.2">
      <c r="A27" s="594"/>
      <c r="B27" s="593" t="s">
        <v>398</v>
      </c>
      <c r="C27" s="592" t="s">
        <v>636</v>
      </c>
      <c r="D27" s="590">
        <v>0.32500000000000001</v>
      </c>
      <c r="E27" s="590"/>
      <c r="F27" s="595">
        <v>125</v>
      </c>
      <c r="G27" s="588">
        <f>F27*D27</f>
        <v>40.625</v>
      </c>
      <c r="I27" s="388"/>
      <c r="J27" s="388"/>
      <c r="K27" s="388"/>
      <c r="L27" s="388"/>
      <c r="M27" s="388"/>
      <c r="N27" s="388"/>
    </row>
    <row r="28" spans="1:15" ht="12.75" x14ac:dyDescent="0.2">
      <c r="A28" s="594"/>
      <c r="B28" s="596" t="s">
        <v>638</v>
      </c>
      <c r="C28" s="592" t="s">
        <v>637</v>
      </c>
      <c r="D28" s="590">
        <v>3</v>
      </c>
      <c r="E28" s="590"/>
      <c r="F28" s="595">
        <v>4</v>
      </c>
      <c r="G28" s="588">
        <f>D28*F28</f>
        <v>12</v>
      </c>
      <c r="I28" s="388"/>
      <c r="J28" s="388"/>
      <c r="K28" s="388"/>
      <c r="L28" s="388"/>
      <c r="M28" s="388"/>
      <c r="N28" s="388"/>
    </row>
    <row r="29" spans="1:15" ht="12.75" x14ac:dyDescent="0.2">
      <c r="A29" s="594"/>
      <c r="B29" s="593" t="s">
        <v>646</v>
      </c>
      <c r="C29" s="592" t="s">
        <v>645</v>
      </c>
      <c r="D29" s="591">
        <v>0.107</v>
      </c>
      <c r="E29" s="590"/>
      <c r="F29" s="589">
        <v>25</v>
      </c>
      <c r="G29" s="588">
        <f>F29*D29</f>
        <v>2.6749999999999998</v>
      </c>
      <c r="I29" s="388"/>
      <c r="J29" s="388"/>
      <c r="K29" s="388"/>
      <c r="L29" s="388"/>
      <c r="M29" s="388"/>
      <c r="N29" s="388"/>
    </row>
    <row r="30" spans="1:15" ht="12.75" x14ac:dyDescent="0.2">
      <c r="A30" s="594">
        <v>43473</v>
      </c>
      <c r="B30" s="596" t="s">
        <v>647</v>
      </c>
      <c r="C30" s="592" t="s">
        <v>637</v>
      </c>
      <c r="D30" s="590">
        <v>2.5000000000000001E-2</v>
      </c>
      <c r="E30" s="590"/>
      <c r="F30" s="597">
        <v>9.08</v>
      </c>
      <c r="G30" s="588">
        <f>D30*F30</f>
        <v>0.22700000000000001</v>
      </c>
    </row>
    <row r="31" spans="1:15" ht="12.75" x14ac:dyDescent="0.2">
      <c r="A31" s="594"/>
      <c r="B31" s="593" t="s">
        <v>398</v>
      </c>
      <c r="C31" s="592" t="s">
        <v>636</v>
      </c>
      <c r="D31" s="590">
        <v>0.32</v>
      </c>
      <c r="E31" s="590"/>
      <c r="F31" s="595">
        <v>125</v>
      </c>
      <c r="G31" s="588">
        <f>F31*D31</f>
        <v>40</v>
      </c>
    </row>
    <row r="32" spans="1:15" ht="12.75" x14ac:dyDescent="0.2">
      <c r="A32" s="594"/>
      <c r="B32" s="596" t="s">
        <v>661</v>
      </c>
      <c r="C32" s="592" t="s">
        <v>636</v>
      </c>
      <c r="D32" s="590">
        <v>9.5000000000000001E-2</v>
      </c>
      <c r="E32" s="590"/>
      <c r="F32" s="597">
        <v>80</v>
      </c>
      <c r="G32" s="588">
        <f>D32*F32</f>
        <v>7.6</v>
      </c>
    </row>
    <row r="33" spans="1:9" ht="12.75" x14ac:dyDescent="0.2">
      <c r="A33" s="594"/>
      <c r="B33" s="596" t="s">
        <v>638</v>
      </c>
      <c r="C33" s="592" t="s">
        <v>637</v>
      </c>
      <c r="D33" s="590">
        <v>4</v>
      </c>
      <c r="E33" s="590"/>
      <c r="F33" s="595">
        <v>4</v>
      </c>
      <c r="G33" s="588">
        <f>D33*F33</f>
        <v>16</v>
      </c>
    </row>
    <row r="34" spans="1:9" ht="12.75" x14ac:dyDescent="0.2">
      <c r="A34" s="594"/>
      <c r="B34" s="593" t="s">
        <v>646</v>
      </c>
      <c r="C34" s="592" t="s">
        <v>645</v>
      </c>
      <c r="D34" s="591">
        <v>0.11</v>
      </c>
      <c r="E34" s="590"/>
      <c r="F34" s="589">
        <v>25</v>
      </c>
      <c r="G34" s="588">
        <f>F34*D34</f>
        <v>2.75</v>
      </c>
    </row>
    <row r="35" spans="1:9" ht="12.75" x14ac:dyDescent="0.2">
      <c r="A35" s="594">
        <v>43474</v>
      </c>
      <c r="B35" s="596" t="s">
        <v>660</v>
      </c>
      <c r="C35" s="592" t="s">
        <v>636</v>
      </c>
      <c r="D35" s="590">
        <v>0.3</v>
      </c>
      <c r="E35" s="590"/>
      <c r="F35" s="595">
        <v>130</v>
      </c>
      <c r="G35" s="588">
        <f>F35*D35</f>
        <v>39</v>
      </c>
    </row>
    <row r="36" spans="1:9" ht="12.75" x14ac:dyDescent="0.2">
      <c r="A36" s="599"/>
      <c r="B36" s="593" t="s">
        <v>398</v>
      </c>
      <c r="C36" s="592" t="s">
        <v>636</v>
      </c>
      <c r="D36" s="590">
        <v>0.31</v>
      </c>
      <c r="E36" s="590"/>
      <c r="F36" s="595">
        <v>125</v>
      </c>
      <c r="G36" s="588">
        <f>F36*D36</f>
        <v>38.75</v>
      </c>
    </row>
    <row r="37" spans="1:9" ht="12.75" x14ac:dyDescent="0.2">
      <c r="A37" s="594"/>
      <c r="B37" s="596" t="s">
        <v>638</v>
      </c>
      <c r="C37" s="592" t="s">
        <v>637</v>
      </c>
      <c r="D37" s="590">
        <v>1</v>
      </c>
      <c r="E37" s="590"/>
      <c r="F37" s="595">
        <v>4</v>
      </c>
      <c r="G37" s="588">
        <f>F37*D37</f>
        <v>4</v>
      </c>
    </row>
    <row r="38" spans="1:9" ht="12.75" x14ac:dyDescent="0.2">
      <c r="A38" s="594"/>
      <c r="B38" s="596" t="s">
        <v>653</v>
      </c>
      <c r="C38" s="592" t="s">
        <v>636</v>
      </c>
      <c r="D38" s="590">
        <v>1</v>
      </c>
      <c r="E38" s="590"/>
      <c r="F38" s="597">
        <v>165</v>
      </c>
      <c r="G38" s="588">
        <f>D38*F38</f>
        <v>165</v>
      </c>
    </row>
    <row r="39" spans="1:9" ht="12.75" x14ac:dyDescent="0.2">
      <c r="A39" s="594">
        <v>43475</v>
      </c>
      <c r="B39" s="596" t="s">
        <v>649</v>
      </c>
      <c r="C39" s="592" t="s">
        <v>648</v>
      </c>
      <c r="D39" s="590">
        <v>2</v>
      </c>
      <c r="E39" s="590"/>
      <c r="F39" s="597">
        <v>55.7</v>
      </c>
      <c r="G39" s="588">
        <f>D39*F39</f>
        <v>111.4</v>
      </c>
    </row>
    <row r="40" spans="1:9" ht="12.75" x14ac:dyDescent="0.2">
      <c r="A40" s="594"/>
      <c r="B40" s="596" t="s">
        <v>663</v>
      </c>
      <c r="C40" s="592" t="s">
        <v>662</v>
      </c>
      <c r="D40" s="590">
        <v>3</v>
      </c>
      <c r="E40" s="590"/>
      <c r="F40" s="597">
        <v>60.25</v>
      </c>
      <c r="G40" s="588">
        <f>D40*F40</f>
        <v>180.75</v>
      </c>
    </row>
    <row r="41" spans="1:9" ht="12.75" x14ac:dyDescent="0.2">
      <c r="A41" s="594"/>
      <c r="B41" s="596" t="s">
        <v>661</v>
      </c>
      <c r="C41" s="592" t="s">
        <v>636</v>
      </c>
      <c r="D41" s="590">
        <v>0.25</v>
      </c>
      <c r="E41" s="590"/>
      <c r="F41" s="597">
        <v>80</v>
      </c>
      <c r="G41" s="588">
        <f>D41*F41</f>
        <v>20</v>
      </c>
      <c r="I41" s="598"/>
    </row>
    <row r="42" spans="1:9" ht="12.75" x14ac:dyDescent="0.2">
      <c r="A42" s="594">
        <v>43476</v>
      </c>
      <c r="B42" s="593" t="s">
        <v>398</v>
      </c>
      <c r="C42" s="592" t="s">
        <v>636</v>
      </c>
      <c r="D42" s="590">
        <v>0.32</v>
      </c>
      <c r="E42" s="590"/>
      <c r="F42" s="595">
        <v>125</v>
      </c>
      <c r="G42" s="588">
        <f>F42*D42</f>
        <v>40</v>
      </c>
    </row>
    <row r="43" spans="1:9" ht="12.75" x14ac:dyDescent="0.2">
      <c r="A43" s="594"/>
      <c r="B43" s="596" t="s">
        <v>638</v>
      </c>
      <c r="C43" s="592" t="s">
        <v>637</v>
      </c>
      <c r="D43" s="590">
        <v>2.5</v>
      </c>
      <c r="E43" s="590"/>
      <c r="F43" s="595">
        <v>4</v>
      </c>
      <c r="G43" s="588">
        <f>D43*F43</f>
        <v>10</v>
      </c>
    </row>
    <row r="44" spans="1:9" ht="12.75" x14ac:dyDescent="0.2">
      <c r="A44" s="594"/>
      <c r="B44" s="596" t="s">
        <v>657</v>
      </c>
      <c r="C44" s="592" t="s">
        <v>645</v>
      </c>
      <c r="D44" s="590">
        <v>1</v>
      </c>
      <c r="E44" s="590"/>
      <c r="F44" s="597">
        <v>8.4499999999999993</v>
      </c>
      <c r="G44" s="588">
        <f>F44*D44</f>
        <v>8.4499999999999993</v>
      </c>
    </row>
    <row r="45" spans="1:9" ht="12.75" x14ac:dyDescent="0.2">
      <c r="A45" s="594"/>
      <c r="B45" s="596" t="s">
        <v>647</v>
      </c>
      <c r="C45" s="592" t="s">
        <v>637</v>
      </c>
      <c r="D45" s="590">
        <v>2.5000000000000001E-2</v>
      </c>
      <c r="E45" s="590"/>
      <c r="F45" s="597">
        <v>9.08</v>
      </c>
      <c r="G45" s="588">
        <f>D45*F45</f>
        <v>0.22700000000000001</v>
      </c>
    </row>
    <row r="46" spans="1:9" ht="12.75" x14ac:dyDescent="0.2">
      <c r="A46" s="594">
        <v>43477</v>
      </c>
      <c r="B46" s="596" t="s">
        <v>638</v>
      </c>
      <c r="C46" s="592" t="s">
        <v>637</v>
      </c>
      <c r="D46" s="590">
        <v>2</v>
      </c>
      <c r="E46" s="590"/>
      <c r="F46" s="595">
        <v>4</v>
      </c>
      <c r="G46" s="588">
        <f>D46*F46</f>
        <v>8</v>
      </c>
    </row>
    <row r="47" spans="1:9" ht="12.75" x14ac:dyDescent="0.2">
      <c r="A47" s="594"/>
      <c r="B47" s="596" t="s">
        <v>647</v>
      </c>
      <c r="C47" s="592" t="s">
        <v>637</v>
      </c>
      <c r="D47" s="590">
        <v>0.25</v>
      </c>
      <c r="E47" s="590"/>
      <c r="F47" s="597">
        <v>9.08</v>
      </c>
      <c r="G47" s="588">
        <f>D47*F47</f>
        <v>2.27</v>
      </c>
    </row>
    <row r="48" spans="1:9" ht="12.75" x14ac:dyDescent="0.2">
      <c r="A48" s="594"/>
      <c r="B48" s="593" t="s">
        <v>279</v>
      </c>
      <c r="C48" s="592" t="s">
        <v>658</v>
      </c>
      <c r="D48" s="590">
        <v>0.05</v>
      </c>
      <c r="E48" s="590"/>
      <c r="F48" s="597">
        <v>135</v>
      </c>
      <c r="G48" s="588">
        <f>D48*F48</f>
        <v>6.75</v>
      </c>
    </row>
    <row r="49" spans="1:7" ht="12.75" x14ac:dyDescent="0.2">
      <c r="A49" s="594"/>
      <c r="B49" s="596" t="s">
        <v>653</v>
      </c>
      <c r="C49" s="592" t="s">
        <v>636</v>
      </c>
      <c r="D49" s="590">
        <v>0.08</v>
      </c>
      <c r="E49" s="590"/>
      <c r="F49" s="597">
        <v>165</v>
      </c>
      <c r="G49" s="588">
        <f>D49*F49</f>
        <v>13.200000000000001</v>
      </c>
    </row>
    <row r="50" spans="1:7" ht="12.75" x14ac:dyDescent="0.2">
      <c r="A50" s="594"/>
      <c r="B50" s="593" t="s">
        <v>398</v>
      </c>
      <c r="C50" s="592" t="s">
        <v>636</v>
      </c>
      <c r="D50" s="590">
        <v>0.48</v>
      </c>
      <c r="E50" s="590"/>
      <c r="F50" s="595">
        <v>125</v>
      </c>
      <c r="G50" s="588">
        <f>F50*D50</f>
        <v>60</v>
      </c>
    </row>
    <row r="51" spans="1:7" ht="12.75" x14ac:dyDescent="0.2">
      <c r="A51" s="594">
        <v>43479</v>
      </c>
      <c r="B51" s="596" t="s">
        <v>638</v>
      </c>
      <c r="C51" s="592" t="s">
        <v>637</v>
      </c>
      <c r="D51" s="590">
        <v>2</v>
      </c>
      <c r="E51" s="590"/>
      <c r="F51" s="595">
        <v>4</v>
      </c>
      <c r="G51" s="588">
        <f>D51*F51</f>
        <v>8</v>
      </c>
    </row>
    <row r="52" spans="1:7" ht="12.75" x14ac:dyDescent="0.2">
      <c r="A52" s="594"/>
      <c r="B52" s="596" t="s">
        <v>647</v>
      </c>
      <c r="C52" s="592" t="s">
        <v>637</v>
      </c>
      <c r="D52" s="590">
        <v>0.25</v>
      </c>
      <c r="E52" s="590"/>
      <c r="F52" s="597">
        <v>9.08</v>
      </c>
      <c r="G52" s="588">
        <f>D52*F52</f>
        <v>2.27</v>
      </c>
    </row>
    <row r="53" spans="1:7" ht="12.75" x14ac:dyDescent="0.2">
      <c r="A53" s="594"/>
      <c r="B53" s="596" t="s">
        <v>653</v>
      </c>
      <c r="C53" s="592" t="s">
        <v>636</v>
      </c>
      <c r="D53" s="590">
        <v>0.13</v>
      </c>
      <c r="E53" s="590"/>
      <c r="F53" s="597">
        <v>165</v>
      </c>
      <c r="G53" s="588">
        <f>D53*F53</f>
        <v>21.45</v>
      </c>
    </row>
    <row r="54" spans="1:7" ht="12.75" x14ac:dyDescent="0.2">
      <c r="A54" s="594">
        <v>43480</v>
      </c>
      <c r="B54" s="596" t="s">
        <v>657</v>
      </c>
      <c r="C54" s="592" t="s">
        <v>645</v>
      </c>
      <c r="D54" s="590">
        <v>3</v>
      </c>
      <c r="E54" s="590"/>
      <c r="F54" s="597">
        <v>8.4499999999999993</v>
      </c>
      <c r="G54" s="588">
        <f>F54*D54</f>
        <v>25.349999999999998</v>
      </c>
    </row>
    <row r="55" spans="1:7" ht="12.75" x14ac:dyDescent="0.2">
      <c r="A55" s="594"/>
      <c r="B55" s="593" t="s">
        <v>642</v>
      </c>
      <c r="C55" s="592" t="s">
        <v>641</v>
      </c>
      <c r="D55" s="590">
        <v>4</v>
      </c>
      <c r="E55" s="590"/>
      <c r="F55" s="597">
        <v>25.63</v>
      </c>
      <c r="G55" s="588">
        <f>D55*F55</f>
        <v>102.52</v>
      </c>
    </row>
    <row r="56" spans="1:7" ht="12.75" x14ac:dyDescent="0.2">
      <c r="A56" s="594">
        <v>43481</v>
      </c>
      <c r="B56" s="596" t="s">
        <v>657</v>
      </c>
      <c r="C56" s="592" t="s">
        <v>645</v>
      </c>
      <c r="D56" s="590">
        <v>1</v>
      </c>
      <c r="E56" s="590"/>
      <c r="F56" s="597">
        <v>8.4499999999999993</v>
      </c>
      <c r="G56" s="588">
        <f>F56*D56</f>
        <v>8.4499999999999993</v>
      </c>
    </row>
    <row r="57" spans="1:7" ht="12.75" x14ac:dyDescent="0.2">
      <c r="A57" s="594"/>
      <c r="B57" s="596" t="s">
        <v>644</v>
      </c>
      <c r="C57" s="592" t="s">
        <v>636</v>
      </c>
      <c r="D57" s="590">
        <v>0.02</v>
      </c>
      <c r="E57" s="590"/>
      <c r="F57" s="595">
        <v>125</v>
      </c>
      <c r="G57" s="588">
        <f>F57*D57</f>
        <v>2.5</v>
      </c>
    </row>
    <row r="58" spans="1:7" ht="12.75" x14ac:dyDescent="0.2">
      <c r="A58" s="594"/>
      <c r="B58" s="593" t="s">
        <v>398</v>
      </c>
      <c r="C58" s="592" t="s">
        <v>636</v>
      </c>
      <c r="D58" s="590">
        <v>0.21</v>
      </c>
      <c r="E58" s="590"/>
      <c r="F58" s="595">
        <v>125</v>
      </c>
      <c r="G58" s="588">
        <f>F58*D58</f>
        <v>26.25</v>
      </c>
    </row>
    <row r="59" spans="1:7" ht="12.75" x14ac:dyDescent="0.2">
      <c r="A59" s="594"/>
      <c r="B59" s="596" t="s">
        <v>638</v>
      </c>
      <c r="C59" s="592" t="s">
        <v>637</v>
      </c>
      <c r="D59" s="590">
        <v>2</v>
      </c>
      <c r="E59" s="590"/>
      <c r="F59" s="595">
        <v>4</v>
      </c>
      <c r="G59" s="588">
        <f>D59*F59</f>
        <v>8</v>
      </c>
    </row>
    <row r="60" spans="1:7" ht="12.75" x14ac:dyDescent="0.2">
      <c r="A60" s="594"/>
      <c r="B60" s="596" t="s">
        <v>660</v>
      </c>
      <c r="C60" s="592" t="s">
        <v>636</v>
      </c>
      <c r="D60" s="590">
        <v>0.3</v>
      </c>
      <c r="E60" s="590"/>
      <c r="F60" s="595">
        <v>130</v>
      </c>
      <c r="G60" s="588">
        <f>F60*D60</f>
        <v>39</v>
      </c>
    </row>
    <row r="61" spans="1:7" ht="12.75" x14ac:dyDescent="0.2">
      <c r="A61" s="594"/>
      <c r="B61" s="596" t="s">
        <v>653</v>
      </c>
      <c r="C61" s="592" t="s">
        <v>636</v>
      </c>
      <c r="D61" s="590">
        <v>0.06</v>
      </c>
      <c r="E61" s="590"/>
      <c r="F61" s="597">
        <v>165</v>
      </c>
      <c r="G61" s="588">
        <f>D61*F61</f>
        <v>9.9</v>
      </c>
    </row>
    <row r="62" spans="1:7" ht="12.75" x14ac:dyDescent="0.2">
      <c r="A62" s="594">
        <v>43482</v>
      </c>
      <c r="B62" s="596" t="s">
        <v>638</v>
      </c>
      <c r="C62" s="592" t="s">
        <v>637</v>
      </c>
      <c r="D62" s="590">
        <v>2</v>
      </c>
      <c r="E62" s="590"/>
      <c r="F62" s="595">
        <v>4</v>
      </c>
      <c r="G62" s="588">
        <f>D62*F62</f>
        <v>8</v>
      </c>
    </row>
    <row r="63" spans="1:7" ht="12.75" x14ac:dyDescent="0.2">
      <c r="A63" s="594"/>
      <c r="B63" s="596" t="s">
        <v>647</v>
      </c>
      <c r="C63" s="592" t="s">
        <v>637</v>
      </c>
      <c r="D63" s="590">
        <v>0.25</v>
      </c>
      <c r="E63" s="590"/>
      <c r="F63" s="597">
        <v>9.08</v>
      </c>
      <c r="G63" s="588">
        <f>D63*F63</f>
        <v>2.27</v>
      </c>
    </row>
    <row r="64" spans="1:7" ht="12.75" x14ac:dyDescent="0.2">
      <c r="A64" s="594"/>
      <c r="B64" s="596" t="s">
        <v>657</v>
      </c>
      <c r="C64" s="592" t="s">
        <v>645</v>
      </c>
      <c r="D64" s="590">
        <v>3</v>
      </c>
      <c r="E64" s="590"/>
      <c r="F64" s="597">
        <v>8.4499999999999993</v>
      </c>
      <c r="G64" s="588">
        <f>F64*D64</f>
        <v>25.349999999999998</v>
      </c>
    </row>
    <row r="65" spans="1:7" ht="12.75" x14ac:dyDescent="0.2">
      <c r="A65" s="594">
        <v>43483</v>
      </c>
      <c r="B65" s="593" t="s">
        <v>642</v>
      </c>
      <c r="C65" s="592" t="s">
        <v>641</v>
      </c>
      <c r="D65" s="590">
        <v>4</v>
      </c>
      <c r="E65" s="590"/>
      <c r="F65" s="597">
        <v>25.63</v>
      </c>
      <c r="G65" s="588">
        <f>D65*F65</f>
        <v>102.52</v>
      </c>
    </row>
    <row r="66" spans="1:7" ht="12.75" x14ac:dyDescent="0.2">
      <c r="A66" s="594"/>
      <c r="B66" s="596" t="s">
        <v>659</v>
      </c>
      <c r="C66" s="592" t="s">
        <v>645</v>
      </c>
      <c r="D66" s="591">
        <v>0.18</v>
      </c>
      <c r="E66" s="590"/>
      <c r="F66" s="589">
        <v>16</v>
      </c>
      <c r="G66" s="588">
        <f>F66*D66</f>
        <v>2.88</v>
      </c>
    </row>
    <row r="67" spans="1:7" ht="12.75" x14ac:dyDescent="0.2">
      <c r="A67" s="594">
        <v>43484</v>
      </c>
      <c r="B67" s="596" t="s">
        <v>653</v>
      </c>
      <c r="C67" s="592" t="s">
        <v>636</v>
      </c>
      <c r="D67" s="590">
        <v>0.7</v>
      </c>
      <c r="E67" s="590"/>
      <c r="F67" s="595">
        <v>160</v>
      </c>
      <c r="G67" s="588">
        <f>F67*D67</f>
        <v>112</v>
      </c>
    </row>
    <row r="68" spans="1:7" ht="12.75" x14ac:dyDescent="0.2">
      <c r="A68" s="594"/>
      <c r="B68" s="596" t="s">
        <v>652</v>
      </c>
      <c r="C68" s="592" t="s">
        <v>651</v>
      </c>
      <c r="D68" s="590">
        <v>0.25</v>
      </c>
      <c r="E68" s="590"/>
      <c r="F68" s="595">
        <v>35</v>
      </c>
      <c r="G68" s="588">
        <f>F68*D68</f>
        <v>8.75</v>
      </c>
    </row>
    <row r="69" spans="1:7" ht="12.75" x14ac:dyDescent="0.2">
      <c r="A69" s="594"/>
      <c r="B69" s="596" t="s">
        <v>650</v>
      </c>
      <c r="C69" s="592" t="s">
        <v>648</v>
      </c>
      <c r="D69" s="590">
        <v>1</v>
      </c>
      <c r="E69" s="590"/>
      <c r="F69" s="597">
        <v>56.6</v>
      </c>
      <c r="G69" s="588">
        <f>D69*F69</f>
        <v>56.6</v>
      </c>
    </row>
    <row r="70" spans="1:7" ht="12.75" x14ac:dyDescent="0.2">
      <c r="A70" s="594">
        <v>43486</v>
      </c>
      <c r="B70" s="593" t="s">
        <v>398</v>
      </c>
      <c r="C70" s="592" t="s">
        <v>636</v>
      </c>
      <c r="D70" s="590">
        <v>0.31</v>
      </c>
      <c r="E70" s="590"/>
      <c r="F70" s="595">
        <v>125</v>
      </c>
      <c r="G70" s="588">
        <f>F70*D70</f>
        <v>38.75</v>
      </c>
    </row>
    <row r="71" spans="1:7" ht="12.75" x14ac:dyDescent="0.2">
      <c r="A71" s="594"/>
      <c r="B71" s="596" t="s">
        <v>638</v>
      </c>
      <c r="C71" s="592" t="s">
        <v>637</v>
      </c>
      <c r="D71" s="590">
        <v>2</v>
      </c>
      <c r="E71" s="590"/>
      <c r="F71" s="595">
        <v>4</v>
      </c>
      <c r="G71" s="588">
        <f>F71*D71</f>
        <v>8</v>
      </c>
    </row>
    <row r="72" spans="1:7" ht="12.75" x14ac:dyDescent="0.2">
      <c r="A72" s="594">
        <v>43487</v>
      </c>
      <c r="B72" s="596" t="s">
        <v>644</v>
      </c>
      <c r="C72" s="592" t="s">
        <v>636</v>
      </c>
      <c r="D72" s="590">
        <v>0.02</v>
      </c>
      <c r="E72" s="590"/>
      <c r="F72" s="595">
        <v>125</v>
      </c>
      <c r="G72" s="588">
        <f>F72*D72</f>
        <v>2.5</v>
      </c>
    </row>
    <row r="73" spans="1:7" ht="12.75" x14ac:dyDescent="0.2">
      <c r="A73" s="594"/>
      <c r="B73" s="593" t="s">
        <v>398</v>
      </c>
      <c r="C73" s="592" t="s">
        <v>636</v>
      </c>
      <c r="D73" s="590">
        <v>0.21</v>
      </c>
      <c r="E73" s="590"/>
      <c r="F73" s="595">
        <v>125</v>
      </c>
      <c r="G73" s="588">
        <f>F73*D73</f>
        <v>26.25</v>
      </c>
    </row>
    <row r="74" spans="1:7" ht="12.75" x14ac:dyDescent="0.2">
      <c r="A74" s="594"/>
      <c r="B74" s="593" t="s">
        <v>279</v>
      </c>
      <c r="C74" s="592" t="s">
        <v>658</v>
      </c>
      <c r="D74" s="590">
        <v>0.05</v>
      </c>
      <c r="E74" s="590"/>
      <c r="F74" s="597">
        <v>135</v>
      </c>
      <c r="G74" s="588">
        <f>D74*F74</f>
        <v>6.75</v>
      </c>
    </row>
    <row r="75" spans="1:7" ht="12.75" x14ac:dyDescent="0.2">
      <c r="A75" s="594">
        <v>43488</v>
      </c>
      <c r="B75" s="596" t="s">
        <v>638</v>
      </c>
      <c r="C75" s="592" t="s">
        <v>637</v>
      </c>
      <c r="D75" s="590">
        <v>2.5</v>
      </c>
      <c r="E75" s="590"/>
      <c r="F75" s="595">
        <v>4</v>
      </c>
      <c r="G75" s="588">
        <f>D75*F75</f>
        <v>10</v>
      </c>
    </row>
    <row r="76" spans="1:7" ht="12.75" x14ac:dyDescent="0.2">
      <c r="A76" s="594"/>
      <c r="B76" s="596" t="s">
        <v>657</v>
      </c>
      <c r="C76" s="592" t="s">
        <v>645</v>
      </c>
      <c r="D76" s="590">
        <v>1</v>
      </c>
      <c r="E76" s="590"/>
      <c r="F76" s="597">
        <v>8.4499999999999993</v>
      </c>
      <c r="G76" s="588">
        <f>F76*D76</f>
        <v>8.4499999999999993</v>
      </c>
    </row>
    <row r="77" spans="1:7" ht="12.75" x14ac:dyDescent="0.2">
      <c r="A77" s="594"/>
      <c r="B77" s="596" t="s">
        <v>647</v>
      </c>
      <c r="C77" s="592" t="s">
        <v>637</v>
      </c>
      <c r="D77" s="590">
        <v>2.5000000000000001E-2</v>
      </c>
      <c r="E77" s="590"/>
      <c r="F77" s="597">
        <v>9.08</v>
      </c>
      <c r="G77" s="588">
        <f>D77*F77</f>
        <v>0.22700000000000001</v>
      </c>
    </row>
    <row r="78" spans="1:7" ht="12.75" x14ac:dyDescent="0.2">
      <c r="A78" s="594">
        <v>43489</v>
      </c>
      <c r="B78" s="593" t="s">
        <v>646</v>
      </c>
      <c r="C78" s="592" t="s">
        <v>645</v>
      </c>
      <c r="D78" s="591">
        <v>0.25</v>
      </c>
      <c r="E78" s="590"/>
      <c r="F78" s="589">
        <v>25</v>
      </c>
      <c r="G78" s="588">
        <f>F78*D78</f>
        <v>6.25</v>
      </c>
    </row>
    <row r="79" spans="1:7" ht="12.75" x14ac:dyDescent="0.2">
      <c r="A79" s="594"/>
      <c r="B79" s="596" t="s">
        <v>647</v>
      </c>
      <c r="C79" s="592" t="s">
        <v>637</v>
      </c>
      <c r="D79" s="590">
        <v>0.35</v>
      </c>
      <c r="E79" s="590"/>
      <c r="F79" s="597">
        <v>9.08</v>
      </c>
      <c r="G79" s="588">
        <f>D79*F79</f>
        <v>3.1779999999999999</v>
      </c>
    </row>
    <row r="80" spans="1:7" ht="12.75" x14ac:dyDescent="0.2">
      <c r="A80" s="594"/>
      <c r="B80" s="596" t="s">
        <v>656</v>
      </c>
      <c r="C80" s="592" t="s">
        <v>655</v>
      </c>
      <c r="D80" s="590">
        <v>1</v>
      </c>
      <c r="E80" s="590"/>
      <c r="F80" s="595">
        <v>127.49</v>
      </c>
      <c r="G80" s="588">
        <f>F80*D80</f>
        <v>127.49</v>
      </c>
    </row>
    <row r="81" spans="1:7" ht="12.75" x14ac:dyDescent="0.2">
      <c r="A81" s="594"/>
      <c r="B81" s="593" t="s">
        <v>398</v>
      </c>
      <c r="C81" s="592" t="s">
        <v>636</v>
      </c>
      <c r="D81" s="590">
        <v>0.6</v>
      </c>
      <c r="E81" s="590"/>
      <c r="F81" s="595">
        <v>125</v>
      </c>
      <c r="G81" s="588">
        <f>F81*D81</f>
        <v>75</v>
      </c>
    </row>
    <row r="82" spans="1:7" ht="12.75" x14ac:dyDescent="0.2">
      <c r="A82" s="594"/>
      <c r="B82" s="596" t="s">
        <v>653</v>
      </c>
      <c r="C82" s="592" t="s">
        <v>636</v>
      </c>
      <c r="D82" s="590">
        <v>0.02</v>
      </c>
      <c r="E82" s="590"/>
      <c r="F82" s="597">
        <v>165</v>
      </c>
      <c r="G82" s="588">
        <f>D82*F82</f>
        <v>3.3000000000000003</v>
      </c>
    </row>
    <row r="83" spans="1:7" ht="12.75" x14ac:dyDescent="0.2">
      <c r="A83" s="594">
        <v>43490</v>
      </c>
      <c r="B83" s="593" t="s">
        <v>654</v>
      </c>
      <c r="C83" s="592" t="s">
        <v>637</v>
      </c>
      <c r="D83" s="590">
        <v>0.25</v>
      </c>
      <c r="E83" s="590"/>
      <c r="F83" s="597">
        <v>13.02</v>
      </c>
      <c r="G83" s="588">
        <f>D83*F83</f>
        <v>3.2549999999999999</v>
      </c>
    </row>
    <row r="84" spans="1:7" ht="12.75" x14ac:dyDescent="0.2">
      <c r="A84" s="594"/>
      <c r="B84" s="596" t="s">
        <v>644</v>
      </c>
      <c r="C84" s="592" t="s">
        <v>636</v>
      </c>
      <c r="D84" s="590">
        <v>0.02</v>
      </c>
      <c r="E84" s="590"/>
      <c r="F84" s="595">
        <v>125</v>
      </c>
      <c r="G84" s="588">
        <f>F84*D84</f>
        <v>2.5</v>
      </c>
    </row>
    <row r="85" spans="1:7" ht="12.75" x14ac:dyDescent="0.2">
      <c r="A85" s="594"/>
      <c r="B85" s="593" t="s">
        <v>398</v>
      </c>
      <c r="C85" s="592" t="s">
        <v>636</v>
      </c>
      <c r="D85" s="590">
        <v>0.21</v>
      </c>
      <c r="E85" s="590"/>
      <c r="F85" s="595">
        <v>125</v>
      </c>
      <c r="G85" s="588">
        <f>F85*D85</f>
        <v>26.25</v>
      </c>
    </row>
    <row r="86" spans="1:7" ht="12.75" x14ac:dyDescent="0.2">
      <c r="A86" s="594"/>
      <c r="B86" s="596" t="s">
        <v>638</v>
      </c>
      <c r="C86" s="592" t="s">
        <v>637</v>
      </c>
      <c r="D86" s="590">
        <v>2</v>
      </c>
      <c r="E86" s="590"/>
      <c r="F86" s="595">
        <v>4</v>
      </c>
      <c r="G86" s="588">
        <f>D86*F86</f>
        <v>8</v>
      </c>
    </row>
    <row r="87" spans="1:7" ht="12.75" x14ac:dyDescent="0.2">
      <c r="A87" s="594">
        <v>43491</v>
      </c>
      <c r="B87" s="596" t="s">
        <v>653</v>
      </c>
      <c r="C87" s="592" t="s">
        <v>636</v>
      </c>
      <c r="D87" s="590">
        <v>0.7</v>
      </c>
      <c r="E87" s="590"/>
      <c r="F87" s="595">
        <v>160</v>
      </c>
      <c r="G87" s="588">
        <f>F87*D87</f>
        <v>112</v>
      </c>
    </row>
    <row r="88" spans="1:7" ht="12.75" x14ac:dyDescent="0.2">
      <c r="A88" s="594"/>
      <c r="B88" s="596" t="s">
        <v>652</v>
      </c>
      <c r="C88" s="592" t="s">
        <v>651</v>
      </c>
      <c r="D88" s="590">
        <v>0.25</v>
      </c>
      <c r="E88" s="590"/>
      <c r="F88" s="595">
        <v>35</v>
      </c>
      <c r="G88" s="588">
        <f>F88*D88</f>
        <v>8.75</v>
      </c>
    </row>
    <row r="89" spans="1:7" ht="12.75" x14ac:dyDescent="0.2">
      <c r="A89" s="594"/>
      <c r="B89" s="596" t="s">
        <v>650</v>
      </c>
      <c r="C89" s="592" t="s">
        <v>648</v>
      </c>
      <c r="D89" s="590">
        <v>3</v>
      </c>
      <c r="E89" s="590"/>
      <c r="F89" s="597">
        <v>56.6</v>
      </c>
      <c r="G89" s="588">
        <f>D89*F89</f>
        <v>169.8</v>
      </c>
    </row>
    <row r="90" spans="1:7" ht="12.75" x14ac:dyDescent="0.2">
      <c r="A90" s="594"/>
      <c r="B90" s="596" t="s">
        <v>649</v>
      </c>
      <c r="C90" s="592" t="s">
        <v>648</v>
      </c>
      <c r="D90" s="590">
        <v>2</v>
      </c>
      <c r="E90" s="590"/>
      <c r="F90" s="597">
        <v>55.7</v>
      </c>
      <c r="G90" s="588">
        <f>D90*F90</f>
        <v>111.4</v>
      </c>
    </row>
    <row r="91" spans="1:7" ht="12.75" x14ac:dyDescent="0.2">
      <c r="A91" s="594">
        <v>43493</v>
      </c>
      <c r="B91" s="593" t="s">
        <v>398</v>
      </c>
      <c r="C91" s="592" t="s">
        <v>636</v>
      </c>
      <c r="D91" s="590">
        <v>7.4999999999999997E-2</v>
      </c>
      <c r="E91" s="590"/>
      <c r="F91" s="595">
        <v>125</v>
      </c>
      <c r="G91" s="588">
        <f>F91*D91</f>
        <v>9.375</v>
      </c>
    </row>
    <row r="92" spans="1:7" ht="12.75" x14ac:dyDescent="0.2">
      <c r="A92" s="594"/>
      <c r="B92" s="596" t="s">
        <v>647</v>
      </c>
      <c r="C92" s="592" t="s">
        <v>637</v>
      </c>
      <c r="D92" s="590">
        <v>2.5000000000000001E-2</v>
      </c>
      <c r="E92" s="590"/>
      <c r="F92" s="597">
        <v>9.08</v>
      </c>
      <c r="G92" s="588">
        <f>D92*F92</f>
        <v>0.22700000000000001</v>
      </c>
    </row>
    <row r="93" spans="1:7" ht="12.75" x14ac:dyDescent="0.2">
      <c r="A93" s="594"/>
      <c r="B93" s="593" t="s">
        <v>646</v>
      </c>
      <c r="C93" s="592" t="s">
        <v>645</v>
      </c>
      <c r="D93" s="591">
        <v>0.25</v>
      </c>
      <c r="E93" s="590"/>
      <c r="F93" s="589">
        <v>25</v>
      </c>
      <c r="G93" s="588">
        <f>F93*D93</f>
        <v>6.25</v>
      </c>
    </row>
    <row r="94" spans="1:7" ht="12.75" x14ac:dyDescent="0.2">
      <c r="A94" s="594">
        <v>43494</v>
      </c>
      <c r="B94" s="596" t="s">
        <v>644</v>
      </c>
      <c r="C94" s="592" t="s">
        <v>636</v>
      </c>
      <c r="D94" s="590">
        <v>0.03</v>
      </c>
      <c r="E94" s="590"/>
      <c r="F94" s="595">
        <v>125</v>
      </c>
      <c r="G94" s="588">
        <f>F94*D94</f>
        <v>3.75</v>
      </c>
    </row>
    <row r="95" spans="1:7" ht="12.75" x14ac:dyDescent="0.2">
      <c r="A95" s="594"/>
      <c r="B95" s="593" t="s">
        <v>398</v>
      </c>
      <c r="C95" s="592" t="s">
        <v>636</v>
      </c>
      <c r="D95" s="590">
        <v>0.25</v>
      </c>
      <c r="E95" s="590"/>
      <c r="F95" s="595">
        <v>125</v>
      </c>
      <c r="G95" s="588">
        <f>F95*D95</f>
        <v>31.25</v>
      </c>
    </row>
    <row r="96" spans="1:7" ht="12.75" x14ac:dyDescent="0.2">
      <c r="A96" s="594"/>
      <c r="B96" s="596" t="s">
        <v>643</v>
      </c>
      <c r="C96" s="592" t="s">
        <v>636</v>
      </c>
      <c r="D96" s="590">
        <v>0.06</v>
      </c>
      <c r="E96" s="590"/>
      <c r="F96" s="595">
        <v>60</v>
      </c>
      <c r="G96" s="588">
        <f>F96*D96</f>
        <v>3.5999999999999996</v>
      </c>
    </row>
    <row r="97" spans="1:13" ht="12.75" x14ac:dyDescent="0.2">
      <c r="A97" s="594">
        <v>43495</v>
      </c>
      <c r="B97" s="596" t="s">
        <v>638</v>
      </c>
      <c r="C97" s="592" t="s">
        <v>637</v>
      </c>
      <c r="D97" s="590">
        <v>3</v>
      </c>
      <c r="E97" s="590"/>
      <c r="F97" s="595">
        <v>4</v>
      </c>
      <c r="G97" s="588">
        <f>F97*D97</f>
        <v>12</v>
      </c>
    </row>
    <row r="98" spans="1:13" ht="12.75" x14ac:dyDescent="0.2">
      <c r="A98" s="594"/>
      <c r="B98" s="593" t="s">
        <v>642</v>
      </c>
      <c r="C98" s="592" t="s">
        <v>641</v>
      </c>
      <c r="D98" s="590">
        <v>1</v>
      </c>
      <c r="E98" s="590"/>
      <c r="F98" s="597">
        <v>25.63</v>
      </c>
      <c r="G98" s="588">
        <f>D98*F98</f>
        <v>25.63</v>
      </c>
    </row>
    <row r="99" spans="1:13" ht="12.75" x14ac:dyDescent="0.2">
      <c r="A99" s="594">
        <v>43496</v>
      </c>
      <c r="B99" s="596" t="s">
        <v>640</v>
      </c>
      <c r="C99" s="592" t="s">
        <v>636</v>
      </c>
      <c r="D99" s="590">
        <v>7.4999999999999997E-2</v>
      </c>
      <c r="E99" s="590"/>
      <c r="F99" s="595">
        <v>180</v>
      </c>
      <c r="G99" s="588">
        <f>F99*D99</f>
        <v>13.5</v>
      </c>
    </row>
    <row r="100" spans="1:13" ht="12.75" x14ac:dyDescent="0.2">
      <c r="A100" s="594"/>
      <c r="B100" s="596" t="s">
        <v>639</v>
      </c>
      <c r="C100" s="592" t="s">
        <v>636</v>
      </c>
      <c r="D100" s="590">
        <v>0.06</v>
      </c>
      <c r="E100" s="590"/>
      <c r="F100" s="595">
        <v>60</v>
      </c>
      <c r="G100" s="588">
        <f>F100*D100</f>
        <v>3.5999999999999996</v>
      </c>
    </row>
    <row r="101" spans="1:13" ht="12.75" x14ac:dyDescent="0.2">
      <c r="A101" s="594"/>
      <c r="B101" s="596" t="s">
        <v>638</v>
      </c>
      <c r="C101" s="592" t="s">
        <v>637</v>
      </c>
      <c r="D101" s="590">
        <v>1</v>
      </c>
      <c r="E101" s="590"/>
      <c r="F101" s="595">
        <v>4</v>
      </c>
      <c r="G101" s="588">
        <f>D101*F101</f>
        <v>4</v>
      </c>
    </row>
    <row r="102" spans="1:13" ht="12.75" x14ac:dyDescent="0.2">
      <c r="A102" s="594"/>
      <c r="B102" s="593" t="s">
        <v>398</v>
      </c>
      <c r="C102" s="592" t="s">
        <v>636</v>
      </c>
      <c r="D102" s="590">
        <v>3.5000000000000003E-2</v>
      </c>
      <c r="E102" s="590"/>
      <c r="F102" s="595">
        <v>125</v>
      </c>
      <c r="G102" s="588">
        <f>F102*D102</f>
        <v>4.375</v>
      </c>
    </row>
    <row r="103" spans="1:13" ht="12.75" x14ac:dyDescent="0.2">
      <c r="A103" s="594"/>
      <c r="B103" s="593"/>
      <c r="C103" s="592"/>
      <c r="D103" s="591"/>
      <c r="E103" s="590"/>
      <c r="F103" s="589"/>
      <c r="G103" s="588"/>
    </row>
    <row r="104" spans="1:13" ht="13.5" thickBot="1" x14ac:dyDescent="0.25">
      <c r="A104" s="587"/>
      <c r="B104" s="586"/>
      <c r="C104" s="585"/>
      <c r="D104" s="585"/>
      <c r="E104" s="585"/>
      <c r="F104" s="584"/>
      <c r="G104" s="583"/>
      <c r="I104" s="388"/>
      <c r="J104" s="388"/>
      <c r="K104" s="388"/>
      <c r="L104" s="388"/>
      <c r="M104" s="388"/>
    </row>
    <row r="105" spans="1:13" ht="13.5" thickBot="1" x14ac:dyDescent="0.25">
      <c r="A105" s="579" t="s">
        <v>6</v>
      </c>
      <c r="B105" s="412"/>
      <c r="C105" s="412"/>
      <c r="D105" s="412"/>
      <c r="E105" s="412"/>
      <c r="F105" s="582"/>
      <c r="G105" s="581">
        <f>SUM(G6:G104)</f>
        <v>2765.5537000000004</v>
      </c>
      <c r="I105" s="388"/>
      <c r="J105" s="388"/>
      <c r="K105" s="388"/>
      <c r="L105" s="388"/>
      <c r="M105" s="388"/>
    </row>
    <row r="106" spans="1:13" ht="16.5" thickTop="1" x14ac:dyDescent="0.25">
      <c r="I106" s="388"/>
      <c r="J106" s="580"/>
      <c r="K106" s="580"/>
      <c r="L106" s="580"/>
      <c r="M106" s="388"/>
    </row>
    <row r="107" spans="1:13" x14ac:dyDescent="0.25">
      <c r="I107" s="388"/>
      <c r="J107" s="388"/>
      <c r="K107" s="388"/>
      <c r="L107" s="388"/>
      <c r="M107" s="388"/>
    </row>
    <row r="108" spans="1:13" x14ac:dyDescent="0.25">
      <c r="I108" s="388"/>
      <c r="J108" s="388"/>
      <c r="K108" s="388"/>
      <c r="L108" s="388"/>
      <c r="M108" s="388"/>
    </row>
    <row r="109" spans="1:13" x14ac:dyDescent="0.25">
      <c r="I109" s="388"/>
      <c r="J109" s="388"/>
      <c r="K109" s="388"/>
      <c r="L109" s="388"/>
      <c r="M109" s="388"/>
    </row>
    <row r="110" spans="1:13" x14ac:dyDescent="0.25">
      <c r="I110" s="388"/>
      <c r="J110" s="388"/>
      <c r="K110" s="388"/>
      <c r="L110" s="388"/>
      <c r="M110" s="388"/>
    </row>
    <row r="111" spans="1:13" x14ac:dyDescent="0.25">
      <c r="I111" s="388"/>
      <c r="J111" s="388"/>
      <c r="K111" s="388"/>
      <c r="L111" s="388"/>
      <c r="M111" s="388"/>
    </row>
    <row r="112" spans="1:13" x14ac:dyDescent="0.25">
      <c r="I112" s="389"/>
      <c r="J112" s="389"/>
      <c r="K112" s="389"/>
      <c r="L112" s="388"/>
      <c r="M112" s="388"/>
    </row>
    <row r="113" spans="9:13" x14ac:dyDescent="0.25">
      <c r="I113" s="389"/>
      <c r="J113" s="389"/>
      <c r="K113" s="389"/>
      <c r="L113" s="388"/>
      <c r="M113" s="388"/>
    </row>
    <row r="114" spans="9:13" x14ac:dyDescent="0.25">
      <c r="I114" s="389"/>
      <c r="J114" s="389"/>
      <c r="K114" s="389"/>
      <c r="L114" s="388"/>
      <c r="M114" s="388"/>
    </row>
    <row r="115" spans="9:13" x14ac:dyDescent="0.25">
      <c r="I115" s="388"/>
      <c r="J115" s="388"/>
      <c r="K115" s="388"/>
      <c r="L115" s="388"/>
      <c r="M115" s="388"/>
    </row>
    <row r="116" spans="9:13" x14ac:dyDescent="0.25">
      <c r="I116" s="388"/>
      <c r="J116" s="388"/>
      <c r="K116" s="388"/>
      <c r="L116" s="388"/>
      <c r="M116" s="388"/>
    </row>
    <row r="117" spans="9:13" x14ac:dyDescent="0.25">
      <c r="I117" s="389"/>
      <c r="J117" s="388"/>
      <c r="K117" s="388"/>
      <c r="L117" s="388"/>
      <c r="M117" s="388"/>
    </row>
    <row r="118" spans="9:13" x14ac:dyDescent="0.25">
      <c r="I118" s="388"/>
      <c r="J118" s="388"/>
      <c r="K118" s="388"/>
      <c r="L118" s="388"/>
      <c r="M118" s="388"/>
    </row>
    <row r="119" spans="9:13" x14ac:dyDescent="0.25">
      <c r="I119" s="388"/>
      <c r="J119" s="388"/>
      <c r="K119" s="388"/>
      <c r="L119" s="388"/>
      <c r="M119" s="388"/>
    </row>
    <row r="120" spans="9:13" x14ac:dyDescent="0.25">
      <c r="I120" s="388"/>
      <c r="J120" s="388"/>
      <c r="K120" s="388"/>
      <c r="L120" s="388"/>
      <c r="M120" s="388"/>
    </row>
    <row r="121" spans="9:13" x14ac:dyDescent="0.25">
      <c r="I121" s="388"/>
      <c r="J121" s="388"/>
      <c r="K121" s="388"/>
      <c r="L121" s="388"/>
      <c r="M121" s="388"/>
    </row>
    <row r="122" spans="9:13" x14ac:dyDescent="0.25">
      <c r="I122" s="388"/>
      <c r="J122" s="388"/>
      <c r="K122" s="388"/>
      <c r="L122" s="388"/>
      <c r="M122" s="3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BS</vt:lpstr>
      <vt:lpstr>IS</vt:lpstr>
      <vt:lpstr>WTB</vt:lpstr>
      <vt:lpstr>sales</vt:lpstr>
      <vt:lpstr>cd</vt:lpstr>
      <vt:lpstr>ap</vt:lpstr>
      <vt:lpstr>pcf</vt:lpstr>
      <vt:lpstr>direct</vt:lpstr>
      <vt:lpstr>spoilage</vt:lpstr>
      <vt:lpstr>payroll_1</vt:lpstr>
      <vt:lpstr>payroll_2</vt:lpstr>
      <vt:lpstr>contri</vt:lpstr>
      <vt:lpstr>sc_2</vt:lpstr>
      <vt:lpstr>payroll_1!Print_Area</vt:lpstr>
      <vt:lpstr>payroll_2!Print_Area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2019-07-01T01:17:52Z</dcterms:created>
  <dcterms:modified xsi:type="dcterms:W3CDTF">2019-07-01T13:34:32Z</dcterms:modified>
</cp:coreProperties>
</file>