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"/>
    </mc:Choice>
  </mc:AlternateContent>
  <xr:revisionPtr revIDLastSave="0" documentId="13_ncr:1_{65487C94-ECAF-4282-8DDB-5A2C31101871}" xr6:coauthVersionLast="45" xr6:coauthVersionMax="45" xr10:uidLastSave="{00000000-0000-0000-0000-000000000000}"/>
  <bookViews>
    <workbookView xWindow="-60" yWindow="-60" windowWidth="24120" windowHeight="12960" tabRatio="500" activeTab="2" xr2:uid="{00000000-000D-0000-FFFF-FFFF00000000}"/>
  </bookViews>
  <sheets>
    <sheet name="ePay" sheetId="1" r:id="rId1"/>
    <sheet name="ITR" sheetId="2" r:id="rId2"/>
    <sheet name="EWT" sheetId="3" r:id="rId3"/>
    <sheet name="VAT" sheetId="4" r:id="rId4"/>
    <sheet name="eSales" sheetId="5" r:id="rId5"/>
    <sheet name="Sheet6" sheetId="6" r:id="rId6"/>
  </sheets>
  <definedNames>
    <definedName name="\q">#REF!</definedName>
    <definedName name="_001_0_000413_7_0001">#REF!</definedName>
    <definedName name="_001_1_840600_3_3071">#REF!</definedName>
    <definedName name="_1001PATTAYA">#REF!</definedName>
    <definedName name="_1023CHIENGINN">#REF!</definedName>
    <definedName name="_1024CHONBURI">#REF!</definedName>
    <definedName name="_1032HADYAI">#REF!</definedName>
    <definedName name="_1037PITSANULOK">#REF!</definedName>
    <definedName name="_1039LOTUS_PATTAYA">#REF!</definedName>
    <definedName name="_1040KHONKAEN">#REF!</definedName>
    <definedName name="_1041UDON">#REF!</definedName>
    <definedName name="_1042SARABURI">#REF!</definedName>
    <definedName name="_1043RAYONG">#REF!</definedName>
    <definedName name="_1045SRIRACHA">#REF!</definedName>
    <definedName name="_1046PHUKET">#REF!</definedName>
    <definedName name="_1047LUMPANG">#REF!</definedName>
    <definedName name="_1048NAKHONSAWAN">#REF!</definedName>
    <definedName name="_1051NAKORNPATHOM">#REF!</definedName>
    <definedName name="_1052JOMSURANG">#REF!</definedName>
    <definedName name="_1053CHIENGRAI">#REF!</definedName>
    <definedName name="_1054UBON">#REF!</definedName>
    <definedName name="_30302307100.531020">#REF!</definedName>
    <definedName name="_30302307100_531020">#REF!</definedName>
    <definedName name="_a2">#REF!</definedName>
    <definedName name="_b2" localSheetId="3">{"'Summary'!$A$5:$H$42"}</definedName>
    <definedName name="_b2">{"'Summary'!$A$5:$H$42"}</definedName>
    <definedName name="_b6" localSheetId="3">{"'Summary'!$A$5:$H$42"}</definedName>
    <definedName name="_b6">{"'Summary'!$A$5:$H$42"}</definedName>
    <definedName name="_bud1">#REF!</definedName>
    <definedName name="_CPR2">#REF!</definedName>
    <definedName name="_Fill">#N/A</definedName>
    <definedName name="_xlnm._FilterDatabase">#REF!</definedName>
    <definedName name="_Key1">#REF!</definedName>
    <definedName name="_KNB1">#REF!</definedName>
    <definedName name="_Mob1">#REF!</definedName>
    <definedName name="_Mob2">#REF!</definedName>
    <definedName name="_Mob3">#REF!</definedName>
    <definedName name="_Mob4">#REF!</definedName>
    <definedName name="_Mob5">#REF!</definedName>
    <definedName name="_Mob6">#REF!</definedName>
    <definedName name="_Mob7">#REF!</definedName>
    <definedName name="_Order1">255</definedName>
    <definedName name="_Order2">255</definedName>
    <definedName name="_PP1005">#REF!</definedName>
    <definedName name="_PR333">#REF!</definedName>
    <definedName name="_PZ1">#REF!</definedName>
    <definedName name="_PZ123">#REF!</definedName>
    <definedName name="_PZ333">#REF!</definedName>
    <definedName name="_Sort">#REF!</definedName>
    <definedName name="_TB0107">#REF!</definedName>
    <definedName name="_TB0207">#REF!</definedName>
    <definedName name="_TB0307">#REF!</definedName>
    <definedName name="_TB0406">#REF!</definedName>
    <definedName name="_TB0407">#REF!</definedName>
    <definedName name="_TB0506">#REF!</definedName>
    <definedName name="_TB0507">#REF!</definedName>
    <definedName name="_TB0606">#REF!</definedName>
    <definedName name="_TB0607">#REF!</definedName>
    <definedName name="_TB0706">#REF!</definedName>
    <definedName name="_TB0806">#REF!</definedName>
    <definedName name="_TB0906">#REF!</definedName>
    <definedName name="_TB1006">#REF!</definedName>
    <definedName name="_TB1106">#REF!</definedName>
    <definedName name="_TB1206">#REF!</definedName>
    <definedName name="_TB1207">#REF!</definedName>
    <definedName name="_WO0805">#REF!</definedName>
    <definedName name="_wo09">#REF!</definedName>
    <definedName name="_wo0905">#REF!</definedName>
    <definedName name="_WO1005">#REF!</definedName>
    <definedName name="_wo1105">#REF!</definedName>
    <definedName name="AA">#REF!</definedName>
    <definedName name="aaa">#REF!</definedName>
    <definedName name="ABC_Graphs">#REF!</definedName>
    <definedName name="ABC_Graphs2">#REF!</definedName>
    <definedName name="ABC_Worksheet">#REF!</definedName>
    <definedName name="ACCFB">#REF!</definedName>
    <definedName name="ACCJAN">#REF!</definedName>
    <definedName name="accode">#REF!</definedName>
    <definedName name="ACCRU">#REF!</definedName>
    <definedName name="AcqType">#REF!</definedName>
    <definedName name="Add_Capital">#REF!</definedName>
    <definedName name="AllaFalseIShipTo">#REF!</definedName>
    <definedName name="AMEXS">#REF!</definedName>
    <definedName name="AnalDate">#REF!</definedName>
    <definedName name="AREA">#REF!</definedName>
    <definedName name="AUG">#REF!</definedName>
    <definedName name="bbb">#REF!</definedName>
    <definedName name="BBR">#REF!</definedName>
    <definedName name="beau" localSheetId="3">{"'Summary'!$A$5:$H$42"}</definedName>
    <definedName name="beau">{"'Summary'!$A$5:$H$42"}</definedName>
    <definedName name="beau1" localSheetId="3">{"'Summary'!$A$5:$H$42"}</definedName>
    <definedName name="beau1">{"'Summary'!$A$5:$H$42"}</definedName>
    <definedName name="beau2" localSheetId="3">{"'Summary'!$A$5:$H$42"}</definedName>
    <definedName name="beau2">{"'Summary'!$A$5:$H$42"}</definedName>
    <definedName name="beau3" localSheetId="3">{"'Summary'!$A$5:$H$42"}</definedName>
    <definedName name="beau3">{"'Summary'!$A$5:$H$42"}</definedName>
    <definedName name="beau4" localSheetId="3">{"'Summary'!$A$5:$H$42"}</definedName>
    <definedName name="beau4">{"'Summary'!$A$5:$H$42"}</definedName>
    <definedName name="BFTAX">#REF!</definedName>
    <definedName name="BR">#REF!</definedName>
    <definedName name="BRA">#REF!</definedName>
    <definedName name="bran">#REF!</definedName>
    <definedName name="BTWACC">#REF!</definedName>
    <definedName name="bud">#REF!</definedName>
    <definedName name="BuiltIn_AutoFilter___1">#REF!</definedName>
    <definedName name="BuiltIn_AutoFilter___10">#REF!</definedName>
    <definedName name="BuiltIn_AutoFilter___11">#REF!</definedName>
    <definedName name="BuiltIn_AutoFilter___12">#REF!</definedName>
    <definedName name="BuiltIn_AutoFilter___13">#REF!</definedName>
    <definedName name="BuiltIn_AutoFilter___6">#REF!</definedName>
    <definedName name="BuiltIn_AutoFilter___9">#REF!</definedName>
    <definedName name="BuiltIn_Print_Titles___0">#REF!</definedName>
    <definedName name="Capital">#REF!</definedName>
    <definedName name="Capital_Summary">#REF!</definedName>
    <definedName name="CAPRISK">#REF!</definedName>
    <definedName name="card">#REF!</definedName>
    <definedName name="ccc">#REF!</definedName>
    <definedName name="CCCC">#REF!</definedName>
    <definedName name="Choices_Wrapper" localSheetId="3">[0]!Choices_Wrapper</definedName>
    <definedName name="Choices_Wrapper">[0]!Choices_Wrapper</definedName>
    <definedName name="CODE" localSheetId="3">#REF!</definedName>
    <definedName name="CODE">#REF!</definedName>
    <definedName name="Company" localSheetId="3">#REF!</definedName>
    <definedName name="Company">#REF!</definedName>
    <definedName name="CORP">#REF!</definedName>
    <definedName name="cr_minorfood_grosssales_01_2003_sheet1">#REF!</definedName>
    <definedName name="CSC">#REF!</definedName>
    <definedName name="cscamex">#REF!</definedName>
    <definedName name="Cuminfla1">#REF!</definedName>
    <definedName name="Cuminfla2">#REF!</definedName>
    <definedName name="Cuminfla3">#REF!</definedName>
    <definedName name="Cuminfla4">#REF!</definedName>
    <definedName name="Cumsalary1">#REF!</definedName>
    <definedName name="Cumsalary2">#REF!</definedName>
    <definedName name="Cumsalary3">#REF!</definedName>
    <definedName name="Cumsalary4">#REF!</definedName>
    <definedName name="_xlnm.Database">#REF!</definedName>
    <definedName name="DAY_OF_PERIOD">#REF!</definedName>
    <definedName name="DD">#REF!</definedName>
    <definedName name="DED">#REF!</definedName>
    <definedName name="Dep_Schedule">#REF!</definedName>
    <definedName name="des">#REF!</definedName>
    <definedName name="DOCKET">#REF!</definedName>
    <definedName name="ds">#REF!</definedName>
    <definedName name="EngAddress">#REF!</definedName>
    <definedName name="ExRate">#REF!</definedName>
    <definedName name="F1aaa">#REF!</definedName>
    <definedName name="FADE">#REF!</definedName>
    <definedName name="FBTAX">#REF!</definedName>
    <definedName name="fd">#REF!</definedName>
    <definedName name="FFB">#REF!</definedName>
    <definedName name="ffff">#REF!</definedName>
    <definedName name="Final">#REF!</definedName>
    <definedName name="FirstTime">#REF!</definedName>
    <definedName name="FixedTerm">#REF!</definedName>
    <definedName name="FOOD1205">#REF!</definedName>
    <definedName name="fsamex">#REF!</definedName>
    <definedName name="FSBR1">#REF!</definedName>
    <definedName name="G4S">#REF!</definedName>
    <definedName name="G4t">#REF!</definedName>
    <definedName name="General_Information">#REF!</definedName>
    <definedName name="hfd">#REF!</definedName>
    <definedName name="hhh">#REF!</definedName>
    <definedName name="HHV">#REF!</definedName>
    <definedName name="hhv.">#REF!</definedName>
    <definedName name="HOUSE">#REF!</definedName>
    <definedName name="housing">#REF!</definedName>
    <definedName name="housing2005">#REF!</definedName>
    <definedName name="HTML_CodePage">874</definedName>
    <definedName name="HTML_Control" localSheetId="3">{"'Summary'!$A$5:$H$42"}</definedName>
    <definedName name="HTML_Control">{"'Summary'!$A$5:$H$42"}</definedName>
    <definedName name="HTML_Description">""</definedName>
    <definedName name="HTML_Email">""</definedName>
    <definedName name="HTML_Header">"Summary"</definedName>
    <definedName name="HTML_LastUpdate">"2/7/2002"</definedName>
    <definedName name="HTML_LineAfter">0</definedName>
    <definedName name="HTML_LineBefore">0</definedName>
    <definedName name="HTML_Name">"suwichai saetang"</definedName>
    <definedName name="HTML_OBDlg2">1</definedName>
    <definedName name="HTML_OBDlg4">1</definedName>
    <definedName name="HTML_OS">0</definedName>
    <definedName name="HTML_PathFile">"C:\Swensen\Monthly.htm"</definedName>
    <definedName name="HTML_Title">"Book2"</definedName>
    <definedName name="infla1">#REF!</definedName>
    <definedName name="infla2">#REF!</definedName>
    <definedName name="infla3">#REF!</definedName>
    <definedName name="infla4">#REF!</definedName>
    <definedName name="InfRate">#REF!</definedName>
    <definedName name="InTrm">#REF!</definedName>
    <definedName name="InvAdv">#REF!</definedName>
    <definedName name="IRR">#REF!</definedName>
    <definedName name="irr_table">#REF!</definedName>
    <definedName name="JJJ">#REF!</definedName>
    <definedName name="jjjj">#REF!</definedName>
    <definedName name="JULY">#REF!</definedName>
    <definedName name="JUNE">#REF!</definedName>
    <definedName name="jvbranch">#REF!</definedName>
    <definedName name="JVFB0805">#REF!</definedName>
    <definedName name="kidamex">#REF!</definedName>
    <definedName name="KNVK">#REF!</definedName>
    <definedName name="KNVV">#REF!</definedName>
    <definedName name="Lease">#REF!</definedName>
    <definedName name="license">#REF!</definedName>
    <definedName name="Life">#REF!</definedName>
    <definedName name="LOC">#REF!</definedName>
    <definedName name="Logistics">#REF!</definedName>
    <definedName name="MASTER">#REF!</definedName>
    <definedName name="MAY">#REF!</definedName>
    <definedName name="mgt_fee">#REF!</definedName>
    <definedName name="MKTYIELD">#REF!</definedName>
    <definedName name="MobEq">#REF!</definedName>
    <definedName name="Monthly_Sales_for_Acct">#REF!</definedName>
    <definedName name="MTD">#REF!</definedName>
    <definedName name="name">#REF!</definedName>
    <definedName name="NAME1">#REF!</definedName>
    <definedName name="NAPAPORN">#REF!</definedName>
    <definedName name="Newest">#REF!</definedName>
    <definedName name="nittaya_su" localSheetId="3">{"'Summary'!$A$5:$H$42"}</definedName>
    <definedName name="nittaya_su">{"'Summary'!$A$5:$H$42"}</definedName>
    <definedName name="NoWeeks">52</definedName>
    <definedName name="NUM">#REF!</definedName>
    <definedName name="OOO">#REF!</definedName>
    <definedName name="OpenforUser2" localSheetId="3">[0]!OpenforUser2</definedName>
    <definedName name="OpenforUser2">[0]!OpenforUser2</definedName>
    <definedName name="OpenForUser3" localSheetId="3">[0]!OpenForUser3</definedName>
    <definedName name="OpenForUser3">[0]!OpenForUser3</definedName>
    <definedName name="OpenForUser4" localSheetId="3">[0]!OpenForUser4</definedName>
    <definedName name="OpenForUser4">[0]!OpenForUser4</definedName>
    <definedName name="OptTrm" localSheetId="3">#REF!</definedName>
    <definedName name="OptTrm">#REF!</definedName>
    <definedName name="OPTYN" localSheetId="3">#REF!</definedName>
    <definedName name="OPTYN">#REF!</definedName>
    <definedName name="OUTSA">#REF!</definedName>
    <definedName name="page1">#REF!</definedName>
    <definedName name="Payback">#REF!</definedName>
    <definedName name="PayerEngAddress">#REF!</definedName>
    <definedName name="PayerSoldTo">#REF!</definedName>
    <definedName name="PL">#REF!</definedName>
    <definedName name="PLT">#REF!</definedName>
    <definedName name="POD">#REF!</definedName>
    <definedName name="ppp">#REF!</definedName>
    <definedName name="PPWO">#REF!</definedName>
    <definedName name="PRE">#REF!</definedName>
    <definedName name="PrepBy">#REF!</definedName>
    <definedName name="Pricing">#REF!</definedName>
    <definedName name="_xlnm.Print_Area">#REF!</definedName>
    <definedName name="_xlnm.Print_Titles">#REF!</definedName>
    <definedName name="Print_Titles_MI">#REF!</definedName>
    <definedName name="PROPRISK">#REF!</definedName>
    <definedName name="PROPUP">#REF!</definedName>
    <definedName name="pv">#REF!</definedName>
    <definedName name="PZAMEX">#REF!</definedName>
    <definedName name="RBD_UPC">#REF!</definedName>
    <definedName name="RECELEC">#REF!</definedName>
    <definedName name="RepCur">#REF!</definedName>
    <definedName name="ReqIrr">#REF!</definedName>
    <definedName name="ReqPayback">#REF!</definedName>
    <definedName name="ReqROSHF">#REF!</definedName>
    <definedName name="ROA">#REF!</definedName>
    <definedName name="ROSHF">#REF!</definedName>
    <definedName name="SALES">#REF!</definedName>
    <definedName name="SAUDI">#REF!</definedName>
    <definedName name="SCASH">#REF!</definedName>
    <definedName name="Scen">#REF!</definedName>
    <definedName name="sdfrserfe">#REF!</definedName>
    <definedName name="sep">#REF!</definedName>
    <definedName name="ShipTo">#REF!</definedName>
    <definedName name="ShipToSoldTo">#REF!</definedName>
    <definedName name="Sign">#REF!</definedName>
    <definedName name="SM">#REF!</definedName>
    <definedName name="SO">#REF!</definedName>
    <definedName name="SoldTo">#REF!</definedName>
    <definedName name="SoldToPayer">#REF!</definedName>
    <definedName name="SoldToShipTo">#REF!</definedName>
    <definedName name="SUB_TOTAL">#REF!</definedName>
    <definedName name="Sum_report_PZ_test2">#REF!</definedName>
    <definedName name="sw">#REF!</definedName>
    <definedName name="TB1206A">#REF!</definedName>
    <definedName name="TBMFG">#REF!</definedName>
    <definedName name="ten_yr_depre">#REF!</definedName>
    <definedName name="TermMethod">#REF!</definedName>
    <definedName name="tfb">#REF!</definedName>
    <definedName name="TFBV">#REF!</definedName>
    <definedName name="tsa">#REF!</definedName>
    <definedName name="tumbon">#REF!</definedName>
    <definedName name="two_yr_depre">#REF!</definedName>
    <definedName name="type">#REF!</definedName>
    <definedName name="Unit">#REF!</definedName>
    <definedName name="UnitMeasure">#REF!</definedName>
    <definedName name="UnitMeaure">#REF!</definedName>
    <definedName name="UUU">#REF!</definedName>
    <definedName name="vk">#REF!</definedName>
    <definedName name="WATER">#REF!</definedName>
    <definedName name="wflicense">#REF!</definedName>
    <definedName name="wfood">#REF!</definedName>
    <definedName name="WIRTE">#REF!</definedName>
    <definedName name="write">#REF!</definedName>
    <definedName name="wro">#REF!</definedName>
    <definedName name="wsignd">#REF!</definedName>
    <definedName name="x">#REF!</definedName>
    <definedName name="years">#REF!</definedName>
    <definedName name="YTD">#REF!</definedName>
    <definedName name="ฟ1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2" i="4" l="1"/>
  <c r="S41" i="4"/>
  <c r="R41" i="4"/>
  <c r="Q41" i="4"/>
  <c r="N41" i="4"/>
  <c r="M41" i="4"/>
  <c r="L41" i="4"/>
  <c r="I41" i="4"/>
  <c r="H41" i="4"/>
  <c r="H42" i="4" s="1"/>
  <c r="G41" i="4"/>
  <c r="C32" i="4"/>
  <c r="B32" i="4"/>
  <c r="D32" i="4" s="1"/>
  <c r="D8" i="4" s="1"/>
  <c r="E8" i="4" s="1"/>
  <c r="R29" i="4"/>
  <c r="Q29" i="4"/>
  <c r="R24" i="4"/>
  <c r="Q24" i="4"/>
  <c r="Q6" i="4" s="1"/>
  <c r="V6" i="4" s="1"/>
  <c r="L24" i="4"/>
  <c r="G24" i="4"/>
  <c r="D24" i="4"/>
  <c r="D23" i="4"/>
  <c r="C23" i="4"/>
  <c r="B23" i="4"/>
  <c r="R22" i="4"/>
  <c r="R6" i="4" s="1"/>
  <c r="L22" i="4"/>
  <c r="G22" i="4"/>
  <c r="D22" i="4"/>
  <c r="M15" i="4"/>
  <c r="H15" i="4"/>
  <c r="G15" i="4"/>
  <c r="J16" i="4" s="1"/>
  <c r="N13" i="4"/>
  <c r="N42" i="4" s="1"/>
  <c r="M13" i="4"/>
  <c r="M42" i="4" s="1"/>
  <c r="I13" i="4"/>
  <c r="I42" i="4" s="1"/>
  <c r="H13" i="4"/>
  <c r="D13" i="4"/>
  <c r="C13" i="4"/>
  <c r="B13" i="4"/>
  <c r="X11" i="4"/>
  <c r="W11" i="4"/>
  <c r="V11" i="4"/>
  <c r="S11" i="4"/>
  <c r="R11" i="4"/>
  <c r="Q11" i="4"/>
  <c r="N11" i="4"/>
  <c r="M11" i="4"/>
  <c r="L11" i="4"/>
  <c r="L15" i="4" s="1"/>
  <c r="O16" i="4" s="1"/>
  <c r="I11" i="4"/>
  <c r="I15" i="4" s="1"/>
  <c r="H11" i="4"/>
  <c r="G11" i="4"/>
  <c r="D11" i="4"/>
  <c r="D15" i="4" s="1"/>
  <c r="C11" i="4"/>
  <c r="C15" i="4" s="1"/>
  <c r="B11" i="4"/>
  <c r="B15" i="4" s="1"/>
  <c r="E16" i="4" s="1"/>
  <c r="I9" i="4"/>
  <c r="C9" i="4"/>
  <c r="B9" i="4"/>
  <c r="S8" i="4"/>
  <c r="X8" i="4" s="1"/>
  <c r="R8" i="4"/>
  <c r="T8" i="4" s="1"/>
  <c r="Q8" i="4"/>
  <c r="V8" i="4" s="1"/>
  <c r="N8" i="4"/>
  <c r="M8" i="4"/>
  <c r="O8" i="4" s="1"/>
  <c r="L8" i="4"/>
  <c r="I8" i="4"/>
  <c r="H8" i="4"/>
  <c r="J8" i="4" s="1"/>
  <c r="G8" i="4"/>
  <c r="S7" i="4"/>
  <c r="X7" i="4" s="1"/>
  <c r="R7" i="4"/>
  <c r="T7" i="4" s="1"/>
  <c r="Q7" i="4"/>
  <c r="V7" i="4" s="1"/>
  <c r="N7" i="4"/>
  <c r="M7" i="4"/>
  <c r="O7" i="4" s="1"/>
  <c r="L7" i="4"/>
  <c r="I7" i="4"/>
  <c r="H7" i="4"/>
  <c r="J7" i="4" s="1"/>
  <c r="G7" i="4"/>
  <c r="E7" i="4"/>
  <c r="D7" i="4"/>
  <c r="S6" i="4"/>
  <c r="X6" i="4" s="1"/>
  <c r="N6" i="4"/>
  <c r="N9" i="4" s="1"/>
  <c r="M6" i="4"/>
  <c r="O6" i="4" s="1"/>
  <c r="L6" i="4"/>
  <c r="L13" i="4" s="1"/>
  <c r="L42" i="4" s="1"/>
  <c r="I6" i="4"/>
  <c r="H6" i="4"/>
  <c r="H9" i="4" s="1"/>
  <c r="G6" i="4"/>
  <c r="G13" i="4" s="1"/>
  <c r="D6" i="4"/>
  <c r="Y5" i="4"/>
  <c r="Q5" i="4"/>
  <c r="O5" i="4"/>
  <c r="J5" i="4"/>
  <c r="E5" i="4"/>
  <c r="Y3" i="4"/>
  <c r="Y11" i="4" s="1"/>
  <c r="T3" i="4"/>
  <c r="T11" i="4" s="1"/>
  <c r="O3" i="4"/>
  <c r="J3" i="4"/>
  <c r="J11" i="4" s="1"/>
  <c r="E3" i="4"/>
  <c r="U37" i="3"/>
  <c r="T37" i="3"/>
  <c r="S37" i="3"/>
  <c r="P37" i="3"/>
  <c r="O37" i="3"/>
  <c r="N37" i="3"/>
  <c r="K37" i="3"/>
  <c r="J37" i="3"/>
  <c r="I37" i="3"/>
  <c r="F37" i="3"/>
  <c r="E37" i="3"/>
  <c r="D37" i="3"/>
  <c r="V29" i="3"/>
  <c r="U29" i="3"/>
  <c r="T29" i="3"/>
  <c r="S29" i="3"/>
  <c r="Q29" i="3"/>
  <c r="P29" i="3"/>
  <c r="O29" i="3"/>
  <c r="N29" i="3"/>
  <c r="L29" i="3"/>
  <c r="K29" i="3"/>
  <c r="J29" i="3"/>
  <c r="I29" i="3"/>
  <c r="G29" i="3"/>
  <c r="F29" i="3"/>
  <c r="E29" i="3"/>
  <c r="D29" i="3"/>
  <c r="V28" i="3"/>
  <c r="U28" i="3"/>
  <c r="T28" i="3"/>
  <c r="S28" i="3"/>
  <c r="Q28" i="3"/>
  <c r="P28" i="3"/>
  <c r="O28" i="3"/>
  <c r="N28" i="3"/>
  <c r="L28" i="3"/>
  <c r="K28" i="3"/>
  <c r="J28" i="3"/>
  <c r="I28" i="3"/>
  <c r="G28" i="3"/>
  <c r="F28" i="3"/>
  <c r="E28" i="3"/>
  <c r="D28" i="3"/>
  <c r="V27" i="3"/>
  <c r="U27" i="3"/>
  <c r="T27" i="3"/>
  <c r="S27" i="3"/>
  <c r="Q27" i="3"/>
  <c r="P27" i="3"/>
  <c r="O27" i="3"/>
  <c r="N27" i="3"/>
  <c r="L27" i="3"/>
  <c r="K27" i="3"/>
  <c r="J27" i="3"/>
  <c r="I27" i="3"/>
  <c r="G27" i="3"/>
  <c r="F27" i="3"/>
  <c r="E27" i="3"/>
  <c r="D27" i="3"/>
  <c r="V26" i="3"/>
  <c r="U26" i="3"/>
  <c r="T26" i="3"/>
  <c r="S26" i="3"/>
  <c r="Q26" i="3"/>
  <c r="P26" i="3"/>
  <c r="O26" i="3"/>
  <c r="N26" i="3"/>
  <c r="L26" i="3"/>
  <c r="K26" i="3"/>
  <c r="J26" i="3"/>
  <c r="I26" i="3"/>
  <c r="G26" i="3"/>
  <c r="F26" i="3"/>
  <c r="E26" i="3"/>
  <c r="D26" i="3"/>
  <c r="V25" i="3"/>
  <c r="U25" i="3"/>
  <c r="T25" i="3"/>
  <c r="S25" i="3"/>
  <c r="Q25" i="3"/>
  <c r="P25" i="3"/>
  <c r="O25" i="3"/>
  <c r="N25" i="3"/>
  <c r="L25" i="3"/>
  <c r="K25" i="3"/>
  <c r="J25" i="3"/>
  <c r="I25" i="3"/>
  <c r="G25" i="3"/>
  <c r="F25" i="3"/>
  <c r="E25" i="3"/>
  <c r="D25" i="3"/>
  <c r="V24" i="3"/>
  <c r="U24" i="3"/>
  <c r="T24" i="3"/>
  <c r="S24" i="3"/>
  <c r="Q24" i="3"/>
  <c r="P24" i="3"/>
  <c r="O24" i="3"/>
  <c r="N24" i="3"/>
  <c r="K24" i="3"/>
  <c r="J24" i="3"/>
  <c r="G24" i="3"/>
  <c r="F24" i="3"/>
  <c r="E24" i="3"/>
  <c r="D24" i="3"/>
  <c r="V22" i="3"/>
  <c r="U22" i="3"/>
  <c r="T22" i="3"/>
  <c r="S22" i="3"/>
  <c r="Q22" i="3"/>
  <c r="P22" i="3"/>
  <c r="O22" i="3"/>
  <c r="N22" i="3"/>
  <c r="L22" i="3"/>
  <c r="K22" i="3"/>
  <c r="J22" i="3"/>
  <c r="I22" i="3"/>
  <c r="G22" i="3"/>
  <c r="F22" i="3"/>
  <c r="E22" i="3"/>
  <c r="D22" i="3"/>
  <c r="U21" i="3"/>
  <c r="Q21" i="3"/>
  <c r="P21" i="3"/>
  <c r="O21" i="3"/>
  <c r="N21" i="3"/>
  <c r="I21" i="3"/>
  <c r="E21" i="3"/>
  <c r="D21" i="3"/>
  <c r="U20" i="3"/>
  <c r="T20" i="3"/>
  <c r="V20" i="3" s="1"/>
  <c r="S20" i="3"/>
  <c r="P20" i="3"/>
  <c r="O20" i="3"/>
  <c r="Q20" i="3" s="1"/>
  <c r="N20" i="3"/>
  <c r="J20" i="3"/>
  <c r="I20" i="3"/>
  <c r="F20" i="3"/>
  <c r="E20" i="3"/>
  <c r="D20" i="3"/>
  <c r="G20" i="3" s="1"/>
  <c r="S19" i="3"/>
  <c r="Q19" i="3"/>
  <c r="O19" i="3"/>
  <c r="N19" i="3"/>
  <c r="J19" i="3"/>
  <c r="I19" i="3"/>
  <c r="E19" i="3"/>
  <c r="D19" i="3"/>
  <c r="U18" i="3"/>
  <c r="T18" i="3"/>
  <c r="S18" i="3"/>
  <c r="V18" i="3" s="1"/>
  <c r="P18" i="3"/>
  <c r="O18" i="3"/>
  <c r="N18" i="3"/>
  <c r="N31" i="3" s="1"/>
  <c r="N38" i="3" s="1"/>
  <c r="K18" i="3"/>
  <c r="J18" i="3"/>
  <c r="J31" i="3" s="1"/>
  <c r="J38" i="3" s="1"/>
  <c r="I18" i="3"/>
  <c r="L18" i="3" s="1"/>
  <c r="F18" i="3"/>
  <c r="E18" i="3"/>
  <c r="E31" i="3" s="1"/>
  <c r="E38" i="3" s="1"/>
  <c r="D18" i="3"/>
  <c r="G18" i="3" s="1"/>
  <c r="O16" i="3"/>
  <c r="E16" i="3"/>
  <c r="D16" i="3"/>
  <c r="V14" i="3"/>
  <c r="Q14" i="3"/>
  <c r="L14" i="3"/>
  <c r="G14" i="3"/>
  <c r="V13" i="3"/>
  <c r="Q13" i="3"/>
  <c r="L13" i="3"/>
  <c r="G13" i="3"/>
  <c r="V12" i="3"/>
  <c r="Q12" i="3"/>
  <c r="L12" i="3"/>
  <c r="G12" i="3"/>
  <c r="V11" i="3"/>
  <c r="Q11" i="3"/>
  <c r="L11" i="3"/>
  <c r="G11" i="3"/>
  <c r="V10" i="3"/>
  <c r="Q10" i="3"/>
  <c r="L10" i="3"/>
  <c r="G10" i="3"/>
  <c r="V9" i="3"/>
  <c r="Q9" i="3"/>
  <c r="I9" i="3"/>
  <c r="I16" i="3" s="1"/>
  <c r="G9" i="3"/>
  <c r="V7" i="3"/>
  <c r="Q7" i="3"/>
  <c r="L7" i="3"/>
  <c r="G7" i="3"/>
  <c r="T6" i="3"/>
  <c r="T21" i="3" s="1"/>
  <c r="S6" i="3"/>
  <c r="V6" i="3" s="1"/>
  <c r="Q6" i="3"/>
  <c r="Q16" i="3" s="1"/>
  <c r="N6" i="3"/>
  <c r="K6" i="3"/>
  <c r="K21" i="3" s="1"/>
  <c r="J6" i="3"/>
  <c r="J21" i="3" s="1"/>
  <c r="L21" i="3" s="1"/>
  <c r="F6" i="3"/>
  <c r="V5" i="3"/>
  <c r="Q5" i="3"/>
  <c r="K5" i="3"/>
  <c r="G5" i="3"/>
  <c r="U4" i="3"/>
  <c r="U19" i="3" s="1"/>
  <c r="T4" i="3"/>
  <c r="T19" i="3" s="1"/>
  <c r="S4" i="3"/>
  <c r="Q4" i="3"/>
  <c r="P4" i="3"/>
  <c r="P19" i="3" s="1"/>
  <c r="L4" i="3"/>
  <c r="K4" i="3"/>
  <c r="J4" i="3"/>
  <c r="I4" i="3"/>
  <c r="G4" i="3"/>
  <c r="F4" i="3"/>
  <c r="V3" i="3"/>
  <c r="N3" i="3"/>
  <c r="Q3" i="3" s="1"/>
  <c r="L3" i="3"/>
  <c r="G3" i="3"/>
  <c r="D10" i="2"/>
  <c r="D2" i="2" s="1"/>
  <c r="E7" i="2"/>
  <c r="E9" i="2" s="1"/>
  <c r="E11" i="2" s="1"/>
  <c r="C7" i="2"/>
  <c r="C1" i="2" s="1"/>
  <c r="D6" i="2"/>
  <c r="D7" i="2" s="1"/>
  <c r="D17" i="2" s="1"/>
  <c r="D19" i="2" s="1"/>
  <c r="E2" i="2"/>
  <c r="C2" i="2"/>
  <c r="E1" i="2"/>
  <c r="D1" i="2"/>
  <c r="K3" i="1"/>
  <c r="T31" i="3" l="1"/>
  <c r="T38" i="3" s="1"/>
  <c r="X13" i="4"/>
  <c r="X9" i="4"/>
  <c r="V15" i="4"/>
  <c r="W12" i="4" s="1"/>
  <c r="R13" i="4"/>
  <c r="R42" i="4" s="1"/>
  <c r="R9" i="4"/>
  <c r="W6" i="4"/>
  <c r="T6" i="4"/>
  <c r="V19" i="3"/>
  <c r="V31" i="3" s="1"/>
  <c r="W37" i="3" s="1"/>
  <c r="L20" i="3"/>
  <c r="D9" i="4"/>
  <c r="Q15" i="4"/>
  <c r="R12" i="4" s="1"/>
  <c r="D9" i="2"/>
  <c r="D11" i="2" s="1"/>
  <c r="E17" i="2"/>
  <c r="E19" i="2" s="1"/>
  <c r="K20" i="3"/>
  <c r="L5" i="3"/>
  <c r="L16" i="3" s="1"/>
  <c r="J16" i="3"/>
  <c r="I31" i="3"/>
  <c r="I38" i="3" s="1"/>
  <c r="O31" i="3"/>
  <c r="O38" i="3" s="1"/>
  <c r="J15" i="4"/>
  <c r="J17" i="4" s="1"/>
  <c r="W7" i="4"/>
  <c r="Y7" i="4" s="1"/>
  <c r="S9" i="4"/>
  <c r="S13" i="4"/>
  <c r="S42" i="4" s="1"/>
  <c r="L9" i="3"/>
  <c r="S16" i="3"/>
  <c r="S21" i="3"/>
  <c r="V21" i="3" s="1"/>
  <c r="I24" i="3"/>
  <c r="L24" i="3" s="1"/>
  <c r="D31" i="3"/>
  <c r="D38" i="3" s="1"/>
  <c r="O11" i="4"/>
  <c r="O13" i="4"/>
  <c r="J13" i="4"/>
  <c r="M9" i="4"/>
  <c r="X15" i="4"/>
  <c r="V13" i="4"/>
  <c r="V9" i="4"/>
  <c r="C17" i="2"/>
  <c r="C19" i="2" s="1"/>
  <c r="V4" i="3"/>
  <c r="V16" i="3" s="1"/>
  <c r="L6" i="3"/>
  <c r="N16" i="3"/>
  <c r="T16" i="3"/>
  <c r="P31" i="3"/>
  <c r="P38" i="3" s="1"/>
  <c r="U31" i="3"/>
  <c r="U38" i="3" s="1"/>
  <c r="S31" i="3"/>
  <c r="S38" i="3" s="1"/>
  <c r="O9" i="4"/>
  <c r="E6" i="4"/>
  <c r="E9" i="4" s="1"/>
  <c r="J6" i="4"/>
  <c r="J9" i="4" s="1"/>
  <c r="W8" i="4"/>
  <c r="S15" i="4"/>
  <c r="C9" i="2"/>
  <c r="C11" i="2" s="1"/>
  <c r="C13" i="2" s="1"/>
  <c r="F19" i="3"/>
  <c r="G19" i="3" s="1"/>
  <c r="F16" i="3"/>
  <c r="K19" i="3"/>
  <c r="K31" i="3" s="1"/>
  <c r="K38" i="3" s="1"/>
  <c r="K16" i="3"/>
  <c r="F21" i="3"/>
  <c r="G21" i="3" s="1"/>
  <c r="G6" i="3"/>
  <c r="G16" i="3" s="1"/>
  <c r="Q18" i="3"/>
  <c r="Q31" i="3" s="1"/>
  <c r="E11" i="4"/>
  <c r="E13" i="4"/>
  <c r="Q13" i="4"/>
  <c r="Q42" i="4" s="1"/>
  <c r="Q9" i="4"/>
  <c r="T5" i="4"/>
  <c r="Y8" i="4"/>
  <c r="N15" i="4"/>
  <c r="P16" i="3"/>
  <c r="U16" i="3"/>
  <c r="G9" i="4"/>
  <c r="L9" i="4"/>
  <c r="G31" i="3" l="1"/>
  <c r="T13" i="4"/>
  <c r="T15" i="4" s="1"/>
  <c r="T9" i="4"/>
  <c r="AD11" i="4"/>
  <c r="F31" i="3"/>
  <c r="F38" i="3" s="1"/>
  <c r="E15" i="4"/>
  <c r="E17" i="4" s="1"/>
  <c r="C15" i="2"/>
  <c r="C21" i="2" s="1"/>
  <c r="C25" i="2" s="1"/>
  <c r="D12" i="2"/>
  <c r="D13" i="2" s="1"/>
  <c r="O15" i="4"/>
  <c r="O17" i="4" s="1"/>
  <c r="W13" i="4"/>
  <c r="W15" i="4" s="1"/>
  <c r="Y16" i="4" s="1"/>
  <c r="W9" i="4"/>
  <c r="Y6" i="4"/>
  <c r="L19" i="3"/>
  <c r="L31" i="3" s="1"/>
  <c r="R15" i="4"/>
  <c r="T16" i="4" s="1"/>
  <c r="D15" i="2" l="1"/>
  <c r="D21" i="2" s="1"/>
  <c r="D25" i="2" s="1"/>
  <c r="E12" i="2"/>
  <c r="E13" i="2" s="1"/>
  <c r="E15" i="2" s="1"/>
  <c r="E21" i="2" s="1"/>
  <c r="E25" i="2" s="1"/>
  <c r="Y13" i="4"/>
  <c r="Y15" i="4" s="1"/>
  <c r="Y9" i="4"/>
  <c r="T17" i="4"/>
  <c r="AD10" i="4" l="1"/>
  <c r="AD13" i="4" s="1"/>
  <c r="Y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5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For payment to December period</t>
        </r>
      </text>
    </comment>
    <comment ref="T10" authorId="0" shapeId="0" xr:uid="{00000000-0006-0000-0200-000002000000}">
      <text>
        <r>
          <rPr>
            <sz val="11"/>
            <color rgb="FF000000"/>
            <rFont val="Calibri"/>
            <family val="2"/>
            <charset val="1"/>
          </rPr>
          <t>For payment to December period</t>
        </r>
      </text>
    </comment>
  </commentList>
</comments>
</file>

<file path=xl/sharedStrings.xml><?xml version="1.0" encoding="utf-8"?>
<sst xmlns="http://schemas.openxmlformats.org/spreadsheetml/2006/main" count="230" uniqueCount="164">
  <si>
    <t>TOSHCO INC</t>
  </si>
  <si>
    <t>TIN</t>
  </si>
  <si>
    <t>234-308-821-000</t>
  </si>
  <si>
    <t>USER NAME</t>
  </si>
  <si>
    <t>toshcoinc</t>
  </si>
  <si>
    <t>PASSWORD</t>
  </si>
  <si>
    <t>toshvalero</t>
  </si>
  <si>
    <t>CHALLENGE QUESTION</t>
  </si>
  <si>
    <t>start of operation</t>
  </si>
  <si>
    <t>ANSWER</t>
  </si>
  <si>
    <t>MAKER</t>
  </si>
  <si>
    <t>NEW</t>
  </si>
  <si>
    <t>cbctociacc</t>
  </si>
  <si>
    <t>Ac112557$</t>
  </si>
  <si>
    <t>Ac015310$</t>
  </si>
  <si>
    <t>SEC QUESTION</t>
  </si>
  <si>
    <t>tosh?</t>
  </si>
  <si>
    <t>year?</t>
  </si>
  <si>
    <t>valero</t>
  </si>
  <si>
    <t>PIN</t>
  </si>
  <si>
    <t>eSales</t>
  </si>
  <si>
    <t>User</t>
  </si>
  <si>
    <t>Password</t>
  </si>
  <si>
    <t>Toshcoinc_07.2018</t>
  </si>
  <si>
    <t>New Password</t>
  </si>
  <si>
    <t>ToshcoInc.2004</t>
  </si>
  <si>
    <t>1st Quarter</t>
  </si>
  <si>
    <t>2nd Quarter</t>
  </si>
  <si>
    <t>3rd Quarter</t>
  </si>
  <si>
    <t>Sales</t>
  </si>
  <si>
    <t>16C</t>
  </si>
  <si>
    <t>Cost of Sales</t>
  </si>
  <si>
    <t>17C</t>
  </si>
  <si>
    <t>Gross Income</t>
  </si>
  <si>
    <t>18C</t>
  </si>
  <si>
    <t>Other income</t>
  </si>
  <si>
    <t>19B</t>
  </si>
  <si>
    <t>Total</t>
  </si>
  <si>
    <t>20C</t>
  </si>
  <si>
    <t>Deductions</t>
  </si>
  <si>
    <t>21C</t>
  </si>
  <si>
    <t>Taxable Income</t>
  </si>
  <si>
    <t>22B</t>
  </si>
  <si>
    <t>Previous Qtr</t>
  </si>
  <si>
    <t>23B</t>
  </si>
  <si>
    <t>To Date</t>
  </si>
  <si>
    <t>24B</t>
  </si>
  <si>
    <t>Tax Rate</t>
  </si>
  <si>
    <t>25B</t>
  </si>
  <si>
    <t>Income Tax</t>
  </si>
  <si>
    <t>26B</t>
  </si>
  <si>
    <t>Gross Profit to Date</t>
  </si>
  <si>
    <t>MCIT Rate</t>
  </si>
  <si>
    <t>MCIT</t>
  </si>
  <si>
    <t>Higher</t>
  </si>
  <si>
    <t>29A</t>
  </si>
  <si>
    <t>Previous Year MCIT</t>
  </si>
  <si>
    <t>29B</t>
  </si>
  <si>
    <t>Balance</t>
  </si>
  <si>
    <t>29C</t>
  </si>
  <si>
    <t>January</t>
  </si>
  <si>
    <t>February</t>
  </si>
  <si>
    <t>March</t>
  </si>
  <si>
    <t>1Q</t>
  </si>
  <si>
    <t>April</t>
  </si>
  <si>
    <t>May</t>
  </si>
  <si>
    <t>June</t>
  </si>
  <si>
    <t>2Q</t>
  </si>
  <si>
    <t>July</t>
  </si>
  <si>
    <t>August</t>
  </si>
  <si>
    <t>September</t>
  </si>
  <si>
    <t>3Q</t>
  </si>
  <si>
    <t>October</t>
  </si>
  <si>
    <t>November</t>
  </si>
  <si>
    <t>December</t>
  </si>
  <si>
    <t>4Q</t>
  </si>
  <si>
    <t>WC051</t>
  </si>
  <si>
    <t>WC100</t>
  </si>
  <si>
    <t>WC120</t>
  </si>
  <si>
    <t>WC158</t>
  </si>
  <si>
    <t>WC160</t>
  </si>
  <si>
    <t>WI010</t>
  </si>
  <si>
    <t>WI091</t>
  </si>
  <si>
    <t>WI100</t>
  </si>
  <si>
    <t>WI120</t>
  </si>
  <si>
    <t>WI158</t>
  </si>
  <si>
    <t>WI160</t>
  </si>
  <si>
    <t>WC050</t>
  </si>
  <si>
    <t>WI090</t>
  </si>
  <si>
    <t>Purchases</t>
  </si>
  <si>
    <t>Service</t>
  </si>
  <si>
    <t>PCF</t>
  </si>
  <si>
    <t>actually paid</t>
  </si>
  <si>
    <t>With Renovation Expenses</t>
  </si>
  <si>
    <t>VAT</t>
  </si>
  <si>
    <t>Capital</t>
  </si>
  <si>
    <t>Goods</t>
  </si>
  <si>
    <t>Exempt</t>
  </si>
  <si>
    <t>VAT due (no Renovation)</t>
  </si>
  <si>
    <t>Output Tax</t>
  </si>
  <si>
    <t>Input Tax from renovation</t>
  </si>
  <si>
    <t>Excess from last period</t>
  </si>
  <si>
    <t>Input Tax</t>
  </si>
  <si>
    <t>VAT due (with Renovation</t>
  </si>
  <si>
    <t>VAT Due</t>
  </si>
  <si>
    <t>Capital – Purch</t>
  </si>
  <si>
    <t>Goods - Purch</t>
  </si>
  <si>
    <t>Adjustment</t>
  </si>
  <si>
    <t>Goods - PCF</t>
  </si>
  <si>
    <t>Services - Purch</t>
  </si>
  <si>
    <t>Services - PCF</t>
  </si>
  <si>
    <t>Services - EWT</t>
  </si>
  <si>
    <t>Exempt - Purch</t>
  </si>
  <si>
    <t>Exempt - PCF</t>
  </si>
  <si>
    <t>Exempt - EWT</t>
  </si>
  <si>
    <t>Services</t>
  </si>
  <si>
    <t>Last OR No. Issued</t>
  </si>
  <si>
    <t>Vat</t>
  </si>
  <si>
    <t>Zero-Rated</t>
  </si>
  <si>
    <t>Exempted</t>
  </si>
  <si>
    <t>Others</t>
  </si>
  <si>
    <t>0710201905005535425890</t>
  </si>
  <si>
    <t>0710201905006045825897</t>
  </si>
  <si>
    <t>0710201905006055325898</t>
  </si>
  <si>
    <t>0710201905006065325899</t>
  </si>
  <si>
    <t>0710201905006074525900</t>
  </si>
  <si>
    <t>Alternatives Food Corp.</t>
  </si>
  <si>
    <t>242-519-126-000</t>
  </si>
  <si>
    <t>Bestchoice Marketing</t>
  </si>
  <si>
    <t>181-079-094-000</t>
  </si>
  <si>
    <t>Brilliant Marketing</t>
  </si>
  <si>
    <t>166-445-524-000</t>
  </si>
  <si>
    <t>Cabutad Vegetable Dealer</t>
  </si>
  <si>
    <t>115-491-959-000</t>
  </si>
  <si>
    <t>Sozo Inc</t>
  </si>
  <si>
    <t>006-801-378-000</t>
  </si>
  <si>
    <t>E-Blue Holdings &amp; Trading</t>
  </si>
  <si>
    <t>241-402-504-000</t>
  </si>
  <si>
    <t>Fernando Sampaga</t>
  </si>
  <si>
    <t>916-578-829-000</t>
  </si>
  <si>
    <t>Fortune Gas</t>
  </si>
  <si>
    <t>000-139-564-000</t>
  </si>
  <si>
    <t>Jmk Seafoods &amp; Meat Dealer</t>
  </si>
  <si>
    <t>253-085-810-000</t>
  </si>
  <si>
    <t>Kelgene International Inc</t>
  </si>
  <si>
    <t>211-612-468-008</t>
  </si>
  <si>
    <t>Lulubee Corporation</t>
  </si>
  <si>
    <t>008-191-206-000</t>
  </si>
  <si>
    <t>Manila Bambi Foods Company</t>
  </si>
  <si>
    <t>202-584-709-000</t>
  </si>
  <si>
    <t>Paperous Enterprises</t>
  </si>
  <si>
    <t>227-573-178-000</t>
  </si>
  <si>
    <t>Pepsi-Cola Products Inc.</t>
  </si>
  <si>
    <t>000-168-541-029</t>
  </si>
  <si>
    <t>Phoenix Royal Trading Co., Inc.</t>
  </si>
  <si>
    <t>216-218-224-000</t>
  </si>
  <si>
    <t>Q &amp; H Foods, Inc.</t>
  </si>
  <si>
    <t>004-967-715-000</t>
  </si>
  <si>
    <t>Rmlo Trading</t>
  </si>
  <si>
    <t>212-660-908-001</t>
  </si>
  <si>
    <t>San Miguel Brewery Inc,</t>
  </si>
  <si>
    <t>006-807-251-027</t>
  </si>
  <si>
    <t>Streets Corporation</t>
  </si>
  <si>
    <t>004-521-952-000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</si>
</sst>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d/mmm"/>
  </numFmts>
  <fonts count="9" x14ac:knownFonts="1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0"/>
      <color rgb="FF222222"/>
      <name val="Arial Black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sz val="8"/>
      <name val="Arial"/>
      <family val="2"/>
      <charset val="1"/>
    </font>
    <font>
      <sz val="8"/>
      <color rgb="FF000000"/>
      <name val="Times New Roman"/>
      <family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5E8AC7"/>
        <bgColor rgb="FF7F7F7F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rgb="FF303030"/>
      </left>
      <right style="thin">
        <color rgb="FF303030"/>
      </right>
      <top style="thin">
        <color rgb="FF303030"/>
      </top>
      <bottom style="thin">
        <color rgb="FF303030"/>
      </bottom>
      <diagonal/>
    </border>
  </borders>
  <cellStyleXfs count="4">
    <xf numFmtId="0" fontId="0" fillId="0" borderId="0"/>
    <xf numFmtId="164" fontId="8" fillId="0" borderId="0" applyBorder="0" applyProtection="0"/>
    <xf numFmtId="9" fontId="8" fillId="0" borderId="0" applyBorder="0" applyProtection="0"/>
    <xf numFmtId="0" fontId="5" fillId="0" borderId="0" applyBorder="0" applyProtection="0"/>
  </cellStyleXfs>
  <cellXfs count="47">
    <xf numFmtId="0" fontId="0" fillId="0" borderId="0" xfId="0"/>
    <xf numFmtId="164" fontId="6" fillId="0" borderId="1" xfId="1" applyFont="1" applyBorder="1" applyAlignment="1" applyProtection="1">
      <alignment horizontal="center" vertical="center" wrapText="1"/>
    </xf>
    <xf numFmtId="164" fontId="0" fillId="0" borderId="0" xfId="0" applyNumberFormat="1" applyFont="1" applyBorder="1" applyAlignment="1" applyProtection="1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65" fontId="0" fillId="0" borderId="0" xfId="0" applyNumberFormat="1"/>
    <xf numFmtId="164" fontId="0" fillId="0" borderId="0" xfId="0" applyNumberFormat="1"/>
    <xf numFmtId="0" fontId="0" fillId="0" borderId="0" xfId="0" applyFont="1" applyAlignment="1">
      <alignment horizontal="center"/>
    </xf>
    <xf numFmtId="164" fontId="0" fillId="0" borderId="0" xfId="1" applyFont="1" applyBorder="1" applyAlignment="1" applyProtection="1"/>
    <xf numFmtId="164" fontId="0" fillId="0" borderId="1" xfId="1" applyFont="1" applyBorder="1" applyAlignment="1" applyProtection="1"/>
    <xf numFmtId="9" fontId="0" fillId="0" borderId="0" xfId="1" applyNumberFormat="1" applyFont="1" applyBorder="1" applyAlignment="1" applyProtection="1"/>
    <xf numFmtId="164" fontId="0" fillId="0" borderId="2" xfId="1" applyFont="1" applyBorder="1" applyAlignment="1" applyProtection="1"/>
    <xf numFmtId="9" fontId="0" fillId="0" borderId="0" xfId="0" applyNumberFormat="1"/>
    <xf numFmtId="164" fontId="0" fillId="0" borderId="3" xfId="1" applyFont="1" applyBorder="1" applyAlignment="1" applyProtection="1"/>
    <xf numFmtId="164" fontId="0" fillId="0" borderId="4" xfId="1" applyFont="1" applyBorder="1" applyAlignment="1" applyProtection="1"/>
    <xf numFmtId="9" fontId="0" fillId="0" borderId="0" xfId="2" applyFont="1" applyBorder="1" applyAlignment="1" applyProtection="1"/>
    <xf numFmtId="164" fontId="0" fillId="3" borderId="0" xfId="1" applyFont="1" applyFill="1" applyBorder="1" applyAlignment="1" applyProtection="1"/>
    <xf numFmtId="164" fontId="0" fillId="2" borderId="0" xfId="1" applyFont="1" applyFill="1" applyBorder="1" applyAlignment="1" applyProtection="1"/>
    <xf numFmtId="164" fontId="4" fillId="0" borderId="0" xfId="1" applyFont="1" applyBorder="1" applyAlignment="1" applyProtection="1"/>
    <xf numFmtId="0" fontId="4" fillId="0" borderId="0" xfId="0" applyFont="1"/>
    <xf numFmtId="164" fontId="8" fillId="0" borderId="0" xfId="1" applyBorder="1" applyProtection="1"/>
    <xf numFmtId="4" fontId="0" fillId="3" borderId="0" xfId="0" applyNumberFormat="1" applyFill="1"/>
    <xf numFmtId="0" fontId="0" fillId="3" borderId="0" xfId="0" applyFill="1"/>
    <xf numFmtId="0" fontId="6" fillId="0" borderId="0" xfId="3" applyFont="1" applyBorder="1" applyAlignment="1" applyProtection="1">
      <alignment horizontal="center" wrapText="1"/>
    </xf>
    <xf numFmtId="164" fontId="6" fillId="0" borderId="1" xfId="1" applyFont="1" applyBorder="1" applyAlignment="1" applyProtection="1">
      <alignment horizontal="center" wrapText="1"/>
    </xf>
    <xf numFmtId="164" fontId="6" fillId="0" borderId="1" xfId="1" applyFont="1" applyBorder="1" applyAlignment="1" applyProtection="1">
      <alignment horizontal="center"/>
    </xf>
    <xf numFmtId="0" fontId="6" fillId="0" borderId="0" xfId="3" applyFont="1" applyBorder="1" applyAlignment="1" applyProtection="1">
      <alignment horizontal="left" wrapText="1"/>
    </xf>
    <xf numFmtId="4" fontId="0" fillId="0" borderId="2" xfId="0" applyNumberFormat="1" applyBorder="1"/>
    <xf numFmtId="4" fontId="0" fillId="0" borderId="0" xfId="0" applyNumberFormat="1"/>
    <xf numFmtId="0" fontId="6" fillId="0" borderId="0" xfId="3" applyFont="1" applyBorder="1" applyAlignment="1" applyProtection="1">
      <alignment horizontal="left" wrapText="1" indent="15"/>
    </xf>
    <xf numFmtId="0" fontId="2" fillId="0" borderId="0" xfId="3" applyFont="1" applyBorder="1" applyAlignment="1" applyProtection="1"/>
    <xf numFmtId="4" fontId="0" fillId="0" borderId="0" xfId="0" applyNumberFormat="1" applyBorder="1"/>
    <xf numFmtId="0" fontId="0" fillId="0" borderId="3" xfId="0" applyBorder="1"/>
    <xf numFmtId="4" fontId="0" fillId="0" borderId="1" xfId="0" applyNumberFormat="1" applyBorder="1"/>
    <xf numFmtId="4" fontId="0" fillId="0" borderId="4" xfId="0" applyNumberFormat="1" applyBorder="1"/>
    <xf numFmtId="0" fontId="6" fillId="0" borderId="4" xfId="3" applyFont="1" applyBorder="1" applyAlignment="1" applyProtection="1">
      <alignment horizontal="left" wrapText="1"/>
    </xf>
    <xf numFmtId="4" fontId="4" fillId="4" borderId="0" xfId="0" applyNumberFormat="1" applyFont="1" applyFill="1" applyBorder="1"/>
    <xf numFmtId="4" fontId="0" fillId="4" borderId="0" xfId="0" applyNumberFormat="1" applyFill="1" applyBorder="1"/>
    <xf numFmtId="4" fontId="0" fillId="0" borderId="5" xfId="0" applyNumberFormat="1" applyBorder="1"/>
    <xf numFmtId="164" fontId="0" fillId="2" borderId="0" xfId="0" applyNumberFormat="1" applyFill="1"/>
    <xf numFmtId="49" fontId="0" fillId="0" borderId="0" xfId="0" applyNumberForma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7" fillId="0" borderId="6" xfId="0" applyFont="1" applyBorder="1" applyAlignment="1">
      <alignment horizontal="center"/>
    </xf>
  </cellXfs>
  <cellStyles count="4">
    <cellStyle name="Comma" xfId="1" builtinId="3"/>
    <cellStyle name="Explanatory Text" xfId="3" builtinId="53" customBuiltin="1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E8AC7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0303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370710</xdr:colOff>
      <xdr:row>49</xdr:row>
      <xdr:rowOff>189720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126957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370710</xdr:colOff>
      <xdr:row>49</xdr:row>
      <xdr:rowOff>189720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0"/>
          <a:ext cx="126957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237870</xdr:colOff>
      <xdr:row>49</xdr:row>
      <xdr:rowOff>190080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0" y="0"/>
          <a:ext cx="125629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237870</xdr:colOff>
      <xdr:row>49</xdr:row>
      <xdr:rowOff>190080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0" y="0"/>
          <a:ext cx="125629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28</xdr:col>
      <xdr:colOff>409575</xdr:colOff>
      <xdr:row>50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28</xdr:col>
      <xdr:colOff>409575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zoomScaleNormal="100" workbookViewId="0">
      <selection activeCell="C16" sqref="C16"/>
    </sheetView>
  </sheetViews>
  <sheetFormatPr defaultRowHeight="15" x14ac:dyDescent="0.25"/>
  <cols>
    <col min="1" max="1" width="33.7109375" customWidth="1"/>
    <col min="2" max="2" width="15.140625" customWidth="1"/>
    <col min="3" max="3" width="8.85546875" customWidth="1"/>
    <col min="4" max="4" width="11.5703125" customWidth="1"/>
    <col min="5" max="1025" width="8.85546875" customWidth="1"/>
  </cols>
  <sheetData>
    <row r="1" spans="1:11" x14ac:dyDescent="0.25">
      <c r="A1" t="s">
        <v>0</v>
      </c>
    </row>
    <row r="3" spans="1:11" x14ac:dyDescent="0.25">
      <c r="A3" t="s">
        <v>1</v>
      </c>
      <c r="B3" t="s">
        <v>2</v>
      </c>
      <c r="H3" s="2"/>
      <c r="I3" s="2"/>
      <c r="K3" s="2">
        <f>2000*4</f>
        <v>8000</v>
      </c>
    </row>
    <row r="4" spans="1:11" x14ac:dyDescent="0.25">
      <c r="A4" t="s">
        <v>3</v>
      </c>
      <c r="B4" t="s">
        <v>4</v>
      </c>
      <c r="H4" s="2"/>
      <c r="I4" s="2"/>
    </row>
    <row r="5" spans="1:11" x14ac:dyDescent="0.25">
      <c r="A5" t="s">
        <v>5</v>
      </c>
      <c r="B5" t="s">
        <v>6</v>
      </c>
      <c r="H5" s="2"/>
      <c r="I5" s="2"/>
    </row>
    <row r="6" spans="1:11" x14ac:dyDescent="0.25">
      <c r="A6" t="s">
        <v>7</v>
      </c>
      <c r="B6" t="s">
        <v>8</v>
      </c>
      <c r="H6" s="2"/>
      <c r="I6" s="2"/>
    </row>
    <row r="7" spans="1:11" x14ac:dyDescent="0.25">
      <c r="A7" t="s">
        <v>9</v>
      </c>
      <c r="B7">
        <v>2004</v>
      </c>
      <c r="H7" s="2"/>
      <c r="I7" s="2"/>
    </row>
    <row r="8" spans="1:11" x14ac:dyDescent="0.25">
      <c r="H8" s="2"/>
      <c r="I8" s="2"/>
    </row>
    <row r="9" spans="1:11" x14ac:dyDescent="0.25">
      <c r="H9" s="2"/>
      <c r="I9" s="2"/>
    </row>
    <row r="10" spans="1:11" x14ac:dyDescent="0.25">
      <c r="H10" s="2"/>
      <c r="I10" s="2"/>
    </row>
    <row r="11" spans="1:11" x14ac:dyDescent="0.25">
      <c r="A11" t="s">
        <v>10</v>
      </c>
      <c r="C11" t="s">
        <v>11</v>
      </c>
      <c r="H11" s="2"/>
      <c r="I11" s="2"/>
    </row>
    <row r="12" spans="1:11" x14ac:dyDescent="0.25">
      <c r="H12" s="2"/>
      <c r="I12" s="2"/>
    </row>
    <row r="13" spans="1:11" x14ac:dyDescent="0.25">
      <c r="A13" t="s">
        <v>3</v>
      </c>
      <c r="B13" s="3"/>
      <c r="C13" s="4" t="s">
        <v>12</v>
      </c>
      <c r="E13" s="5" t="s">
        <v>12</v>
      </c>
    </row>
    <row r="14" spans="1:11" x14ac:dyDescent="0.25">
      <c r="A14" t="s">
        <v>5</v>
      </c>
      <c r="B14" s="3"/>
      <c r="C14" s="4" t="s">
        <v>13</v>
      </c>
      <c r="D14" s="3"/>
      <c r="E14" s="5" t="s">
        <v>14</v>
      </c>
    </row>
    <row r="15" spans="1:11" x14ac:dyDescent="0.25">
      <c r="A15" t="s">
        <v>15</v>
      </c>
      <c r="C15" s="4" t="s">
        <v>16</v>
      </c>
      <c r="E15" s="5" t="s">
        <v>17</v>
      </c>
    </row>
    <row r="16" spans="1:11" x14ac:dyDescent="0.25">
      <c r="A16" t="s">
        <v>9</v>
      </c>
      <c r="C16" s="4" t="s">
        <v>18</v>
      </c>
      <c r="D16" s="3"/>
      <c r="E16" s="5">
        <v>2004</v>
      </c>
    </row>
    <row r="18" spans="1:5" ht="15.75" x14ac:dyDescent="0.3">
      <c r="A18" t="s">
        <v>19</v>
      </c>
      <c r="B18" s="6">
        <v>545969</v>
      </c>
    </row>
    <row r="21" spans="1:5" x14ac:dyDescent="0.25">
      <c r="A21" s="7"/>
      <c r="B21" s="7"/>
      <c r="C21" s="7"/>
      <c r="D21" s="7"/>
      <c r="E21" s="7"/>
    </row>
    <row r="22" spans="1:5" x14ac:dyDescent="0.25">
      <c r="A22" s="4" t="s">
        <v>20</v>
      </c>
    </row>
    <row r="23" spans="1:5" x14ac:dyDescent="0.25">
      <c r="A23" t="s">
        <v>21</v>
      </c>
      <c r="B23" t="s">
        <v>4</v>
      </c>
    </row>
    <row r="24" spans="1:5" x14ac:dyDescent="0.25">
      <c r="A24" t="s">
        <v>22</v>
      </c>
      <c r="B24" t="s">
        <v>23</v>
      </c>
    </row>
    <row r="26" spans="1:5" x14ac:dyDescent="0.25">
      <c r="A26" t="s">
        <v>24</v>
      </c>
      <c r="B26" t="s">
        <v>25</v>
      </c>
      <c r="C26" s="8">
        <v>43648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zoomScaleNormal="100" workbookViewId="0">
      <selection activeCell="C25" sqref="C25"/>
    </sheetView>
  </sheetViews>
  <sheetFormatPr defaultRowHeight="15" x14ac:dyDescent="0.25"/>
  <cols>
    <col min="1" max="1" width="17.28515625" customWidth="1"/>
    <col min="2" max="2" width="4.140625" customWidth="1"/>
    <col min="3" max="5" width="12.5703125" customWidth="1"/>
    <col min="6" max="1025" width="8.5703125" customWidth="1"/>
  </cols>
  <sheetData>
    <row r="1" spans="1:5" x14ac:dyDescent="0.25">
      <c r="C1" s="9">
        <f>+C7/C5</f>
        <v>0.64667163474950606</v>
      </c>
      <c r="D1" s="9" t="e">
        <f>+D7/D5</f>
        <v>#REF!</v>
      </c>
      <c r="E1" s="9" t="e">
        <f>+E7/E5</f>
        <v>#DIV/0!</v>
      </c>
    </row>
    <row r="2" spans="1:5" x14ac:dyDescent="0.25">
      <c r="C2" s="9">
        <f>+C10/C5</f>
        <v>0.597409381733772</v>
      </c>
      <c r="D2" s="9" t="e">
        <f>+D10/D5</f>
        <v>#REF!</v>
      </c>
      <c r="E2" s="9" t="e">
        <f>+E10/E5</f>
        <v>#DIV/0!</v>
      </c>
    </row>
    <row r="4" spans="1:5" x14ac:dyDescent="0.25">
      <c r="C4" s="10" t="s">
        <v>26</v>
      </c>
      <c r="D4" s="10" t="s">
        <v>27</v>
      </c>
      <c r="E4" s="10" t="s">
        <v>28</v>
      </c>
    </row>
    <row r="5" spans="1:5" x14ac:dyDescent="0.25">
      <c r="A5" t="s">
        <v>29</v>
      </c>
      <c r="B5" t="s">
        <v>30</v>
      </c>
      <c r="C5" s="11">
        <v>2267715.81</v>
      </c>
      <c r="D5" s="11">
        <v>2058692.97</v>
      </c>
      <c r="E5" s="11"/>
    </row>
    <row r="6" spans="1:5" x14ac:dyDescent="0.25">
      <c r="A6" t="s">
        <v>31</v>
      </c>
      <c r="B6" t="s">
        <v>32</v>
      </c>
      <c r="C6" s="12">
        <v>801248.32</v>
      </c>
      <c r="D6" s="12" t="e">
        <f>+#REF!+200000</f>
        <v>#REF!</v>
      </c>
      <c r="E6" s="12"/>
    </row>
    <row r="7" spans="1:5" x14ac:dyDescent="0.25">
      <c r="A7" t="s">
        <v>33</v>
      </c>
      <c r="B7" t="s">
        <v>34</v>
      </c>
      <c r="C7" s="11">
        <f>+C5-C6</f>
        <v>1466467.4900000002</v>
      </c>
      <c r="D7" s="11" t="e">
        <f>+D5-D6</f>
        <v>#REF!</v>
      </c>
      <c r="E7" s="11">
        <f>+E5-E6</f>
        <v>0</v>
      </c>
    </row>
    <row r="8" spans="1:5" x14ac:dyDescent="0.25">
      <c r="A8" t="s">
        <v>35</v>
      </c>
      <c r="B8" t="s">
        <v>36</v>
      </c>
      <c r="C8" s="12">
        <v>0</v>
      </c>
      <c r="D8" s="12">
        <v>0</v>
      </c>
      <c r="E8" s="12">
        <v>0</v>
      </c>
    </row>
    <row r="9" spans="1:5" x14ac:dyDescent="0.25">
      <c r="A9" t="s">
        <v>37</v>
      </c>
      <c r="B9" t="s">
        <v>38</v>
      </c>
      <c r="C9" s="11">
        <f>+C7+C8</f>
        <v>1466467.4900000002</v>
      </c>
      <c r="D9" s="11" t="e">
        <f>+D7+D8</f>
        <v>#REF!</v>
      </c>
      <c r="E9" s="11">
        <f>+E7+E8</f>
        <v>0</v>
      </c>
    </row>
    <row r="10" spans="1:5" x14ac:dyDescent="0.25">
      <c r="A10" t="s">
        <v>39</v>
      </c>
      <c r="B10" t="s">
        <v>40</v>
      </c>
      <c r="C10" s="12">
        <v>1354754.7</v>
      </c>
      <c r="D10" s="12" t="e">
        <f>+#REF!-400000</f>
        <v>#REF!</v>
      </c>
      <c r="E10" s="12"/>
    </row>
    <row r="11" spans="1:5" x14ac:dyDescent="0.25">
      <c r="A11" t="s">
        <v>41</v>
      </c>
      <c r="B11" t="s">
        <v>42</v>
      </c>
      <c r="C11" s="11">
        <f>+C9-C10</f>
        <v>111712.79000000027</v>
      </c>
      <c r="D11" s="11" t="e">
        <f>+D9-D10</f>
        <v>#REF!</v>
      </c>
      <c r="E11" s="11">
        <f>+E9-E10</f>
        <v>0</v>
      </c>
    </row>
    <row r="12" spans="1:5" x14ac:dyDescent="0.25">
      <c r="A12" t="s">
        <v>43</v>
      </c>
      <c r="B12" t="s">
        <v>44</v>
      </c>
      <c r="C12" s="12">
        <v>0</v>
      </c>
      <c r="D12" s="12">
        <f>+C13</f>
        <v>111712.79000000027</v>
      </c>
      <c r="E12" s="12" t="e">
        <f>+D13</f>
        <v>#REF!</v>
      </c>
    </row>
    <row r="13" spans="1:5" x14ac:dyDescent="0.25">
      <c r="A13" t="s">
        <v>45</v>
      </c>
      <c r="B13" t="s">
        <v>46</v>
      </c>
      <c r="C13" s="11">
        <f>+C11+C12</f>
        <v>111712.79000000027</v>
      </c>
      <c r="D13" s="11" t="e">
        <f>+D11+D12</f>
        <v>#REF!</v>
      </c>
      <c r="E13" s="11" t="e">
        <f>+E11+E12</f>
        <v>#REF!</v>
      </c>
    </row>
    <row r="14" spans="1:5" x14ac:dyDescent="0.25">
      <c r="A14" t="s">
        <v>47</v>
      </c>
      <c r="B14" t="s">
        <v>48</v>
      </c>
      <c r="C14" s="13">
        <v>0.3</v>
      </c>
      <c r="D14" s="13">
        <v>0.3</v>
      </c>
      <c r="E14" s="13">
        <v>0.3</v>
      </c>
    </row>
    <row r="15" spans="1:5" x14ac:dyDescent="0.25">
      <c r="A15" t="s">
        <v>49</v>
      </c>
      <c r="B15" t="s">
        <v>50</v>
      </c>
      <c r="C15" s="14">
        <f>+C13*C14</f>
        <v>33513.83700000008</v>
      </c>
      <c r="D15" s="14" t="e">
        <f>+D13*D14</f>
        <v>#REF!</v>
      </c>
      <c r="E15" s="14" t="e">
        <f>+E13*E14</f>
        <v>#REF!</v>
      </c>
    </row>
    <row r="16" spans="1:5" x14ac:dyDescent="0.25">
      <c r="C16" s="11"/>
      <c r="D16" s="11"/>
      <c r="E16" s="11"/>
    </row>
    <row r="17" spans="1:5" x14ac:dyDescent="0.25">
      <c r="A17" t="s">
        <v>51</v>
      </c>
      <c r="C17" s="9">
        <f>+C7</f>
        <v>1466467.4900000002</v>
      </c>
      <c r="D17" s="9" t="e">
        <f>+D7+C7</f>
        <v>#REF!</v>
      </c>
      <c r="E17" s="9" t="e">
        <f>+E7+C7+D7</f>
        <v>#REF!</v>
      </c>
    </row>
    <row r="18" spans="1:5" x14ac:dyDescent="0.25">
      <c r="A18" t="s">
        <v>52</v>
      </c>
      <c r="C18" s="15">
        <v>0.02</v>
      </c>
      <c r="D18" s="15">
        <v>0.02</v>
      </c>
      <c r="E18" s="15">
        <v>0.02</v>
      </c>
    </row>
    <row r="19" spans="1:5" x14ac:dyDescent="0.25">
      <c r="A19" t="s">
        <v>53</v>
      </c>
      <c r="B19">
        <v>28</v>
      </c>
      <c r="C19" s="14">
        <f>+C17*C18</f>
        <v>29329.349800000004</v>
      </c>
      <c r="D19" s="14" t="e">
        <f>+D17*D18</f>
        <v>#REF!</v>
      </c>
      <c r="E19" s="14" t="e">
        <f>+E17*E18</f>
        <v>#REF!</v>
      </c>
    </row>
    <row r="20" spans="1:5" x14ac:dyDescent="0.25">
      <c r="C20" s="11"/>
      <c r="D20" s="11"/>
      <c r="E20" s="11"/>
    </row>
    <row r="21" spans="1:5" x14ac:dyDescent="0.25">
      <c r="A21" t="s">
        <v>54</v>
      </c>
      <c r="B21" t="s">
        <v>55</v>
      </c>
      <c r="C21" s="11">
        <f>IF(C15&gt;C19,C15,C19)</f>
        <v>33513.83700000008</v>
      </c>
      <c r="D21" s="11" t="e">
        <f>IF(D15&gt;D19,D15,D19)</f>
        <v>#REF!</v>
      </c>
      <c r="E21" s="11" t="e">
        <f>IF(E15&gt;E19,E15,E19)</f>
        <v>#REF!</v>
      </c>
    </row>
    <row r="22" spans="1:5" x14ac:dyDescent="0.25">
      <c r="C22" s="11"/>
      <c r="D22" s="11"/>
      <c r="E22" s="11"/>
    </row>
    <row r="23" spans="1:5" x14ac:dyDescent="0.25">
      <c r="A23" t="s">
        <v>56</v>
      </c>
      <c r="B23" t="s">
        <v>57</v>
      </c>
      <c r="C23" s="11">
        <v>124352</v>
      </c>
      <c r="D23" s="11">
        <v>124352</v>
      </c>
      <c r="E23" s="11">
        <v>124352</v>
      </c>
    </row>
    <row r="24" spans="1:5" x14ac:dyDescent="0.25">
      <c r="C24" s="16"/>
      <c r="D24" s="16"/>
      <c r="E24" s="16"/>
    </row>
    <row r="25" spans="1:5" x14ac:dyDescent="0.25">
      <c r="A25" t="s">
        <v>58</v>
      </c>
      <c r="B25" t="s">
        <v>59</v>
      </c>
      <c r="C25" s="17">
        <f>+C21-C23</f>
        <v>-90838.162999999913</v>
      </c>
      <c r="D25" s="17" t="e">
        <f>+D21-D23</f>
        <v>#REF!</v>
      </c>
      <c r="E25" s="17" t="e">
        <f>+E21-E23</f>
        <v>#REF!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W40"/>
  <sheetViews>
    <sheetView tabSelected="1" zoomScaleNormal="100" workbookViewId="0">
      <selection activeCell="U3" sqref="U3"/>
    </sheetView>
  </sheetViews>
  <sheetFormatPr defaultRowHeight="15" outlineLevelCol="2" x14ac:dyDescent="0.25"/>
  <cols>
    <col min="1" max="2" width="8.5703125" customWidth="1"/>
    <col min="3" max="3" width="4.42578125" customWidth="1"/>
    <col min="4" max="6" width="12" hidden="1" customWidth="1" outlineLevel="1"/>
    <col min="7" max="7" width="13.28515625" hidden="1" customWidth="1" outlineLevel="1"/>
    <col min="8" max="8" width="3.85546875" hidden="1" customWidth="1" collapsed="1"/>
    <col min="9" max="11" width="12" hidden="1" customWidth="1" outlineLevel="2"/>
    <col min="12" max="12" width="13.28515625" hidden="1" customWidth="1" outlineLevel="2"/>
    <col min="13" max="13" width="9.140625" hidden="1" customWidth="1" outlineLevel="1" collapsed="1"/>
    <col min="14" max="16" width="12" customWidth="1" outlineLevel="1"/>
    <col min="17" max="17" width="13.28515625" customWidth="1" outlineLevel="1"/>
    <col min="18" max="18" width="8.5703125" customWidth="1"/>
    <col min="19" max="21" width="12" customWidth="1"/>
    <col min="22" max="22" width="13.28515625" customWidth="1"/>
    <col min="23" max="23" width="10.5703125" customWidth="1"/>
    <col min="24" max="1025" width="8.5703125" customWidth="1"/>
  </cols>
  <sheetData>
    <row r="2" spans="2:22" x14ac:dyDescent="0.25">
      <c r="C2" s="10"/>
      <c r="D2" s="10" t="s">
        <v>60</v>
      </c>
      <c r="E2" s="10" t="s">
        <v>61</v>
      </c>
      <c r="F2" s="10" t="s">
        <v>62</v>
      </c>
      <c r="G2" s="10" t="s">
        <v>63</v>
      </c>
      <c r="H2" s="10"/>
      <c r="I2" s="10" t="s">
        <v>64</v>
      </c>
      <c r="J2" s="10" t="s">
        <v>65</v>
      </c>
      <c r="K2" s="10" t="s">
        <v>66</v>
      </c>
      <c r="L2" s="10" t="s">
        <v>67</v>
      </c>
      <c r="N2" s="10" t="s">
        <v>68</v>
      </c>
      <c r="O2" s="10" t="s">
        <v>69</v>
      </c>
      <c r="P2" s="10" t="s">
        <v>70</v>
      </c>
      <c r="Q2" s="10" t="s">
        <v>71</v>
      </c>
      <c r="S2" s="10" t="s">
        <v>72</v>
      </c>
      <c r="T2" s="10" t="s">
        <v>73</v>
      </c>
      <c r="U2" s="10" t="s">
        <v>74</v>
      </c>
      <c r="V2" s="10" t="s">
        <v>75</v>
      </c>
    </row>
    <row r="3" spans="2:22" x14ac:dyDescent="0.25">
      <c r="B3" t="s">
        <v>76</v>
      </c>
      <c r="C3" s="18">
        <v>0.15</v>
      </c>
      <c r="D3" s="11"/>
      <c r="E3" s="11"/>
      <c r="G3" s="9">
        <f>SUM(D3:F3)</f>
        <v>0</v>
      </c>
      <c r="I3" s="11"/>
      <c r="J3" s="11"/>
      <c r="L3" s="9">
        <f>SUM(I3:K3)</f>
        <v>0</v>
      </c>
      <c r="N3" s="11">
        <f>16950.26+15941.6</f>
        <v>32891.86</v>
      </c>
      <c r="O3" s="11"/>
      <c r="Q3" s="9">
        <f>SUM(N3:P3)</f>
        <v>32891.86</v>
      </c>
      <c r="S3" s="11"/>
      <c r="T3" s="11"/>
      <c r="V3" s="9">
        <f>SUM(S3:U3)</f>
        <v>0</v>
      </c>
    </row>
    <row r="4" spans="2:22" x14ac:dyDescent="0.25">
      <c r="B4" t="s">
        <v>77</v>
      </c>
      <c r="C4" s="18">
        <v>0.05</v>
      </c>
      <c r="D4" s="11">
        <v>171501.07142857101</v>
      </c>
      <c r="E4" s="11">
        <v>171501.07142857101</v>
      </c>
      <c r="F4" s="9">
        <f>168501.071428571+3000</f>
        <v>171501.07142857101</v>
      </c>
      <c r="G4" s="9">
        <f>SUM(D4:F4)</f>
        <v>514503.21428571304</v>
      </c>
      <c r="I4" s="11">
        <f>168501.071428571+3000</f>
        <v>171501.07142857101</v>
      </c>
      <c r="J4" s="11">
        <f>168501.071428571+3000</f>
        <v>171501.07142857101</v>
      </c>
      <c r="K4" s="9">
        <f>168501.07+3000</f>
        <v>171501.07</v>
      </c>
      <c r="L4" s="9">
        <f>SUM(I4:K4)</f>
        <v>514503.21285714203</v>
      </c>
      <c r="N4" s="11">
        <v>3000</v>
      </c>
      <c r="O4" s="11"/>
      <c r="P4" s="9">
        <f>171501.07*2</f>
        <v>343002.14</v>
      </c>
      <c r="Q4" s="9">
        <f>SUM(N4:P4)</f>
        <v>346002.14</v>
      </c>
      <c r="S4" s="11">
        <f>168501.071428571+3000</f>
        <v>171501.07142857101</v>
      </c>
      <c r="T4" s="11">
        <f>168501.071428571+3000</f>
        <v>171501.07142857101</v>
      </c>
      <c r="U4" s="11">
        <f>168501.071428571+3000</f>
        <v>171501.07142857101</v>
      </c>
      <c r="V4" s="9">
        <f>SUM(S4:U4)</f>
        <v>514503.21428571304</v>
      </c>
    </row>
    <row r="5" spans="2:22" x14ac:dyDescent="0.25">
      <c r="B5" t="s">
        <v>78</v>
      </c>
      <c r="C5" s="18">
        <v>0.02</v>
      </c>
      <c r="D5" s="11">
        <v>29881.1</v>
      </c>
      <c r="E5" s="11">
        <v>29015.38</v>
      </c>
      <c r="F5" s="9">
        <v>29266.63</v>
      </c>
      <c r="G5" s="9">
        <f>SUM(D5:F5)</f>
        <v>88163.11</v>
      </c>
      <c r="I5" s="11">
        <v>14232.86</v>
      </c>
      <c r="J5" s="11">
        <v>3571.4285714285702</v>
      </c>
      <c r="K5" s="9">
        <f>29520.06</f>
        <v>29520.06</v>
      </c>
      <c r="L5" s="9">
        <f>SUM(I5:K5)</f>
        <v>47324.348571428571</v>
      </c>
      <c r="N5" s="11">
        <v>29047.64</v>
      </c>
      <c r="O5" s="11"/>
      <c r="P5" s="9"/>
      <c r="Q5" s="9">
        <f>SUM(N5:P5)</f>
        <v>29047.64</v>
      </c>
      <c r="S5" s="11">
        <v>56584.26</v>
      </c>
      <c r="T5" s="19">
        <v>56689.34</v>
      </c>
      <c r="U5" s="9">
        <v>59242.879999999997</v>
      </c>
      <c r="V5" s="9">
        <f>SUM(S5:U5)</f>
        <v>172516.48000000001</v>
      </c>
    </row>
    <row r="6" spans="2:22" x14ac:dyDescent="0.25">
      <c r="B6" t="s">
        <v>79</v>
      </c>
      <c r="C6" s="18">
        <v>0.01</v>
      </c>
      <c r="D6" s="11">
        <v>192909.687142857</v>
      </c>
      <c r="E6" s="11">
        <v>187909.98642857099</v>
      </c>
      <c r="F6" s="9">
        <f>214763.315+1120+1178.57</f>
        <v>217061.88500000001</v>
      </c>
      <c r="G6" s="9">
        <f>SUM(D6:F6)</f>
        <v>597881.55857142806</v>
      </c>
      <c r="I6" s="11">
        <v>181616.11749999999</v>
      </c>
      <c r="J6" s="11">
        <f>139072.45/1.12+69777.3</f>
        <v>193949.13035714286</v>
      </c>
      <c r="K6" s="9">
        <f>1178.57142857143+194142.09</f>
        <v>195320.66142857142</v>
      </c>
      <c r="L6" s="9">
        <f>SUM(I6:K6)</f>
        <v>570885.90928571427</v>
      </c>
      <c r="N6" s="11">
        <f>97481.3746428571+10190.1785714286</f>
        <v>107671.5532142857</v>
      </c>
      <c r="O6" s="11"/>
      <c r="P6" s="9"/>
      <c r="Q6" s="9">
        <f>SUM(N6:P6)</f>
        <v>107671.5532142857</v>
      </c>
      <c r="S6" s="11">
        <f>369555.308928571+4464.29</f>
        <v>374019.59892857098</v>
      </c>
      <c r="T6" s="11">
        <f>251409.73/1.12+73146.7</f>
        <v>297619.67321428569</v>
      </c>
      <c r="U6" s="9">
        <v>227979.871428571</v>
      </c>
      <c r="V6" s="9">
        <f>SUM(S6:U6)</f>
        <v>899619.14357142756</v>
      </c>
    </row>
    <row r="7" spans="2:22" x14ac:dyDescent="0.25">
      <c r="B7" t="s">
        <v>80</v>
      </c>
      <c r="C7" s="18">
        <v>0.02</v>
      </c>
      <c r="D7" s="11"/>
      <c r="E7" s="11"/>
      <c r="G7" s="9">
        <f>SUM(D7:F7)</f>
        <v>0</v>
      </c>
      <c r="I7" s="11"/>
      <c r="J7" s="11"/>
      <c r="L7" s="9">
        <f>SUM(I7:K7)</f>
        <v>0</v>
      </c>
      <c r="N7" s="11"/>
      <c r="O7" s="11"/>
      <c r="Q7" s="9">
        <f>SUM(N7:P7)</f>
        <v>0</v>
      </c>
      <c r="S7" s="11"/>
      <c r="T7" s="11"/>
      <c r="V7" s="9">
        <f>SUM(S7:U7)</f>
        <v>0</v>
      </c>
    </row>
    <row r="8" spans="2:22" x14ac:dyDescent="0.25">
      <c r="C8" s="18"/>
    </row>
    <row r="9" spans="2:22" x14ac:dyDescent="0.25">
      <c r="B9" t="s">
        <v>81</v>
      </c>
      <c r="C9" s="18">
        <v>0.05</v>
      </c>
      <c r="D9" s="11">
        <v>15000</v>
      </c>
      <c r="E9" s="11">
        <v>15000</v>
      </c>
      <c r="F9" s="11">
        <v>15000</v>
      </c>
      <c r="G9" s="9">
        <f t="shared" ref="G9:G14" si="0">SUM(D9:F9)</f>
        <v>45000</v>
      </c>
      <c r="I9" s="11">
        <f>15000+14000</f>
        <v>29000</v>
      </c>
      <c r="J9" s="11">
        <v>15000</v>
      </c>
      <c r="K9" s="11">
        <v>15000</v>
      </c>
      <c r="L9" s="9">
        <f t="shared" ref="L9:L14" si="1">SUM(I9:K9)</f>
        <v>59000</v>
      </c>
      <c r="N9" s="11">
        <v>15000</v>
      </c>
      <c r="O9" s="11">
        <v>15000</v>
      </c>
      <c r="P9" s="11">
        <v>15000</v>
      </c>
      <c r="Q9" s="9">
        <f t="shared" ref="Q9:Q14" si="2">SUM(N9:P9)</f>
        <v>45000</v>
      </c>
      <c r="S9" s="11">
        <v>15000</v>
      </c>
      <c r="T9" s="11">
        <v>15000</v>
      </c>
      <c r="U9" s="11">
        <v>15000</v>
      </c>
      <c r="V9" s="9">
        <f t="shared" ref="V9:V14" si="3">SUM(S9:U9)</f>
        <v>45000</v>
      </c>
    </row>
    <row r="10" spans="2:22" x14ac:dyDescent="0.25">
      <c r="B10" t="s">
        <v>82</v>
      </c>
      <c r="C10" s="18">
        <v>0.1</v>
      </c>
      <c r="D10" s="11">
        <v>26556.455357142899</v>
      </c>
      <c r="E10" s="11">
        <v>24004.0625</v>
      </c>
      <c r="F10" s="9">
        <v>23460.544642857101</v>
      </c>
      <c r="G10" s="9">
        <f t="shared" si="0"/>
        <v>74021.0625</v>
      </c>
      <c r="I10" s="11">
        <v>33006.446428571398</v>
      </c>
      <c r="J10" s="20"/>
      <c r="K10" s="9">
        <v>21027.55</v>
      </c>
      <c r="L10" s="9">
        <f t="shared" si="1"/>
        <v>54033.996428571394</v>
      </c>
      <c r="N10" s="11">
        <v>21027.55</v>
      </c>
      <c r="O10" s="11"/>
      <c r="P10" s="11"/>
      <c r="Q10" s="9">
        <f t="shared" si="2"/>
        <v>21027.55</v>
      </c>
      <c r="S10" s="19"/>
      <c r="T10" s="19">
        <v>23972.455357142899</v>
      </c>
      <c r="U10" s="11">
        <v>28783.169642857101</v>
      </c>
      <c r="V10" s="9">
        <f t="shared" si="3"/>
        <v>52755.625</v>
      </c>
    </row>
    <row r="11" spans="2:22" x14ac:dyDescent="0.25">
      <c r="B11" t="s">
        <v>83</v>
      </c>
      <c r="C11" s="18">
        <v>0.05</v>
      </c>
      <c r="D11" s="11"/>
      <c r="E11" s="11"/>
      <c r="G11" s="9">
        <f t="shared" si="0"/>
        <v>0</v>
      </c>
      <c r="I11" s="11"/>
      <c r="J11" s="11"/>
      <c r="L11" s="9">
        <f t="shared" si="1"/>
        <v>0</v>
      </c>
      <c r="N11" s="11"/>
      <c r="O11" s="11"/>
      <c r="P11" s="11"/>
      <c r="Q11" s="9">
        <f t="shared" si="2"/>
        <v>0</v>
      </c>
      <c r="S11" s="11"/>
      <c r="T11" s="11"/>
      <c r="U11" s="11"/>
      <c r="V11" s="9">
        <f t="shared" si="3"/>
        <v>0</v>
      </c>
    </row>
    <row r="12" spans="2:22" x14ac:dyDescent="0.25">
      <c r="B12" t="s">
        <v>84</v>
      </c>
      <c r="C12" s="18">
        <v>0.02</v>
      </c>
      <c r="D12" s="11"/>
      <c r="E12" s="11"/>
      <c r="G12" s="9">
        <f t="shared" si="0"/>
        <v>0</v>
      </c>
      <c r="I12" s="11"/>
      <c r="J12" s="11"/>
      <c r="L12" s="9">
        <f t="shared" si="1"/>
        <v>0</v>
      </c>
      <c r="N12" s="11"/>
      <c r="O12" s="11"/>
      <c r="Q12" s="9">
        <f t="shared" si="2"/>
        <v>0</v>
      </c>
      <c r="S12" s="11"/>
      <c r="T12" s="11"/>
      <c r="V12" s="9">
        <f t="shared" si="3"/>
        <v>0</v>
      </c>
    </row>
    <row r="13" spans="2:22" x14ac:dyDescent="0.25">
      <c r="B13" t="s">
        <v>85</v>
      </c>
      <c r="C13" s="18">
        <v>0.01</v>
      </c>
      <c r="D13" s="11"/>
      <c r="E13" s="11"/>
      <c r="G13" s="9">
        <f t="shared" si="0"/>
        <v>0</v>
      </c>
      <c r="I13" s="11"/>
      <c r="J13" s="11"/>
      <c r="L13" s="9">
        <f t="shared" si="1"/>
        <v>0</v>
      </c>
      <c r="N13" s="11"/>
      <c r="O13" s="11"/>
      <c r="Q13" s="9">
        <f t="shared" si="2"/>
        <v>0</v>
      </c>
      <c r="S13" s="11"/>
      <c r="T13" s="11"/>
      <c r="V13" s="9">
        <f t="shared" si="3"/>
        <v>0</v>
      </c>
    </row>
    <row r="14" spans="2:22" x14ac:dyDescent="0.25">
      <c r="B14" t="s">
        <v>86</v>
      </c>
      <c r="C14" s="18">
        <v>0.02</v>
      </c>
      <c r="D14" s="11"/>
      <c r="E14" s="11"/>
      <c r="G14" s="9">
        <f t="shared" si="0"/>
        <v>0</v>
      </c>
      <c r="I14" s="11"/>
      <c r="J14" s="11"/>
      <c r="L14" s="9">
        <f t="shared" si="1"/>
        <v>0</v>
      </c>
      <c r="N14" s="11"/>
      <c r="O14" s="11"/>
      <c r="Q14" s="9">
        <f t="shared" si="2"/>
        <v>0</v>
      </c>
      <c r="S14" s="11"/>
      <c r="T14" s="11"/>
      <c r="V14" s="9">
        <f t="shared" si="3"/>
        <v>0</v>
      </c>
    </row>
    <row r="16" spans="2:22" x14ac:dyDescent="0.25">
      <c r="D16" s="11">
        <f>SUM(D2:D15)</f>
        <v>435848.31392857089</v>
      </c>
      <c r="E16" s="11">
        <f>SUM(E2:E15)</f>
        <v>427430.50035714201</v>
      </c>
      <c r="F16" s="11">
        <f>SUM(F2:F15)</f>
        <v>456290.13107142813</v>
      </c>
      <c r="G16" s="11">
        <f>SUM(G2:G15)</f>
        <v>1319568.9453571411</v>
      </c>
      <c r="I16" s="11">
        <f>SUM(I2:I15)</f>
        <v>429356.49535714241</v>
      </c>
      <c r="J16" s="11">
        <f>SUM(J2:J15)</f>
        <v>384021.63035714242</v>
      </c>
      <c r="K16" s="11">
        <f>SUM(K2:K15)</f>
        <v>432369.34142857144</v>
      </c>
      <c r="L16" s="11">
        <f>SUM(L2:L15)</f>
        <v>1245747.4671428564</v>
      </c>
      <c r="N16" s="11">
        <f>SUM(N2:N15)</f>
        <v>208638.60321428569</v>
      </c>
      <c r="O16" s="11">
        <f>SUM(O2:O15)</f>
        <v>15000</v>
      </c>
      <c r="P16" s="11">
        <f>SUM(P2:P15)</f>
        <v>358002.14</v>
      </c>
      <c r="Q16" s="11">
        <f>SUM(Q2:Q15)</f>
        <v>581640.7432142857</v>
      </c>
      <c r="S16" s="11">
        <f>SUM(S2:S15)</f>
        <v>617104.930357142</v>
      </c>
      <c r="T16" s="11">
        <f>SUM(T2:T15)</f>
        <v>564782.53999999957</v>
      </c>
      <c r="U16" s="11">
        <f>SUM(U2:U15)</f>
        <v>502506.99249999912</v>
      </c>
      <c r="V16" s="11">
        <f>SUM(V2:V15)</f>
        <v>1684394.4628571407</v>
      </c>
    </row>
    <row r="18" spans="2:22" x14ac:dyDescent="0.25">
      <c r="B18" t="s">
        <v>87</v>
      </c>
      <c r="C18" s="18"/>
      <c r="D18" s="11">
        <f t="shared" ref="D18:F22" si="4">D3*$C3</f>
        <v>0</v>
      </c>
      <c r="E18" s="11">
        <f t="shared" si="4"/>
        <v>0</v>
      </c>
      <c r="F18" s="11">
        <f t="shared" si="4"/>
        <v>0</v>
      </c>
      <c r="G18" s="9">
        <f>SUM(D18:F18)</f>
        <v>0</v>
      </c>
      <c r="I18" s="11">
        <f t="shared" ref="I18:K22" si="5">I3*$C3</f>
        <v>0</v>
      </c>
      <c r="J18" s="11">
        <f t="shared" si="5"/>
        <v>0</v>
      </c>
      <c r="K18" s="11">
        <f t="shared" si="5"/>
        <v>0</v>
      </c>
      <c r="L18" s="9">
        <f>SUM(I18:K18)</f>
        <v>0</v>
      </c>
      <c r="N18" s="11">
        <f t="shared" ref="N18:P22" si="6">N3*$C3</f>
        <v>4933.7789999999995</v>
      </c>
      <c r="O18" s="11">
        <f t="shared" si="6"/>
        <v>0</v>
      </c>
      <c r="P18" s="11">
        <f t="shared" si="6"/>
        <v>0</v>
      </c>
      <c r="Q18" s="9">
        <f>SUM(N18:P18)</f>
        <v>4933.7789999999995</v>
      </c>
      <c r="S18" s="11">
        <f t="shared" ref="S18:U22" si="7">S3*$C3</f>
        <v>0</v>
      </c>
      <c r="T18" s="11">
        <f t="shared" si="7"/>
        <v>0</v>
      </c>
      <c r="U18" s="11">
        <f t="shared" si="7"/>
        <v>0</v>
      </c>
      <c r="V18" s="9">
        <f>SUM(S18:U18)</f>
        <v>0</v>
      </c>
    </row>
    <row r="19" spans="2:22" x14ac:dyDescent="0.25">
      <c r="B19" t="s">
        <v>77</v>
      </c>
      <c r="C19" s="18"/>
      <c r="D19" s="11">
        <f t="shared" si="4"/>
        <v>8575.0535714285506</v>
      </c>
      <c r="E19" s="11">
        <f t="shared" si="4"/>
        <v>8575.0535714285506</v>
      </c>
      <c r="F19" s="11">
        <f t="shared" si="4"/>
        <v>8575.0535714285506</v>
      </c>
      <c r="G19" s="9">
        <f>SUM(D19:F19)</f>
        <v>25725.160714285652</v>
      </c>
      <c r="I19" s="11">
        <f t="shared" si="5"/>
        <v>8575.0535714285506</v>
      </c>
      <c r="J19" s="11">
        <f t="shared" si="5"/>
        <v>8575.0535714285506</v>
      </c>
      <c r="K19" s="11">
        <f t="shared" si="5"/>
        <v>8575.0535</v>
      </c>
      <c r="L19" s="9">
        <f>SUM(I19:K19)</f>
        <v>25725.160642857103</v>
      </c>
      <c r="N19" s="11">
        <f t="shared" si="6"/>
        <v>150</v>
      </c>
      <c r="O19" s="11">
        <f t="shared" si="6"/>
        <v>0</v>
      </c>
      <c r="P19" s="11">
        <f t="shared" si="6"/>
        <v>17150.107</v>
      </c>
      <c r="Q19" s="9">
        <f>SUM(N19:P19)</f>
        <v>17300.107</v>
      </c>
      <c r="S19" s="11">
        <f t="shared" si="7"/>
        <v>8575.0535714285506</v>
      </c>
      <c r="T19" s="11">
        <f t="shared" si="7"/>
        <v>8575.0535714285506</v>
      </c>
      <c r="U19" s="11">
        <f t="shared" si="7"/>
        <v>8575.0535714285506</v>
      </c>
      <c r="V19" s="9">
        <f>SUM(S19:U19)</f>
        <v>25725.160714285652</v>
      </c>
    </row>
    <row r="20" spans="2:22" x14ac:dyDescent="0.25">
      <c r="B20" t="s">
        <v>78</v>
      </c>
      <c r="C20" s="18"/>
      <c r="D20" s="11">
        <f t="shared" si="4"/>
        <v>597.62199999999996</v>
      </c>
      <c r="E20" s="11">
        <f t="shared" si="4"/>
        <v>580.30759999999998</v>
      </c>
      <c r="F20" s="11">
        <f t="shared" si="4"/>
        <v>585.33260000000007</v>
      </c>
      <c r="G20" s="9">
        <f>SUM(D20:F20)</f>
        <v>1763.2622000000001</v>
      </c>
      <c r="I20" s="11">
        <f t="shared" si="5"/>
        <v>284.65720000000005</v>
      </c>
      <c r="J20" s="11">
        <f t="shared" si="5"/>
        <v>71.428571428571402</v>
      </c>
      <c r="K20" s="11">
        <f t="shared" si="5"/>
        <v>590.40120000000002</v>
      </c>
      <c r="L20" s="9">
        <f>SUM(I20:K20)</f>
        <v>946.48697142857145</v>
      </c>
      <c r="N20" s="11">
        <f t="shared" si="6"/>
        <v>580.95280000000002</v>
      </c>
      <c r="O20" s="11">
        <f t="shared" si="6"/>
        <v>0</v>
      </c>
      <c r="P20" s="11">
        <f t="shared" si="6"/>
        <v>0</v>
      </c>
      <c r="Q20" s="9">
        <f>SUM(N20:P20)</f>
        <v>580.95280000000002</v>
      </c>
      <c r="S20" s="11">
        <f t="shared" si="7"/>
        <v>1131.6852000000001</v>
      </c>
      <c r="T20" s="11">
        <f t="shared" si="7"/>
        <v>1133.7867999999999</v>
      </c>
      <c r="U20" s="11">
        <f t="shared" si="7"/>
        <v>1184.8576</v>
      </c>
      <c r="V20" s="9">
        <f>SUM(S20:U20)</f>
        <v>3450.3296</v>
      </c>
    </row>
    <row r="21" spans="2:22" x14ac:dyDescent="0.25">
      <c r="B21" t="s">
        <v>79</v>
      </c>
      <c r="C21" s="18"/>
      <c r="D21" s="11">
        <f t="shared" si="4"/>
        <v>1929.09687142857</v>
      </c>
      <c r="E21" s="11">
        <f t="shared" si="4"/>
        <v>1879.0998642857101</v>
      </c>
      <c r="F21" s="11">
        <f t="shared" si="4"/>
        <v>2170.6188500000003</v>
      </c>
      <c r="G21" s="9">
        <f>SUM(D21:F21)</f>
        <v>5978.815585714281</v>
      </c>
      <c r="I21" s="11">
        <f t="shared" si="5"/>
        <v>1816.161175</v>
      </c>
      <c r="J21" s="11">
        <f t="shared" si="5"/>
        <v>1939.4913035714287</v>
      </c>
      <c r="K21" s="11">
        <f t="shared" si="5"/>
        <v>1953.2066142857143</v>
      </c>
      <c r="L21" s="9">
        <f>SUM(I21:K21)</f>
        <v>5708.859092857143</v>
      </c>
      <c r="N21" s="11">
        <f t="shared" si="6"/>
        <v>1076.715532142857</v>
      </c>
      <c r="O21" s="11">
        <f t="shared" si="6"/>
        <v>0</v>
      </c>
      <c r="P21" s="11">
        <f t="shared" si="6"/>
        <v>0</v>
      </c>
      <c r="Q21" s="9">
        <f>SUM(N21:P21)</f>
        <v>1076.715532142857</v>
      </c>
      <c r="S21" s="11">
        <f t="shared" si="7"/>
        <v>3740.1959892857099</v>
      </c>
      <c r="T21" s="11">
        <f t="shared" si="7"/>
        <v>2976.1967321428569</v>
      </c>
      <c r="U21" s="11">
        <f t="shared" si="7"/>
        <v>2279.79871428571</v>
      </c>
      <c r="V21" s="9">
        <f>SUM(S21:U21)</f>
        <v>8996.1914357142778</v>
      </c>
    </row>
    <row r="22" spans="2:22" x14ac:dyDescent="0.25">
      <c r="B22" t="s">
        <v>80</v>
      </c>
      <c r="C22" s="18"/>
      <c r="D22" s="11">
        <f t="shared" si="4"/>
        <v>0</v>
      </c>
      <c r="E22" s="11">
        <f t="shared" si="4"/>
        <v>0</v>
      </c>
      <c r="F22" s="11">
        <f t="shared" si="4"/>
        <v>0</v>
      </c>
      <c r="G22" s="9">
        <f>SUM(D22:F22)</f>
        <v>0</v>
      </c>
      <c r="I22" s="11">
        <f t="shared" si="5"/>
        <v>0</v>
      </c>
      <c r="J22" s="11">
        <f t="shared" si="5"/>
        <v>0</v>
      </c>
      <c r="K22" s="11">
        <f t="shared" si="5"/>
        <v>0</v>
      </c>
      <c r="L22" s="9">
        <f>SUM(I22:K22)</f>
        <v>0</v>
      </c>
      <c r="N22" s="11">
        <f t="shared" si="6"/>
        <v>0</v>
      </c>
      <c r="O22" s="11">
        <f t="shared" si="6"/>
        <v>0</v>
      </c>
      <c r="P22" s="11">
        <f t="shared" si="6"/>
        <v>0</v>
      </c>
      <c r="Q22" s="9">
        <f>SUM(N22:P22)</f>
        <v>0</v>
      </c>
      <c r="S22" s="11">
        <f t="shared" si="7"/>
        <v>0</v>
      </c>
      <c r="T22" s="11">
        <f t="shared" si="7"/>
        <v>0</v>
      </c>
      <c r="U22" s="11">
        <f t="shared" si="7"/>
        <v>0</v>
      </c>
      <c r="V22" s="9">
        <f>SUM(S22:U22)</f>
        <v>0</v>
      </c>
    </row>
    <row r="23" spans="2:22" x14ac:dyDescent="0.25">
      <c r="C23" s="18"/>
    </row>
    <row r="24" spans="2:22" x14ac:dyDescent="0.25">
      <c r="B24" t="s">
        <v>81</v>
      </c>
      <c r="C24" s="18"/>
      <c r="D24" s="11">
        <f t="shared" ref="D24:F29" si="8">D9*$C9</f>
        <v>750</v>
      </c>
      <c r="E24" s="11">
        <f t="shared" si="8"/>
        <v>750</v>
      </c>
      <c r="F24" s="11">
        <f t="shared" si="8"/>
        <v>750</v>
      </c>
      <c r="G24" s="9">
        <f t="shared" ref="G24:G29" si="9">SUM(D24:F24)</f>
        <v>2250</v>
      </c>
      <c r="I24" s="11">
        <f t="shared" ref="I24:K29" si="10">I9*$C9</f>
        <v>1450</v>
      </c>
      <c r="J24" s="11">
        <f t="shared" si="10"/>
        <v>750</v>
      </c>
      <c r="K24" s="11">
        <f t="shared" si="10"/>
        <v>750</v>
      </c>
      <c r="L24" s="9">
        <f t="shared" ref="L24:L29" si="11">SUM(I24:K24)</f>
        <v>2950</v>
      </c>
      <c r="N24" s="11">
        <f t="shared" ref="N24:P29" si="12">N9*$C9</f>
        <v>750</v>
      </c>
      <c r="O24" s="11">
        <f t="shared" si="12"/>
        <v>750</v>
      </c>
      <c r="P24" s="11">
        <f t="shared" si="12"/>
        <v>750</v>
      </c>
      <c r="Q24" s="9">
        <f t="shared" ref="Q24:Q29" si="13">SUM(N24:P24)</f>
        <v>2250</v>
      </c>
      <c r="S24" s="11">
        <f t="shared" ref="S24:U29" si="14">S9*$C9</f>
        <v>750</v>
      </c>
      <c r="T24" s="11">
        <f t="shared" si="14"/>
        <v>750</v>
      </c>
      <c r="U24" s="11">
        <f t="shared" si="14"/>
        <v>750</v>
      </c>
      <c r="V24" s="9">
        <f t="shared" ref="V24:V29" si="15">SUM(S24:U24)</f>
        <v>2250</v>
      </c>
    </row>
    <row r="25" spans="2:22" x14ac:dyDescent="0.25">
      <c r="B25" t="s">
        <v>88</v>
      </c>
      <c r="C25" s="18"/>
      <c r="D25" s="11">
        <f t="shared" si="8"/>
        <v>2655.64553571429</v>
      </c>
      <c r="E25" s="11">
        <f t="shared" si="8"/>
        <v>2400.40625</v>
      </c>
      <c r="F25" s="11">
        <f t="shared" si="8"/>
        <v>2346.0544642857103</v>
      </c>
      <c r="G25" s="9">
        <f t="shared" si="9"/>
        <v>7402.1062499999998</v>
      </c>
      <c r="I25" s="11">
        <f t="shared" si="10"/>
        <v>3300.6446428571398</v>
      </c>
      <c r="J25" s="11">
        <f t="shared" si="10"/>
        <v>0</v>
      </c>
      <c r="K25" s="11">
        <f t="shared" si="10"/>
        <v>2102.7550000000001</v>
      </c>
      <c r="L25" s="9">
        <f t="shared" si="11"/>
        <v>5403.39964285714</v>
      </c>
      <c r="N25" s="11">
        <f t="shared" si="12"/>
        <v>2102.7550000000001</v>
      </c>
      <c r="O25" s="11">
        <f t="shared" si="12"/>
        <v>0</v>
      </c>
      <c r="P25" s="11">
        <f t="shared" si="12"/>
        <v>0</v>
      </c>
      <c r="Q25" s="9">
        <f t="shared" si="13"/>
        <v>2102.7550000000001</v>
      </c>
      <c r="S25" s="11">
        <f t="shared" si="14"/>
        <v>0</v>
      </c>
      <c r="T25" s="11">
        <f t="shared" si="14"/>
        <v>2397.2455357142899</v>
      </c>
      <c r="U25" s="11">
        <f t="shared" si="14"/>
        <v>2878.3169642857101</v>
      </c>
      <c r="V25" s="9">
        <f t="shared" si="15"/>
        <v>5275.5625</v>
      </c>
    </row>
    <row r="26" spans="2:22" x14ac:dyDescent="0.25">
      <c r="B26" t="s">
        <v>83</v>
      </c>
      <c r="C26" s="18"/>
      <c r="D26" s="11">
        <f t="shared" si="8"/>
        <v>0</v>
      </c>
      <c r="E26" s="11">
        <f t="shared" si="8"/>
        <v>0</v>
      </c>
      <c r="F26" s="11">
        <f t="shared" si="8"/>
        <v>0</v>
      </c>
      <c r="G26" s="9">
        <f t="shared" si="9"/>
        <v>0</v>
      </c>
      <c r="I26" s="11">
        <f t="shared" si="10"/>
        <v>0</v>
      </c>
      <c r="J26" s="11">
        <f t="shared" si="10"/>
        <v>0</v>
      </c>
      <c r="K26" s="11">
        <f t="shared" si="10"/>
        <v>0</v>
      </c>
      <c r="L26" s="9">
        <f t="shared" si="11"/>
        <v>0</v>
      </c>
      <c r="N26" s="11">
        <f t="shared" si="12"/>
        <v>0</v>
      </c>
      <c r="O26" s="11">
        <f t="shared" si="12"/>
        <v>0</v>
      </c>
      <c r="P26" s="11">
        <f t="shared" si="12"/>
        <v>0</v>
      </c>
      <c r="Q26" s="9">
        <f t="shared" si="13"/>
        <v>0</v>
      </c>
      <c r="S26" s="11">
        <f t="shared" si="14"/>
        <v>0</v>
      </c>
      <c r="T26" s="11">
        <f t="shared" si="14"/>
        <v>0</v>
      </c>
      <c r="U26" s="11">
        <f t="shared" si="14"/>
        <v>0</v>
      </c>
      <c r="V26" s="9">
        <f t="shared" si="15"/>
        <v>0</v>
      </c>
    </row>
    <row r="27" spans="2:22" x14ac:dyDescent="0.25">
      <c r="B27" t="s">
        <v>84</v>
      </c>
      <c r="C27" s="18"/>
      <c r="D27" s="11">
        <f t="shared" si="8"/>
        <v>0</v>
      </c>
      <c r="E27" s="11">
        <f t="shared" si="8"/>
        <v>0</v>
      </c>
      <c r="F27" s="11">
        <f t="shared" si="8"/>
        <v>0</v>
      </c>
      <c r="G27" s="9">
        <f t="shared" si="9"/>
        <v>0</v>
      </c>
      <c r="I27" s="11">
        <f t="shared" si="10"/>
        <v>0</v>
      </c>
      <c r="J27" s="11">
        <f t="shared" si="10"/>
        <v>0</v>
      </c>
      <c r="K27" s="11">
        <f t="shared" si="10"/>
        <v>0</v>
      </c>
      <c r="L27" s="9">
        <f t="shared" si="11"/>
        <v>0</v>
      </c>
      <c r="N27" s="11">
        <f t="shared" si="12"/>
        <v>0</v>
      </c>
      <c r="O27" s="11">
        <f t="shared" si="12"/>
        <v>0</v>
      </c>
      <c r="P27" s="11">
        <f t="shared" si="12"/>
        <v>0</v>
      </c>
      <c r="Q27" s="9">
        <f t="shared" si="13"/>
        <v>0</v>
      </c>
      <c r="S27" s="11">
        <f t="shared" si="14"/>
        <v>0</v>
      </c>
      <c r="T27" s="11">
        <f t="shared" si="14"/>
        <v>0</v>
      </c>
      <c r="U27" s="11">
        <f t="shared" si="14"/>
        <v>0</v>
      </c>
      <c r="V27" s="9">
        <f t="shared" si="15"/>
        <v>0</v>
      </c>
    </row>
    <row r="28" spans="2:22" x14ac:dyDescent="0.25">
      <c r="B28" t="s">
        <v>85</v>
      </c>
      <c r="C28" s="18"/>
      <c r="D28" s="11">
        <f t="shared" si="8"/>
        <v>0</v>
      </c>
      <c r="E28" s="11">
        <f t="shared" si="8"/>
        <v>0</v>
      </c>
      <c r="F28" s="11">
        <f t="shared" si="8"/>
        <v>0</v>
      </c>
      <c r="G28" s="9">
        <f t="shared" si="9"/>
        <v>0</v>
      </c>
      <c r="I28" s="11">
        <f t="shared" si="10"/>
        <v>0</v>
      </c>
      <c r="J28" s="11">
        <f t="shared" si="10"/>
        <v>0</v>
      </c>
      <c r="K28" s="11">
        <f t="shared" si="10"/>
        <v>0</v>
      </c>
      <c r="L28" s="9">
        <f t="shared" si="11"/>
        <v>0</v>
      </c>
      <c r="N28" s="11">
        <f t="shared" si="12"/>
        <v>0</v>
      </c>
      <c r="O28" s="11">
        <f t="shared" si="12"/>
        <v>0</v>
      </c>
      <c r="P28" s="11">
        <f t="shared" si="12"/>
        <v>0</v>
      </c>
      <c r="Q28" s="9">
        <f t="shared" si="13"/>
        <v>0</v>
      </c>
      <c r="S28" s="11">
        <f t="shared" si="14"/>
        <v>0</v>
      </c>
      <c r="T28" s="11">
        <f t="shared" si="14"/>
        <v>0</v>
      </c>
      <c r="U28" s="11">
        <f t="shared" si="14"/>
        <v>0</v>
      </c>
      <c r="V28" s="9">
        <f t="shared" si="15"/>
        <v>0</v>
      </c>
    </row>
    <row r="29" spans="2:22" x14ac:dyDescent="0.25">
      <c r="B29" t="s">
        <v>86</v>
      </c>
      <c r="C29" s="18"/>
      <c r="D29" s="11">
        <f t="shared" si="8"/>
        <v>0</v>
      </c>
      <c r="E29" s="11">
        <f t="shared" si="8"/>
        <v>0</v>
      </c>
      <c r="F29" s="11">
        <f t="shared" si="8"/>
        <v>0</v>
      </c>
      <c r="G29" s="9">
        <f t="shared" si="9"/>
        <v>0</v>
      </c>
      <c r="I29" s="11">
        <f t="shared" si="10"/>
        <v>0</v>
      </c>
      <c r="J29" s="11">
        <f t="shared" si="10"/>
        <v>0</v>
      </c>
      <c r="K29" s="11">
        <f t="shared" si="10"/>
        <v>0</v>
      </c>
      <c r="L29" s="9">
        <f t="shared" si="11"/>
        <v>0</v>
      </c>
      <c r="N29" s="11">
        <f t="shared" si="12"/>
        <v>0</v>
      </c>
      <c r="O29" s="11">
        <f t="shared" si="12"/>
        <v>0</v>
      </c>
      <c r="P29" s="11">
        <f t="shared" si="12"/>
        <v>0</v>
      </c>
      <c r="Q29" s="9">
        <f t="shared" si="13"/>
        <v>0</v>
      </c>
      <c r="S29" s="11">
        <f t="shared" si="14"/>
        <v>0</v>
      </c>
      <c r="T29" s="11">
        <f t="shared" si="14"/>
        <v>0</v>
      </c>
      <c r="U29" s="11">
        <f t="shared" si="14"/>
        <v>0</v>
      </c>
      <c r="V29" s="9">
        <f t="shared" si="15"/>
        <v>0</v>
      </c>
    </row>
    <row r="31" spans="2:22" x14ac:dyDescent="0.25">
      <c r="D31" s="21">
        <f>SUM(D17:D30)</f>
        <v>14507.41797857141</v>
      </c>
      <c r="E31" s="21">
        <f>SUM(E17:E30)</f>
        <v>14184.867285714261</v>
      </c>
      <c r="F31" s="21">
        <f>SUM(F17:F30)</f>
        <v>14427.059485714261</v>
      </c>
      <c r="G31" s="21">
        <f>SUM(G17:G30)</f>
        <v>43119.344749999931</v>
      </c>
      <c r="H31" s="22"/>
      <c r="I31" s="21">
        <f>SUM(I17:I30)</f>
        <v>15426.516589285689</v>
      </c>
      <c r="J31" s="21">
        <f>SUM(J17:J30)</f>
        <v>11335.97344642855</v>
      </c>
      <c r="K31" s="21">
        <f>SUM(K17:K30)</f>
        <v>13971.416314285714</v>
      </c>
      <c r="L31" s="21">
        <f>SUM(L17:L30)</f>
        <v>40733.906349999961</v>
      </c>
      <c r="N31" s="21">
        <f>SUM(N17:N30)</f>
        <v>9594.2023321428569</v>
      </c>
      <c r="O31" s="21">
        <f>SUM(O17:O30)</f>
        <v>750</v>
      </c>
      <c r="P31" s="21">
        <f>SUM(P17:P30)</f>
        <v>17900.107</v>
      </c>
      <c r="Q31" s="21">
        <f>SUM(Q17:Q30)</f>
        <v>28244.309332142857</v>
      </c>
      <c r="S31" s="21">
        <f>SUM(S17:S30)</f>
        <v>14196.934760714261</v>
      </c>
      <c r="T31" s="21">
        <f>SUM(T17:T30)</f>
        <v>15832.282639285697</v>
      </c>
      <c r="U31" s="21">
        <f>SUM(U17:U30)</f>
        <v>15668.026849999969</v>
      </c>
      <c r="V31" s="21">
        <f>SUM(V17:V30)</f>
        <v>45697.244249999931</v>
      </c>
    </row>
    <row r="33" spans="1:23" x14ac:dyDescent="0.25">
      <c r="A33" t="s">
        <v>89</v>
      </c>
      <c r="D33">
        <v>1917.31</v>
      </c>
      <c r="E33" s="11">
        <v>1856.7070964285699</v>
      </c>
      <c r="F33">
        <v>2147.6331500000001</v>
      </c>
      <c r="I33" s="11">
        <v>1816.161175</v>
      </c>
      <c r="J33" s="11">
        <v>1939.49</v>
      </c>
      <c r="K33">
        <v>1941.42</v>
      </c>
      <c r="N33" s="11">
        <v>974.81</v>
      </c>
      <c r="O33" s="11"/>
      <c r="S33" s="11">
        <v>3695.55308928571</v>
      </c>
      <c r="T33" s="11">
        <v>2976.1967321428601</v>
      </c>
      <c r="U33">
        <v>2279.79871428571</v>
      </c>
    </row>
    <row r="34" spans="1:23" x14ac:dyDescent="0.25">
      <c r="A34" t="s">
        <v>90</v>
      </c>
      <c r="D34">
        <v>12578.32</v>
      </c>
      <c r="E34" s="11">
        <v>12305.7674214286</v>
      </c>
      <c r="F34">
        <v>12256.4406357143</v>
      </c>
      <c r="I34" s="11">
        <v>13610.355414285699</v>
      </c>
      <c r="J34" s="11">
        <v>9325.0535714285706</v>
      </c>
      <c r="K34">
        <v>12018.21</v>
      </c>
      <c r="N34" s="11">
        <v>8517.49</v>
      </c>
      <c r="O34" s="11"/>
      <c r="S34" s="11">
        <v>10501.3816285714</v>
      </c>
      <c r="T34" s="11">
        <v>750</v>
      </c>
      <c r="U34">
        <v>13388.2281357143</v>
      </c>
    </row>
    <row r="35" spans="1:23" x14ac:dyDescent="0.25">
      <c r="A35" t="s">
        <v>91</v>
      </c>
      <c r="D35">
        <v>11.79</v>
      </c>
      <c r="E35" s="11">
        <v>22.3927678571429</v>
      </c>
      <c r="F35">
        <v>22.99</v>
      </c>
      <c r="I35" s="11">
        <v>0</v>
      </c>
      <c r="J35" s="11">
        <v>71.428571428571402</v>
      </c>
      <c r="K35">
        <v>11.79</v>
      </c>
      <c r="N35" s="11">
        <v>101.9</v>
      </c>
      <c r="O35" s="11"/>
      <c r="S35" s="11"/>
      <c r="T35" s="11"/>
    </row>
    <row r="36" spans="1:23" x14ac:dyDescent="0.25">
      <c r="E36" s="11"/>
      <c r="J36" s="11"/>
      <c r="O36" s="11"/>
      <c r="T36" s="11"/>
    </row>
    <row r="37" spans="1:23" x14ac:dyDescent="0.25">
      <c r="D37" s="21">
        <f>SUM(D33:D36)</f>
        <v>14507.42</v>
      </c>
      <c r="E37" s="21">
        <f>SUM(E33:E36)</f>
        <v>14184.867285714314</v>
      </c>
      <c r="F37" s="11">
        <f>SUM(F33:F36)</f>
        <v>14427.063785714299</v>
      </c>
      <c r="I37" s="21">
        <f>SUM(I33:I36)</f>
        <v>15426.516589285699</v>
      </c>
      <c r="J37" s="21">
        <f>SUM(J33:J36)</f>
        <v>11335.972142857141</v>
      </c>
      <c r="K37" s="21">
        <f>SUM(K33:K36)</f>
        <v>13971.42</v>
      </c>
      <c r="N37" s="21">
        <f>SUM(N33:N36)</f>
        <v>9594.1999999999989</v>
      </c>
      <c r="O37" s="21">
        <f>SUM(O33:O36)</f>
        <v>0</v>
      </c>
      <c r="P37" s="21">
        <f>SUM(P33:P36)</f>
        <v>0</v>
      </c>
      <c r="S37" s="21">
        <f>SUM(S33:S36)</f>
        <v>14196.93471785711</v>
      </c>
      <c r="T37" s="21">
        <f>SUM(T33:T36)</f>
        <v>3726.1967321428601</v>
      </c>
      <c r="U37" s="21">
        <f>SUM(U33:U36)</f>
        <v>15668.026850000009</v>
      </c>
      <c r="W37" s="23">
        <f>+V31-S40-T40</f>
        <v>19199.059185714232</v>
      </c>
    </row>
    <row r="38" spans="1:23" x14ac:dyDescent="0.25">
      <c r="D38" s="9">
        <f>+D31-D37</f>
        <v>-2.0214285905240104E-3</v>
      </c>
      <c r="E38" s="9">
        <f>+E31-E37</f>
        <v>-5.2750692702829838E-11</v>
      </c>
      <c r="F38" s="9">
        <f>+F31-F37</f>
        <v>-4.3000000387110049E-3</v>
      </c>
      <c r="I38" s="9">
        <f>+I31-I37</f>
        <v>0</v>
      </c>
      <c r="J38" s="9">
        <f>+J31-J37</f>
        <v>1.3035714091529371E-3</v>
      </c>
      <c r="K38" s="9">
        <f>+K31-K37</f>
        <v>-3.6857142858934822E-3</v>
      </c>
      <c r="N38" s="9">
        <f>+N31-N37</f>
        <v>2.3321428579947678E-3</v>
      </c>
      <c r="O38" s="9">
        <f>+O31-O37</f>
        <v>750</v>
      </c>
      <c r="P38" s="9">
        <f>+P31-P37</f>
        <v>17900.107</v>
      </c>
      <c r="S38" s="9">
        <f>+S31-S37</f>
        <v>4.2857151129283011E-5</v>
      </c>
      <c r="T38" s="9">
        <f>+T31-T37</f>
        <v>12106.085907142837</v>
      </c>
      <c r="U38" s="9">
        <f>+U31-U37</f>
        <v>-4.0017766878008842E-11</v>
      </c>
    </row>
    <row r="40" spans="1:23" x14ac:dyDescent="0.25">
      <c r="A40" t="s">
        <v>92</v>
      </c>
      <c r="S40" s="24">
        <v>14196.934760714301</v>
      </c>
      <c r="T40" s="24">
        <v>12301.2503035714</v>
      </c>
      <c r="U40" s="25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4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23" sqref="Y23"/>
    </sheetView>
  </sheetViews>
  <sheetFormatPr defaultRowHeight="15" outlineLevelCol="1" x14ac:dyDescent="0.25"/>
  <cols>
    <col min="1" max="1" width="17.5703125" customWidth="1"/>
    <col min="2" max="4" width="13" hidden="1" customWidth="1" outlineLevel="1"/>
    <col min="5" max="5" width="12.5703125" hidden="1" customWidth="1" outlineLevel="1"/>
    <col min="6" max="6" width="2.7109375" customWidth="1" collapsed="1"/>
    <col min="7" max="9" width="13" hidden="1" customWidth="1" outlineLevel="1"/>
    <col min="10" max="10" width="12.5703125" hidden="1" customWidth="1" outlineLevel="1"/>
    <col min="11" max="11" width="3.28515625" hidden="1" customWidth="1" outlineLevel="1"/>
    <col min="12" max="14" width="13" hidden="1" customWidth="1"/>
    <col min="15" max="15" width="12.5703125" hidden="1" customWidth="1"/>
    <col min="16" max="16" width="8.5703125" hidden="1" customWidth="1"/>
    <col min="17" max="19" width="13" customWidth="1"/>
    <col min="20" max="20" width="12.5703125" customWidth="1"/>
    <col min="21" max="21" width="2.28515625" customWidth="1"/>
    <col min="22" max="23" width="11.140625" customWidth="1"/>
    <col min="24" max="25" width="12.85546875" customWidth="1"/>
    <col min="26" max="26" width="3.42578125" customWidth="1"/>
    <col min="27" max="29" width="8.5703125" customWidth="1"/>
    <col min="30" max="30" width="11.140625" customWidth="1"/>
    <col min="31" max="1025" width="8.5703125" customWidth="1"/>
  </cols>
  <sheetData>
    <row r="1" spans="1:30" ht="13.9" customHeight="1" x14ac:dyDescent="0.25">
      <c r="A1" s="26"/>
      <c r="B1" s="27"/>
      <c r="C1" s="27"/>
      <c r="D1" s="27"/>
      <c r="E1" s="28"/>
      <c r="G1" s="27"/>
      <c r="H1" s="27"/>
      <c r="I1" s="27"/>
      <c r="J1" s="28"/>
      <c r="L1" s="27"/>
      <c r="M1" s="27"/>
      <c r="N1" s="27"/>
      <c r="O1" s="28"/>
      <c r="Q1" s="1" t="s">
        <v>93</v>
      </c>
      <c r="R1" s="1"/>
      <c r="S1" s="1"/>
      <c r="T1" s="1"/>
      <c r="V1" s="1" t="s">
        <v>93</v>
      </c>
      <c r="W1" s="1"/>
      <c r="X1" s="1"/>
      <c r="Y1" s="1"/>
    </row>
    <row r="2" spans="1:30" x14ac:dyDescent="0.25">
      <c r="A2" s="26" t="s">
        <v>94</v>
      </c>
      <c r="B2" s="27" t="s">
        <v>60</v>
      </c>
      <c r="C2" s="27" t="s">
        <v>61</v>
      </c>
      <c r="D2" s="27" t="s">
        <v>62</v>
      </c>
      <c r="E2" s="28" t="s">
        <v>63</v>
      </c>
      <c r="G2" s="27" t="s">
        <v>64</v>
      </c>
      <c r="H2" s="27" t="s">
        <v>65</v>
      </c>
      <c r="I2" s="27" t="s">
        <v>66</v>
      </c>
      <c r="J2" s="28" t="s">
        <v>67</v>
      </c>
      <c r="L2" s="27" t="s">
        <v>68</v>
      </c>
      <c r="M2" s="27" t="s">
        <v>69</v>
      </c>
      <c r="N2" s="27" t="s">
        <v>70</v>
      </c>
      <c r="O2" s="28" t="s">
        <v>71</v>
      </c>
      <c r="Q2" s="27" t="s">
        <v>72</v>
      </c>
      <c r="R2" s="27" t="s">
        <v>73</v>
      </c>
      <c r="S2" s="27" t="s">
        <v>74</v>
      </c>
      <c r="T2" s="28" t="s">
        <v>75</v>
      </c>
      <c r="V2" s="27" t="s">
        <v>72</v>
      </c>
      <c r="W2" s="27" t="s">
        <v>73</v>
      </c>
      <c r="X2" s="27" t="s">
        <v>74</v>
      </c>
      <c r="Y2" s="28" t="s">
        <v>75</v>
      </c>
    </row>
    <row r="3" spans="1:30" x14ac:dyDescent="0.25">
      <c r="A3" s="29" t="s">
        <v>29</v>
      </c>
      <c r="B3" s="30">
        <v>779906.20071428595</v>
      </c>
      <c r="C3" s="30">
        <v>764039.82821428601</v>
      </c>
      <c r="D3" s="30">
        <v>1077458.0432142899</v>
      </c>
      <c r="E3" s="30">
        <f>SUM(B3:D3)</f>
        <v>2621404.0721428618</v>
      </c>
      <c r="G3" s="30">
        <v>689398.01857142895</v>
      </c>
      <c r="H3" s="30">
        <v>861528.52892857103</v>
      </c>
      <c r="I3" s="30">
        <v>689214.92642857099</v>
      </c>
      <c r="J3" s="30">
        <f>SUM(G3:I3)</f>
        <v>2240141.4739285707</v>
      </c>
      <c r="L3" s="30">
        <v>725024.72892857098</v>
      </c>
      <c r="M3" s="30"/>
      <c r="N3" s="30"/>
      <c r="O3" s="30">
        <f>SUM(L3:N3)</f>
        <v>725024.72892857098</v>
      </c>
      <c r="Q3" s="30">
        <v>776321.13392857101</v>
      </c>
      <c r="R3" s="30">
        <v>938435.14785714296</v>
      </c>
      <c r="S3" s="30">
        <v>1005292.7035714299</v>
      </c>
      <c r="T3" s="30">
        <f>SUM(Q3:S3)</f>
        <v>2720048.9853571439</v>
      </c>
      <c r="V3" s="30">
        <v>776321.13392857101</v>
      </c>
      <c r="W3" s="30">
        <v>938435.14785714296</v>
      </c>
      <c r="X3" s="30">
        <v>1005292.7035714299</v>
      </c>
      <c r="Y3" s="30">
        <f>SUM(V3:X3)</f>
        <v>2720048.9853571439</v>
      </c>
    </row>
    <row r="4" spans="1:30" x14ac:dyDescent="0.25">
      <c r="A4" s="29"/>
      <c r="B4" s="31"/>
      <c r="C4" s="31"/>
      <c r="D4" s="31"/>
      <c r="E4" s="31"/>
      <c r="G4" s="31"/>
      <c r="H4" s="31"/>
      <c r="I4" s="31"/>
      <c r="J4" s="31"/>
      <c r="L4" s="31"/>
      <c r="M4" s="31"/>
      <c r="N4" s="31"/>
      <c r="O4" s="31"/>
      <c r="Q4" s="31"/>
      <c r="R4" s="31"/>
      <c r="S4" s="31"/>
      <c r="T4" s="31"/>
      <c r="V4" s="31"/>
      <c r="W4" s="31"/>
      <c r="X4" s="31"/>
      <c r="Y4" s="31"/>
    </row>
    <row r="5" spans="1:30" x14ac:dyDescent="0.25">
      <c r="A5" s="29" t="s">
        <v>95</v>
      </c>
      <c r="B5" s="31"/>
      <c r="C5" s="31"/>
      <c r="D5" s="31"/>
      <c r="E5" s="31">
        <f>SUM(B5:D5)</f>
        <v>0</v>
      </c>
      <c r="G5" s="31"/>
      <c r="H5" s="31"/>
      <c r="I5" s="31"/>
      <c r="J5" s="31">
        <f>SUM(G5:I5)</f>
        <v>0</v>
      </c>
      <c r="L5" s="31"/>
      <c r="M5" s="31"/>
      <c r="N5" s="31"/>
      <c r="O5" s="31">
        <f>SUM(L5:N5)</f>
        <v>0</v>
      </c>
      <c r="Q5" s="31">
        <f>Q20</f>
        <v>459857.15</v>
      </c>
      <c r="R5" s="31"/>
      <c r="S5" s="31">
        <v>869310.90178571397</v>
      </c>
      <c r="T5" s="31">
        <f>SUM(Q5:S5)</f>
        <v>1329168.051785714</v>
      </c>
      <c r="V5" s="31"/>
      <c r="W5" s="31"/>
      <c r="X5" s="31"/>
      <c r="Y5" s="31">
        <f>SUM(V5:X5)</f>
        <v>0</v>
      </c>
    </row>
    <row r="6" spans="1:30" x14ac:dyDescent="0.25">
      <c r="A6" s="29" t="s">
        <v>96</v>
      </c>
      <c r="B6" s="31">
        <v>162273.910714286</v>
      </c>
      <c r="C6" s="31">
        <v>146785.285714286</v>
      </c>
      <c r="D6" s="31">
        <f>SUM(D22:D24)</f>
        <v>258292.02678571412</v>
      </c>
      <c r="E6" s="31">
        <f>SUM(B6:D6)</f>
        <v>567351.22321428615</v>
      </c>
      <c r="G6" s="31">
        <f>SUM(G28:G30)</f>
        <v>233507.51785714299</v>
      </c>
      <c r="H6" s="31">
        <f>SUM(H28:H30)</f>
        <v>190072.49999999959</v>
      </c>
      <c r="I6" s="31">
        <f>SUM(I28:I30)</f>
        <v>207528.625</v>
      </c>
      <c r="J6" s="31">
        <f>SUM(G6:I6)</f>
        <v>631108.64285714261</v>
      </c>
      <c r="L6" s="31">
        <f>SUM(L28:L30)</f>
        <v>71919.410714285696</v>
      </c>
      <c r="M6" s="31">
        <f>SUM(M28:M30)</f>
        <v>0</v>
      </c>
      <c r="N6" s="31">
        <f>SUM(N28:N30)</f>
        <v>0</v>
      </c>
      <c r="O6" s="31">
        <f>SUM(L6:N6)</f>
        <v>71919.410714285696</v>
      </c>
      <c r="Q6" s="31">
        <f>SUM(Q22:Q24)</f>
        <v>233857.211428571</v>
      </c>
      <c r="R6" s="31">
        <f>SUM(R22:R24)</f>
        <v>263461.71428571426</v>
      </c>
      <c r="S6" s="31">
        <f>SUM(S22:S24)</f>
        <v>184713.35714285672</v>
      </c>
      <c r="T6" s="31">
        <f>SUM(Q6:S6)</f>
        <v>682032.28285714192</v>
      </c>
      <c r="V6" s="31">
        <f t="shared" ref="V6:X8" si="0">Q6</f>
        <v>233857.211428571</v>
      </c>
      <c r="W6" s="31">
        <f t="shared" si="0"/>
        <v>263461.71428571426</v>
      </c>
      <c r="X6" s="31">
        <f t="shared" si="0"/>
        <v>184713.35714285672</v>
      </c>
      <c r="Y6" s="31">
        <f>SUM(V6:X6)</f>
        <v>682032.28285714192</v>
      </c>
    </row>
    <row r="7" spans="1:30" x14ac:dyDescent="0.25">
      <c r="A7" s="29" t="s">
        <v>90</v>
      </c>
      <c r="B7" s="31">
        <v>213057.526785714</v>
      </c>
      <c r="C7" s="31">
        <v>210505.13392857101</v>
      </c>
      <c r="D7" s="31">
        <f>SUM(D26:D29)</f>
        <v>209961.616071428</v>
      </c>
      <c r="E7" s="31">
        <f>SUM(B7:D7)</f>
        <v>633524.27678571292</v>
      </c>
      <c r="G7" s="31">
        <f>SUM(G32:G35)</f>
        <v>21744.91</v>
      </c>
      <c r="H7" s="31">
        <f>SUM(H32:H35)</f>
        <v>12858.2</v>
      </c>
      <c r="I7" s="31">
        <f>SUM(I32:I35)</f>
        <v>34305.67</v>
      </c>
      <c r="J7" s="31">
        <f>SUM(G7:I7)</f>
        <v>68908.78</v>
      </c>
      <c r="L7" s="31">
        <f>SUM(L32:L35)</f>
        <v>42299.69</v>
      </c>
      <c r="M7" s="31">
        <f>SUM(M32:M35)</f>
        <v>0</v>
      </c>
      <c r="N7" s="31">
        <f>SUM(N32:N35)</f>
        <v>0</v>
      </c>
      <c r="O7" s="31">
        <f>SUM(L7:N7)</f>
        <v>42299.69</v>
      </c>
      <c r="Q7" s="31">
        <f>SUM(Q26:Q29)</f>
        <v>190965.36142857102</v>
      </c>
      <c r="R7" s="31">
        <f>SUM(R26:R29)</f>
        <v>210473.52678571391</v>
      </c>
      <c r="S7" s="31">
        <f>SUM(S26:S29)</f>
        <v>215284.24107142899</v>
      </c>
      <c r="T7" s="31">
        <f>SUM(Q7:S7)</f>
        <v>616723.12928571389</v>
      </c>
      <c r="V7" s="31">
        <f t="shared" si="0"/>
        <v>190965.36142857102</v>
      </c>
      <c r="W7" s="31">
        <f t="shared" si="0"/>
        <v>210473.52678571391</v>
      </c>
      <c r="X7" s="31">
        <f t="shared" si="0"/>
        <v>215284.24107142899</v>
      </c>
      <c r="Y7" s="31">
        <f>SUM(V7:X7)</f>
        <v>616723.12928571389</v>
      </c>
    </row>
    <row r="8" spans="1:30" x14ac:dyDescent="0.25">
      <c r="A8" s="29" t="s">
        <v>97</v>
      </c>
      <c r="B8" s="31">
        <v>116944.02</v>
      </c>
      <c r="C8" s="31">
        <v>113747.07</v>
      </c>
      <c r="D8" s="31">
        <f>SUM(D31:D34)</f>
        <v>148563.47</v>
      </c>
      <c r="E8" s="31">
        <f>SUM(B8:D8)</f>
        <v>379254.56000000006</v>
      </c>
      <c r="G8" s="31">
        <f>SUM(G37:G40)</f>
        <v>42802.6521428571</v>
      </c>
      <c r="H8" s="31">
        <f>SUM(H37:H40)</f>
        <v>41191.339642857172</v>
      </c>
      <c r="I8" s="31">
        <f>SUM(I37:I40)</f>
        <v>42656.70642857143</v>
      </c>
      <c r="J8" s="31">
        <f>SUM(G8:I8)</f>
        <v>126650.6982142857</v>
      </c>
      <c r="L8" s="31">
        <f>SUM(L37:L40)</f>
        <v>20470.805357142861</v>
      </c>
      <c r="M8" s="31">
        <f>SUM(M37:M40)</f>
        <v>0</v>
      </c>
      <c r="N8" s="31">
        <f>SUM(N37:N40)</f>
        <v>0</v>
      </c>
      <c r="O8" s="31">
        <f>SUM(L8:N8)</f>
        <v>20470.805357142861</v>
      </c>
      <c r="Q8" s="31">
        <f>SUM(Q31:Q34)</f>
        <v>216664.26</v>
      </c>
      <c r="R8" s="31">
        <f>SUM(R31:R34)</f>
        <v>90072.15</v>
      </c>
      <c r="S8" s="31">
        <f>SUM(S31:S34)</f>
        <v>158146.12</v>
      </c>
      <c r="T8" s="31">
        <f>SUM(Q8:S8)</f>
        <v>464882.53</v>
      </c>
      <c r="V8" s="31">
        <f t="shared" si="0"/>
        <v>216664.26</v>
      </c>
      <c r="W8" s="31">
        <f t="shared" si="0"/>
        <v>90072.15</v>
      </c>
      <c r="X8" s="31">
        <f t="shared" si="0"/>
        <v>158146.12</v>
      </c>
      <c r="Y8" s="31">
        <f>SUM(V8:X8)</f>
        <v>464882.53</v>
      </c>
    </row>
    <row r="9" spans="1:30" ht="57" x14ac:dyDescent="0.25">
      <c r="A9" s="32" t="s">
        <v>37</v>
      </c>
      <c r="B9" s="30">
        <f>SUM(B5:B8)</f>
        <v>492275.45750000002</v>
      </c>
      <c r="C9" s="30">
        <f>SUM(C5:C8)</f>
        <v>471037.48964285705</v>
      </c>
      <c r="D9" s="30">
        <f>SUM(D5:D8)</f>
        <v>616817.11285714211</v>
      </c>
      <c r="E9" s="30">
        <f>SUM(E5:E8)</f>
        <v>1580130.0599999991</v>
      </c>
      <c r="G9" s="30">
        <f>SUM(G5:G8)</f>
        <v>298055.08000000007</v>
      </c>
      <c r="H9" s="30">
        <f>SUM(H5:H8)</f>
        <v>244122.03964285678</v>
      </c>
      <c r="I9" s="30">
        <f>SUM(I5:I8)</f>
        <v>284491.00142857141</v>
      </c>
      <c r="J9" s="30">
        <f>SUM(J5:J8)</f>
        <v>826668.12107142829</v>
      </c>
      <c r="L9" s="30">
        <f>SUM(L5:L8)</f>
        <v>134689.90607142856</v>
      </c>
      <c r="M9" s="30">
        <f>SUM(M5:M8)</f>
        <v>0</v>
      </c>
      <c r="N9" s="30">
        <f>SUM(N5:N8)</f>
        <v>0</v>
      </c>
      <c r="O9" s="30">
        <f>SUM(O5:O8)</f>
        <v>134689.90607142856</v>
      </c>
      <c r="Q9" s="30">
        <f>SUM(Q5:Q8)</f>
        <v>1101343.9828571421</v>
      </c>
      <c r="R9" s="30">
        <f>SUM(R5:R8)</f>
        <v>564007.3910714282</v>
      </c>
      <c r="S9" s="30">
        <f>SUM(S5:S8)</f>
        <v>1427454.6199999996</v>
      </c>
      <c r="T9" s="30">
        <f>SUM(T5:T8)</f>
        <v>3092805.9939285703</v>
      </c>
      <c r="V9" s="30">
        <f>SUM(V5:V8)</f>
        <v>641486.83285714197</v>
      </c>
      <c r="W9" s="30">
        <f>SUM(W5:W8)</f>
        <v>564007.3910714282</v>
      </c>
      <c r="X9" s="30">
        <f>SUM(X5:X8)</f>
        <v>558143.71821428568</v>
      </c>
      <c r="Y9" s="30">
        <f>SUM(Y5:Y8)</f>
        <v>1763637.9421428558</v>
      </c>
    </row>
    <row r="10" spans="1:30" x14ac:dyDescent="0.25">
      <c r="A10" s="33"/>
      <c r="B10" s="31"/>
      <c r="C10" s="31"/>
      <c r="D10" s="31"/>
      <c r="E10" s="31"/>
      <c r="G10" s="31"/>
      <c r="H10" s="31"/>
      <c r="I10" s="31"/>
      <c r="J10" s="31"/>
      <c r="L10" s="31"/>
      <c r="M10" s="31"/>
      <c r="N10" s="31"/>
      <c r="O10" s="31"/>
      <c r="Q10" s="31"/>
      <c r="R10" s="31"/>
      <c r="S10" s="31"/>
      <c r="T10" s="31"/>
      <c r="V10" s="31"/>
      <c r="W10" s="31"/>
      <c r="X10" s="31"/>
      <c r="Y10" s="31"/>
      <c r="AA10" t="s">
        <v>98</v>
      </c>
      <c r="AD10" s="31">
        <f>Y15</f>
        <v>170555.22878571454</v>
      </c>
    </row>
    <row r="11" spans="1:30" x14ac:dyDescent="0.25">
      <c r="A11" s="33" t="s">
        <v>99</v>
      </c>
      <c r="B11" s="34">
        <f>+B3*0.12</f>
        <v>93588.744085714308</v>
      </c>
      <c r="C11" s="34">
        <f>+C3*0.12</f>
        <v>91684.779385714312</v>
      </c>
      <c r="D11" s="34">
        <f>+D3*0.12</f>
        <v>129294.96518571478</v>
      </c>
      <c r="E11" s="34">
        <f>+E3*0.12</f>
        <v>314568.48865714337</v>
      </c>
      <c r="G11" s="34">
        <f>+G3*0.12</f>
        <v>82727.762228571475</v>
      </c>
      <c r="H11" s="34">
        <f>+H3*0.12</f>
        <v>103383.42347142853</v>
      </c>
      <c r="I11" s="34">
        <f>+I3*0.12</f>
        <v>82705.791171428515</v>
      </c>
      <c r="J11" s="34">
        <f>+J3*0.12</f>
        <v>268816.97687142849</v>
      </c>
      <c r="L11" s="34">
        <f>+L3*0.12</f>
        <v>87002.967471428521</v>
      </c>
      <c r="M11" s="34">
        <f>+M3*0.12</f>
        <v>0</v>
      </c>
      <c r="N11" s="34">
        <f>+N3*0.12</f>
        <v>0</v>
      </c>
      <c r="O11" s="34">
        <f>+O3*0.12</f>
        <v>87002.967471428521</v>
      </c>
      <c r="Q11" s="34">
        <f>+Q3*0.12</f>
        <v>93158.53607142852</v>
      </c>
      <c r="R11" s="34">
        <f>+R3*0.12</f>
        <v>112612.21774285714</v>
      </c>
      <c r="S11" s="34">
        <f>+S3*0.12</f>
        <v>120635.12442857159</v>
      </c>
      <c r="T11" s="34">
        <f>+T3*0.12</f>
        <v>326405.87824285723</v>
      </c>
      <c r="V11" s="34">
        <f>+V3*0.12</f>
        <v>93158.53607142852</v>
      </c>
      <c r="W11" s="34">
        <f>+W3*0.12</f>
        <v>112612.21774285714</v>
      </c>
      <c r="X11" s="34">
        <f>+X3*0.12</f>
        <v>120635.12442857159</v>
      </c>
      <c r="Y11" s="34">
        <f>+Y3*0.12</f>
        <v>326405.87824285723</v>
      </c>
      <c r="AA11" t="s">
        <v>100</v>
      </c>
      <c r="AD11" s="31">
        <f>T5*12%</f>
        <v>159500.16621428568</v>
      </c>
    </row>
    <row r="12" spans="1:30" x14ac:dyDescent="0.25">
      <c r="A12" s="33" t="s">
        <v>101</v>
      </c>
      <c r="B12" s="34"/>
      <c r="C12" s="34"/>
      <c r="D12" s="34"/>
      <c r="E12" s="34"/>
      <c r="G12" s="34"/>
      <c r="H12" s="34"/>
      <c r="I12" s="34"/>
      <c r="J12" s="34"/>
      <c r="L12" s="34"/>
      <c r="M12" s="34"/>
      <c r="N12" s="34"/>
      <c r="O12" s="34"/>
      <c r="Q12" s="34"/>
      <c r="R12" s="34">
        <f>-Q15</f>
        <v>13003.03</v>
      </c>
      <c r="S12" s="34"/>
      <c r="T12" s="34"/>
      <c r="V12" s="34"/>
      <c r="W12" s="34">
        <f>-V15</f>
        <v>-42179.83</v>
      </c>
      <c r="X12" s="34"/>
      <c r="Y12" s="34"/>
      <c r="AD12" s="35"/>
    </row>
    <row r="13" spans="1:30" x14ac:dyDescent="0.25">
      <c r="A13" s="33" t="s">
        <v>102</v>
      </c>
      <c r="B13" s="36">
        <f>SUM(B5:B7)*0.12</f>
        <v>45039.772499999999</v>
      </c>
      <c r="C13" s="36">
        <f>SUM(C3:C5)*0.12</f>
        <v>91684.779385714312</v>
      </c>
      <c r="D13" s="36">
        <f>SUM(D3:D5)*0.12</f>
        <v>129294.96518571478</v>
      </c>
      <c r="E13" s="36">
        <f>SUM(E3:E5)*0.12</f>
        <v>314568.48865714337</v>
      </c>
      <c r="G13" s="36">
        <f>SUM(G5:G7)*0.12</f>
        <v>30630.291342857159</v>
      </c>
      <c r="H13" s="36">
        <f>SUM(H3:H5)*0.12</f>
        <v>103383.42347142853</v>
      </c>
      <c r="I13" s="36">
        <f>SUM(I3:I5)*0.12</f>
        <v>82705.791171428515</v>
      </c>
      <c r="J13" s="36">
        <f>SUM(J3:J5)*0.12</f>
        <v>268816.97687142849</v>
      </c>
      <c r="L13" s="36">
        <f>SUM(L5:L7)*0.12</f>
        <v>13706.292085714284</v>
      </c>
      <c r="M13" s="36">
        <f>SUM(M3:M5)*0.12</f>
        <v>0</v>
      </c>
      <c r="N13" s="36">
        <f>SUM(N3:N5)*0.12</f>
        <v>0</v>
      </c>
      <c r="O13" s="36">
        <f>SUM(O3:O5)*0.12</f>
        <v>87002.967471428521</v>
      </c>
      <c r="Q13" s="36">
        <f>SUM(Q5:Q7)*0.12</f>
        <v>106161.56674285705</v>
      </c>
      <c r="R13" s="36">
        <f>SUM(R5:R7)*0.12</f>
        <v>56872.228928571378</v>
      </c>
      <c r="S13" s="36">
        <f>SUM(S5:S7)*0.12</f>
        <v>152317.01999999993</v>
      </c>
      <c r="T13" s="36">
        <f>SUM(T5:T7)*0.12</f>
        <v>315350.8156714284</v>
      </c>
      <c r="V13" s="36">
        <f>SUM(V5:V7)*0.12</f>
        <v>50978.708742857038</v>
      </c>
      <c r="W13" s="36">
        <f>SUM(W5:W7)*0.12</f>
        <v>56872.228928571378</v>
      </c>
      <c r="X13" s="36">
        <f>SUM(X5:X7)*0.12</f>
        <v>47999.71178571428</v>
      </c>
      <c r="Y13" s="36">
        <f>SUM(Y5:Y7)*0.12</f>
        <v>155850.64945714269</v>
      </c>
      <c r="AA13" t="s">
        <v>103</v>
      </c>
      <c r="AD13" s="37">
        <f>AD10-AD11</f>
        <v>11055.062571428862</v>
      </c>
    </row>
    <row r="14" spans="1:30" x14ac:dyDescent="0.25">
      <c r="A14" s="33"/>
      <c r="B14" s="31"/>
      <c r="C14" s="31"/>
      <c r="D14" s="31"/>
      <c r="E14" s="31"/>
      <c r="G14" s="31"/>
      <c r="H14" s="31"/>
      <c r="I14" s="31"/>
      <c r="J14" s="31"/>
      <c r="L14" s="31"/>
      <c r="M14" s="31"/>
      <c r="N14" s="31"/>
      <c r="O14" s="31"/>
      <c r="Q14" s="31"/>
      <c r="R14" s="31"/>
      <c r="S14" s="31"/>
      <c r="T14" s="31"/>
      <c r="V14" s="31"/>
      <c r="W14" s="31"/>
      <c r="X14" s="31"/>
      <c r="Y14" s="31"/>
    </row>
    <row r="15" spans="1:30" x14ac:dyDescent="0.25">
      <c r="A15" s="38" t="s">
        <v>104</v>
      </c>
      <c r="B15" s="37">
        <f>ROUND(B11-B13,2)</f>
        <v>48548.97</v>
      </c>
      <c r="C15" s="37">
        <f>ROUND(C11-C13,2)</f>
        <v>0</v>
      </c>
      <c r="D15" s="37">
        <f>ROUND(D11-D13,2)</f>
        <v>0</v>
      </c>
      <c r="E15" s="34">
        <f>E11-E13</f>
        <v>0</v>
      </c>
      <c r="G15" s="37">
        <f>ROUND(G11-G13,2)</f>
        <v>52097.47</v>
      </c>
      <c r="H15" s="37">
        <f>ROUND(H11-H13,2)</f>
        <v>0</v>
      </c>
      <c r="I15" s="37">
        <f>ROUND(I11-I13,2)</f>
        <v>0</v>
      </c>
      <c r="J15" s="34">
        <f>J11-J13</f>
        <v>0</v>
      </c>
      <c r="L15" s="37">
        <f>ROUND(L11-L13,2)</f>
        <v>73296.679999999993</v>
      </c>
      <c r="M15" s="37">
        <f>ROUND(M11-M13,2)</f>
        <v>0</v>
      </c>
      <c r="N15" s="37">
        <f>ROUND(N11-N13,2)</f>
        <v>0</v>
      </c>
      <c r="O15" s="34">
        <f>O11-O13</f>
        <v>0</v>
      </c>
      <c r="Q15" s="37">
        <f>ROUND(Q11-Q13,2)</f>
        <v>-13003.03</v>
      </c>
      <c r="R15" s="37">
        <f>ROUND(R11-R13-R12,2)</f>
        <v>42736.959999999999</v>
      </c>
      <c r="S15" s="37">
        <f>ROUND(S11-S13-S12,2)</f>
        <v>-31681.9</v>
      </c>
      <c r="T15" s="39">
        <f>T11-T13</f>
        <v>11055.062571428833</v>
      </c>
      <c r="V15" s="37">
        <f>ROUND(V11-V13,2)</f>
        <v>42179.83</v>
      </c>
      <c r="W15" s="37">
        <f>ROUND(W11-W13-W12,2)</f>
        <v>97919.82</v>
      </c>
      <c r="X15" s="37">
        <f>ROUND(X11-X13-X12,2)</f>
        <v>72635.41</v>
      </c>
      <c r="Y15" s="40">
        <f>Y11-Y13</f>
        <v>170555.22878571454</v>
      </c>
    </row>
    <row r="16" spans="1:30" x14ac:dyDescent="0.25">
      <c r="B16" s="31"/>
      <c r="C16" s="31"/>
      <c r="D16" s="31"/>
      <c r="E16" s="34">
        <f>B15+C15</f>
        <v>48548.97</v>
      </c>
      <c r="G16" s="31"/>
      <c r="H16" s="31"/>
      <c r="I16" s="31"/>
      <c r="J16" s="34">
        <f>G15+H15</f>
        <v>52097.47</v>
      </c>
      <c r="L16" s="31"/>
      <c r="M16" s="31"/>
      <c r="N16" s="31"/>
      <c r="O16" s="34">
        <f>L15+M15</f>
        <v>73296.679999999993</v>
      </c>
      <c r="Q16" s="31"/>
      <c r="R16" s="31"/>
      <c r="S16" s="31"/>
      <c r="T16" s="34">
        <f>R15</f>
        <v>42736.959999999999</v>
      </c>
      <c r="V16" s="31"/>
      <c r="W16" s="31"/>
      <c r="X16" s="31"/>
      <c r="Y16" s="34">
        <f>W15</f>
        <v>97919.82</v>
      </c>
    </row>
    <row r="17" spans="1:25" x14ac:dyDescent="0.25">
      <c r="B17" s="31"/>
      <c r="C17" s="31"/>
      <c r="D17" s="31"/>
      <c r="E17" s="41">
        <f>+E15-E16</f>
        <v>-48548.97</v>
      </c>
      <c r="G17" s="31"/>
      <c r="H17" s="31"/>
      <c r="I17" s="31"/>
      <c r="J17" s="41">
        <f>+J15-J16</f>
        <v>-52097.47</v>
      </c>
      <c r="L17" s="31"/>
      <c r="M17" s="31"/>
      <c r="N17" s="31"/>
      <c r="O17" s="41">
        <f>+O15-O16</f>
        <v>-73296.679999999993</v>
      </c>
      <c r="Q17" s="31"/>
      <c r="R17" s="31"/>
      <c r="S17" s="31"/>
      <c r="T17" s="41">
        <f>+T15-T16</f>
        <v>-31681.897428571167</v>
      </c>
      <c r="V17" s="31"/>
      <c r="W17" s="31"/>
      <c r="X17" s="31"/>
      <c r="Y17" s="41">
        <f>+Y15-Y16</f>
        <v>72635.408785714535</v>
      </c>
    </row>
    <row r="19" spans="1:25" x14ac:dyDescent="0.25">
      <c r="E19" s="11"/>
      <c r="J19" s="11"/>
      <c r="O19" s="11"/>
      <c r="T19" s="11"/>
    </row>
    <row r="20" spans="1:25" x14ac:dyDescent="0.25">
      <c r="A20" t="s">
        <v>105</v>
      </c>
      <c r="E20" s="11"/>
      <c r="J20" s="11"/>
      <c r="O20" s="11"/>
      <c r="Q20" s="31">
        <v>459857.15</v>
      </c>
      <c r="T20" s="11"/>
    </row>
    <row r="21" spans="1:25" x14ac:dyDescent="0.25">
      <c r="E21" s="11"/>
      <c r="J21" s="11"/>
      <c r="O21" s="11"/>
      <c r="T21" s="11"/>
    </row>
    <row r="22" spans="1:25" x14ac:dyDescent="0.25">
      <c r="A22" t="s">
        <v>106</v>
      </c>
      <c r="B22" s="11">
        <v>119028.285714286</v>
      </c>
      <c r="C22" s="9">
        <v>116070.669642857</v>
      </c>
      <c r="D22" s="11">
        <f>222144.96/1.12</f>
        <v>198343.71428571426</v>
      </c>
      <c r="G22" s="11">
        <f>109267.97/1.12</f>
        <v>97560.687499999985</v>
      </c>
      <c r="H22" s="11">
        <v>124171.830357143</v>
      </c>
      <c r="I22" s="11">
        <v>120652.4375</v>
      </c>
      <c r="L22" s="11">
        <f>51209.81/1.12</f>
        <v>45723.044642857138</v>
      </c>
      <c r="M22" s="11"/>
      <c r="N22" s="11"/>
      <c r="Q22" s="11">
        <v>211487.148928571</v>
      </c>
      <c r="R22" s="11">
        <f>251409.73/1.12</f>
        <v>224472.97321428571</v>
      </c>
      <c r="S22" s="11">
        <v>147100.32142857101</v>
      </c>
    </row>
    <row r="23" spans="1:25" x14ac:dyDescent="0.25">
      <c r="A23" t="s">
        <v>107</v>
      </c>
      <c r="B23" s="11">
        <f>135242.42/1.12-B22</f>
        <v>1723.874999999709</v>
      </c>
      <c r="C23" s="9">
        <f>148059.32/1.12-C22</f>
        <v>16125.151785714421</v>
      </c>
      <c r="D23" s="20">
        <f>+B23+C23</f>
        <v>17849.02678571413</v>
      </c>
      <c r="G23" s="11"/>
      <c r="H23" s="11"/>
      <c r="I23" s="11"/>
      <c r="L23" s="11"/>
      <c r="M23" s="11"/>
      <c r="N23" s="11"/>
      <c r="Q23" s="11"/>
      <c r="R23" s="11"/>
      <c r="S23" s="11"/>
    </row>
    <row r="24" spans="1:25" x14ac:dyDescent="0.25">
      <c r="A24" t="s">
        <v>108</v>
      </c>
      <c r="B24" s="11">
        <v>43245.625</v>
      </c>
      <c r="C24" s="9">
        <v>30714.616071428602</v>
      </c>
      <c r="D24" s="11">
        <f>47151.2/1.12</f>
        <v>42099.28571428571</v>
      </c>
      <c r="G24" s="11">
        <f>28695.03/1.12</f>
        <v>25620.562499999996</v>
      </c>
      <c r="H24" s="11">
        <v>29016.830357142899</v>
      </c>
      <c r="I24" s="11">
        <v>27291.491071428602</v>
      </c>
      <c r="L24" s="11">
        <f>59301.3/1.12</f>
        <v>52947.589285714283</v>
      </c>
      <c r="M24" s="11"/>
      <c r="N24" s="11"/>
      <c r="Q24" s="11">
        <f>25054.47/1.12</f>
        <v>22370.0625</v>
      </c>
      <c r="R24" s="11">
        <f>43667.39/1.12</f>
        <v>38988.741071428565</v>
      </c>
      <c r="S24" s="11">
        <v>37613.035714285703</v>
      </c>
    </row>
    <row r="25" spans="1:25" x14ac:dyDescent="0.25">
      <c r="B25" s="11"/>
      <c r="D25" s="11"/>
      <c r="G25" s="11"/>
      <c r="H25" s="11"/>
      <c r="I25" s="11"/>
      <c r="J25" s="9"/>
      <c r="L25" s="11"/>
      <c r="M25" s="11"/>
      <c r="N25" s="11"/>
      <c r="O25" s="9"/>
      <c r="Q25" s="11"/>
      <c r="R25" s="11"/>
      <c r="S25" s="11"/>
      <c r="T25" s="9"/>
    </row>
    <row r="26" spans="1:25" x14ac:dyDescent="0.25">
      <c r="A26" t="s">
        <v>109</v>
      </c>
      <c r="B26" s="11"/>
      <c r="D26" s="11"/>
      <c r="G26" s="11"/>
      <c r="H26" s="11"/>
      <c r="I26" s="11"/>
      <c r="J26" s="9"/>
      <c r="L26" s="11"/>
      <c r="M26" s="11"/>
      <c r="N26" s="11"/>
      <c r="O26" s="9"/>
      <c r="Q26" s="11"/>
      <c r="R26" s="11"/>
      <c r="S26" s="11"/>
      <c r="T26" s="9"/>
    </row>
    <row r="27" spans="1:25" x14ac:dyDescent="0.25">
      <c r="A27" t="s">
        <v>107</v>
      </c>
      <c r="B27" s="11"/>
      <c r="C27" s="9"/>
      <c r="D27" s="11"/>
      <c r="G27" s="11"/>
      <c r="H27" s="11"/>
      <c r="I27" s="11"/>
      <c r="L27" s="11">
        <v>168501.07142857101</v>
      </c>
      <c r="M27" s="11"/>
      <c r="N27" s="20"/>
      <c r="Q27" s="11"/>
      <c r="R27" s="11"/>
      <c r="S27" s="20"/>
    </row>
    <row r="28" spans="1:25" x14ac:dyDescent="0.25">
      <c r="A28" t="s">
        <v>110</v>
      </c>
      <c r="B28" s="11"/>
      <c r="D28" s="11"/>
      <c r="G28" s="11"/>
      <c r="H28" s="11">
        <v>3571.4285714285702</v>
      </c>
      <c r="I28" s="11"/>
      <c r="L28" s="11"/>
      <c r="M28" s="11"/>
      <c r="N28" s="11"/>
      <c r="Q28" s="11"/>
      <c r="R28" s="11"/>
      <c r="S28" s="11"/>
    </row>
    <row r="29" spans="1:25" x14ac:dyDescent="0.25">
      <c r="A29" t="s">
        <v>111</v>
      </c>
      <c r="B29" s="11">
        <v>213057.526785714</v>
      </c>
      <c r="C29" s="9">
        <v>210505.13392857101</v>
      </c>
      <c r="D29" s="11">
        <v>209961.616071428</v>
      </c>
      <c r="G29" s="11">
        <v>233507.51785714299</v>
      </c>
      <c r="H29" s="11">
        <v>186501.07142857101</v>
      </c>
      <c r="I29" s="11">
        <v>207528.625</v>
      </c>
      <c r="L29" s="11">
        <v>71919.410714285696</v>
      </c>
      <c r="M29" s="11"/>
      <c r="N29" s="11"/>
      <c r="Q29" s="11">
        <f>168501.071428571+3000+15000+4464.29</f>
        <v>190965.36142857102</v>
      </c>
      <c r="R29" s="11">
        <f>168501.071428571+3000+15000+23972.4553571429</f>
        <v>210473.52678571391</v>
      </c>
      <c r="S29" s="11">
        <v>215284.24107142899</v>
      </c>
    </row>
    <row r="30" spans="1:25" x14ac:dyDescent="0.25">
      <c r="B30" s="11"/>
      <c r="D30" s="11"/>
      <c r="G30" s="11"/>
      <c r="H30" s="11"/>
      <c r="I30" s="11"/>
      <c r="L30" s="11"/>
      <c r="M30" s="11"/>
      <c r="N30" s="11"/>
      <c r="Q30" s="11"/>
      <c r="R30" s="11"/>
      <c r="S30" s="11"/>
    </row>
    <row r="31" spans="1:25" x14ac:dyDescent="0.25">
      <c r="A31" t="s">
        <v>112</v>
      </c>
      <c r="B31" s="11">
        <v>72702.83</v>
      </c>
      <c r="C31" s="9">
        <v>69600.039999999994</v>
      </c>
      <c r="D31" s="11">
        <v>88729.4</v>
      </c>
      <c r="G31" s="11">
        <v>84055.43</v>
      </c>
      <c r="H31" s="11">
        <v>69777.3</v>
      </c>
      <c r="I31" s="11">
        <v>73489.649999999994</v>
      </c>
      <c r="L31" s="11">
        <v>51758.33</v>
      </c>
      <c r="M31" s="11"/>
      <c r="N31" s="11"/>
      <c r="Q31" s="11">
        <v>152237.79999999999</v>
      </c>
      <c r="R31" s="11">
        <v>73146.7</v>
      </c>
      <c r="S31" s="11">
        <v>80879.55</v>
      </c>
    </row>
    <row r="32" spans="1:25" x14ac:dyDescent="0.25">
      <c r="A32" t="s">
        <v>107</v>
      </c>
      <c r="B32" s="9">
        <f>81092.78-B31</f>
        <v>8389.9499999999971</v>
      </c>
      <c r="C32" s="9">
        <f>74805-C31</f>
        <v>5204.9600000000064</v>
      </c>
      <c r="D32" s="42">
        <f>B32+C32</f>
        <v>13594.910000000003</v>
      </c>
      <c r="G32" s="11"/>
      <c r="H32" s="11"/>
      <c r="I32" s="11"/>
      <c r="L32" s="11"/>
      <c r="M32" s="11"/>
      <c r="N32" s="11"/>
      <c r="Q32" s="11"/>
      <c r="R32" s="11"/>
      <c r="S32" s="11"/>
    </row>
    <row r="33" spans="1:19" x14ac:dyDescent="0.25">
      <c r="A33" t="s">
        <v>113</v>
      </c>
      <c r="B33" s="11">
        <v>14360.09</v>
      </c>
      <c r="C33" s="9">
        <v>15131.65</v>
      </c>
      <c r="D33" s="11">
        <v>16972.53</v>
      </c>
      <c r="G33" s="11">
        <v>7512.05</v>
      </c>
      <c r="H33" s="11">
        <v>12858.2</v>
      </c>
      <c r="I33" s="11">
        <v>4785.6099999999997</v>
      </c>
      <c r="L33" s="11">
        <v>13252.05</v>
      </c>
      <c r="M33" s="11"/>
      <c r="N33" s="11"/>
      <c r="Q33" s="11">
        <v>7842.2</v>
      </c>
      <c r="R33" s="11">
        <v>16925.45</v>
      </c>
      <c r="S33" s="11">
        <v>18023.689999999999</v>
      </c>
    </row>
    <row r="34" spans="1:19" x14ac:dyDescent="0.25">
      <c r="A34" t="s">
        <v>114</v>
      </c>
      <c r="B34" s="11">
        <v>29881.1</v>
      </c>
      <c r="C34" s="9">
        <v>29015.38</v>
      </c>
      <c r="D34" s="11">
        <v>29266.63</v>
      </c>
      <c r="G34" s="11">
        <v>14232.86</v>
      </c>
      <c r="H34" s="11"/>
      <c r="I34" s="11">
        <v>29520.06</v>
      </c>
      <c r="L34" s="11">
        <v>29047.64</v>
      </c>
      <c r="M34" s="11"/>
      <c r="N34" s="11"/>
      <c r="Q34">
        <v>56584.26</v>
      </c>
      <c r="R34" s="11"/>
      <c r="S34" s="11">
        <v>59242.879999999997</v>
      </c>
    </row>
    <row r="37" spans="1:19" x14ac:dyDescent="0.25">
      <c r="A37" t="s">
        <v>89</v>
      </c>
      <c r="G37" s="11">
        <v>11707.282499999999</v>
      </c>
      <c r="H37" s="11">
        <v>14900.62</v>
      </c>
      <c r="I37" s="11">
        <v>14478.2925</v>
      </c>
      <c r="L37" s="11">
        <v>5486.76535714286</v>
      </c>
      <c r="M37" s="11"/>
      <c r="N37" s="11"/>
      <c r="Q37" s="11">
        <v>26078.1</v>
      </c>
      <c r="R37" s="11">
        <v>26936.7567857143</v>
      </c>
      <c r="S37" s="11">
        <v>17652.038571428599</v>
      </c>
    </row>
    <row r="38" spans="1:19" x14ac:dyDescent="0.25">
      <c r="A38" t="s">
        <v>91</v>
      </c>
      <c r="G38" s="11">
        <v>3074.4675000000002</v>
      </c>
      <c r="H38" s="11">
        <v>3910.5910714285701</v>
      </c>
      <c r="I38" s="11">
        <v>3274.9789285714301</v>
      </c>
      <c r="L38" s="11">
        <v>6353.7107142857203</v>
      </c>
      <c r="M38" s="11"/>
      <c r="N38" s="11"/>
      <c r="Q38" s="11">
        <v>2684.4074999999998</v>
      </c>
      <c r="R38" s="11">
        <v>4678.6489285714297</v>
      </c>
      <c r="S38" s="11">
        <v>4513.5642857142902</v>
      </c>
    </row>
    <row r="39" spans="1:19" x14ac:dyDescent="0.25">
      <c r="A39" t="s">
        <v>115</v>
      </c>
      <c r="G39" s="11">
        <v>28020.9021428571</v>
      </c>
      <c r="H39" s="11">
        <v>22380.128571428599</v>
      </c>
      <c r="I39" s="11">
        <v>24903.435000000001</v>
      </c>
      <c r="L39" s="11">
        <v>8630.3292857142806</v>
      </c>
      <c r="M39" s="11"/>
      <c r="N39" s="11"/>
      <c r="Q39" s="11">
        <v>22915.842857142899</v>
      </c>
      <c r="R39" s="11">
        <v>25256.823214285701</v>
      </c>
      <c r="S39" s="11">
        <v>25834.108928571401</v>
      </c>
    </row>
    <row r="40" spans="1:19" x14ac:dyDescent="0.25">
      <c r="H40" s="11"/>
      <c r="I40" s="11"/>
      <c r="M40" s="11"/>
      <c r="N40" s="11"/>
      <c r="R40" s="11"/>
      <c r="S40" s="11"/>
    </row>
    <row r="41" spans="1:19" x14ac:dyDescent="0.25">
      <c r="G41" s="9">
        <f>SUM(G37:G39)</f>
        <v>42802.6521428571</v>
      </c>
      <c r="H41" s="9">
        <f>SUM(H37:H39)</f>
        <v>41191.339642857172</v>
      </c>
      <c r="I41" s="9">
        <f>SUM(I37:I39)</f>
        <v>42656.70642857143</v>
      </c>
      <c r="L41" s="9">
        <f>SUM(L37:L39)</f>
        <v>20470.805357142861</v>
      </c>
      <c r="M41" s="9">
        <f>SUM(M37:M39)</f>
        <v>0</v>
      </c>
      <c r="N41" s="9">
        <f>SUM(N37:N39)</f>
        <v>0</v>
      </c>
      <c r="Q41" s="9">
        <f>SUM(Q37:Q39)</f>
        <v>51678.350357142903</v>
      </c>
      <c r="R41" s="9">
        <f>SUM(R37:R39)</f>
        <v>56872.228928571436</v>
      </c>
      <c r="S41" s="9">
        <f>SUM(S37:S39)</f>
        <v>47999.711785714288</v>
      </c>
    </row>
    <row r="42" spans="1:19" x14ac:dyDescent="0.25">
      <c r="G42" s="9">
        <f>G13-G41</f>
        <v>-12172.36079999994</v>
      </c>
      <c r="H42" s="9">
        <f>H13-H41</f>
        <v>62192.083828571354</v>
      </c>
      <c r="I42" s="9">
        <f>I13-I41</f>
        <v>40049.084742857085</v>
      </c>
      <c r="L42" s="9">
        <f>L13-L41</f>
        <v>-6764.5132714285774</v>
      </c>
      <c r="M42" s="9">
        <f>M13-M41</f>
        <v>0</v>
      </c>
      <c r="N42" s="9">
        <f>N13-N41</f>
        <v>0</v>
      </c>
      <c r="Q42" s="9">
        <f>Q13-Q41</f>
        <v>54483.216385714142</v>
      </c>
      <c r="R42" s="9">
        <f>R13-R41</f>
        <v>-5.8207660913467407E-11</v>
      </c>
      <c r="S42" s="9">
        <f>S13-S41</f>
        <v>104317.30821428564</v>
      </c>
    </row>
  </sheetData>
  <mergeCells count="2">
    <mergeCell ref="Q1:T1"/>
    <mergeCell ref="V1:Y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0"/>
  <sheetViews>
    <sheetView zoomScaleNormal="100" workbookViewId="0">
      <selection activeCell="D24" sqref="D24"/>
    </sheetView>
  </sheetViews>
  <sheetFormatPr defaultRowHeight="15" x14ac:dyDescent="0.25"/>
  <cols>
    <col min="1" max="1" width="15" customWidth="1"/>
    <col min="2" max="2" width="22.42578125" style="43" customWidth="1"/>
    <col min="3" max="3" width="17.5703125" customWidth="1"/>
    <col min="4" max="7" width="17.140625" customWidth="1"/>
    <col min="8" max="8" width="8.5703125" customWidth="1"/>
    <col min="9" max="9" width="13.28515625" customWidth="1"/>
    <col min="10" max="1025" width="8.5703125" customWidth="1"/>
  </cols>
  <sheetData>
    <row r="1" spans="1:9" x14ac:dyDescent="0.25">
      <c r="B1" s="43">
        <v>120292440</v>
      </c>
      <c r="I1" s="10"/>
    </row>
    <row r="2" spans="1:9" x14ac:dyDescent="0.25">
      <c r="I2" s="10"/>
    </row>
    <row r="3" spans="1:9" x14ac:dyDescent="0.25">
      <c r="A3" s="44">
        <v>2018</v>
      </c>
      <c r="B3" s="45"/>
      <c r="C3" t="s">
        <v>116</v>
      </c>
      <c r="D3" s="10" t="s">
        <v>117</v>
      </c>
      <c r="E3" s="10" t="s">
        <v>118</v>
      </c>
      <c r="F3" s="10" t="s">
        <v>119</v>
      </c>
      <c r="G3" s="10" t="s">
        <v>120</v>
      </c>
      <c r="I3" s="10"/>
    </row>
    <row r="4" spans="1:9" x14ac:dyDescent="0.25">
      <c r="A4" t="s">
        <v>60</v>
      </c>
      <c r="C4" s="10"/>
      <c r="D4" s="11"/>
      <c r="E4" s="11"/>
      <c r="F4" s="11"/>
      <c r="G4" s="11"/>
    </row>
    <row r="5" spans="1:9" x14ac:dyDescent="0.25">
      <c r="A5" t="s">
        <v>61</v>
      </c>
      <c r="C5" s="10"/>
      <c r="D5" s="11"/>
      <c r="E5" s="11"/>
      <c r="F5" s="11"/>
      <c r="G5" s="11"/>
    </row>
    <row r="6" spans="1:9" x14ac:dyDescent="0.25">
      <c r="A6" t="s">
        <v>62</v>
      </c>
      <c r="C6" s="10"/>
      <c r="D6" s="11"/>
      <c r="E6" s="11"/>
      <c r="F6" s="11"/>
      <c r="G6" s="11"/>
    </row>
    <row r="7" spans="1:9" x14ac:dyDescent="0.25">
      <c r="A7" t="s">
        <v>64</v>
      </c>
      <c r="C7" s="10"/>
      <c r="D7" s="11"/>
      <c r="E7" s="11"/>
      <c r="F7" s="11"/>
      <c r="G7" s="11"/>
    </row>
    <row r="8" spans="1:9" x14ac:dyDescent="0.25">
      <c r="A8" t="s">
        <v>65</v>
      </c>
      <c r="C8" s="10"/>
      <c r="D8" s="11"/>
      <c r="E8" s="11"/>
      <c r="F8" s="11"/>
      <c r="G8" s="11"/>
    </row>
    <row r="9" spans="1:9" x14ac:dyDescent="0.25">
      <c r="A9" t="s">
        <v>66</v>
      </c>
      <c r="C9" s="10"/>
      <c r="D9" s="11"/>
      <c r="E9" s="11"/>
      <c r="F9" s="11"/>
      <c r="G9" s="11"/>
    </row>
    <row r="10" spans="1:9" x14ac:dyDescent="0.25">
      <c r="A10" t="s">
        <v>68</v>
      </c>
      <c r="C10" s="10"/>
      <c r="D10" s="11"/>
      <c r="E10" s="11"/>
      <c r="F10" s="11"/>
      <c r="G10" s="11"/>
    </row>
    <row r="11" spans="1:9" x14ac:dyDescent="0.25">
      <c r="A11" t="s">
        <v>69</v>
      </c>
      <c r="B11" s="43" t="s">
        <v>121</v>
      </c>
      <c r="C11" s="10">
        <v>91088</v>
      </c>
      <c r="D11" s="11">
        <v>736187.13</v>
      </c>
      <c r="E11" s="11"/>
      <c r="F11" s="11"/>
      <c r="G11" s="11"/>
      <c r="I11" s="11"/>
    </row>
    <row r="12" spans="1:9" x14ac:dyDescent="0.25">
      <c r="A12" t="s">
        <v>70</v>
      </c>
      <c r="B12" s="43" t="s">
        <v>122</v>
      </c>
      <c r="C12" s="10">
        <v>92445</v>
      </c>
      <c r="D12" s="11">
        <v>800400.57</v>
      </c>
      <c r="E12" s="11"/>
      <c r="F12" s="11"/>
      <c r="G12" s="11"/>
      <c r="I12" s="11"/>
    </row>
    <row r="13" spans="1:9" x14ac:dyDescent="0.25">
      <c r="A13" t="s">
        <v>72</v>
      </c>
      <c r="B13" s="43" t="s">
        <v>123</v>
      </c>
      <c r="C13" s="10">
        <v>93813</v>
      </c>
      <c r="D13" s="11">
        <v>831912.2</v>
      </c>
      <c r="E13" s="11"/>
      <c r="F13" s="11"/>
      <c r="G13" s="11"/>
      <c r="I13" s="11"/>
    </row>
    <row r="14" spans="1:9" x14ac:dyDescent="0.25">
      <c r="A14" t="s">
        <v>73</v>
      </c>
      <c r="B14" s="43" t="s">
        <v>124</v>
      </c>
      <c r="C14" s="10">
        <v>94971</v>
      </c>
      <c r="D14" s="11">
        <v>777209.06</v>
      </c>
      <c r="E14" s="11"/>
      <c r="F14" s="11"/>
      <c r="G14" s="11"/>
      <c r="I14" s="11"/>
    </row>
    <row r="15" spans="1:9" x14ac:dyDescent="0.25">
      <c r="A15" t="s">
        <v>74</v>
      </c>
      <c r="B15" s="43" t="s">
        <v>125</v>
      </c>
      <c r="C15" s="10">
        <v>96016</v>
      </c>
      <c r="D15" s="11">
        <v>761957.08</v>
      </c>
      <c r="E15" s="11"/>
      <c r="F15" s="11"/>
      <c r="G15" s="11"/>
      <c r="I15" s="11"/>
    </row>
    <row r="17" spans="1:9" x14ac:dyDescent="0.25">
      <c r="D17" s="9"/>
      <c r="I17" s="9"/>
    </row>
    <row r="18" spans="1:9" x14ac:dyDescent="0.25">
      <c r="A18" s="44">
        <v>2019</v>
      </c>
    </row>
    <row r="19" spans="1:9" x14ac:dyDescent="0.25">
      <c r="A19" t="s">
        <v>60</v>
      </c>
      <c r="C19" s="10"/>
      <c r="D19" s="11">
        <v>756868.42</v>
      </c>
      <c r="E19" s="11"/>
      <c r="F19" s="11"/>
      <c r="G19" s="11"/>
    </row>
    <row r="20" spans="1:9" x14ac:dyDescent="0.25">
      <c r="A20" t="s">
        <v>61</v>
      </c>
      <c r="C20" s="10"/>
      <c r="D20" s="11">
        <v>738586.5</v>
      </c>
      <c r="E20" s="11"/>
      <c r="F20" s="11"/>
      <c r="G20" s="11"/>
    </row>
    <row r="21" spans="1:9" x14ac:dyDescent="0.25">
      <c r="A21" t="s">
        <v>62</v>
      </c>
      <c r="C21" s="10"/>
      <c r="D21" s="11">
        <v>1046371.93</v>
      </c>
      <c r="E21" s="11"/>
      <c r="F21" s="11"/>
      <c r="G21" s="11"/>
    </row>
    <row r="22" spans="1:9" x14ac:dyDescent="0.25">
      <c r="A22" t="s">
        <v>64</v>
      </c>
      <c r="C22" s="10"/>
      <c r="D22" s="11">
        <v>670396.32999999996</v>
      </c>
      <c r="E22" s="11"/>
      <c r="F22" s="11"/>
      <c r="G22" s="11"/>
    </row>
    <row r="23" spans="1:9" x14ac:dyDescent="0.25">
      <c r="A23" t="s">
        <v>65</v>
      </c>
      <c r="C23" s="10"/>
      <c r="D23" s="11">
        <v>837803.13</v>
      </c>
      <c r="E23" s="11"/>
      <c r="F23" s="11"/>
      <c r="G23" s="11"/>
    </row>
    <row r="24" spans="1:9" x14ac:dyDescent="0.25">
      <c r="A24" t="s">
        <v>66</v>
      </c>
      <c r="C24" s="10"/>
      <c r="D24" s="11">
        <v>664720.75</v>
      </c>
      <c r="E24" s="11"/>
      <c r="F24" s="11"/>
      <c r="G24" s="11"/>
    </row>
    <row r="25" spans="1:9" x14ac:dyDescent="0.25">
      <c r="A25" t="s">
        <v>68</v>
      </c>
      <c r="C25" s="10"/>
      <c r="D25" s="11"/>
      <c r="E25" s="11"/>
      <c r="F25" s="11"/>
      <c r="G25" s="11"/>
    </row>
    <row r="26" spans="1:9" x14ac:dyDescent="0.25">
      <c r="A26" t="s">
        <v>69</v>
      </c>
      <c r="C26" s="10"/>
      <c r="D26" s="11"/>
      <c r="E26" s="11"/>
      <c r="F26" s="11"/>
      <c r="G26" s="11"/>
    </row>
    <row r="27" spans="1:9" x14ac:dyDescent="0.25">
      <c r="A27" t="s">
        <v>70</v>
      </c>
      <c r="C27" s="10"/>
      <c r="D27" s="11"/>
      <c r="E27" s="11"/>
      <c r="F27" s="11"/>
      <c r="G27" s="11"/>
    </row>
    <row r="28" spans="1:9" x14ac:dyDescent="0.25">
      <c r="A28" t="s">
        <v>72</v>
      </c>
      <c r="C28" s="10"/>
      <c r="D28" s="11"/>
      <c r="E28" s="11"/>
      <c r="F28" s="11"/>
      <c r="G28" s="11"/>
    </row>
    <row r="29" spans="1:9" x14ac:dyDescent="0.25">
      <c r="A29" t="s">
        <v>73</v>
      </c>
      <c r="C29" s="10"/>
      <c r="D29" s="11"/>
      <c r="E29" s="11"/>
      <c r="F29" s="11"/>
      <c r="G29" s="11"/>
    </row>
    <row r="30" spans="1:9" x14ac:dyDescent="0.25">
      <c r="A30" t="s">
        <v>74</v>
      </c>
      <c r="C30" s="10"/>
      <c r="D30" s="11"/>
      <c r="E30" s="11"/>
      <c r="F30" s="11"/>
      <c r="G30" s="1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="150" zoomScaleNormal="150" workbookViewId="0">
      <selection activeCell="C20" sqref="C20"/>
    </sheetView>
  </sheetViews>
  <sheetFormatPr defaultRowHeight="15" x14ac:dyDescent="0.25"/>
  <cols>
    <col min="1" max="1" width="25.7109375" customWidth="1"/>
    <col min="2" max="1025" width="9.140625" customWidth="1"/>
  </cols>
  <sheetData>
    <row r="1" spans="1:2" x14ac:dyDescent="0.25">
      <c r="A1" t="s">
        <v>126</v>
      </c>
      <c r="B1" s="46" t="s">
        <v>127</v>
      </c>
    </row>
    <row r="2" spans="1:2" x14ac:dyDescent="0.25">
      <c r="A2" t="s">
        <v>128</v>
      </c>
      <c r="B2" s="46" t="s">
        <v>129</v>
      </c>
    </row>
    <row r="3" spans="1:2" x14ac:dyDescent="0.25">
      <c r="A3" t="s">
        <v>130</v>
      </c>
      <c r="B3" s="46" t="s">
        <v>131</v>
      </c>
    </row>
    <row r="4" spans="1:2" x14ac:dyDescent="0.25">
      <c r="A4" t="s">
        <v>132</v>
      </c>
      <c r="B4" s="46" t="s">
        <v>133</v>
      </c>
    </row>
    <row r="5" spans="1:2" x14ac:dyDescent="0.25">
      <c r="A5" t="s">
        <v>134</v>
      </c>
      <c r="B5" s="46" t="s">
        <v>135</v>
      </c>
    </row>
    <row r="6" spans="1:2" x14ac:dyDescent="0.25">
      <c r="A6" t="s">
        <v>136</v>
      </c>
      <c r="B6" s="46" t="s">
        <v>137</v>
      </c>
    </row>
    <row r="7" spans="1:2" x14ac:dyDescent="0.25">
      <c r="A7" t="s">
        <v>138</v>
      </c>
      <c r="B7" s="46" t="s">
        <v>139</v>
      </c>
    </row>
    <row r="8" spans="1:2" x14ac:dyDescent="0.25">
      <c r="A8" t="s">
        <v>140</v>
      </c>
      <c r="B8" s="46" t="s">
        <v>141</v>
      </c>
    </row>
    <row r="9" spans="1:2" x14ac:dyDescent="0.25">
      <c r="A9" t="s">
        <v>142</v>
      </c>
      <c r="B9" s="46" t="s">
        <v>143</v>
      </c>
    </row>
    <row r="10" spans="1:2" x14ac:dyDescent="0.25">
      <c r="A10" t="s">
        <v>144</v>
      </c>
      <c r="B10" s="46" t="s">
        <v>145</v>
      </c>
    </row>
    <row r="11" spans="1:2" x14ac:dyDescent="0.25">
      <c r="A11" t="s">
        <v>146</v>
      </c>
      <c r="B11" s="46" t="s">
        <v>147</v>
      </c>
    </row>
    <row r="12" spans="1:2" x14ac:dyDescent="0.25">
      <c r="A12" t="s">
        <v>148</v>
      </c>
      <c r="B12" s="46" t="s">
        <v>149</v>
      </c>
    </row>
    <row r="13" spans="1:2" x14ac:dyDescent="0.25">
      <c r="A13" t="s">
        <v>150</v>
      </c>
      <c r="B13" s="46" t="s">
        <v>151</v>
      </c>
    </row>
    <row r="14" spans="1:2" x14ac:dyDescent="0.25">
      <c r="A14" t="s">
        <v>152</v>
      </c>
      <c r="B14" s="46" t="s">
        <v>153</v>
      </c>
    </row>
    <row r="15" spans="1:2" x14ac:dyDescent="0.25">
      <c r="A15" t="s">
        <v>154</v>
      </c>
      <c r="B15" s="46" t="s">
        <v>155</v>
      </c>
    </row>
    <row r="16" spans="1:2" x14ac:dyDescent="0.25">
      <c r="A16" t="s">
        <v>156</v>
      </c>
      <c r="B16" s="46" t="s">
        <v>157</v>
      </c>
    </row>
    <row r="17" spans="1:2" x14ac:dyDescent="0.25">
      <c r="A17" t="s">
        <v>158</v>
      </c>
      <c r="B17" s="46" t="s">
        <v>159</v>
      </c>
    </row>
    <row r="18" spans="1:2" x14ac:dyDescent="0.25">
      <c r="A18" t="s">
        <v>160</v>
      </c>
      <c r="B18" s="46" t="s">
        <v>161</v>
      </c>
    </row>
    <row r="19" spans="1:2" x14ac:dyDescent="0.25">
      <c r="A19" t="s">
        <v>162</v>
      </c>
      <c r="B19" s="46" t="s">
        <v>163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ePay</vt:lpstr>
      <vt:lpstr>ITR</vt:lpstr>
      <vt:lpstr>EWT</vt:lpstr>
      <vt:lpstr>VAT</vt:lpstr>
      <vt:lpstr>eSales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default</cp:lastModifiedBy>
  <cp:revision>7</cp:revision>
  <dcterms:created xsi:type="dcterms:W3CDTF">2006-09-16T00:00:00Z</dcterms:created>
  <dcterms:modified xsi:type="dcterms:W3CDTF">2020-05-31T12:22:39Z</dcterms:modified>
  <dc:language>en-PH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